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1"/>
  <workbookPr codeName="ThisWorkbook" defaultThemeVersion="166925"/>
  <mc:AlternateContent xmlns:mc="http://schemas.openxmlformats.org/markup-compatibility/2006">
    <mc:Choice Requires="x15">
      <x15ac:absPath xmlns:x15ac="http://schemas.microsoft.com/office/spreadsheetml/2010/11/ac" url="/Users/iandesouza/Desktop/"/>
    </mc:Choice>
  </mc:AlternateContent>
  <xr:revisionPtr revIDLastSave="0" documentId="8_{82C8C17B-88BA-674B-A52D-424C28120489}" xr6:coauthVersionLast="47" xr6:coauthVersionMax="47" xr10:uidLastSave="{00000000-0000-0000-0000-000000000000}"/>
  <bookViews>
    <workbookView xWindow="0" yWindow="500" windowWidth="22700" windowHeight="14600" tabRatio="779" firstSheet="15" activeTab="15" xr2:uid="{00000000-000D-0000-FFFF-FFFF00000000}"/>
  </bookViews>
  <sheets>
    <sheet name="Overall Summary" sheetId="22" r:id="rId1"/>
    <sheet name="1. President" sheetId="38" r:id="rId2"/>
    <sheet name="2. VPOPs" sheetId="61" r:id="rId3"/>
    <sheet name="3. VPSA" sheetId="39" r:id="rId4"/>
    <sheet name="4. DoA" sheetId="40" r:id="rId5"/>
    <sheet name="5. DoComm" sheetId="60" r:id="rId6"/>
    <sheet name="6. DoCC" sheetId="43" r:id="rId7"/>
    <sheet name="7. DoD" sheetId="45" r:id="rId8"/>
    <sheet name="8. DoIP" sheetId="46" r:id="rId9"/>
    <sheet name="9. DoER" sheetId="48" r:id="rId10"/>
    <sheet name="10. DoF" sheetId="50" r:id="rId11"/>
    <sheet name="11. DoFY" sheetId="53" r:id="rId12"/>
    <sheet name="12. DoHR" sheetId="59" r:id="rId13"/>
    <sheet name="13. DoG" sheetId="52" r:id="rId14"/>
    <sheet name="14. DoIT" sheetId="57" r:id="rId15"/>
    <sheet name="15. DoPD" sheetId="49" r:id="rId16"/>
    <sheet name="16. DoS" sheetId="58" r:id="rId17"/>
    <sheet name="17. DoSI" sheetId="56" r:id="rId18"/>
  </sheets>
  <definedNames>
    <definedName name="_xlnm._FilterDatabase" localSheetId="1" hidden="1">'1. President'!$B$28:$B$28</definedName>
    <definedName name="_xlnm._FilterDatabase" localSheetId="10" hidden="1">'10. DoF'!#REF!</definedName>
    <definedName name="_xlnm._FilterDatabase" localSheetId="11" hidden="1">'11. DoFY'!$B$28:$B$28</definedName>
    <definedName name="_xlnm._FilterDatabase" localSheetId="12" hidden="1">'12. DoHR'!$B$26:$B$26</definedName>
    <definedName name="_xlnm._FilterDatabase" localSheetId="13" hidden="1">'13. DoG'!$B$28:$B$28</definedName>
    <definedName name="_xlnm._FilterDatabase" localSheetId="14" hidden="1">'14. DoIT'!$B$30:$B$30</definedName>
    <definedName name="_xlnm._FilterDatabase" localSheetId="15" hidden="1">'15. DoPD'!#REF!</definedName>
    <definedName name="_xlnm._FilterDatabase" localSheetId="16" hidden="1">'16. DoS'!#REF!</definedName>
    <definedName name="_xlnm._FilterDatabase" localSheetId="17" hidden="1">'17. DoSI'!$B$33:$B$33</definedName>
    <definedName name="_xlnm._FilterDatabase" localSheetId="2" hidden="1">'2. VPOPs'!#REF!</definedName>
    <definedName name="_xlnm._FilterDatabase" localSheetId="3" hidden="1">'3. VPSA'!#REF!</definedName>
    <definedName name="_xlnm._FilterDatabase" localSheetId="4" hidden="1">'4. DoA'!$B$29:$B$29</definedName>
    <definedName name="_xlnm._FilterDatabase" localSheetId="5" hidden="1">'5. DoComm'!$B$32:$B$32</definedName>
    <definedName name="_xlnm._FilterDatabase" localSheetId="6" hidden="1">'6. DoCC'!$B$41:$B$41</definedName>
    <definedName name="_xlnm._FilterDatabase" localSheetId="7" hidden="1">'7. DoD'!$B$31:$B$31</definedName>
    <definedName name="_xlnm._FilterDatabase" localSheetId="8" hidden="1">'8. DoIP'!$B$29:$B$29</definedName>
    <definedName name="_xlnm._FilterDatabase" localSheetId="9" hidden="1">'9. DoER'!$B$40:$B$40</definedName>
    <definedName name="_xlnm._FilterDatabase" localSheetId="0" hidden="1">'Overall Summary'!$B$56:$B$56</definedName>
  </definedName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9" i="49" l="1"/>
  <c r="K29" i="49"/>
  <c r="L29" i="49"/>
  <c r="I29" i="49"/>
  <c r="J44" i="49"/>
  <c r="J48" i="49"/>
  <c r="J49" i="49"/>
  <c r="K44" i="49"/>
  <c r="K48" i="49"/>
  <c r="K49" i="49"/>
  <c r="L44" i="49"/>
  <c r="L48" i="49"/>
  <c r="L49" i="49"/>
  <c r="I44" i="49"/>
  <c r="I48" i="49"/>
  <c r="I49" i="49"/>
  <c r="J47" i="49"/>
  <c r="K47" i="49"/>
  <c r="L47" i="49"/>
  <c r="I47" i="49"/>
  <c r="J42" i="49"/>
  <c r="K42" i="49"/>
  <c r="L42" i="49"/>
  <c r="I42" i="49"/>
  <c r="J37" i="49"/>
  <c r="K37" i="49"/>
  <c r="L37" i="49"/>
  <c r="I37" i="49"/>
  <c r="J33" i="49"/>
  <c r="K33" i="49"/>
  <c r="L33" i="49"/>
  <c r="I33" i="49"/>
  <c r="J18" i="49"/>
  <c r="K18" i="49"/>
  <c r="L18" i="49"/>
  <c r="I18" i="49"/>
  <c r="L39" i="49"/>
  <c r="L40" i="49"/>
  <c r="K40" i="49"/>
  <c r="K39" i="49"/>
  <c r="J23" i="49"/>
  <c r="J24" i="49"/>
  <c r="J25" i="49"/>
  <c r="J26" i="49"/>
  <c r="J27" i="49"/>
  <c r="I23" i="49"/>
  <c r="I24" i="49"/>
  <c r="I25" i="49"/>
  <c r="I26" i="49"/>
  <c r="I27" i="49"/>
  <c r="H23" i="49"/>
  <c r="H24" i="49"/>
  <c r="H25" i="49"/>
  <c r="H26" i="49"/>
  <c r="H27" i="49"/>
  <c r="H22" i="49"/>
  <c r="L24" i="49"/>
  <c r="K24" i="49"/>
  <c r="L22" i="49"/>
  <c r="K22" i="49"/>
  <c r="J29" i="45"/>
  <c r="I29" i="45"/>
  <c r="H29" i="45"/>
  <c r="J18" i="43"/>
  <c r="J25" i="40"/>
  <c r="K25" i="40"/>
  <c r="L25" i="40"/>
  <c r="I25" i="40"/>
  <c r="L27" i="40"/>
  <c r="I18" i="43"/>
  <c r="H35" i="49"/>
  <c r="I35" i="49"/>
  <c r="J35" i="49"/>
  <c r="H31" i="49"/>
  <c r="I31" i="49"/>
  <c r="J31" i="49"/>
  <c r="I22" i="49"/>
  <c r="J22" i="49"/>
  <c r="H14" i="49"/>
  <c r="I14" i="49"/>
  <c r="J14" i="49"/>
  <c r="H9" i="49"/>
  <c r="I9" i="49"/>
  <c r="J9" i="49"/>
  <c r="H10" i="49"/>
  <c r="I10" i="49"/>
  <c r="J10" i="49"/>
  <c r="H8" i="49"/>
  <c r="I8" i="49"/>
  <c r="J8" i="49"/>
  <c r="H7" i="49"/>
  <c r="I7" i="49"/>
  <c r="J7" i="49"/>
  <c r="H14" i="57"/>
  <c r="I14" i="57"/>
  <c r="I19" i="57"/>
  <c r="K19" i="39"/>
  <c r="H19" i="39"/>
  <c r="I19" i="39"/>
  <c r="J19" i="39"/>
  <c r="K18" i="39"/>
  <c r="H39" i="49"/>
  <c r="I39" i="49"/>
  <c r="H40" i="49"/>
  <c r="I40" i="49"/>
  <c r="J24" i="52"/>
  <c r="I24" i="52"/>
  <c r="I23" i="50"/>
  <c r="I18" i="50"/>
  <c r="I40" i="48"/>
  <c r="I24" i="48"/>
  <c r="I12" i="48"/>
  <c r="I29" i="46"/>
  <c r="H14" i="45"/>
  <c r="I14" i="45"/>
  <c r="H15" i="45"/>
  <c r="I15" i="45"/>
  <c r="H16" i="45"/>
  <c r="I16" i="45"/>
  <c r="H17" i="45"/>
  <c r="I17" i="45"/>
  <c r="H18" i="45"/>
  <c r="I18" i="45"/>
  <c r="H19" i="45"/>
  <c r="I19" i="45"/>
  <c r="H20" i="45"/>
  <c r="I20" i="45"/>
  <c r="H21" i="45"/>
  <c r="I21" i="45"/>
  <c r="I23" i="45"/>
  <c r="I41" i="43"/>
  <c r="I36" i="43"/>
  <c r="I31" i="43"/>
  <c r="I32" i="60"/>
  <c r="I24" i="60"/>
  <c r="I17" i="60"/>
  <c r="J18" i="38"/>
  <c r="I33" i="38"/>
  <c r="I28" i="38"/>
  <c r="I23" i="38"/>
  <c r="I18" i="38"/>
  <c r="H26" i="48"/>
  <c r="I26" i="48"/>
  <c r="J26" i="48"/>
  <c r="G26" i="38"/>
  <c r="G25" i="38"/>
  <c r="G21" i="38"/>
  <c r="G20" i="38"/>
  <c r="G16" i="38"/>
  <c r="F16" i="38"/>
  <c r="P6" i="22"/>
  <c r="H15" i="56"/>
  <c r="I15" i="56"/>
  <c r="J15" i="56"/>
  <c r="G26" i="57"/>
  <c r="H26" i="57"/>
  <c r="I26" i="57"/>
  <c r="J26" i="57"/>
  <c r="F7" i="22"/>
  <c r="F15" i="38"/>
  <c r="L16" i="61"/>
  <c r="K16" i="61"/>
  <c r="H14" i="61"/>
  <c r="I14" i="61"/>
  <c r="L8" i="61"/>
  <c r="K8" i="61"/>
  <c r="H6" i="61"/>
  <c r="I6" i="61"/>
  <c r="H9" i="22"/>
  <c r="I9" i="22"/>
  <c r="I8" i="61"/>
  <c r="J6" i="61"/>
  <c r="J8" i="61"/>
  <c r="I16" i="61"/>
  <c r="J14" i="61"/>
  <c r="J16" i="61"/>
  <c r="K33" i="38"/>
  <c r="L33" i="38"/>
  <c r="K28" i="38"/>
  <c r="L28" i="38"/>
  <c r="K23" i="38"/>
  <c r="L23" i="38"/>
  <c r="K18" i="38"/>
  <c r="L18" i="38"/>
  <c r="L35" i="38"/>
  <c r="K35" i="38"/>
  <c r="K39" i="38"/>
  <c r="K40" i="38"/>
  <c r="J18" i="22"/>
  <c r="L32" i="60"/>
  <c r="L24" i="60"/>
  <c r="L17" i="60"/>
  <c r="L8" i="60"/>
  <c r="K32" i="60"/>
  <c r="K24" i="60"/>
  <c r="K17" i="60"/>
  <c r="K8" i="60"/>
  <c r="H26" i="60"/>
  <c r="I26" i="60"/>
  <c r="J26" i="60"/>
  <c r="H27" i="60"/>
  <c r="I27" i="60"/>
  <c r="J27" i="60"/>
  <c r="H28" i="60"/>
  <c r="I28" i="60"/>
  <c r="J28" i="60"/>
  <c r="H29" i="60"/>
  <c r="I29" i="60"/>
  <c r="J29" i="60"/>
  <c r="H19" i="60"/>
  <c r="I19" i="60"/>
  <c r="J19" i="60"/>
  <c r="H20" i="60"/>
  <c r="I20" i="60"/>
  <c r="J20" i="60"/>
  <c r="H14" i="60"/>
  <c r="I14" i="60"/>
  <c r="J14" i="60"/>
  <c r="H15" i="60"/>
  <c r="I15" i="60"/>
  <c r="J15" i="60"/>
  <c r="H6" i="60"/>
  <c r="I6" i="60"/>
  <c r="H30" i="60"/>
  <c r="I30" i="60"/>
  <c r="J30" i="60"/>
  <c r="H22" i="60"/>
  <c r="I22" i="60"/>
  <c r="J22" i="60"/>
  <c r="H21" i="60"/>
  <c r="I21" i="60"/>
  <c r="J21" i="60"/>
  <c r="L8" i="59"/>
  <c r="K8" i="59"/>
  <c r="H6" i="59"/>
  <c r="I6" i="59"/>
  <c r="L26" i="59"/>
  <c r="L22" i="59"/>
  <c r="L17" i="59"/>
  <c r="K26" i="59"/>
  <c r="K22" i="59"/>
  <c r="K17" i="59"/>
  <c r="H24" i="59"/>
  <c r="I24" i="59"/>
  <c r="J24" i="59"/>
  <c r="H19" i="59"/>
  <c r="I19" i="59"/>
  <c r="J19" i="59"/>
  <c r="H20" i="59"/>
  <c r="I20" i="59"/>
  <c r="J20" i="59"/>
  <c r="H14" i="59"/>
  <c r="I14" i="59"/>
  <c r="H15" i="59"/>
  <c r="I15" i="59"/>
  <c r="J15" i="59"/>
  <c r="L16" i="58"/>
  <c r="L8" i="58"/>
  <c r="K16" i="58"/>
  <c r="K8" i="58"/>
  <c r="J16" i="58"/>
  <c r="H6" i="58"/>
  <c r="I6" i="58"/>
  <c r="J6" i="58"/>
  <c r="J8" i="58"/>
  <c r="I16" i="58"/>
  <c r="I8" i="58"/>
  <c r="L36" i="43"/>
  <c r="K36" i="43"/>
  <c r="H34" i="43"/>
  <c r="I34" i="43"/>
  <c r="H21" i="57"/>
  <c r="I21" i="57"/>
  <c r="J21" i="57"/>
  <c r="H22" i="57"/>
  <c r="I22" i="57"/>
  <c r="H23" i="57"/>
  <c r="I23" i="57"/>
  <c r="J23" i="57"/>
  <c r="H24" i="57"/>
  <c r="I24" i="57"/>
  <c r="J24" i="57"/>
  <c r="H25" i="57"/>
  <c r="I25" i="57"/>
  <c r="J25" i="57"/>
  <c r="H27" i="57"/>
  <c r="I27" i="57"/>
  <c r="J27" i="57"/>
  <c r="H28" i="57"/>
  <c r="I28" i="57"/>
  <c r="J28" i="57"/>
  <c r="B19" i="57"/>
  <c r="B8" i="57"/>
  <c r="L53" i="57"/>
  <c r="K53" i="57"/>
  <c r="B53" i="57"/>
  <c r="H51" i="57"/>
  <c r="I51" i="57"/>
  <c r="J51" i="57"/>
  <c r="H50" i="57"/>
  <c r="I50" i="57"/>
  <c r="J50" i="57"/>
  <c r="H49" i="57"/>
  <c r="I49" i="57"/>
  <c r="L47" i="57"/>
  <c r="K47" i="57"/>
  <c r="B47" i="57"/>
  <c r="H45" i="57"/>
  <c r="I45" i="57"/>
  <c r="J45" i="57"/>
  <c r="H44" i="57"/>
  <c r="I44" i="57"/>
  <c r="J44" i="57"/>
  <c r="H43" i="57"/>
  <c r="I43" i="57"/>
  <c r="J43" i="57"/>
  <c r="H42" i="57"/>
  <c r="I42" i="57"/>
  <c r="J42" i="57"/>
  <c r="H41" i="57"/>
  <c r="I41" i="57"/>
  <c r="L39" i="57"/>
  <c r="K39" i="57"/>
  <c r="B39" i="57"/>
  <c r="H37" i="57"/>
  <c r="I37" i="57"/>
  <c r="J37" i="57"/>
  <c r="H36" i="57"/>
  <c r="I36" i="57"/>
  <c r="J36" i="57"/>
  <c r="H35" i="57"/>
  <c r="I35" i="57"/>
  <c r="J35" i="57"/>
  <c r="H34" i="57"/>
  <c r="I34" i="57"/>
  <c r="J34" i="57"/>
  <c r="H33" i="57"/>
  <c r="I33" i="57"/>
  <c r="J33" i="57"/>
  <c r="H32" i="57"/>
  <c r="I32" i="57"/>
  <c r="L30" i="57"/>
  <c r="K30" i="57"/>
  <c r="B30" i="57"/>
  <c r="L19" i="57"/>
  <c r="K19" i="57"/>
  <c r="H17" i="57"/>
  <c r="I17" i="57"/>
  <c r="J17" i="57"/>
  <c r="H16" i="57"/>
  <c r="I16" i="57"/>
  <c r="H15" i="57"/>
  <c r="I15" i="57"/>
  <c r="J15" i="57"/>
  <c r="J14" i="57"/>
  <c r="L8" i="57"/>
  <c r="K8" i="57"/>
  <c r="H6" i="57"/>
  <c r="I6" i="57"/>
  <c r="J6" i="57"/>
  <c r="J8" i="57"/>
  <c r="L45" i="56"/>
  <c r="K45" i="56"/>
  <c r="H43" i="56"/>
  <c r="I43" i="56"/>
  <c r="J43" i="56"/>
  <c r="H42" i="56"/>
  <c r="I42" i="56"/>
  <c r="L40" i="56"/>
  <c r="K40" i="56"/>
  <c r="H38" i="56"/>
  <c r="I38" i="56"/>
  <c r="J38" i="56"/>
  <c r="H37" i="56"/>
  <c r="I37" i="56"/>
  <c r="J37" i="56"/>
  <c r="H36" i="56"/>
  <c r="I36" i="56"/>
  <c r="J36" i="56"/>
  <c r="H35" i="56"/>
  <c r="I35" i="56"/>
  <c r="J35" i="56"/>
  <c r="L33" i="56"/>
  <c r="K33" i="56"/>
  <c r="H31" i="56"/>
  <c r="I31" i="56"/>
  <c r="J31" i="56"/>
  <c r="H30" i="56"/>
  <c r="I30" i="56"/>
  <c r="J30" i="56"/>
  <c r="H29" i="56"/>
  <c r="I29" i="56"/>
  <c r="J29" i="56"/>
  <c r="L27" i="56"/>
  <c r="K27" i="56"/>
  <c r="H25" i="56"/>
  <c r="I25" i="56"/>
  <c r="J25" i="56"/>
  <c r="H24" i="56"/>
  <c r="I24" i="56"/>
  <c r="J24" i="56"/>
  <c r="H23" i="56"/>
  <c r="I23" i="56"/>
  <c r="J23" i="56"/>
  <c r="H22" i="56"/>
  <c r="I22" i="56"/>
  <c r="J22" i="56"/>
  <c r="H21" i="56"/>
  <c r="I21" i="56"/>
  <c r="J21" i="56"/>
  <c r="H20" i="56"/>
  <c r="I20" i="56"/>
  <c r="L18" i="56"/>
  <c r="K18" i="56"/>
  <c r="H16" i="56"/>
  <c r="I16" i="56"/>
  <c r="J16" i="56"/>
  <c r="H14" i="56"/>
  <c r="I14" i="56"/>
  <c r="L8" i="56"/>
  <c r="K8" i="56"/>
  <c r="H6" i="56"/>
  <c r="I6" i="56"/>
  <c r="J6" i="56"/>
  <c r="J8" i="56"/>
  <c r="F59" i="22"/>
  <c r="H59" i="22"/>
  <c r="I59" i="22"/>
  <c r="H60" i="22"/>
  <c r="I60" i="22"/>
  <c r="H61" i="22"/>
  <c r="I61" i="22"/>
  <c r="H62" i="22"/>
  <c r="I62" i="22"/>
  <c r="I64" i="22"/>
  <c r="P26" i="22"/>
  <c r="H49" i="22"/>
  <c r="I49" i="22"/>
  <c r="H50" i="22"/>
  <c r="I50" i="22"/>
  <c r="H51" i="22"/>
  <c r="I51" i="22"/>
  <c r="I52" i="22"/>
  <c r="I53" i="22"/>
  <c r="I54" i="22"/>
  <c r="H39" i="22"/>
  <c r="I39" i="22"/>
  <c r="H40" i="22"/>
  <c r="I40" i="22"/>
  <c r="H41" i="22"/>
  <c r="I41" i="22"/>
  <c r="H42" i="22"/>
  <c r="I42" i="22"/>
  <c r="H43" i="22"/>
  <c r="I43" i="22"/>
  <c r="H44" i="22"/>
  <c r="I44" i="22"/>
  <c r="L49" i="53"/>
  <c r="K49" i="53"/>
  <c r="H47" i="53"/>
  <c r="I47" i="53"/>
  <c r="J47" i="53"/>
  <c r="H46" i="53"/>
  <c r="I46" i="53"/>
  <c r="L44" i="53"/>
  <c r="K44" i="53"/>
  <c r="H42" i="53"/>
  <c r="I42" i="53"/>
  <c r="I44" i="53"/>
  <c r="L40" i="53"/>
  <c r="K40" i="53"/>
  <c r="H38" i="53"/>
  <c r="I38" i="53"/>
  <c r="L36" i="53"/>
  <c r="K36" i="53"/>
  <c r="H34" i="53"/>
  <c r="I34" i="53"/>
  <c r="I36" i="53"/>
  <c r="L32" i="53"/>
  <c r="K32" i="53"/>
  <c r="H30" i="53"/>
  <c r="I30" i="53"/>
  <c r="L28" i="53"/>
  <c r="K28" i="53"/>
  <c r="H26" i="53"/>
  <c r="I26" i="53"/>
  <c r="I25" i="53"/>
  <c r="J25" i="53"/>
  <c r="H25" i="53"/>
  <c r="L23" i="53"/>
  <c r="K23" i="53"/>
  <c r="H21" i="53"/>
  <c r="I21" i="53"/>
  <c r="J21" i="53"/>
  <c r="H20" i="53"/>
  <c r="I20" i="53"/>
  <c r="L18" i="53"/>
  <c r="K18" i="53"/>
  <c r="H16" i="53"/>
  <c r="I16" i="53"/>
  <c r="J16" i="53"/>
  <c r="H15" i="53"/>
  <c r="I15" i="53"/>
  <c r="L9" i="53"/>
  <c r="K9" i="53"/>
  <c r="H7" i="53"/>
  <c r="I7" i="53"/>
  <c r="H6" i="53"/>
  <c r="I6" i="53"/>
  <c r="J6" i="53"/>
  <c r="J15" i="53"/>
  <c r="J18" i="53"/>
  <c r="I18" i="53"/>
  <c r="H6" i="52"/>
  <c r="I6" i="52"/>
  <c r="K8" i="52"/>
  <c r="L8" i="52"/>
  <c r="H14" i="52"/>
  <c r="I14" i="52"/>
  <c r="I16" i="52"/>
  <c r="K16" i="52"/>
  <c r="L16" i="52"/>
  <c r="H18" i="52"/>
  <c r="I18" i="52"/>
  <c r="J18" i="52"/>
  <c r="H19" i="52"/>
  <c r="I19" i="52"/>
  <c r="J19" i="52"/>
  <c r="H20" i="52"/>
  <c r="I20" i="52"/>
  <c r="J20" i="52"/>
  <c r="H21" i="52"/>
  <c r="I21" i="52"/>
  <c r="J21" i="52"/>
  <c r="H22" i="52"/>
  <c r="I22" i="52"/>
  <c r="J22" i="52"/>
  <c r="K24" i="52"/>
  <c r="L24" i="52"/>
  <c r="K28" i="52"/>
  <c r="L28" i="52"/>
  <c r="I28" i="52"/>
  <c r="J28" i="52"/>
  <c r="F14" i="50"/>
  <c r="H14" i="50"/>
  <c r="I14" i="50"/>
  <c r="J14" i="50"/>
  <c r="L23" i="50"/>
  <c r="K23" i="50"/>
  <c r="H21" i="50"/>
  <c r="I21" i="50"/>
  <c r="J21" i="50"/>
  <c r="H20" i="50"/>
  <c r="I20" i="50"/>
  <c r="J20" i="50"/>
  <c r="J23" i="50"/>
  <c r="L18" i="50"/>
  <c r="K18" i="50"/>
  <c r="H16" i="50"/>
  <c r="I16" i="50"/>
  <c r="H15" i="50"/>
  <c r="I15" i="50"/>
  <c r="J15" i="50"/>
  <c r="L8" i="50"/>
  <c r="K8" i="50"/>
  <c r="H6" i="50"/>
  <c r="I6" i="50"/>
  <c r="J6" i="50"/>
  <c r="J8" i="50"/>
  <c r="J21" i="46"/>
  <c r="I21" i="46"/>
  <c r="I16" i="46"/>
  <c r="I16" i="49"/>
  <c r="J16" i="49"/>
  <c r="J39" i="49"/>
  <c r="L16" i="49"/>
  <c r="K16" i="49"/>
  <c r="L12" i="49"/>
  <c r="K12" i="49"/>
  <c r="H6" i="49"/>
  <c r="I6" i="49"/>
  <c r="J6" i="49"/>
  <c r="L40" i="48"/>
  <c r="K40" i="48"/>
  <c r="H38" i="48"/>
  <c r="I38" i="48"/>
  <c r="J38" i="48"/>
  <c r="H37" i="48"/>
  <c r="I37" i="48"/>
  <c r="J37" i="48"/>
  <c r="H36" i="48"/>
  <c r="I36" i="48"/>
  <c r="J36" i="48"/>
  <c r="H35" i="48"/>
  <c r="I35" i="48"/>
  <c r="J35" i="48"/>
  <c r="H34" i="48"/>
  <c r="I34" i="48"/>
  <c r="L32" i="48"/>
  <c r="K32" i="48"/>
  <c r="H30" i="48"/>
  <c r="I30" i="48"/>
  <c r="L28" i="48"/>
  <c r="K28" i="48"/>
  <c r="L24" i="48"/>
  <c r="K24" i="48"/>
  <c r="H22" i="48"/>
  <c r="I22" i="48"/>
  <c r="J22" i="48"/>
  <c r="H21" i="48"/>
  <c r="I21" i="48"/>
  <c r="J21" i="48"/>
  <c r="H20" i="48"/>
  <c r="I20" i="48"/>
  <c r="J20" i="48"/>
  <c r="H19" i="48"/>
  <c r="I19" i="48"/>
  <c r="J19" i="48"/>
  <c r="H18" i="48"/>
  <c r="I18" i="48"/>
  <c r="L12" i="48"/>
  <c r="K12" i="48"/>
  <c r="H10" i="48"/>
  <c r="I10" i="48"/>
  <c r="J10" i="48"/>
  <c r="H9" i="48"/>
  <c r="I9" i="48"/>
  <c r="J9" i="48"/>
  <c r="H8" i="48"/>
  <c r="I8" i="48"/>
  <c r="J8" i="48"/>
  <c r="H7" i="48"/>
  <c r="I7" i="48"/>
  <c r="J7" i="48"/>
  <c r="H6" i="48"/>
  <c r="I6" i="48"/>
  <c r="I28" i="48"/>
  <c r="J28" i="48"/>
  <c r="L29" i="46"/>
  <c r="K29" i="46"/>
  <c r="H27" i="46"/>
  <c r="I27" i="46"/>
  <c r="J27" i="46"/>
  <c r="H26" i="46"/>
  <c r="I26" i="46"/>
  <c r="J26" i="46"/>
  <c r="H25" i="46"/>
  <c r="I25" i="46"/>
  <c r="J25" i="46"/>
  <c r="H24" i="46"/>
  <c r="I24" i="46"/>
  <c r="L21" i="46"/>
  <c r="K21" i="46"/>
  <c r="L16" i="46"/>
  <c r="K16" i="46"/>
  <c r="L8" i="46"/>
  <c r="K8" i="46"/>
  <c r="H6" i="46"/>
  <c r="I6" i="46"/>
  <c r="J16" i="46"/>
  <c r="L31" i="45"/>
  <c r="K31" i="45"/>
  <c r="L27" i="45"/>
  <c r="K27" i="45"/>
  <c r="H25" i="45"/>
  <c r="I25" i="45"/>
  <c r="I27" i="45"/>
  <c r="L23" i="45"/>
  <c r="K23" i="45"/>
  <c r="J21" i="45"/>
  <c r="J20" i="45"/>
  <c r="J19" i="45"/>
  <c r="J18" i="45"/>
  <c r="J17" i="45"/>
  <c r="J16" i="45"/>
  <c r="J15" i="45"/>
  <c r="J14" i="45"/>
  <c r="L8" i="45"/>
  <c r="K8" i="45"/>
  <c r="H6" i="45"/>
  <c r="I6" i="45"/>
  <c r="J25" i="45"/>
  <c r="J27" i="45"/>
  <c r="L41" i="43"/>
  <c r="K41" i="43"/>
  <c r="H39" i="43"/>
  <c r="I39" i="43"/>
  <c r="J39" i="43"/>
  <c r="L31" i="43"/>
  <c r="K31" i="43"/>
  <c r="H29" i="43"/>
  <c r="I29" i="43"/>
  <c r="J29" i="43"/>
  <c r="H28" i="43"/>
  <c r="I28" i="43"/>
  <c r="J28" i="43"/>
  <c r="H27" i="43"/>
  <c r="I27" i="43"/>
  <c r="J27" i="43"/>
  <c r="H26" i="43"/>
  <c r="I26" i="43"/>
  <c r="J26" i="43"/>
  <c r="H25" i="43"/>
  <c r="I25" i="43"/>
  <c r="J25" i="43"/>
  <c r="H24" i="43"/>
  <c r="I24" i="43"/>
  <c r="J24" i="43"/>
  <c r="H23" i="43"/>
  <c r="I23" i="43"/>
  <c r="J23" i="43"/>
  <c r="H22" i="43"/>
  <c r="I22" i="43"/>
  <c r="J22" i="43"/>
  <c r="H21" i="43"/>
  <c r="I21" i="43"/>
  <c r="L18" i="43"/>
  <c r="K18" i="43"/>
  <c r="H16" i="43"/>
  <c r="I16" i="43"/>
  <c r="J16" i="43"/>
  <c r="H15" i="43"/>
  <c r="I15" i="43"/>
  <c r="J15" i="43"/>
  <c r="H14" i="43"/>
  <c r="I14" i="43"/>
  <c r="L8" i="43"/>
  <c r="K8" i="43"/>
  <c r="H6" i="43"/>
  <c r="I6" i="43"/>
  <c r="J21" i="43"/>
  <c r="L29" i="40"/>
  <c r="K29" i="40"/>
  <c r="H27" i="40"/>
  <c r="I27" i="40"/>
  <c r="I29" i="40"/>
  <c r="K31" i="40"/>
  <c r="K35" i="40"/>
  <c r="K36" i="40"/>
  <c r="J21" i="22"/>
  <c r="H23" i="40"/>
  <c r="I23" i="40"/>
  <c r="J23" i="40"/>
  <c r="H22" i="40"/>
  <c r="I22" i="40"/>
  <c r="H21" i="40"/>
  <c r="I21" i="40"/>
  <c r="L19" i="40"/>
  <c r="L31" i="40"/>
  <c r="L35" i="40"/>
  <c r="K19" i="40"/>
  <c r="H17" i="40"/>
  <c r="I17" i="40"/>
  <c r="J17" i="40"/>
  <c r="H16" i="40"/>
  <c r="I16" i="40"/>
  <c r="J16" i="40"/>
  <c r="H15" i="40"/>
  <c r="I15" i="40"/>
  <c r="J15" i="40"/>
  <c r="H14" i="40"/>
  <c r="I14" i="40"/>
  <c r="L8" i="40"/>
  <c r="L10" i="40"/>
  <c r="L34" i="40"/>
  <c r="K8" i="40"/>
  <c r="K10" i="40"/>
  <c r="K34" i="40"/>
  <c r="H6" i="40"/>
  <c r="I6" i="40"/>
  <c r="J6" i="40"/>
  <c r="J8" i="40"/>
  <c r="J10" i="40"/>
  <c r="J34" i="40"/>
  <c r="L21" i="39"/>
  <c r="K21" i="39"/>
  <c r="L16" i="39"/>
  <c r="K16" i="39"/>
  <c r="I26" i="39"/>
  <c r="H18" i="39"/>
  <c r="I18" i="39"/>
  <c r="J18" i="39"/>
  <c r="I21" i="39"/>
  <c r="H14" i="39"/>
  <c r="I14" i="39"/>
  <c r="J14" i="39"/>
  <c r="L8" i="39"/>
  <c r="L10" i="39"/>
  <c r="L26" i="39"/>
  <c r="K8" i="39"/>
  <c r="K10" i="39"/>
  <c r="K26" i="39"/>
  <c r="J6" i="39"/>
  <c r="J8" i="39"/>
  <c r="J10" i="39"/>
  <c r="J26" i="39"/>
  <c r="H6" i="38"/>
  <c r="I6" i="38"/>
  <c r="I8" i="38"/>
  <c r="I10" i="38"/>
  <c r="I38" i="38"/>
  <c r="K8" i="38"/>
  <c r="K10" i="38"/>
  <c r="K38" i="38"/>
  <c r="L8" i="38"/>
  <c r="L10" i="38"/>
  <c r="L38" i="38"/>
  <c r="H14" i="38"/>
  <c r="I14" i="38"/>
  <c r="J14" i="38"/>
  <c r="H15" i="38"/>
  <c r="I15" i="38"/>
  <c r="J15" i="38"/>
  <c r="H16" i="38"/>
  <c r="I16" i="38"/>
  <c r="J16" i="38"/>
  <c r="H20" i="38"/>
  <c r="I20" i="38"/>
  <c r="H21" i="38"/>
  <c r="I21" i="38"/>
  <c r="J21" i="38"/>
  <c r="H25" i="38"/>
  <c r="I25" i="38"/>
  <c r="J25" i="38"/>
  <c r="H26" i="38"/>
  <c r="I26" i="38"/>
  <c r="J26" i="38"/>
  <c r="H30" i="38"/>
  <c r="I30" i="38"/>
  <c r="J30" i="38"/>
  <c r="H31" i="38"/>
  <c r="I31" i="38"/>
  <c r="J31" i="38"/>
  <c r="L39" i="38"/>
  <c r="J64" i="22"/>
  <c r="K64" i="22"/>
  <c r="J56" i="22"/>
  <c r="K56" i="22"/>
  <c r="J46" i="22"/>
  <c r="K46" i="22"/>
  <c r="H10" i="22"/>
  <c r="I10" i="22"/>
  <c r="H7" i="22"/>
  <c r="I7" i="22"/>
  <c r="H8" i="22"/>
  <c r="I8" i="22"/>
  <c r="H6" i="22"/>
  <c r="I6" i="22"/>
  <c r="J12" i="22"/>
  <c r="K12" i="22"/>
  <c r="J14" i="40"/>
  <c r="I19" i="40"/>
  <c r="J21" i="40"/>
  <c r="J33" i="56"/>
  <c r="J14" i="56"/>
  <c r="J18" i="56"/>
  <c r="I18" i="56"/>
  <c r="I27" i="56"/>
  <c r="J20" i="56"/>
  <c r="J27" i="56"/>
  <c r="I45" i="56"/>
  <c r="J42" i="56"/>
  <c r="J45" i="56"/>
  <c r="I40" i="56"/>
  <c r="J40" i="56"/>
  <c r="I33" i="56"/>
  <c r="I8" i="56"/>
  <c r="I12" i="49"/>
  <c r="J12" i="49"/>
  <c r="I8" i="52"/>
  <c r="J6" i="52"/>
  <c r="J8" i="52"/>
  <c r="J14" i="52"/>
  <c r="J16" i="52"/>
  <c r="J6" i="59"/>
  <c r="J8" i="59"/>
  <c r="I8" i="59"/>
  <c r="J14" i="59"/>
  <c r="J17" i="59"/>
  <c r="I17" i="59"/>
  <c r="J22" i="59"/>
  <c r="J20" i="53"/>
  <c r="J23" i="53"/>
  <c r="I23" i="53"/>
  <c r="I32" i="53"/>
  <c r="J30" i="53"/>
  <c r="J32" i="53"/>
  <c r="I40" i="53"/>
  <c r="J38" i="53"/>
  <c r="J40" i="53"/>
  <c r="J26" i="53"/>
  <c r="J28" i="53"/>
  <c r="I28" i="53"/>
  <c r="I9" i="53"/>
  <c r="J7" i="53"/>
  <c r="J9" i="53"/>
  <c r="J46" i="53"/>
  <c r="J49" i="53"/>
  <c r="I49" i="53"/>
  <c r="J34" i="53"/>
  <c r="J36" i="53"/>
  <c r="J42" i="53"/>
  <c r="J44" i="53"/>
  <c r="I8" i="50"/>
  <c r="J18" i="48"/>
  <c r="J24" i="48"/>
  <c r="J34" i="48"/>
  <c r="J40" i="48"/>
  <c r="J6" i="48"/>
  <c r="J12" i="48"/>
  <c r="J6" i="46"/>
  <c r="J8" i="46"/>
  <c r="I8" i="46"/>
  <c r="J24" i="46"/>
  <c r="J29" i="46"/>
  <c r="J31" i="43"/>
  <c r="L36" i="40"/>
  <c r="K21" i="22"/>
  <c r="I8" i="40"/>
  <c r="I10" i="40"/>
  <c r="I34" i="40"/>
  <c r="J19" i="40"/>
  <c r="L40" i="38"/>
  <c r="K18" i="22"/>
  <c r="J40" i="49"/>
  <c r="J26" i="59"/>
  <c r="I26" i="59"/>
  <c r="I22" i="59"/>
  <c r="J30" i="48"/>
  <c r="J32" i="48"/>
  <c r="I32" i="48"/>
  <c r="J27" i="40"/>
  <c r="J29" i="40"/>
  <c r="I46" i="22"/>
  <c r="P24" i="22"/>
  <c r="J22" i="40"/>
  <c r="J41" i="57"/>
  <c r="J47" i="57"/>
  <c r="I47" i="57"/>
  <c r="I39" i="57"/>
  <c r="J32" i="57"/>
  <c r="J39" i="57"/>
  <c r="I53" i="57"/>
  <c r="J22" i="57"/>
  <c r="J30" i="57"/>
  <c r="I30" i="57"/>
  <c r="I8" i="57"/>
  <c r="J49" i="57"/>
  <c r="J53" i="57"/>
  <c r="J16" i="57"/>
  <c r="J19" i="57"/>
  <c r="J6" i="60"/>
  <c r="J8" i="60"/>
  <c r="I8" i="60"/>
  <c r="J24" i="60"/>
  <c r="J6" i="45"/>
  <c r="J8" i="45"/>
  <c r="I8" i="45"/>
  <c r="J31" i="45"/>
  <c r="I31" i="45"/>
  <c r="J23" i="45"/>
  <c r="J41" i="43"/>
  <c r="J34" i="43"/>
  <c r="J36" i="43"/>
  <c r="J6" i="43"/>
  <c r="J8" i="43"/>
  <c r="I8" i="43"/>
  <c r="J14" i="43"/>
  <c r="J32" i="60"/>
  <c r="J17" i="60"/>
  <c r="K23" i="39"/>
  <c r="K27" i="39"/>
  <c r="K28" i="39"/>
  <c r="J20" i="22"/>
  <c r="L23" i="39"/>
  <c r="L27" i="39"/>
  <c r="L28" i="39"/>
  <c r="K20" i="22"/>
  <c r="I16" i="39"/>
  <c r="I23" i="39"/>
  <c r="I27" i="39"/>
  <c r="I28" i="39"/>
  <c r="I20" i="22"/>
  <c r="P7" i="22"/>
  <c r="J6" i="38"/>
  <c r="J8" i="38"/>
  <c r="J10" i="38"/>
  <c r="J38" i="38"/>
  <c r="J33" i="38"/>
  <c r="J28" i="38"/>
  <c r="J20" i="38"/>
  <c r="J23" i="38"/>
  <c r="I12" i="22"/>
  <c r="I56" i="22"/>
  <c r="P25" i="22"/>
  <c r="J16" i="50"/>
  <c r="J18" i="50"/>
  <c r="J21" i="39"/>
  <c r="J31" i="40"/>
  <c r="I31" i="40"/>
  <c r="I35" i="40"/>
  <c r="J35" i="40"/>
  <c r="J36" i="40"/>
  <c r="I36" i="40"/>
  <c r="I21" i="22"/>
  <c r="P8" i="22"/>
  <c r="I35" i="38"/>
  <c r="I39" i="38"/>
  <c r="I40" i="38"/>
  <c r="I18" i="22"/>
  <c r="P5" i="22"/>
  <c r="J35" i="38"/>
  <c r="J39" i="38"/>
  <c r="J40" i="38"/>
  <c r="J16" i="39"/>
  <c r="J23" i="39"/>
  <c r="J27" i="39"/>
  <c r="J28" i="39"/>
  <c r="I43" i="43"/>
  <c r="L10" i="61"/>
  <c r="J18" i="61"/>
  <c r="J10" i="50"/>
  <c r="K31" i="46"/>
  <c r="K10" i="43"/>
  <c r="K18" i="58"/>
  <c r="L18" i="58"/>
  <c r="J18" i="58"/>
  <c r="K51" i="53"/>
  <c r="K34" i="60"/>
  <c r="J28" i="59"/>
  <c r="J47" i="56"/>
  <c r="I30" i="52"/>
  <c r="I10" i="46"/>
  <c r="K10" i="61"/>
  <c r="L14" i="48"/>
  <c r="L43" i="43"/>
  <c r="I18" i="58"/>
  <c r="L10" i="52"/>
  <c r="K10" i="56"/>
  <c r="K55" i="57"/>
  <c r="J10" i="56"/>
  <c r="I10" i="59"/>
  <c r="J42" i="48"/>
  <c r="I51" i="53"/>
  <c r="I14" i="48"/>
  <c r="J10" i="59"/>
  <c r="I33" i="45"/>
  <c r="K10" i="45"/>
  <c r="K14" i="22"/>
  <c r="L42" i="48"/>
  <c r="J10" i="57"/>
  <c r="L25" i="50"/>
  <c r="J25" i="50"/>
  <c r="J10" i="45"/>
  <c r="J43" i="43"/>
  <c r="I10" i="43"/>
  <c r="J34" i="60"/>
  <c r="L10" i="59"/>
  <c r="L10" i="60"/>
  <c r="L28" i="59"/>
  <c r="L10" i="43"/>
  <c r="K11" i="53"/>
  <c r="I10" i="45"/>
  <c r="J14" i="48"/>
  <c r="I10" i="50"/>
  <c r="J51" i="53"/>
  <c r="K10" i="60"/>
  <c r="I55" i="57"/>
  <c r="I34" i="60"/>
  <c r="J10" i="61"/>
  <c r="K47" i="56"/>
  <c r="K10" i="57"/>
  <c r="L10" i="58"/>
  <c r="K14" i="48"/>
  <c r="K10" i="52"/>
  <c r="L31" i="46"/>
  <c r="L30" i="52"/>
  <c r="I10" i="58"/>
  <c r="I10" i="52"/>
  <c r="I11" i="53"/>
  <c r="I10" i="57"/>
  <c r="J10" i="46"/>
  <c r="K18" i="61"/>
  <c r="I10" i="61"/>
  <c r="L10" i="57"/>
  <c r="K28" i="59"/>
  <c r="L33" i="45"/>
  <c r="K42" i="48"/>
  <c r="K43" i="43"/>
  <c r="K10" i="50"/>
  <c r="L55" i="57"/>
  <c r="J10" i="43"/>
  <c r="I47" i="56"/>
  <c r="I28" i="59"/>
  <c r="J30" i="52"/>
  <c r="J31" i="46"/>
  <c r="I42" i="48"/>
  <c r="I25" i="50"/>
  <c r="K10" i="58"/>
  <c r="K25" i="50"/>
  <c r="J11" i="53"/>
  <c r="L10" i="50"/>
  <c r="L47" i="56"/>
  <c r="I10" i="60"/>
  <c r="J10" i="60"/>
  <c r="L10" i="46"/>
  <c r="J14" i="22"/>
  <c r="J55" i="57"/>
  <c r="L51" i="53"/>
  <c r="J10" i="58"/>
  <c r="I14" i="22"/>
  <c r="K33" i="45"/>
  <c r="I18" i="61"/>
  <c r="J33" i="45"/>
  <c r="L18" i="61"/>
  <c r="L11" i="53"/>
  <c r="K10" i="46"/>
  <c r="I10" i="56"/>
  <c r="K30" i="52"/>
  <c r="L10" i="45"/>
  <c r="I31" i="46"/>
  <c r="L34" i="60"/>
  <c r="L10" i="56"/>
  <c r="K10" i="59"/>
  <c r="J10" i="52"/>
  <c r="J33" i="52"/>
  <c r="K31" i="59"/>
  <c r="L50" i="56"/>
  <c r="L38" i="60"/>
  <c r="I35" i="46"/>
  <c r="I36" i="46"/>
  <c r="I25" i="22"/>
  <c r="P12" i="22"/>
  <c r="L36" i="45"/>
  <c r="K34" i="52"/>
  <c r="K35" i="52"/>
  <c r="J30" i="22"/>
  <c r="I50" i="56"/>
  <c r="K34" i="46"/>
  <c r="L54" i="53"/>
  <c r="L22" i="61"/>
  <c r="L23" i="61"/>
  <c r="J37" i="45"/>
  <c r="I22" i="61"/>
  <c r="I23" i="61"/>
  <c r="K37" i="45"/>
  <c r="K36" i="45"/>
  <c r="K38" i="45"/>
  <c r="J24" i="22"/>
  <c r="I69" i="22"/>
  <c r="I32" i="22"/>
  <c r="P19" i="22"/>
  <c r="J21" i="58"/>
  <c r="L55" i="53"/>
  <c r="L56" i="53"/>
  <c r="K28" i="22"/>
  <c r="J59" i="57"/>
  <c r="J60" i="57"/>
  <c r="J69" i="22"/>
  <c r="L34" i="46"/>
  <c r="J37" i="60"/>
  <c r="I37" i="60"/>
  <c r="L51" i="56"/>
  <c r="L52" i="56"/>
  <c r="L28" i="50"/>
  <c r="J54" i="53"/>
  <c r="K29" i="50"/>
  <c r="K30" i="50"/>
  <c r="J27" i="22"/>
  <c r="K21" i="58"/>
  <c r="I29" i="50"/>
  <c r="I30" i="50"/>
  <c r="I27" i="22"/>
  <c r="P14" i="22"/>
  <c r="I46" i="48"/>
  <c r="J35" i="46"/>
  <c r="J34" i="52"/>
  <c r="J35" i="52"/>
  <c r="I32" i="59"/>
  <c r="I51" i="56"/>
  <c r="J46" i="43"/>
  <c r="L59" i="57"/>
  <c r="K28" i="50"/>
  <c r="K47" i="43"/>
  <c r="K46" i="48"/>
  <c r="L37" i="45"/>
  <c r="L38" i="45"/>
  <c r="K24" i="22"/>
  <c r="K32" i="59"/>
  <c r="K33" i="59"/>
  <c r="L58" i="57"/>
  <c r="I21" i="61"/>
  <c r="K22" i="61"/>
  <c r="J34" i="46"/>
  <c r="I58" i="57"/>
  <c r="I54" i="53"/>
  <c r="I33" i="52"/>
  <c r="I21" i="58"/>
  <c r="L34" i="52"/>
  <c r="L35" i="46"/>
  <c r="L36" i="46"/>
  <c r="K25" i="22"/>
  <c r="K33" i="52"/>
  <c r="K45" i="48"/>
  <c r="L21" i="58"/>
  <c r="K58" i="57"/>
  <c r="K51" i="56"/>
  <c r="J21" i="61"/>
  <c r="I38" i="60"/>
  <c r="I59" i="57"/>
  <c r="K37" i="60"/>
  <c r="J55" i="53"/>
  <c r="J56" i="53"/>
  <c r="I28" i="50"/>
  <c r="J45" i="48"/>
  <c r="I36" i="45"/>
  <c r="K54" i="53"/>
  <c r="L46" i="43"/>
  <c r="L32" i="59"/>
  <c r="L33" i="59"/>
  <c r="L37" i="60"/>
  <c r="J32" i="22"/>
  <c r="L31" i="59"/>
  <c r="J38" i="60"/>
  <c r="I46" i="43"/>
  <c r="J47" i="43"/>
  <c r="J36" i="45"/>
  <c r="J29" i="50"/>
  <c r="L29" i="50"/>
  <c r="L30" i="50"/>
  <c r="K27" i="22"/>
  <c r="J58" i="57"/>
  <c r="L46" i="48"/>
  <c r="K69" i="22"/>
  <c r="I37" i="45"/>
  <c r="I38" i="45"/>
  <c r="I24" i="22"/>
  <c r="P11" i="22"/>
  <c r="J31" i="59"/>
  <c r="I45" i="48"/>
  <c r="I55" i="53"/>
  <c r="I56" i="53"/>
  <c r="I28" i="22"/>
  <c r="P15" i="22"/>
  <c r="J46" i="48"/>
  <c r="J47" i="48"/>
  <c r="I31" i="59"/>
  <c r="J50" i="56"/>
  <c r="K59" i="57"/>
  <c r="K60" i="57"/>
  <c r="J31" i="22"/>
  <c r="K50" i="56"/>
  <c r="L33" i="52"/>
  <c r="I22" i="58"/>
  <c r="I23" i="58"/>
  <c r="I33" i="22"/>
  <c r="P20" i="22"/>
  <c r="L47" i="43"/>
  <c r="L45" i="48"/>
  <c r="K21" i="61"/>
  <c r="I34" i="46"/>
  <c r="I34" i="52"/>
  <c r="I35" i="52"/>
  <c r="I30" i="22"/>
  <c r="P17" i="22"/>
  <c r="J51" i="56"/>
  <c r="J52" i="56"/>
  <c r="J32" i="59"/>
  <c r="J33" i="59"/>
  <c r="K38" i="60"/>
  <c r="K55" i="53"/>
  <c r="K56" i="53"/>
  <c r="J28" i="22"/>
  <c r="J22" i="58"/>
  <c r="J23" i="58"/>
  <c r="L22" i="58"/>
  <c r="K22" i="58"/>
  <c r="K23" i="58"/>
  <c r="K46" i="43"/>
  <c r="K35" i="46"/>
  <c r="K36" i="46"/>
  <c r="J25" i="22"/>
  <c r="J28" i="50"/>
  <c r="J22" i="61"/>
  <c r="L21" i="61"/>
  <c r="I47" i="43"/>
  <c r="I48" i="43"/>
  <c r="I23" i="22"/>
  <c r="P10" i="22"/>
  <c r="J36" i="46"/>
  <c r="J30" i="50"/>
  <c r="I47" i="48"/>
  <c r="I26" i="22"/>
  <c r="P13" i="22"/>
  <c r="I60" i="57"/>
  <c r="I31" i="22"/>
  <c r="P18" i="22"/>
  <c r="K23" i="61"/>
  <c r="L23" i="58"/>
  <c r="J48" i="43"/>
  <c r="I39" i="60"/>
  <c r="I22" i="22"/>
  <c r="L35" i="52"/>
  <c r="K30" i="22"/>
  <c r="L60" i="57"/>
  <c r="K31" i="22"/>
  <c r="J38" i="45"/>
  <c r="L39" i="60"/>
  <c r="K52" i="56"/>
  <c r="K47" i="48"/>
  <c r="J26" i="22"/>
  <c r="K48" i="43"/>
  <c r="J23" i="22"/>
  <c r="J36" i="22"/>
  <c r="L47" i="48"/>
  <c r="K26" i="22"/>
  <c r="J39" i="60"/>
  <c r="I52" i="56"/>
  <c r="I34" i="22"/>
  <c r="P21" i="22"/>
  <c r="J23" i="61"/>
  <c r="K39" i="60"/>
  <c r="L48" i="43"/>
  <c r="K23" i="22"/>
  <c r="K32" i="22"/>
  <c r="I33" i="59"/>
  <c r="I29" i="22"/>
  <c r="P16" i="22"/>
  <c r="J66" i="22"/>
  <c r="J70" i="22"/>
  <c r="J71" i="22"/>
  <c r="K36" i="22"/>
  <c r="P9" i="22"/>
  <c r="I36" i="22"/>
  <c r="K66" i="22"/>
  <c r="I66" i="22"/>
  <c r="I70" i="22"/>
  <c r="I71" i="22"/>
  <c r="N25" i="22"/>
  <c r="P23" i="22"/>
  <c r="N23" i="22"/>
  <c r="N24" i="22"/>
  <c r="N26" i="22"/>
  <c r="M25" i="22"/>
  <c r="M26" i="22"/>
  <c r="M24" i="22"/>
  <c r="K70" i="22"/>
  <c r="K71" i="22"/>
  <c r="N8" i="22"/>
  <c r="N5" i="22"/>
  <c r="N6" i="22"/>
  <c r="N7" i="22"/>
  <c r="N9" i="22"/>
  <c r="N10" i="22"/>
  <c r="N11" i="22"/>
  <c r="N12" i="22"/>
  <c r="N13" i="22"/>
  <c r="N14" i="22"/>
  <c r="N15" i="22"/>
  <c r="N16" i="22"/>
  <c r="N17" i="22"/>
  <c r="N18" i="22"/>
  <c r="N19" i="22"/>
  <c r="N20" i="22"/>
  <c r="N21" i="22"/>
  <c r="M8" i="22"/>
  <c r="M6" i="22"/>
  <c r="M23" i="22"/>
  <c r="M15" i="22"/>
  <c r="M14" i="22"/>
  <c r="M19" i="22"/>
  <c r="M13" i="22"/>
  <c r="M11" i="22"/>
  <c r="M18" i="22"/>
  <c r="M17" i="22"/>
  <c r="M7" i="22"/>
  <c r="M9" i="22"/>
  <c r="M20" i="22"/>
  <c r="M21" i="22"/>
  <c r="M16" i="22"/>
  <c r="M10" i="22"/>
  <c r="M5" i="22"/>
  <c r="M12"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tc={7328860E-E086-4E4C-8910-4524E9D3BD7B}</author>
    <author>tc={61D639E0-8695-4A00-9C0B-49986671DF99}</author>
    <author>tc={D7AF85AD-8282-46AF-B040-4AB788E28DF6}</author>
    <author>tc={584DFCFE-B921-494C-A55F-1E4CC5E9F097}</author>
    <author>tc={15A6FEB0-A3E5-4036-9253-D8A622B6054F}</author>
  </authors>
  <commentList>
    <comment ref="I17" authorId="0" shapeId="0" xr:uid="{7328860E-E086-4E4C-8910-4524E9D3BD7B}">
      <text>
        <t>[Threaded comment]
Your version of Excel allows you to read this threaded comment; however, any edits to it will get removed if the file is opened in a newer version of Excel. Learn more: https://go.microsoft.com/fwlink/?linkid=870924
Comment:
    18% gratuity included</t>
      </text>
    </comment>
    <comment ref="G22" authorId="1" shapeId="0" xr:uid="{61D639E0-8695-4A00-9C0B-49986671DF99}">
      <text>
        <t>[Threaded comment]
Your version of Excel allows you to read this threaded comment; however, any edits to it will get removed if the file is opened in a newer version of Excel. Learn more: https://go.microsoft.com/fwlink/?linkid=870924
Comment:
    (15 attendants + DoA + CC) * 2 slices/person * 2 caucuses</t>
      </text>
    </comment>
    <comment ref="G23" authorId="2" shapeId="0" xr:uid="{D7AF85AD-8282-46AF-B040-4AB788E28DF6}">
      <text>
        <t>[Threaded comment]
Your version of Excel allows you to read this threaded comment; however, any edits to it will get removed if the file is opened in a newer version of Excel. Learn more: https://go.microsoft.com/fwlink/?linkid=870924
Comment:
    10 if ChemEngChem has 1 rep for both chems</t>
      </text>
    </comment>
    <comment ref="G27" authorId="3" shapeId="0" xr:uid="{584DFCFE-B921-494C-A55F-1E4CC5E9F097}">
      <text>
        <t>[Threaded comment]
Your version of Excel allows you to read this threaded comment; however, any edits to it will get removed if the file is opened in a newer version of Excel. Learn more: https://go.microsoft.com/fwlink/?linkid=870924
Comment:
    (2 * 5 EL managers) + 2 FYPCOs + 2 DoAs</t>
      </text>
    </comment>
    <comment ref="I27" authorId="4" shapeId="0" xr:uid="{15A6FEB0-A3E5-4036-9253-D8A622B6054F}">
      <text>
        <t>[Threaded comment]
Your version of Excel allows you to read this threaded comment; however, any edits to it will get removed if the file is opened in a newer version of Excel. Learn more: https://go.microsoft.com/fwlink/?linkid=870924
Comment:
    18% gratuity included</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Brian Seo</author>
    <author>Salma Ibrahim</author>
  </authors>
  <commentList>
    <comment ref="D2" authorId="0" shapeId="0" xr:uid="{414A3ABA-5A23-4373-A28B-7A496A840B39}">
      <text>
        <r>
          <rPr>
            <b/>
            <sz val="9"/>
            <color indexed="81"/>
            <rFont val="Tahoma"/>
            <family val="2"/>
          </rPr>
          <t xml:space="preserve">Brian Seo:
1: I need it!
</t>
        </r>
      </text>
    </comment>
    <comment ref="A12" authorId="0" shapeId="0" xr:uid="{480C3A03-091B-4BAB-B9A3-E4F6C4C57ABD}">
      <text>
        <r>
          <rPr>
            <b/>
            <sz val="9"/>
            <color indexed="81"/>
            <rFont val="Tahoma"/>
            <family val="2"/>
          </rPr>
          <t>Brian Seo:</t>
        </r>
        <r>
          <rPr>
            <sz val="9"/>
            <color indexed="81"/>
            <rFont val="Tahoma"/>
            <family val="2"/>
          </rPr>
          <t xml:space="preserve">
This entire budget is contingent on the winter semester actually happening!
</t>
        </r>
      </text>
    </comment>
    <comment ref="A13" authorId="0" shapeId="0" xr:uid="{2D509F93-AE4C-4AA8-AE7D-B7804BA33224}">
      <text>
        <r>
          <rPr>
            <b/>
            <sz val="9"/>
            <color indexed="81"/>
            <rFont val="Tahoma"/>
            <family val="2"/>
          </rPr>
          <t>Brian Seo:</t>
        </r>
        <r>
          <rPr>
            <sz val="9"/>
            <color indexed="81"/>
            <rFont val="Tahoma"/>
            <family val="2"/>
          </rPr>
          <t xml:space="preserve">
I have not included the Club Fund in this section due to the  unclear nature of the initiative. This will be consulted and updated on after talking with Alex when she returns from vacation. It will be updated in real time as time goes on.</t>
        </r>
      </text>
    </comment>
    <comment ref="G15" authorId="0" shapeId="0" xr:uid="{4CB348EC-C98B-4381-8F5E-CAB76B05D627}">
      <text>
        <r>
          <rPr>
            <b/>
            <sz val="9"/>
            <color indexed="81"/>
            <rFont val="Tahoma"/>
            <family val="2"/>
          </rPr>
          <t>Brian Seo:</t>
        </r>
        <r>
          <rPr>
            <sz val="9"/>
            <color indexed="81"/>
            <rFont val="Tahoma"/>
            <family val="2"/>
          </rPr>
          <t xml:space="preserve">
Note: The quantity has been set at 4 for all conferences as it is per tradition that C&amp;C team try to attend as many conferences as possible in person. Realistically speaking, I think around 2 units per conference on average is a more realistic goal upon conversing with Allison but I have budgeted for the absolute worst.</t>
        </r>
      </text>
    </comment>
    <comment ref="E34" authorId="1" shapeId="0" xr:uid="{6A48C562-2660-4F67-82EF-564B795DA4E8}">
      <text>
        <r>
          <rPr>
            <b/>
            <sz val="9"/>
            <color indexed="81"/>
            <rFont val="Tahoma"/>
            <family val="2"/>
          </rPr>
          <t>Salma Ibrahim:</t>
        </r>
        <r>
          <rPr>
            <sz val="9"/>
            <color indexed="81"/>
            <rFont val="Tahoma"/>
            <family val="2"/>
          </rPr>
          <t xml:space="preserve">
Fixed budget for the year set at a rate of $200 per club. Applied on an application basis, amount will roll over to the next year if there is excess.</t>
        </r>
      </text>
    </comment>
    <comment ref="C39" authorId="0" shapeId="0" xr:uid="{9DA39C20-5683-4FF4-AAFF-D6E387A10C1E}">
      <text>
        <r>
          <rPr>
            <b/>
            <sz val="9"/>
            <color indexed="81"/>
            <rFont val="Tahoma"/>
            <family val="2"/>
          </rPr>
          <t>Brian Seo:</t>
        </r>
        <r>
          <rPr>
            <sz val="9"/>
            <color indexed="81"/>
            <rFont val="Tahoma"/>
            <family val="2"/>
          </rPr>
          <t xml:space="preserve">
Upper bound estimate, will have an updated amount after talking to CEO and creating logo</t>
        </r>
      </text>
    </comment>
  </commentList>
</comments>
</file>

<file path=xl/sharedStrings.xml><?xml version="1.0" encoding="utf-8"?>
<sst xmlns="http://schemas.openxmlformats.org/spreadsheetml/2006/main" count="991" uniqueCount="543">
  <si>
    <t>EngSoc Overall Budget</t>
  </si>
  <si>
    <t>Category</t>
  </si>
  <si>
    <t>Line #</t>
  </si>
  <si>
    <t>Item</t>
  </si>
  <si>
    <t>Specifics</t>
  </si>
  <si>
    <t>Unit Price</t>
  </si>
  <si>
    <t>Quantity</t>
  </si>
  <si>
    <t>Sub-total</t>
  </si>
  <si>
    <t>Budget</t>
  </si>
  <si>
    <t>Pre-Actual</t>
  </si>
  <si>
    <t>Actual</t>
  </si>
  <si>
    <t>Analysis and Overview</t>
  </si>
  <si>
    <t>Revenue</t>
  </si>
  <si>
    <t>Rank</t>
  </si>
  <si>
    <t>Percentage</t>
  </si>
  <si>
    <t>Amount</t>
  </si>
  <si>
    <t>Sales Revenue</t>
  </si>
  <si>
    <t>President</t>
  </si>
  <si>
    <t xml:space="preserve">Student Fee </t>
  </si>
  <si>
    <t>81.76$ Student Fee. About 3300 students</t>
  </si>
  <si>
    <t>Vice President (Operations)</t>
  </si>
  <si>
    <t>EngServe Recovery</t>
  </si>
  <si>
    <t>Fee EngSoc Charges to Services to recover for the administrative costs we share for admin. Reduced this year due to pandemic</t>
  </si>
  <si>
    <t>Vice President (Student Affairs)</t>
  </si>
  <si>
    <t>QUESSI Management Revenue</t>
  </si>
  <si>
    <t>Bookstore Management Fee</t>
  </si>
  <si>
    <t>Academics</t>
  </si>
  <si>
    <t>CU Advertising Revenue</t>
  </si>
  <si>
    <t>Only doing advertisements on Digital Year Book and Primer this year. Underestimate of $8000.00.</t>
  </si>
  <si>
    <t>Communications</t>
  </si>
  <si>
    <t>2019-2020 Budget Surplus</t>
  </si>
  <si>
    <t>50% of previous year's surplus</t>
  </si>
  <si>
    <t>Clubs and Conferences</t>
  </si>
  <si>
    <t>Design</t>
  </si>
  <si>
    <t>Total Sales Revenue</t>
  </si>
  <si>
    <t xml:space="preserve"> </t>
  </si>
  <si>
    <t>Internal Processes</t>
  </si>
  <si>
    <t>External Relations</t>
  </si>
  <si>
    <t>TOTAL REVENUE</t>
  </si>
  <si>
    <t>Finance</t>
  </si>
  <si>
    <t>First Year</t>
  </si>
  <si>
    <t>Expenses</t>
  </si>
  <si>
    <t>Human Resources</t>
  </si>
  <si>
    <t>Executive Director Team Operating Expense</t>
  </si>
  <si>
    <t>Governance</t>
  </si>
  <si>
    <t>Please refer to tab 1. President</t>
  </si>
  <si>
    <t>Information Technology</t>
  </si>
  <si>
    <t>Please refer to tab 2. VPOPS</t>
  </si>
  <si>
    <t>Professional Development</t>
  </si>
  <si>
    <t>Please refer to tab 3. VPSA</t>
  </si>
  <si>
    <t>Services</t>
  </si>
  <si>
    <t>Please refer to tab 4. DoA</t>
  </si>
  <si>
    <t>Social Issues</t>
  </si>
  <si>
    <t>Please refer to tab 5. DoComm</t>
  </si>
  <si>
    <t>Clubs &amp; Conferences</t>
  </si>
  <si>
    <t>Please refer to tab 6. DoCC</t>
  </si>
  <si>
    <t>ED Team Expenses</t>
  </si>
  <si>
    <t>Please refer to tab 7. DoD</t>
  </si>
  <si>
    <t>Administrative Expenses</t>
  </si>
  <si>
    <t>Please refer to tab 8. DoIP</t>
  </si>
  <si>
    <t>Operating Expenses</t>
  </si>
  <si>
    <t>Please refer to tab 9. DoER</t>
  </si>
  <si>
    <t>Executive Salary</t>
  </si>
  <si>
    <t>Please refer to tab 10. DoF</t>
  </si>
  <si>
    <t>Please refer to tab 11. DoFY</t>
  </si>
  <si>
    <t>Please refer to tab 12. DoHR</t>
  </si>
  <si>
    <t>Please refer to tab 13. DoG</t>
  </si>
  <si>
    <t>Please refer to tab 14. DoIT</t>
  </si>
  <si>
    <t>Please refer to tab 15. DoPD</t>
  </si>
  <si>
    <t>Please refer to tab 16. DoS</t>
  </si>
  <si>
    <t>Please refer to tab 17. DoSI</t>
  </si>
  <si>
    <t>ED Expense</t>
  </si>
  <si>
    <t>Accounting &amp; Legal</t>
  </si>
  <si>
    <t>RFQ from the New Book-keeper + QuickBooks Online x 10 + Cheque Req Courier</t>
  </si>
  <si>
    <t>Administration - General Manager</t>
  </si>
  <si>
    <t>General Manager Salary + Telophone + Milage + Parking + CPP + Health Tax</t>
  </si>
  <si>
    <t>Rent</t>
  </si>
  <si>
    <t>Clark Hall Pub Rent charged by Queen's University on Yearly basis to QFS Account</t>
  </si>
  <si>
    <t>Telephone &amp; Long Distance</t>
  </si>
  <si>
    <t>Telephone in all of our offices, this includes all of our alarm system lines</t>
  </si>
  <si>
    <t>Insurance</t>
  </si>
  <si>
    <t>Annual Insurance Cost paid to AMS from previous years</t>
  </si>
  <si>
    <t>Bank Charges</t>
  </si>
  <si>
    <t>Bank charges for our bank accounts with BMO Harris Banking that is applied on the General Account</t>
  </si>
  <si>
    <t>Administrative Expense</t>
  </si>
  <si>
    <t>Photocopier and Print Supplier Company Monthly Fee</t>
  </si>
  <si>
    <t>OT Group Quote for Month to Month depending on amount of prints we do month. Less than previous years due to Covid</t>
  </si>
  <si>
    <t>Printer Rental LBC Capital</t>
  </si>
  <si>
    <t>LBC Captial Printing Rental 3 monthly installmetns ($912.05) x 4</t>
  </si>
  <si>
    <t>Office Supplies</t>
  </si>
  <si>
    <t>General Office Supplies including paper, stapler, sticky notes, markers, pens and etc. 25% of last year's budget due to limited access and usage of spaces</t>
  </si>
  <si>
    <t>ESARK Insurance</t>
  </si>
  <si>
    <t>Grease Pole Land Insurance quote from this year. $1728 last year</t>
  </si>
  <si>
    <t>Shredding</t>
  </si>
  <si>
    <t>Confidential Document Shredding Company in the lounge. Monthly bill averages to 80$, expecting only 2 months max</t>
  </si>
  <si>
    <t>Repair &amp; Maintenance</t>
  </si>
  <si>
    <t>PPS Lounge Maintenance. Reconciled amount from Queen's FInancial Services on average $1200</t>
  </si>
  <si>
    <t>Operating Expense</t>
  </si>
  <si>
    <t>Executive Expenses for the Fiscal Year (Sept 1, 2020 - Sept 1, 2021)</t>
  </si>
  <si>
    <t>2021-2022 Executive Summer Salary</t>
  </si>
  <si>
    <t>For 2021-2022  Executives. 21$/hour*35hours/Week*14 Weeks*3 Executives + CPP and EI. In Policy</t>
  </si>
  <si>
    <t>2021-2022 Executive Summer Projects</t>
  </si>
  <si>
    <t>Based off last year's actual amount near $10,000.00. Council Approval required</t>
  </si>
  <si>
    <t>2020-2021 Honorarium</t>
  </si>
  <si>
    <t>Based off last year's honorarium of $735/person*3. Council Approval required</t>
  </si>
  <si>
    <t>2020-2021 Executive Subsidy</t>
  </si>
  <si>
    <t>(Average Half Semester Tution + Student Levy) *3 = 6538.05$*3. ERB and Council Approval required</t>
  </si>
  <si>
    <t>Executive Expense</t>
  </si>
  <si>
    <t>TOTAL EXPENSES</t>
  </si>
  <si>
    <t>SUMMARY</t>
  </si>
  <si>
    <t>Total Revenue</t>
  </si>
  <si>
    <t>Total Expenses</t>
  </si>
  <si>
    <t>Net Surplus</t>
  </si>
  <si>
    <t>Spencer Lee
President</t>
  </si>
  <si>
    <t>Cut Priority</t>
  </si>
  <si>
    <t>25% Contingency</t>
  </si>
  <si>
    <t>President Revenue (0)</t>
  </si>
  <si>
    <t>N/A</t>
  </si>
  <si>
    <t>Total President Revenue (0)</t>
  </si>
  <si>
    <t>Executive/Director Appreciation (1)</t>
  </si>
  <si>
    <t>EngSoc Jacket Crests</t>
  </si>
  <si>
    <t>Custom patches made by QuickSew, $10/patch</t>
  </si>
  <si>
    <t>Executive Transition Dinner</t>
  </si>
  <si>
    <t>Both outgoing and incoming Executives: dinner at Atomica at $35 each (+18% gratuity)</t>
  </si>
  <si>
    <t>Tea Room gift cards for Winter</t>
  </si>
  <si>
    <t>$30/person/month, 17 people, 8 months</t>
  </si>
  <si>
    <t>Total E/D Appreciation (1)</t>
  </si>
  <si>
    <t>Orientation Week Appreciation (2)</t>
  </si>
  <si>
    <t>Orientation Chair Tea Room gift cards</t>
  </si>
  <si>
    <t>$30/month, 2 Orientation Chairs (upper and lower), 8 months (lower), 4 months (upper). I put both upper and lower because next Oweek will involve significant support from their upper due to not having one in-person this year.</t>
  </si>
  <si>
    <t>FREC Committee Tea Room gift cards</t>
  </si>
  <si>
    <t>$15/month/person, 14 Committee Members (uppers and lowers), 8 months each for lowers &amp; 4 months for uppers</t>
  </si>
  <si>
    <t>Total O-Week Appreciation (2)</t>
  </si>
  <si>
    <t>Science Formal Appreciation (3)</t>
  </si>
  <si>
    <t>Winter Semester Convener Tea Room gift cards</t>
  </si>
  <si>
    <t>$30/month, 2 conveners (upper and lower), 8 months</t>
  </si>
  <si>
    <t>Winter Semester Sci Formal Exec Tea Room gift cards</t>
  </si>
  <si>
    <t>$15/month, 4 execs (uppers only - chairs don't do a whole lot at this point in the year), 4 months</t>
  </si>
  <si>
    <t>Total Category 3</t>
  </si>
  <si>
    <t>External Membership Fees (4)</t>
  </si>
  <si>
    <t>ESSCO Membership Fee</t>
  </si>
  <si>
    <t>ESSCO Membership (OEC Only Level), $0.1/member, Based on last years number: ~300</t>
  </si>
  <si>
    <t>CFES Membership Fee</t>
  </si>
  <si>
    <t>CFES Membership, $0.5/member,Based on last years number: ~2000</t>
  </si>
  <si>
    <t>Ben Zarichny
Vice-President (Operations)</t>
  </si>
  <si>
    <t>VpOps Revenue (0)</t>
  </si>
  <si>
    <t>Total Category 0</t>
  </si>
  <si>
    <t>VpOps Expense (1)</t>
  </si>
  <si>
    <t>Total Category 1</t>
  </si>
  <si>
    <t>Alex Koch-Fitsialos
Vice-President (Student Affairs)</t>
  </si>
  <si>
    <t>VPSA Revenue</t>
  </si>
  <si>
    <t>Total VPSA Revenue</t>
  </si>
  <si>
    <t>General (1)</t>
  </si>
  <si>
    <t>ED Team Merch</t>
  </si>
  <si>
    <t>This includes T-shirts, hoodies, baseball caps. Note: this is a predicted amount based off last year's similar order. Items have not been ordered as of yet.</t>
  </si>
  <si>
    <t>1206.66 // Oct</t>
  </si>
  <si>
    <t>Total General</t>
  </si>
  <si>
    <t>Miscellaneous (2)</t>
  </si>
  <si>
    <t>Mailing Lists - MailChimp Subscription</t>
  </si>
  <si>
    <t>We pay for this monthly (DoFY, PD Connects, Council, AllEng, etc…)</t>
  </si>
  <si>
    <t>// Sep</t>
  </si>
  <si>
    <t>ERB Appreciation</t>
  </si>
  <si>
    <t>ERB Virtual Appreciation</t>
  </si>
  <si>
    <t>Total Miscellaneuous</t>
  </si>
  <si>
    <t>Nick Arnot
Director of Academics</t>
  </si>
  <si>
    <t>DoA Revenue (0)</t>
  </si>
  <si>
    <t>BED Fund (1)</t>
  </si>
  <si>
    <t>Gift Cards - Discipline Specific Idea Generation</t>
  </si>
  <si>
    <t>Prizes for discipline specific idea generation events, 1 for each discipline</t>
  </si>
  <si>
    <t>Gift Cards - General Idea Generation</t>
  </si>
  <si>
    <t>Prizes for general idea generation events. 3 prizes per event, 3 formal events</t>
  </si>
  <si>
    <t>Gift Cards - Frosh Group Idea Generation</t>
  </si>
  <si>
    <t>Prizes for each member of the winning group during the frosh group targetted idea generation event</t>
  </si>
  <si>
    <t>Appreciation Dinner</t>
  </si>
  <si>
    <t>Appreciation dinner for the BED Fund Committee</t>
  </si>
  <si>
    <t>Total BED Fund</t>
  </si>
  <si>
    <t>Academic Advocacy (2)</t>
  </si>
  <si>
    <t>Gift Cards - Academic Feedback Event</t>
  </si>
  <si>
    <t>Prizes to incentivize participation in feedback events. 1 event each semester, 2 winners each time</t>
  </si>
  <si>
    <t>Gift Cards - Winter Cacuses</t>
  </si>
  <si>
    <t>Encourage participation and attendence for the winter term caucuses planned (25/card, 2/caucus, 2 caucuses)</t>
  </si>
  <si>
    <t>Appreciation Gift for VPAs</t>
  </si>
  <si>
    <t>Small token of appreciation for the VPAs for all their help with the Academics portfolio. Item TBD</t>
  </si>
  <si>
    <t>Total Academic Advocacy</t>
  </si>
  <si>
    <t>Services (3)</t>
  </si>
  <si>
    <t>EngLinks Appreciation Dinner</t>
  </si>
  <si>
    <t>Appreciation/Transition dinner for EngLinks management. Tradition is to go to the Works</t>
  </si>
  <si>
    <t>Total Services</t>
  </si>
  <si>
    <t>Arhum Chaudhary
Director of Communications</t>
  </si>
  <si>
    <t>DoComm Revenue (0)</t>
  </si>
  <si>
    <t>Comm Team (1)</t>
  </si>
  <si>
    <t>Comm Team Sweaters</t>
  </si>
  <si>
    <t>Crucial for branding and establishing a strong team identity. Price is based on previous team sweater order actuals</t>
  </si>
  <si>
    <t>Manager Appreciation</t>
  </si>
  <si>
    <t>End of year appreciation dinner for the comm team managers</t>
  </si>
  <si>
    <t>Total Comm Team (1)</t>
  </si>
  <si>
    <t>Equipment (2)</t>
  </si>
  <si>
    <t>SD Cards (4)</t>
  </si>
  <si>
    <t xml:space="preserve">Team is in need of SD cards to store video/photo coverage </t>
  </si>
  <si>
    <t>Lav Mic</t>
  </si>
  <si>
    <t>Currently 1 lav mic in inventory, videos with 2 people will benefit largely with 2 lav mics</t>
  </si>
  <si>
    <t>Stabilizer (Camera Shoe)</t>
  </si>
  <si>
    <t>The stabilizer is missing it's camera shoe part and without it, it's useless</t>
  </si>
  <si>
    <t>Film Light</t>
  </si>
  <si>
    <t>An essential for photography, gives photographer more flexibility, easier to get better shots without day light</t>
  </si>
  <si>
    <t>Total Equipment (2)</t>
  </si>
  <si>
    <t>Campaigns/Promotions (3)</t>
  </si>
  <si>
    <t>EngSoc Logo Incentive</t>
  </si>
  <si>
    <t>To act as an incentivization for students to submit their new EngSoc Logo ideas</t>
  </si>
  <si>
    <t>Social Media Advertising</t>
  </si>
  <si>
    <t>Facebook advertising and promotion during elections and for general EngSoc PR</t>
  </si>
  <si>
    <t>Photo Team Incentive</t>
  </si>
  <si>
    <t>To engage photo team members in biweekly challenges ($25 given away to winner of challenge/semester) to exercise their creative/technical abilities + increase team spirit</t>
  </si>
  <si>
    <t>Adobe Subscriptions (All)</t>
  </si>
  <si>
    <t>Allows EngSoc teams to utilize high quality software to design create promotions, creative content and much more</t>
  </si>
  <si>
    <t>Canva Pro Subscription</t>
  </si>
  <si>
    <t>Allows for very quick graphic creation &amp; of use to the whole comm team (Monthly fee of 16.99 for 7 months)</t>
  </si>
  <si>
    <t>Total Campaigns/Promos (3)</t>
  </si>
  <si>
    <t>Brian Seo
Director of Clubs and Conferences</t>
  </si>
  <si>
    <t>DoCC Revenue (0)</t>
  </si>
  <si>
    <t>Internal Conferences (1)</t>
  </si>
  <si>
    <t>Growth Incentive</t>
  </si>
  <si>
    <t>1 Presented to 1 of 8 internal conferences</t>
  </si>
  <si>
    <t>Attendance fees</t>
  </si>
  <si>
    <t>C&amp;C Team Attendance Fee</t>
  </si>
  <si>
    <t>Volunteer Appreciation Gift</t>
  </si>
  <si>
    <t>Given to co-chairs and C&amp;C team, Tea Room gift cards</t>
  </si>
  <si>
    <t>Partial Conference Bursaries (2)</t>
  </si>
  <si>
    <t>Conference Bursary</t>
  </si>
  <si>
    <t>QGEC</t>
  </si>
  <si>
    <t>CIRQUE</t>
  </si>
  <si>
    <t>QCBT</t>
  </si>
  <si>
    <t>QSC</t>
  </si>
  <si>
    <t>QWASE</t>
  </si>
  <si>
    <t>CEEC</t>
  </si>
  <si>
    <t>QWEC</t>
  </si>
  <si>
    <t>QEC</t>
  </si>
  <si>
    <t>Unspecified</t>
  </si>
  <si>
    <t>Total Category 2</t>
  </si>
  <si>
    <t>Club Fund Initiative (3)</t>
  </si>
  <si>
    <t>Club Fund</t>
  </si>
  <si>
    <t>Club fund to be distributed on an application basis</t>
  </si>
  <si>
    <t>C&amp;C Team (4)</t>
  </si>
  <si>
    <t>C&amp;C Sweaters</t>
  </si>
  <si>
    <t>C&amp;C Team</t>
  </si>
  <si>
    <t>Total Category 4</t>
  </si>
  <si>
    <t>Liam Murray                                                                                                                                                                                                                                                                                                                                                  Director of Design</t>
  </si>
  <si>
    <t>DoD Revenue (0)</t>
  </si>
  <si>
    <t>Design Bay (1)</t>
  </si>
  <si>
    <t>Face Masks</t>
  </si>
  <si>
    <t>Follow health regulations</t>
  </si>
  <si>
    <t>Hand Sanitizer</t>
  </si>
  <si>
    <t>Nails</t>
  </si>
  <si>
    <t>For design team use</t>
  </si>
  <si>
    <t>Lumber</t>
  </si>
  <si>
    <t>Bag of rags</t>
  </si>
  <si>
    <t>For cleaning the Bay</t>
  </si>
  <si>
    <t>Garbage Bags</t>
  </si>
  <si>
    <t>General cleaner</t>
  </si>
  <si>
    <t>Tables</t>
  </si>
  <si>
    <t>Move Out Day (2)</t>
  </si>
  <si>
    <t>Dumpster Rental</t>
  </si>
  <si>
    <t xml:space="preserve">For all garbage to be removed </t>
  </si>
  <si>
    <t>Design Team Showcase (3)</t>
  </si>
  <si>
    <t>Cash Prizes</t>
  </si>
  <si>
    <t>Incentive for teams to participate</t>
  </si>
  <si>
    <t>Alison Wong
Director of Internal Processes</t>
  </si>
  <si>
    <t>Dean's Reception (0)</t>
  </si>
  <si>
    <t>Dean's Donation</t>
  </si>
  <si>
    <t>Traditionally, part of the event is supported by the Dean. This number is based on last year's donation.</t>
  </si>
  <si>
    <t>Total Dean's Reception</t>
  </si>
  <si>
    <t>Dean's Reception (1)</t>
  </si>
  <si>
    <t>Total Catergory 1</t>
  </si>
  <si>
    <t>EngSoc Awards Banquet (2)</t>
  </si>
  <si>
    <t>Engineering Society Lounge &amp; Events Locker (3)</t>
  </si>
  <si>
    <t>Key Box</t>
  </si>
  <si>
    <t>Jinho suggested we buy a better box</t>
  </si>
  <si>
    <t>Organizational Cleaners</t>
  </si>
  <si>
    <t>Christina, former DoE, suggested we clean the locker</t>
  </si>
  <si>
    <t>EngSoc Lounge Tools</t>
  </si>
  <si>
    <t>Potential subscriptions, organizers, etc.</t>
  </si>
  <si>
    <t>EngSoc Lounge Storage Cabinets</t>
  </si>
  <si>
    <t>New storage cabinets for the lounge</t>
  </si>
  <si>
    <t>Rochana Gunawardana
Director of External Relations</t>
  </si>
  <si>
    <t>Movember (0)</t>
  </si>
  <si>
    <t>Bucket Hat</t>
  </si>
  <si>
    <t>Merch</t>
  </si>
  <si>
    <t>Cap</t>
  </si>
  <si>
    <t>Black T-Shirt</t>
  </si>
  <si>
    <t>White Crewneck</t>
  </si>
  <si>
    <t>Grey Hoodie</t>
  </si>
  <si>
    <t>Outreach (1)</t>
  </si>
  <si>
    <t>Youth Hockey Team</t>
  </si>
  <si>
    <t>Sponsorship fee</t>
  </si>
  <si>
    <t>Cost of sponsoring the team</t>
  </si>
  <si>
    <t>Winter Clothing Drive</t>
  </si>
  <si>
    <t>Boxes</t>
  </si>
  <si>
    <t xml:space="preserve">25 boxes for transporting donations </t>
  </si>
  <si>
    <t xml:space="preserve">Miscellaneous </t>
  </si>
  <si>
    <t>Clothing</t>
  </si>
  <si>
    <t>For Outreach Team members</t>
  </si>
  <si>
    <t>GPA patches</t>
  </si>
  <si>
    <t>Banner</t>
  </si>
  <si>
    <t>Banner for advertisement</t>
  </si>
  <si>
    <t>Fix n Clean (2)</t>
  </si>
  <si>
    <t>Winter Event</t>
  </si>
  <si>
    <t>Advertising</t>
  </si>
  <si>
    <t>Posters, flyers</t>
  </si>
  <si>
    <t>Terry Fox Run (3)</t>
  </si>
  <si>
    <t>Movember (4)</t>
  </si>
  <si>
    <t>Grey Hoodies</t>
  </si>
  <si>
    <t>Salma Ibrahim
Director of Finance</t>
  </si>
  <si>
    <t>Finance Revenue (0)</t>
  </si>
  <si>
    <t>Finance Team (1)</t>
  </si>
  <si>
    <t>FO Salary</t>
  </si>
  <si>
    <t>Budgeting for 3 Fos (4th covered by services) - $20/hr*2hr/week*12weeks*2semesters</t>
  </si>
  <si>
    <t>FT Appreciation</t>
  </si>
  <si>
    <t>Winter term bonding (4 FOs, 1 DoF, 1 VPOPS) - possibly merch</t>
  </si>
  <si>
    <t>(For Review Engagement) Filing and Storage</t>
  </si>
  <si>
    <t>Total Finance Team</t>
  </si>
  <si>
    <t>Finance Fees (2)</t>
  </si>
  <si>
    <t>Deposit Edge Cost</t>
  </si>
  <si>
    <t>12 month fees to use deposit edge</t>
  </si>
  <si>
    <t>Moneris Fees</t>
  </si>
  <si>
    <t>Monthly fees charged by Moneris for C/D machines (tax included)</t>
  </si>
  <si>
    <t>Total Fees</t>
  </si>
  <si>
    <t>Rein Tiisler
Director of First Year</t>
  </si>
  <si>
    <t>FY Revenue (0)</t>
  </si>
  <si>
    <t>By-Donation-Bin</t>
  </si>
  <si>
    <t>Winter Contingency any donations for engsoc</t>
  </si>
  <si>
    <t>Raffles</t>
  </si>
  <si>
    <t>Will try to run at least 4 during the year. $1 per raffle ticket. Judging from last year about 20% first year engagement. Therefore 20% of about 960 confirmed is 192</t>
  </si>
  <si>
    <t>Total FY Revenue (0)</t>
  </si>
  <si>
    <t>First Year Executive (1)</t>
  </si>
  <si>
    <t>Jacket bars '23</t>
  </si>
  <si>
    <t>Sci' 23 year exec did not receive their jacket bars last year, therefore I shall carry the torch. 21 members of year exec</t>
  </si>
  <si>
    <t>Jacket Bars '24</t>
  </si>
  <si>
    <t>Bought to thank Year exec '24 for all their hard work this year also about 21 members</t>
  </si>
  <si>
    <t>Total First Year Executive (1)</t>
  </si>
  <si>
    <t>FYPCO Program (2)</t>
  </si>
  <si>
    <t>Jacket Bars</t>
  </si>
  <si>
    <t>Bought from Quick Sew. Assuming that the amount of FYPCOs hired will be around 25, which is slightly up from last year.</t>
  </si>
  <si>
    <t>safeTALK</t>
  </si>
  <si>
    <t>This will be run on a first come, first served basis for any FYPCOs interested. There will be room for up to 10 FYPCOs to attend, after which any other FYPCOs will have to pay for themselves. Run Via zoom hopefully. (http://www.queensu.ca/studentwellness/mental-health/educational-programs-workshops)</t>
  </si>
  <si>
    <t>Total FYPCO Program (2)</t>
  </si>
  <si>
    <t>Speakers + Workshops (3)</t>
  </si>
  <si>
    <t>Alumni Speaker Gifts</t>
  </si>
  <si>
    <t>A nice bottle of Oil, or something up to a max of $30 to thank the professional speakers. PD workshop and mental health and discipline fair</t>
  </si>
  <si>
    <t>Student Speaker Gifts</t>
  </si>
  <si>
    <t>$15 Metro gift card for the student speakers throughout the year. About 17 students</t>
  </si>
  <si>
    <t>Total Speakers + Workshops (3)</t>
  </si>
  <si>
    <t>Discipline Fair (4)</t>
  </si>
  <si>
    <t>See Speakers+Workshops section</t>
  </si>
  <si>
    <t>Total Discipline Fair (4)</t>
  </si>
  <si>
    <t>Ladder Committee (5)</t>
  </si>
  <si>
    <t>Winter contingency, may not even happen because covid, no pole climb, no ladder committee. But this is just in case. At least 30 members.</t>
  </si>
  <si>
    <t>Total Ladder Committee (5)</t>
  </si>
  <si>
    <t>Raffle Items (6)</t>
  </si>
  <si>
    <t>Raffle Item</t>
  </si>
  <si>
    <t>Ideally some of the prizes may be received by donation. Otherwise $75 will be allocated to fill the raffles. 4 Raffles will run throughout the year.</t>
  </si>
  <si>
    <t>Total Raffle Items (6)</t>
  </si>
  <si>
    <t>FREC Events (7)</t>
  </si>
  <si>
    <t>Jacket Bar/Patch</t>
  </si>
  <si>
    <t>New event for FREC and Frosh groups. These are for the winers, assuming around 50 people in a frosh group this year</t>
  </si>
  <si>
    <t>Total FREC Events (7)</t>
  </si>
  <si>
    <t>Team Appreciation (8)</t>
  </si>
  <si>
    <t>Dinner</t>
  </si>
  <si>
    <t>6 on the team, at Chez piggy saying $30 per person</t>
  </si>
  <si>
    <t>DoFY Merch</t>
  </si>
  <si>
    <t>6 on the team, Sweater from CEO for appreciation</t>
  </si>
  <si>
    <t>Total Team Appreciation (8)</t>
  </si>
  <si>
    <t>Craig Maslan
Director of Human Resources</t>
  </si>
  <si>
    <t>DoHR Revenue (0)</t>
  </si>
  <si>
    <t>Total DoHR Revenue</t>
  </si>
  <si>
    <t>Feedback Officer (1)</t>
  </si>
  <si>
    <t>Survey Incentives</t>
  </si>
  <si>
    <t>Tea Room Gift Cards</t>
  </si>
  <si>
    <t>Survey Software</t>
  </si>
  <si>
    <t>Microsoft Flow</t>
  </si>
  <si>
    <t>Total Feedback Officer</t>
  </si>
  <si>
    <t>Training Officer (2)</t>
  </si>
  <si>
    <t>Spontaneous Manager Appreciation</t>
  </si>
  <si>
    <t>Grievance Cards</t>
  </si>
  <si>
    <t>Printing (Vistaprint - 1000)</t>
  </si>
  <si>
    <t>Total Training Officer</t>
  </si>
  <si>
    <t>Recruitment Officer (3)</t>
  </si>
  <si>
    <t>HR Team Appreciation</t>
  </si>
  <si>
    <t>Stickers/Shirts - Redbubble</t>
  </si>
  <si>
    <t>Total Recruitment Officer</t>
  </si>
  <si>
    <t>Thomas Wright
Director of Governance</t>
  </si>
  <si>
    <t>Governance Revenue (0)</t>
  </si>
  <si>
    <t>Total Governance Revenue (0)</t>
  </si>
  <si>
    <t>Council (1)</t>
  </si>
  <si>
    <t>Secretary Payroll</t>
  </si>
  <si>
    <t>$50 per Council</t>
  </si>
  <si>
    <t>Total Council (1)</t>
  </si>
  <si>
    <t>Elections (2)</t>
  </si>
  <si>
    <t>General Elections</t>
  </si>
  <si>
    <t>Candidate refund (Pres)</t>
  </si>
  <si>
    <t>Reimbursement for campaign materials</t>
  </si>
  <si>
    <t>Candidate refund (VPs/Senator)</t>
  </si>
  <si>
    <t>Voting Software</t>
  </si>
  <si>
    <t>From AMS</t>
  </si>
  <si>
    <t>Marketing Materials</t>
  </si>
  <si>
    <t>General Election marketing initiatives</t>
  </si>
  <si>
    <t>Year Exec/Discipline Elections</t>
  </si>
  <si>
    <t>Elections Comm. Appreciation</t>
  </si>
  <si>
    <t>Appreciation dinner/clothing</t>
  </si>
  <si>
    <t>Total Elections (2)</t>
  </si>
  <si>
    <t>Awards Committee (3)</t>
  </si>
  <si>
    <t>Total Awards Committee (3)</t>
  </si>
  <si>
    <t>Alex McKinnon
Director of Information Technology</t>
  </si>
  <si>
    <t>DoIT Revenue (0)</t>
  </si>
  <si>
    <t>Email &amp; Domains (1)</t>
  </si>
  <si>
    <t>Microsoft365 License Fee</t>
  </si>
  <si>
    <t>Microsoft365 Licenses for email infrastructure</t>
  </si>
  <si>
    <t>Services Domains</t>
  </si>
  <si>
    <t>EngLinks.ca, Sciencequest, etc…</t>
  </si>
  <si>
    <t>Clubs &amp; Conferences Domains</t>
  </si>
  <si>
    <t>applemath.ca, qset, etc…</t>
  </si>
  <si>
    <t>IT and Misc Domains</t>
  </si>
  <si>
    <t>essdev.ca, engsoc.io etc</t>
  </si>
  <si>
    <t>Infrastructure (2)</t>
  </si>
  <si>
    <t>Digitalocean Essentials</t>
  </si>
  <si>
    <t>Essential services</t>
  </si>
  <si>
    <t>Sengrid</t>
  </si>
  <si>
    <t>Mail service for our applications (Dash etc)</t>
  </si>
  <si>
    <t>1password</t>
  </si>
  <si>
    <t>Password storage for 7 accounts</t>
  </si>
  <si>
    <t>Firebase</t>
  </si>
  <si>
    <t>Backend support for ITOps and ESSDev</t>
  </si>
  <si>
    <t>Wordpress Theme upgrade</t>
  </si>
  <si>
    <t>Our site theme is old and breaking, need to purchase the upgrade</t>
  </si>
  <si>
    <t>Zoom</t>
  </si>
  <si>
    <t>50 Users block (15 free, webinars and recordings included) until April 30th</t>
  </si>
  <si>
    <t>Monitoring Solution</t>
  </si>
  <si>
    <t>Monitor websites, services and servers</t>
  </si>
  <si>
    <t xml:space="preserve">Infrastructure Software License </t>
  </si>
  <si>
    <t>Plesk - New software and site management suite</t>
  </si>
  <si>
    <t>General Team (3)</t>
  </si>
  <si>
    <t>Training Workshops &amp; Materials</t>
  </si>
  <si>
    <t>Register for useful online courses (team shared account)</t>
  </si>
  <si>
    <t>Online collaboration tools</t>
  </si>
  <si>
    <t>Online semester may require online organizational tools (8 months until end of april)</t>
  </si>
  <si>
    <t>Incentivisation - Sweaters</t>
  </si>
  <si>
    <t>Sweaters</t>
  </si>
  <si>
    <t>"Secret Service" (becasue no one knows who we are…)</t>
  </si>
  <si>
    <t>Manager &amp; FYPCO thank you dinner</t>
  </si>
  <si>
    <t>Some very busy managers (including over the summer)</t>
  </si>
  <si>
    <t>Team stickers</t>
  </si>
  <si>
    <t xml:space="preserve">Stickers for our laptops and waterbottles </t>
  </si>
  <si>
    <t>ESSDev Team (4)</t>
  </si>
  <si>
    <t>Project Expenses</t>
  </si>
  <si>
    <t xml:space="preserve">Allocated </t>
  </si>
  <si>
    <t>Hardware Fund</t>
  </si>
  <si>
    <t>Hardware for potential ESSDev projects</t>
  </si>
  <si>
    <t>Misc Software</t>
  </si>
  <si>
    <t>For software such as Sketch</t>
  </si>
  <si>
    <t>Promotion</t>
  </si>
  <si>
    <t>Remote Queens in the park</t>
  </si>
  <si>
    <t>ESSDev Incentive</t>
  </si>
  <si>
    <t>ESSDev project Launch Dinner (only for completed projects)</t>
  </si>
  <si>
    <t>IT Operations (5)</t>
  </si>
  <si>
    <t>Training infrastructure</t>
  </si>
  <si>
    <t>Sandboxed infrastructure for taining</t>
  </si>
  <si>
    <t>Expenses for Dash, Academy, etc</t>
  </si>
  <si>
    <t>ITOps Appreciation Dinner</t>
  </si>
  <si>
    <t>Only for those who stick it to the end (numbers likely to dwindle)</t>
  </si>
  <si>
    <t>Varnikaa Gupta
Director of Professional Development</t>
  </si>
  <si>
    <t>Alumni Networking Summit (0)</t>
  </si>
  <si>
    <t>Tickets</t>
  </si>
  <si>
    <t>Alumni Tickets</t>
  </si>
  <si>
    <t>Estimates based upon participants last year</t>
  </si>
  <si>
    <t>Students - Early</t>
  </si>
  <si>
    <t>Estimate amount to be received from Dean's Donation</t>
  </si>
  <si>
    <t>Students - Regular</t>
  </si>
  <si>
    <t>Sponsorships</t>
  </si>
  <si>
    <t>Sponsors</t>
  </si>
  <si>
    <t>Estimate of amount to be received from sponsors</t>
  </si>
  <si>
    <t>Total Alumni Networking Summit</t>
  </si>
  <si>
    <t>Alumni (1)</t>
  </si>
  <si>
    <t>Discipline Brunch</t>
  </si>
  <si>
    <t>Alumni aren't required to purchase tickets</t>
  </si>
  <si>
    <t>Total Alumni</t>
  </si>
  <si>
    <t>Alumni Networking Summit (2)</t>
  </si>
  <si>
    <t>Speakers</t>
  </si>
  <si>
    <t>Speakers Appreciation</t>
  </si>
  <si>
    <t>Gifts for speakers</t>
  </si>
  <si>
    <t>Delegates</t>
  </si>
  <si>
    <t>Coffee</t>
  </si>
  <si>
    <t>Starbucks gift card</t>
  </si>
  <si>
    <t>Lunch</t>
  </si>
  <si>
    <t>Uber Eats gift card</t>
  </si>
  <si>
    <t>Bursary</t>
  </si>
  <si>
    <t>For students who don't have financial means to attend</t>
  </si>
  <si>
    <t>Social</t>
  </si>
  <si>
    <t>Gift bags</t>
  </si>
  <si>
    <t>Made to replace drink tickets at the social</t>
  </si>
  <si>
    <t>Conferencing Platform</t>
  </si>
  <si>
    <t>Remo</t>
  </si>
  <si>
    <t>Alumni (3)</t>
  </si>
  <si>
    <t>Food</t>
  </si>
  <si>
    <t>Light lunch for 50 (gift card)</t>
  </si>
  <si>
    <t>Marketing (4)</t>
  </si>
  <si>
    <t>Promotional prizes</t>
  </si>
  <si>
    <t>Total Marketing</t>
  </si>
  <si>
    <t>General Expenses (5)</t>
  </si>
  <si>
    <t>Volunteer Appreciation</t>
  </si>
  <si>
    <t>Team Apparel</t>
  </si>
  <si>
    <t>Brand identity at events and initiatives</t>
  </si>
  <si>
    <t>Exec Dinner</t>
  </si>
  <si>
    <t>Reward achievements and team bonding</t>
  </si>
  <si>
    <t>Andrew Kernerman
Director of Services</t>
  </si>
  <si>
    <t>DoS Revenue (0)</t>
  </si>
  <si>
    <t>DoS Expense (1)</t>
  </si>
  <si>
    <t>Julia Newcombe                                                                                                                                                                                                                                                                                                                                  Director of Social Issues</t>
  </si>
  <si>
    <t>DoSI Revenue (0)</t>
  </si>
  <si>
    <t>Bursary Committee (1)</t>
  </si>
  <si>
    <t>Bursaries</t>
  </si>
  <si>
    <t>Subsidized safetalk training</t>
  </si>
  <si>
    <t>Equity Team (2)</t>
  </si>
  <si>
    <t>Mental Health Bookmarks</t>
  </si>
  <si>
    <t>Bars for Team</t>
  </si>
  <si>
    <t>safetalk training</t>
  </si>
  <si>
    <t>Wellness week</t>
  </si>
  <si>
    <t>Miscellaneous Initiatives</t>
  </si>
  <si>
    <t>BIPOC Panelists</t>
  </si>
  <si>
    <t>Dec 6th Memorial (3)</t>
  </si>
  <si>
    <t>Roses</t>
  </si>
  <si>
    <t>Either bulk ordered in Kington and delivered or purchased individually</t>
  </si>
  <si>
    <t>Candles</t>
  </si>
  <si>
    <t>Period Products for the ILC (4)</t>
  </si>
  <si>
    <t>Tampons</t>
  </si>
  <si>
    <t>Pads</t>
  </si>
  <si>
    <t>Baskets</t>
  </si>
  <si>
    <t>To hold products</t>
  </si>
  <si>
    <t>Laminating at the P&amp;CC</t>
  </si>
  <si>
    <t>signage for baskets</t>
  </si>
  <si>
    <t>Sustainability Committee (5)</t>
  </si>
  <si>
    <t>Initiatives and meetings</t>
  </si>
  <si>
    <t>To be later determined</t>
  </si>
  <si>
    <t>Committee Stickers</t>
  </si>
  <si>
    <t>Total Category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</si>
</sst>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Red]\-&quot;$&quot;#,##0"/>
    <numFmt numFmtId="165" formatCode="&quot;$&quot;#,##0.00;[Red]\-&quot;$&quot;#,##0.00"/>
    <numFmt numFmtId="166" formatCode="_-&quot;$&quot;* #,##0.00_-;\-&quot;$&quot;* #,##0.00_-;_-&quot;$&quot;* &quot;-&quot;??_-;_-@_-"/>
    <numFmt numFmtId="167" formatCode="00000"/>
    <numFmt numFmtId="168" formatCode="_-[$$-1009]* #,##0.00_-;\-[$$-1009]* #,##0.00_-;_-[$$-1009]* &quot;-&quot;??_-;_-@_-"/>
  </numFmts>
  <fonts count="19"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22"/>
      <color rgb="FF7030A0"/>
      <name val="Calibri"/>
      <family val="2"/>
      <scheme val="minor"/>
    </font>
    <font>
      <b/>
      <sz val="11"/>
      <color theme="0"/>
      <name val="Segoe UI"/>
      <family val="2"/>
    </font>
    <font>
      <b/>
      <sz val="11"/>
      <color rgb="FF7030A0"/>
      <name val="Calibri"/>
      <family val="2"/>
      <scheme val="minor"/>
    </font>
    <font>
      <sz val="12"/>
      <color theme="1"/>
      <name val="Calibri"/>
      <family val="2"/>
      <scheme val="minor"/>
    </font>
    <font>
      <b/>
      <sz val="9"/>
      <color indexed="81"/>
      <name val="Tahoma"/>
      <family val="2"/>
    </font>
    <font>
      <sz val="9"/>
      <color indexed="81"/>
      <name val="Tahoma"/>
      <family val="2"/>
    </font>
    <font>
      <i/>
      <sz val="11"/>
      <color theme="1"/>
      <name val="Calibri"/>
      <family val="2"/>
      <scheme val="minor"/>
    </font>
    <font>
      <sz val="11"/>
      <name val="Calibri"/>
      <family val="2"/>
      <scheme val="minor"/>
    </font>
    <font>
      <sz val="11"/>
      <color rgb="FF000000"/>
      <name val="Calibri"/>
      <family val="2"/>
      <scheme val="minor"/>
    </font>
    <font>
      <sz val="8"/>
      <name val="Calibri"/>
      <family val="2"/>
      <scheme val="minor"/>
    </font>
    <font>
      <b/>
      <sz val="11"/>
      <color rgb="FF000000"/>
      <name val="Calibri"/>
      <family val="2"/>
      <scheme val="minor"/>
    </font>
    <font>
      <sz val="11"/>
      <color rgb="FFFF0000"/>
      <name val="Calibri"/>
      <family val="2"/>
      <scheme val="minor"/>
    </font>
    <font>
      <b/>
      <sz val="11"/>
      <color rgb="FFFF0000"/>
      <name val="Calibri"/>
      <family val="2"/>
      <scheme val="minor"/>
    </font>
    <font>
      <i/>
      <sz val="11"/>
      <name val="Calibri"/>
      <family val="2"/>
      <scheme val="minor"/>
    </font>
    <font>
      <i/>
      <sz val="11"/>
      <color rgb="FF000000"/>
      <name val="Calibri"/>
      <family val="2"/>
      <scheme val="minor"/>
    </font>
  </fonts>
  <fills count="12">
    <fill>
      <patternFill patternType="none"/>
    </fill>
    <fill>
      <patternFill patternType="gray125"/>
    </fill>
    <fill>
      <patternFill patternType="solid">
        <fgColor theme="0"/>
        <bgColor indexed="64"/>
      </patternFill>
    </fill>
    <fill>
      <patternFill patternType="solid">
        <fgColor rgb="FF7030A0"/>
        <bgColor indexed="64"/>
      </patternFill>
    </fill>
    <fill>
      <patternFill patternType="solid">
        <fgColor theme="7"/>
        <bgColor indexed="64"/>
      </patternFill>
    </fill>
    <fill>
      <patternFill patternType="solid">
        <fgColor theme="0"/>
      </patternFill>
    </fill>
    <fill>
      <patternFill patternType="solid">
        <fgColor rgb="FF92D050"/>
        <bgColor indexed="64"/>
      </patternFill>
    </fill>
    <fill>
      <patternFill patternType="solid">
        <fgColor theme="6" tint="0.79998168889431442"/>
        <bgColor indexed="65"/>
      </patternFill>
    </fill>
    <fill>
      <patternFill patternType="solid">
        <fgColor theme="6" tint="0.59999389629810485"/>
        <bgColor indexed="65"/>
      </patternFill>
    </fill>
    <fill>
      <patternFill patternType="solid">
        <fgColor theme="2" tint="-9.9978637043366805E-2"/>
        <bgColor indexed="64"/>
      </patternFill>
    </fill>
    <fill>
      <patternFill patternType="solid">
        <fgColor rgb="FFFFFF00"/>
        <bgColor indexed="64"/>
      </patternFill>
    </fill>
    <fill>
      <patternFill patternType="solid">
        <fgColor rgb="FFE7E6E6"/>
        <bgColor rgb="FF000000"/>
      </patternFill>
    </fill>
  </fills>
  <borders count="15">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style="thin">
        <color auto="1"/>
      </left>
      <right/>
      <top style="thin">
        <color auto="1"/>
      </top>
      <bottom style="thin">
        <color auto="1"/>
      </bottom>
      <diagonal/>
    </border>
    <border>
      <left style="thin">
        <color theme="7"/>
      </left>
      <right/>
      <top style="thin">
        <color theme="7"/>
      </top>
      <bottom style="thin">
        <color theme="7"/>
      </bottom>
      <diagonal/>
    </border>
    <border>
      <left/>
      <right/>
      <top style="thin">
        <color theme="7"/>
      </top>
      <bottom style="thin">
        <color theme="7"/>
      </bottom>
      <diagonal/>
    </border>
    <border>
      <left/>
      <right style="thin">
        <color auto="1"/>
      </right>
      <top style="thin">
        <color theme="7"/>
      </top>
      <bottom style="thin">
        <color theme="7"/>
      </bottom>
      <diagonal/>
    </border>
    <border>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top/>
      <bottom style="thin">
        <color auto="1"/>
      </bottom>
      <diagonal/>
    </border>
    <border>
      <left style="thin">
        <color indexed="64"/>
      </left>
      <right/>
      <top style="thin">
        <color indexed="64"/>
      </top>
      <bottom/>
      <diagonal/>
    </border>
    <border>
      <left style="thin">
        <color indexed="64"/>
      </left>
      <right/>
      <top/>
      <bottom/>
      <diagonal/>
    </border>
  </borders>
  <cellStyleXfs count="7">
    <xf numFmtId="0" fontId="0" fillId="0" borderId="0"/>
    <xf numFmtId="166" fontId="1" fillId="0" borderId="0" applyFont="0" applyFill="0" applyBorder="0" applyAlignment="0" applyProtection="0"/>
    <xf numFmtId="0" fontId="7" fillId="0" borderId="0"/>
    <xf numFmtId="0" fontId="7" fillId="5" borderId="0"/>
    <xf numFmtId="0" fontId="1" fillId="7" borderId="0" applyNumberFormat="0" applyBorder="0" applyAlignment="0" applyProtection="0"/>
    <xf numFmtId="9" fontId="1" fillId="0" borderId="0" applyFont="0" applyFill="0" applyBorder="0" applyAlignment="0" applyProtection="0"/>
    <xf numFmtId="0" fontId="1" fillId="8" borderId="0" applyNumberFormat="0" applyBorder="0" applyAlignment="0" applyProtection="0"/>
  </cellStyleXfs>
  <cellXfs count="252">
    <xf numFmtId="0" fontId="0" fillId="0" borderId="0" xfId="0"/>
    <xf numFmtId="166" fontId="0" fillId="0" borderId="0" xfId="1" applyFont="1"/>
    <xf numFmtId="0" fontId="0" fillId="2" borderId="0" xfId="0" applyFill="1"/>
    <xf numFmtId="0" fontId="2" fillId="3" borderId="0" xfId="0" applyFont="1" applyFill="1" applyAlignment="1">
      <alignment horizontal="center"/>
    </xf>
    <xf numFmtId="166" fontId="2" fillId="3" borderId="0" xfId="1" applyFont="1" applyFill="1" applyAlignment="1">
      <alignment horizontal="center"/>
    </xf>
    <xf numFmtId="166" fontId="5" fillId="3" borderId="1" xfId="1" applyFont="1" applyFill="1" applyBorder="1" applyAlignment="1">
      <alignment horizontal="center"/>
    </xf>
    <xf numFmtId="0" fontId="2" fillId="2" borderId="0" xfId="0" applyFont="1" applyFill="1" applyAlignment="1">
      <alignment horizontal="center"/>
    </xf>
    <xf numFmtId="0" fontId="0" fillId="0" borderId="0" xfId="0" applyAlignment="1">
      <alignment horizontal="center"/>
    </xf>
    <xf numFmtId="166" fontId="0" fillId="0" borderId="0" xfId="1" applyFont="1" applyAlignment="1">
      <alignment horizontal="right"/>
    </xf>
    <xf numFmtId="0" fontId="0" fillId="0" borderId="0" xfId="0" applyAlignment="1">
      <alignment horizontal="right"/>
    </xf>
    <xf numFmtId="166" fontId="0" fillId="0" borderId="2" xfId="1" applyFont="1" applyBorder="1"/>
    <xf numFmtId="0" fontId="3" fillId="4" borderId="1" xfId="0" applyFont="1" applyFill="1" applyBorder="1"/>
    <xf numFmtId="0" fontId="0" fillId="4" borderId="1" xfId="0" applyFill="1" applyBorder="1" applyAlignment="1">
      <alignment horizontal="center"/>
    </xf>
    <xf numFmtId="0" fontId="0" fillId="4" borderId="1" xfId="0" applyFill="1" applyBorder="1"/>
    <xf numFmtId="166" fontId="0" fillId="4" borderId="1" xfId="1" applyFont="1" applyFill="1" applyBorder="1" applyAlignment="1">
      <alignment horizontal="right"/>
    </xf>
    <xf numFmtId="0" fontId="0" fillId="4" borderId="1" xfId="0" applyFill="1" applyBorder="1" applyAlignment="1">
      <alignment horizontal="right"/>
    </xf>
    <xf numFmtId="166" fontId="0" fillId="4" borderId="2" xfId="1" applyFont="1" applyFill="1" applyBorder="1"/>
    <xf numFmtId="0" fontId="3" fillId="0" borderId="0" xfId="0" applyFont="1"/>
    <xf numFmtId="166" fontId="0" fillId="0" borderId="3" xfId="1" applyFont="1" applyBorder="1"/>
    <xf numFmtId="166" fontId="0" fillId="0" borderId="4" xfId="1" applyFont="1" applyBorder="1"/>
    <xf numFmtId="0" fontId="3" fillId="0" borderId="5" xfId="0" applyFont="1" applyBorder="1" applyAlignment="1">
      <alignment horizontal="center"/>
    </xf>
    <xf numFmtId="0" fontId="3" fillId="0" borderId="1" xfId="0" applyFont="1" applyBorder="1" applyAlignment="1">
      <alignment horizontal="center"/>
    </xf>
    <xf numFmtId="0" fontId="3" fillId="0" borderId="1" xfId="0" applyFont="1" applyBorder="1"/>
    <xf numFmtId="166" fontId="3" fillId="0" borderId="1" xfId="1" applyFont="1" applyBorder="1" applyAlignment="1">
      <alignment horizontal="right"/>
    </xf>
    <xf numFmtId="0" fontId="3" fillId="0" borderId="1" xfId="0" applyFont="1" applyBorder="1" applyAlignment="1">
      <alignment horizontal="right"/>
    </xf>
    <xf numFmtId="166" fontId="3" fillId="0" borderId="2" xfId="1" applyFont="1" applyBorder="1" applyAlignment="1">
      <alignment horizontal="right"/>
    </xf>
    <xf numFmtId="0" fontId="3" fillId="2" borderId="0" xfId="0" applyFont="1" applyFill="1"/>
    <xf numFmtId="0" fontId="6" fillId="0" borderId="0" xfId="0" applyFont="1"/>
    <xf numFmtId="0" fontId="6" fillId="0" borderId="6" xfId="0" applyFont="1" applyBorder="1" applyAlignment="1">
      <alignment horizontal="center"/>
    </xf>
    <xf numFmtId="0" fontId="6" fillId="0" borderId="7" xfId="0" applyFont="1" applyBorder="1" applyAlignment="1">
      <alignment horizontal="center"/>
    </xf>
    <xf numFmtId="0" fontId="6" fillId="0" borderId="7" xfId="0" applyFont="1" applyBorder="1"/>
    <xf numFmtId="166" fontId="6" fillId="0" borderId="7" xfId="1" applyFont="1" applyBorder="1" applyAlignment="1">
      <alignment horizontal="right"/>
    </xf>
    <xf numFmtId="0" fontId="6" fillId="0" borderId="7" xfId="0" applyFont="1" applyBorder="1" applyAlignment="1">
      <alignment horizontal="right"/>
    </xf>
    <xf numFmtId="166" fontId="6" fillId="0" borderId="8" xfId="1" applyFont="1" applyBorder="1" applyAlignment="1">
      <alignment horizontal="right"/>
    </xf>
    <xf numFmtId="0" fontId="6" fillId="2" borderId="0" xfId="0" applyFont="1" applyFill="1"/>
    <xf numFmtId="0" fontId="0" fillId="0" borderId="0" xfId="0" applyAlignment="1">
      <alignment wrapText="1"/>
    </xf>
    <xf numFmtId="0" fontId="3" fillId="0" borderId="1" xfId="0" applyFont="1" applyBorder="1" applyAlignment="1">
      <alignment wrapText="1"/>
    </xf>
    <xf numFmtId="166" fontId="3" fillId="0" borderId="0" xfId="1" applyFont="1" applyAlignment="1">
      <alignment horizontal="right"/>
    </xf>
    <xf numFmtId="0" fontId="3" fillId="0" borderId="0" xfId="0" applyFont="1" applyAlignment="1">
      <alignment horizontal="right"/>
    </xf>
    <xf numFmtId="166" fontId="3" fillId="0" borderId="3" xfId="1" applyFont="1" applyBorder="1" applyAlignment="1">
      <alignment horizontal="right"/>
    </xf>
    <xf numFmtId="166" fontId="3" fillId="0" borderId="4" xfId="1" applyFont="1" applyBorder="1" applyAlignment="1">
      <alignment horizontal="right"/>
    </xf>
    <xf numFmtId="0" fontId="3" fillId="0" borderId="9" xfId="0" applyFont="1" applyBorder="1"/>
    <xf numFmtId="0" fontId="3" fillId="0" borderId="9" xfId="0" applyFont="1" applyBorder="1" applyAlignment="1">
      <alignment horizontal="center"/>
    </xf>
    <xf numFmtId="166" fontId="3" fillId="0" borderId="9" xfId="1" applyFont="1" applyBorder="1" applyAlignment="1">
      <alignment horizontal="right"/>
    </xf>
    <xf numFmtId="0" fontId="3" fillId="0" borderId="9" xfId="0" applyFont="1" applyBorder="1" applyAlignment="1">
      <alignment horizontal="right"/>
    </xf>
    <xf numFmtId="166" fontId="3" fillId="0" borderId="10" xfId="1" applyFont="1" applyBorder="1" applyAlignment="1">
      <alignment horizontal="right"/>
    </xf>
    <xf numFmtId="166" fontId="0" fillId="2" borderId="0" xfId="1" applyFont="1" applyFill="1" applyAlignment="1">
      <alignment horizontal="right"/>
    </xf>
    <xf numFmtId="0" fontId="0" fillId="2" borderId="0" xfId="0" applyFill="1" applyAlignment="1">
      <alignment horizontal="right"/>
    </xf>
    <xf numFmtId="0" fontId="0" fillId="0" borderId="0" xfId="0" applyAlignment="1">
      <alignment horizontal="center" vertical="center"/>
    </xf>
    <xf numFmtId="0" fontId="0" fillId="0" borderId="0" xfId="0" applyAlignment="1">
      <alignment horizontal="left" wrapText="1"/>
    </xf>
    <xf numFmtId="166" fontId="0" fillId="0" borderId="0" xfId="1" applyFont="1" applyFill="1" applyAlignment="1">
      <alignment horizontal="right"/>
    </xf>
    <xf numFmtId="0" fontId="0" fillId="0" borderId="0" xfId="0" applyAlignment="1">
      <alignment horizontal="left"/>
    </xf>
    <xf numFmtId="166" fontId="0" fillId="0" borderId="4" xfId="1" applyFont="1" applyBorder="1" applyAlignment="1">
      <alignment horizontal="right"/>
    </xf>
    <xf numFmtId="166" fontId="0" fillId="0" borderId="4" xfId="1" applyFont="1" applyFill="1" applyBorder="1" applyAlignment="1">
      <alignment horizontal="right"/>
    </xf>
    <xf numFmtId="166" fontId="0" fillId="2" borderId="0" xfId="1" applyFont="1" applyFill="1"/>
    <xf numFmtId="166" fontId="3" fillId="6" borderId="9" xfId="1" applyFont="1" applyFill="1" applyBorder="1" applyAlignment="1">
      <alignment horizontal="right"/>
    </xf>
    <xf numFmtId="0" fontId="3" fillId="0" borderId="5" xfId="0" applyFont="1" applyBorder="1" applyAlignment="1">
      <alignment horizontal="left"/>
    </xf>
    <xf numFmtId="0" fontId="3" fillId="0" borderId="1" xfId="0" applyFont="1" applyBorder="1" applyAlignment="1">
      <alignment horizontal="left"/>
    </xf>
    <xf numFmtId="167" fontId="0" fillId="0" borderId="0" xfId="0" applyNumberFormat="1" applyAlignment="1">
      <alignment horizontal="center"/>
    </xf>
    <xf numFmtId="166" fontId="3" fillId="0" borderId="0" xfId="1" applyFont="1" applyBorder="1" applyAlignment="1">
      <alignment horizontal="right"/>
    </xf>
    <xf numFmtId="0" fontId="2" fillId="3" borderId="0" xfId="0" applyFont="1" applyFill="1" applyAlignment="1">
      <alignment horizontal="center" vertical="center"/>
    </xf>
    <xf numFmtId="0" fontId="0" fillId="4" borderId="1" xfId="0" applyFill="1" applyBorder="1" applyAlignment="1">
      <alignment horizontal="center" vertical="center"/>
    </xf>
    <xf numFmtId="0" fontId="3" fillId="0" borderId="1" xfId="0" applyFont="1" applyBorder="1" applyAlignment="1">
      <alignment horizontal="center" vertical="center"/>
    </xf>
    <xf numFmtId="0" fontId="6" fillId="0" borderId="7" xfId="0" applyFont="1" applyBorder="1" applyAlignment="1">
      <alignment horizontal="center" vertical="center"/>
    </xf>
    <xf numFmtId="0" fontId="3" fillId="0" borderId="0" xfId="0" applyFont="1" applyAlignment="1">
      <alignment horizontal="center" vertical="center"/>
    </xf>
    <xf numFmtId="0" fontId="3" fillId="0" borderId="9" xfId="0" applyFont="1" applyBorder="1" applyAlignment="1">
      <alignment horizontal="center" vertical="center"/>
    </xf>
    <xf numFmtId="0" fontId="10" fillId="0" borderId="0" xfId="0" applyFont="1" applyAlignment="1">
      <alignment horizontal="right"/>
    </xf>
    <xf numFmtId="0" fontId="0" fillId="0" borderId="0" xfId="0" applyAlignment="1">
      <alignment vertical="center"/>
    </xf>
    <xf numFmtId="0" fontId="0" fillId="0" borderId="0" xfId="0" applyAlignment="1">
      <alignment horizontal="left" vertical="center"/>
    </xf>
    <xf numFmtId="0" fontId="0" fillId="4" borderId="1" xfId="0" applyFill="1" applyBorder="1" applyAlignment="1">
      <alignment vertical="center"/>
    </xf>
    <xf numFmtId="0" fontId="0" fillId="4" borderId="1" xfId="0" applyFill="1" applyBorder="1" applyAlignment="1">
      <alignment horizontal="left" vertical="center"/>
    </xf>
    <xf numFmtId="0" fontId="12" fillId="0" borderId="0" xfId="0" applyFont="1" applyAlignment="1">
      <alignment horizontal="left" vertical="center"/>
    </xf>
    <xf numFmtId="0" fontId="3" fillId="0" borderId="1" xfId="0" applyFont="1" applyBorder="1" applyAlignment="1">
      <alignment vertical="center"/>
    </xf>
    <xf numFmtId="0" fontId="3" fillId="0" borderId="1" xfId="0" applyFont="1" applyBorder="1" applyAlignment="1">
      <alignment horizontal="left" vertical="center"/>
    </xf>
    <xf numFmtId="0" fontId="6" fillId="0" borderId="7" xfId="0" applyFont="1" applyBorder="1" applyAlignment="1">
      <alignment vertical="center"/>
    </xf>
    <xf numFmtId="0" fontId="6" fillId="0" borderId="7" xfId="0" applyFont="1" applyBorder="1" applyAlignment="1">
      <alignment horizontal="left" vertical="center"/>
    </xf>
    <xf numFmtId="0" fontId="3" fillId="0" borderId="0" xfId="0" applyFont="1" applyAlignment="1">
      <alignment vertical="center"/>
    </xf>
    <xf numFmtId="0" fontId="3" fillId="0" borderId="0" xfId="0" applyFont="1" applyAlignment="1">
      <alignment horizontal="left" vertical="center"/>
    </xf>
    <xf numFmtId="0" fontId="3" fillId="0" borderId="9" xfId="0" applyFont="1" applyBorder="1" applyAlignment="1">
      <alignment vertical="center"/>
    </xf>
    <xf numFmtId="0" fontId="3" fillId="0" borderId="9" xfId="0" applyFont="1" applyBorder="1" applyAlignment="1">
      <alignment horizontal="left" vertical="center"/>
    </xf>
    <xf numFmtId="0" fontId="0" fillId="0" borderId="0" xfId="0" applyAlignment="1">
      <alignment horizontal="left" vertical="center" wrapText="1"/>
    </xf>
    <xf numFmtId="0" fontId="0" fillId="4" borderId="1" xfId="0" applyFill="1" applyBorder="1" applyAlignment="1">
      <alignment horizontal="left" vertical="center" wrapText="1"/>
    </xf>
    <xf numFmtId="0" fontId="3" fillId="0" borderId="1" xfId="0" applyFont="1" applyBorder="1" applyAlignment="1">
      <alignment horizontal="left" vertical="center" wrapText="1"/>
    </xf>
    <xf numFmtId="0" fontId="6" fillId="0" borderId="7" xfId="0" applyFont="1" applyBorder="1" applyAlignment="1">
      <alignment horizontal="left" vertical="center" wrapText="1"/>
    </xf>
    <xf numFmtId="0" fontId="3" fillId="0" borderId="0" xfId="0" applyFont="1" applyAlignment="1">
      <alignment horizontal="left" vertical="center" wrapText="1"/>
    </xf>
    <xf numFmtId="0" fontId="3" fillId="0" borderId="9" xfId="0" applyFont="1" applyBorder="1" applyAlignment="1">
      <alignment horizontal="left" vertical="center" wrapText="1"/>
    </xf>
    <xf numFmtId="0" fontId="2" fillId="3" borderId="0" xfId="0" applyFont="1" applyFill="1" applyAlignment="1">
      <alignment horizontal="center" vertical="center" wrapText="1"/>
    </xf>
    <xf numFmtId="0" fontId="3" fillId="0" borderId="5" xfId="0" applyFont="1" applyBorder="1" applyAlignment="1">
      <alignment horizontal="center" vertical="center"/>
    </xf>
    <xf numFmtId="0" fontId="6" fillId="0" borderId="6" xfId="0" applyFont="1" applyBorder="1" applyAlignment="1">
      <alignment horizontal="center" vertical="center"/>
    </xf>
    <xf numFmtId="166" fontId="2" fillId="3" borderId="0" xfId="1" applyFont="1" applyFill="1" applyAlignment="1">
      <alignment horizontal="center" vertical="center"/>
    </xf>
    <xf numFmtId="166" fontId="5" fillId="3" borderId="1" xfId="1" applyFont="1" applyFill="1" applyBorder="1" applyAlignment="1">
      <alignment horizontal="center" vertical="center"/>
    </xf>
    <xf numFmtId="0" fontId="2" fillId="2" borderId="0" xfId="0" applyFont="1" applyFill="1" applyAlignment="1">
      <alignment horizontal="center" vertical="center"/>
    </xf>
    <xf numFmtId="0" fontId="3" fillId="4" borderId="1" xfId="0" applyFont="1" applyFill="1" applyBorder="1" applyAlignment="1">
      <alignment vertical="center"/>
    </xf>
    <xf numFmtId="0" fontId="6" fillId="0" borderId="0" xfId="0" applyFont="1" applyAlignment="1">
      <alignment vertical="center"/>
    </xf>
    <xf numFmtId="0" fontId="3" fillId="4" borderId="1" xfId="0" applyFont="1" applyFill="1" applyBorder="1" applyAlignment="1">
      <alignment horizontal="center" vertical="center"/>
    </xf>
    <xf numFmtId="0" fontId="3" fillId="0" borderId="0" xfId="0" applyFont="1" applyAlignment="1">
      <alignment horizontal="center" vertical="center" wrapText="1"/>
    </xf>
    <xf numFmtId="0" fontId="2" fillId="3" borderId="0" xfId="0" applyFont="1" applyFill="1" applyAlignment="1">
      <alignment horizontal="left" vertical="center"/>
    </xf>
    <xf numFmtId="0" fontId="3" fillId="4" borderId="1" xfId="0" applyFont="1" applyFill="1" applyBorder="1" applyAlignment="1">
      <alignment horizontal="left" vertical="center"/>
    </xf>
    <xf numFmtId="0" fontId="6" fillId="0" borderId="0" xfId="0" applyFont="1" applyAlignment="1">
      <alignment horizontal="left" vertical="center"/>
    </xf>
    <xf numFmtId="0" fontId="3" fillId="0" borderId="5" xfId="0" applyFont="1" applyBorder="1" applyAlignment="1">
      <alignment horizontal="center" vertical="center" wrapText="1"/>
    </xf>
    <xf numFmtId="0" fontId="0" fillId="2" borderId="0" xfId="0" applyFill="1" applyAlignment="1">
      <alignment horizontal="left" vertical="center" wrapText="1"/>
    </xf>
    <xf numFmtId="0" fontId="3" fillId="0" borderId="1" xfId="0" applyFont="1" applyBorder="1" applyAlignment="1">
      <alignment vertical="center" wrapText="1"/>
    </xf>
    <xf numFmtId="0" fontId="0" fillId="0" borderId="0" xfId="0" applyAlignment="1">
      <alignment vertical="center" wrapText="1"/>
    </xf>
    <xf numFmtId="0" fontId="0" fillId="2" borderId="0" xfId="0" applyFill="1" applyAlignment="1">
      <alignment vertical="center"/>
    </xf>
    <xf numFmtId="0" fontId="0" fillId="2" borderId="0" xfId="0" applyFill="1" applyAlignment="1">
      <alignment horizontal="center" vertical="center"/>
    </xf>
    <xf numFmtId="166" fontId="5" fillId="3" borderId="2" xfId="1" applyFont="1" applyFill="1" applyBorder="1" applyAlignment="1">
      <alignment horizontal="center" vertical="center"/>
    </xf>
    <xf numFmtId="166" fontId="1" fillId="0" borderId="0" xfId="4" applyNumberFormat="1" applyFill="1" applyAlignment="1">
      <alignment horizontal="right"/>
    </xf>
    <xf numFmtId="0" fontId="0" fillId="0" borderId="0" xfId="0" applyAlignment="1">
      <alignment horizontal="right" vertical="center"/>
    </xf>
    <xf numFmtId="166" fontId="0" fillId="0" borderId="0" xfId="1" applyFont="1" applyAlignment="1"/>
    <xf numFmtId="166" fontId="0" fillId="0" borderId="2" xfId="1" applyFont="1" applyBorder="1" applyAlignment="1"/>
    <xf numFmtId="166" fontId="0" fillId="4" borderId="2" xfId="1" applyFont="1" applyFill="1" applyBorder="1" applyAlignment="1"/>
    <xf numFmtId="166" fontId="0" fillId="0" borderId="3" xfId="1" applyFont="1" applyBorder="1" applyAlignment="1"/>
    <xf numFmtId="166" fontId="0" fillId="0" borderId="4" xfId="1" applyFont="1" applyBorder="1" applyAlignment="1"/>
    <xf numFmtId="0" fontId="0" fillId="2" borderId="14" xfId="0" applyFill="1" applyBorder="1"/>
    <xf numFmtId="0" fontId="0" fillId="2" borderId="4" xfId="0" applyFill="1" applyBorder="1"/>
    <xf numFmtId="166" fontId="0" fillId="2" borderId="4" xfId="0" applyNumberFormat="1" applyFill="1" applyBorder="1"/>
    <xf numFmtId="0" fontId="0" fillId="2" borderId="9" xfId="0" applyFill="1" applyBorder="1"/>
    <xf numFmtId="166" fontId="0" fillId="2" borderId="10" xfId="0" applyNumberFormat="1" applyFill="1" applyBorder="1"/>
    <xf numFmtId="0" fontId="3" fillId="4" borderId="5" xfId="0" applyFont="1" applyFill="1" applyBorder="1" applyAlignment="1">
      <alignment horizontal="center" vertical="center"/>
    </xf>
    <xf numFmtId="0" fontId="3" fillId="4" borderId="2" xfId="0" applyFont="1" applyFill="1" applyBorder="1" applyAlignment="1">
      <alignment horizontal="center" vertical="center"/>
    </xf>
    <xf numFmtId="0" fontId="0" fillId="2" borderId="14" xfId="0" applyFill="1" applyBorder="1" applyAlignment="1">
      <alignment vertical="center"/>
    </xf>
    <xf numFmtId="9" fontId="0" fillId="2" borderId="0" xfId="5" applyFont="1" applyFill="1" applyBorder="1" applyAlignment="1">
      <alignment vertical="center"/>
    </xf>
    <xf numFmtId="0" fontId="0" fillId="2" borderId="12" xfId="0" applyFill="1" applyBorder="1" applyAlignment="1">
      <alignment vertical="center"/>
    </xf>
    <xf numFmtId="9" fontId="0" fillId="2" borderId="9" xfId="5" applyFont="1" applyFill="1" applyBorder="1" applyAlignment="1">
      <alignment vertical="center"/>
    </xf>
    <xf numFmtId="166" fontId="1" fillId="0" borderId="0" xfId="1" applyFont="1" applyFill="1" applyBorder="1" applyAlignment="1">
      <alignment horizontal="right"/>
    </xf>
    <xf numFmtId="166" fontId="0" fillId="0" borderId="4" xfId="1" applyFont="1" applyFill="1" applyBorder="1"/>
    <xf numFmtId="168" fontId="2" fillId="3" borderId="0" xfId="1" applyNumberFormat="1" applyFont="1" applyFill="1" applyAlignment="1">
      <alignment horizontal="center"/>
    </xf>
    <xf numFmtId="168" fontId="0" fillId="0" borderId="0" xfId="1" applyNumberFormat="1" applyFont="1" applyAlignment="1">
      <alignment horizontal="right"/>
    </xf>
    <xf numFmtId="168" fontId="0" fillId="4" borderId="1" xfId="1" applyNumberFormat="1" applyFont="1" applyFill="1" applyBorder="1" applyAlignment="1">
      <alignment horizontal="right"/>
    </xf>
    <xf numFmtId="168" fontId="3" fillId="0" borderId="1" xfId="1" applyNumberFormat="1" applyFont="1" applyBorder="1" applyAlignment="1">
      <alignment horizontal="right"/>
    </xf>
    <xf numFmtId="168" fontId="6" fillId="0" borderId="7" xfId="1" applyNumberFormat="1" applyFont="1" applyBorder="1" applyAlignment="1">
      <alignment horizontal="right"/>
    </xf>
    <xf numFmtId="168" fontId="0" fillId="0" borderId="0" xfId="0" applyNumberFormat="1"/>
    <xf numFmtId="168" fontId="3" fillId="0" borderId="0" xfId="1" applyNumberFormat="1" applyFont="1" applyAlignment="1">
      <alignment horizontal="right"/>
    </xf>
    <xf numFmtId="168" fontId="3" fillId="0" borderId="9" xfId="1" applyNumberFormat="1" applyFont="1" applyBorder="1" applyAlignment="1">
      <alignment horizontal="right"/>
    </xf>
    <xf numFmtId="0" fontId="1" fillId="0" borderId="0" xfId="4" applyFill="1" applyAlignment="1">
      <alignment horizontal="center"/>
    </xf>
    <xf numFmtId="0" fontId="1" fillId="0" borderId="0" xfId="4" applyFill="1" applyAlignment="1">
      <alignment horizontal="center" vertical="center"/>
    </xf>
    <xf numFmtId="0" fontId="1" fillId="0" borderId="0" xfId="4" applyFill="1"/>
    <xf numFmtId="0" fontId="1" fillId="0" borderId="0" xfId="4" applyFill="1" applyAlignment="1">
      <alignment horizontal="right"/>
    </xf>
    <xf numFmtId="166" fontId="1" fillId="0" borderId="4" xfId="4" applyNumberFormat="1" applyFill="1" applyBorder="1"/>
    <xf numFmtId="166" fontId="1" fillId="0" borderId="0" xfId="4" applyNumberFormat="1" applyFill="1" applyBorder="1" applyAlignment="1">
      <alignment horizontal="right"/>
    </xf>
    <xf numFmtId="0" fontId="11" fillId="0" borderId="0" xfId="0" applyFont="1" applyAlignment="1">
      <alignment horizontal="right"/>
    </xf>
    <xf numFmtId="166" fontId="1" fillId="0" borderId="0" xfId="1" applyFont="1" applyFill="1" applyAlignment="1">
      <alignment horizontal="right"/>
    </xf>
    <xf numFmtId="167" fontId="1" fillId="0" borderId="0" xfId="4" applyNumberFormat="1" applyFill="1" applyAlignment="1">
      <alignment horizontal="center" vertical="center"/>
    </xf>
    <xf numFmtId="0" fontId="1" fillId="0" borderId="0" xfId="4" applyFill="1" applyAlignment="1">
      <alignment horizontal="left" vertical="center"/>
    </xf>
    <xf numFmtId="166" fontId="1" fillId="0" borderId="4" xfId="4" applyNumberFormat="1" applyFill="1" applyBorder="1" applyAlignment="1"/>
    <xf numFmtId="166" fontId="0" fillId="0" borderId="4" xfId="1" applyFont="1" applyFill="1" applyBorder="1" applyAlignment="1"/>
    <xf numFmtId="1" fontId="1" fillId="0" borderId="0" xfId="4" applyNumberFormat="1" applyFill="1" applyAlignment="1">
      <alignment horizontal="center"/>
    </xf>
    <xf numFmtId="1" fontId="0" fillId="0" borderId="0" xfId="0" applyNumberFormat="1" applyAlignment="1">
      <alignment horizontal="center"/>
    </xf>
    <xf numFmtId="0" fontId="0" fillId="0" borderId="0" xfId="0" applyAlignment="1">
      <alignment horizontal="center" wrapText="1"/>
    </xf>
    <xf numFmtId="167" fontId="2" fillId="3" borderId="0" xfId="0" applyNumberFormat="1" applyFont="1" applyFill="1" applyAlignment="1">
      <alignment horizontal="center"/>
    </xf>
    <xf numFmtId="167" fontId="0" fillId="4" borderId="1" xfId="0" applyNumberFormat="1" applyFill="1" applyBorder="1" applyAlignment="1">
      <alignment horizontal="center"/>
    </xf>
    <xf numFmtId="167" fontId="3" fillId="0" borderId="5" xfId="0" applyNumberFormat="1" applyFont="1" applyBorder="1" applyAlignment="1">
      <alignment horizontal="center"/>
    </xf>
    <xf numFmtId="167" fontId="6" fillId="0" borderId="6" xfId="0" applyNumberFormat="1" applyFont="1" applyBorder="1" applyAlignment="1">
      <alignment horizontal="center"/>
    </xf>
    <xf numFmtId="167" fontId="14" fillId="0" borderId="5" xfId="0" applyNumberFormat="1" applyFont="1" applyBorder="1" applyAlignment="1">
      <alignment horizontal="center"/>
    </xf>
    <xf numFmtId="167" fontId="3" fillId="0" borderId="0" xfId="0" applyNumberFormat="1" applyFont="1" applyAlignment="1">
      <alignment horizontal="center"/>
    </xf>
    <xf numFmtId="167" fontId="3" fillId="0" borderId="9" xfId="0" applyNumberFormat="1" applyFont="1" applyBorder="1" applyAlignment="1">
      <alignment horizontal="center"/>
    </xf>
    <xf numFmtId="166" fontId="0" fillId="0" borderId="10" xfId="1" applyFont="1" applyBorder="1"/>
    <xf numFmtId="167" fontId="1" fillId="0" borderId="0" xfId="4" applyNumberFormat="1" applyFill="1" applyAlignment="1">
      <alignment horizontal="center"/>
    </xf>
    <xf numFmtId="0" fontId="0" fillId="9" borderId="0" xfId="0" applyFill="1" applyAlignment="1">
      <alignment horizontal="center"/>
    </xf>
    <xf numFmtId="0" fontId="0" fillId="9" borderId="0" xfId="0" applyFill="1" applyAlignment="1">
      <alignment horizontal="center" vertical="center"/>
    </xf>
    <xf numFmtId="0" fontId="15" fillId="0" borderId="0" xfId="0" applyFont="1" applyAlignment="1">
      <alignment horizontal="left" vertical="center"/>
    </xf>
    <xf numFmtId="0" fontId="15" fillId="0" borderId="0" xfId="0" applyFont="1" applyAlignment="1">
      <alignment horizontal="center" vertical="center"/>
    </xf>
    <xf numFmtId="166" fontId="15" fillId="0" borderId="0" xfId="1" applyFont="1" applyAlignment="1">
      <alignment horizontal="right"/>
    </xf>
    <xf numFmtId="0" fontId="15" fillId="0" borderId="0" xfId="0" applyFont="1" applyAlignment="1">
      <alignment horizontal="right"/>
    </xf>
    <xf numFmtId="166" fontId="15" fillId="0" borderId="4" xfId="1" applyFont="1" applyBorder="1" applyAlignment="1"/>
    <xf numFmtId="0" fontId="16" fillId="2" borderId="0" xfId="0" applyFont="1" applyFill="1"/>
    <xf numFmtId="0" fontId="3" fillId="0" borderId="0" xfId="0" applyFont="1" applyAlignment="1">
      <alignment horizontal="center"/>
    </xf>
    <xf numFmtId="0" fontId="11" fillId="0" borderId="0" xfId="0" applyFont="1"/>
    <xf numFmtId="0" fontId="11" fillId="0" borderId="0" xfId="0" applyFont="1" applyAlignment="1">
      <alignment horizontal="center"/>
    </xf>
    <xf numFmtId="0" fontId="11" fillId="0" borderId="0" xfId="0" applyFont="1" applyAlignment="1">
      <alignment horizontal="left" vertical="center"/>
    </xf>
    <xf numFmtId="166" fontId="11" fillId="0" borderId="0" xfId="1" applyFont="1" applyAlignment="1">
      <alignment horizontal="right"/>
    </xf>
    <xf numFmtId="166" fontId="11" fillId="0" borderId="4" xfId="1" applyFont="1" applyBorder="1"/>
    <xf numFmtId="0" fontId="11" fillId="2" borderId="0" xfId="0" applyFont="1" applyFill="1"/>
    <xf numFmtId="167" fontId="11" fillId="0" borderId="0" xfId="0" applyNumberFormat="1" applyFont="1" applyAlignment="1">
      <alignment horizontal="center" vertical="center"/>
    </xf>
    <xf numFmtId="0" fontId="11" fillId="0" borderId="0" xfId="0" applyFont="1" applyAlignment="1">
      <alignment horizontal="center" vertical="center"/>
    </xf>
    <xf numFmtId="166" fontId="11" fillId="0" borderId="0" xfId="1" applyFont="1" applyFill="1" applyAlignment="1">
      <alignment horizontal="right"/>
    </xf>
    <xf numFmtId="166" fontId="11" fillId="0" borderId="4" xfId="1" applyFont="1" applyFill="1" applyBorder="1" applyAlignment="1"/>
    <xf numFmtId="167" fontId="11" fillId="0" borderId="0" xfId="4" applyNumberFormat="1" applyFont="1" applyFill="1" applyAlignment="1">
      <alignment horizontal="center" vertical="center"/>
    </xf>
    <xf numFmtId="0" fontId="11" fillId="0" borderId="0" xfId="4" applyFont="1" applyFill="1" applyAlignment="1">
      <alignment horizontal="left" vertical="center"/>
    </xf>
    <xf numFmtId="0" fontId="11" fillId="0" borderId="0" xfId="4" applyFont="1" applyFill="1" applyAlignment="1">
      <alignment horizontal="center" vertical="center"/>
    </xf>
    <xf numFmtId="166" fontId="11" fillId="0" borderId="0" xfId="4" applyNumberFormat="1" applyFont="1" applyFill="1" applyAlignment="1">
      <alignment horizontal="right"/>
    </xf>
    <xf numFmtId="0" fontId="11" fillId="0" borderId="0" xfId="4" applyFont="1" applyFill="1" applyAlignment="1">
      <alignment horizontal="right"/>
    </xf>
    <xf numFmtId="166" fontId="11" fillId="0" borderId="4" xfId="4" applyNumberFormat="1" applyFont="1" applyFill="1" applyBorder="1" applyAlignment="1"/>
    <xf numFmtId="167" fontId="0" fillId="0" borderId="0" xfId="4" applyNumberFormat="1" applyFont="1" applyFill="1" applyAlignment="1">
      <alignment horizontal="center" vertical="center"/>
    </xf>
    <xf numFmtId="0" fontId="0" fillId="0" borderId="0" xfId="4" applyFont="1" applyFill="1" applyAlignment="1">
      <alignment horizontal="left" vertical="center"/>
    </xf>
    <xf numFmtId="0" fontId="0" fillId="0" borderId="0" xfId="4" applyFont="1" applyFill="1" applyAlignment="1">
      <alignment horizontal="center" vertical="center"/>
    </xf>
    <xf numFmtId="166" fontId="0" fillId="0" borderId="0" xfId="4" applyNumberFormat="1" applyFont="1" applyFill="1" applyAlignment="1">
      <alignment horizontal="right"/>
    </xf>
    <xf numFmtId="0" fontId="0" fillId="0" borderId="0" xfId="4" applyFont="1" applyFill="1" applyAlignment="1">
      <alignment horizontal="right"/>
    </xf>
    <xf numFmtId="166" fontId="0" fillId="0" borderId="4" xfId="4" applyNumberFormat="1" applyFont="1" applyFill="1" applyBorder="1" applyAlignment="1"/>
    <xf numFmtId="167" fontId="0" fillId="0" borderId="0" xfId="0" applyNumberFormat="1" applyAlignment="1">
      <alignment horizontal="center" vertical="center"/>
    </xf>
    <xf numFmtId="0" fontId="11" fillId="0" borderId="0" xfId="4" applyFont="1" applyFill="1" applyAlignment="1">
      <alignment horizontal="center"/>
    </xf>
    <xf numFmtId="0" fontId="11" fillId="0" borderId="0" xfId="4" applyFont="1" applyFill="1"/>
    <xf numFmtId="0" fontId="1" fillId="8" borderId="0" xfId="6" applyAlignment="1">
      <alignment vertical="center"/>
    </xf>
    <xf numFmtId="167" fontId="11" fillId="0" borderId="0" xfId="0" applyNumberFormat="1" applyFont="1" applyAlignment="1">
      <alignment horizontal="center"/>
    </xf>
    <xf numFmtId="164" fontId="11" fillId="0" borderId="0" xfId="1" applyNumberFormat="1" applyFont="1" applyAlignment="1">
      <alignment horizontal="right"/>
    </xf>
    <xf numFmtId="168" fontId="11" fillId="0" borderId="0" xfId="0" applyNumberFormat="1" applyFont="1"/>
    <xf numFmtId="166" fontId="11" fillId="0" borderId="0" xfId="1" applyFont="1"/>
    <xf numFmtId="0" fontId="11" fillId="0" borderId="4" xfId="0" applyFont="1" applyBorder="1"/>
    <xf numFmtId="0" fontId="11" fillId="0" borderId="0" xfId="0" applyFont="1" applyAlignment="1">
      <alignment horizontal="right" vertical="center"/>
    </xf>
    <xf numFmtId="165" fontId="11" fillId="0" borderId="0" xfId="4" applyNumberFormat="1" applyFont="1" applyFill="1" applyAlignment="1">
      <alignment horizontal="right"/>
    </xf>
    <xf numFmtId="166" fontId="11" fillId="0" borderId="4" xfId="4" applyNumberFormat="1" applyFont="1" applyFill="1" applyBorder="1"/>
    <xf numFmtId="0" fontId="10" fillId="0" borderId="0" xfId="0" applyFont="1"/>
    <xf numFmtId="0" fontId="17" fillId="0" borderId="0" xfId="0" applyFont="1" applyAlignment="1">
      <alignment horizontal="right"/>
    </xf>
    <xf numFmtId="0" fontId="10" fillId="0" borderId="0" xfId="0" applyFont="1" applyAlignment="1">
      <alignment horizontal="right" vertical="center"/>
    </xf>
    <xf numFmtId="0" fontId="17" fillId="0" borderId="0" xfId="0" applyFont="1" applyAlignment="1">
      <alignment horizontal="right" vertical="center"/>
    </xf>
    <xf numFmtId="0" fontId="11" fillId="0" borderId="0" xfId="0" applyFont="1" applyAlignment="1">
      <alignment vertical="center"/>
    </xf>
    <xf numFmtId="166" fontId="1" fillId="0" borderId="0" xfId="1" applyFont="1" applyAlignment="1">
      <alignment horizontal="right"/>
    </xf>
    <xf numFmtId="166" fontId="0" fillId="2" borderId="0" xfId="0" applyNumberFormat="1" applyFill="1"/>
    <xf numFmtId="167" fontId="0" fillId="10" borderId="0" xfId="0" applyNumberFormat="1" applyFill="1" applyAlignment="1">
      <alignment horizontal="center"/>
    </xf>
    <xf numFmtId="0" fontId="0" fillId="10" borderId="0" xfId="0" applyFill="1" applyAlignment="1">
      <alignment horizontal="left" vertical="center"/>
    </xf>
    <xf numFmtId="0" fontId="0" fillId="10" borderId="0" xfId="0" applyFill="1" applyAlignment="1">
      <alignment horizontal="center" vertical="center"/>
    </xf>
    <xf numFmtId="166" fontId="0" fillId="10" borderId="0" xfId="1" applyFont="1" applyFill="1" applyAlignment="1">
      <alignment horizontal="right"/>
    </xf>
    <xf numFmtId="0" fontId="0" fillId="10" borderId="0" xfId="0" applyFill="1" applyAlignment="1">
      <alignment horizontal="right"/>
    </xf>
    <xf numFmtId="166" fontId="0" fillId="10" borderId="4" xfId="1" applyFont="1" applyFill="1" applyBorder="1"/>
    <xf numFmtId="0" fontId="0" fillId="10" borderId="0" xfId="0" applyFill="1" applyAlignment="1">
      <alignment horizontal="left"/>
    </xf>
    <xf numFmtId="0" fontId="0" fillId="10" borderId="0" xfId="0" applyFill="1" applyAlignment="1">
      <alignment horizontal="center"/>
    </xf>
    <xf numFmtId="0" fontId="0" fillId="10" borderId="0" xfId="0" applyFill="1"/>
    <xf numFmtId="0" fontId="12" fillId="0" borderId="0" xfId="0" applyFont="1" applyAlignment="1">
      <alignment horizontal="center" vertical="center"/>
    </xf>
    <xf numFmtId="0" fontId="12" fillId="11" borderId="0" xfId="0" applyFont="1" applyFill="1" applyAlignment="1">
      <alignment horizontal="center" vertical="center"/>
    </xf>
    <xf numFmtId="0" fontId="14" fillId="0" borderId="0" xfId="0" applyFont="1"/>
    <xf numFmtId="0" fontId="12" fillId="0" borderId="0" xfId="0" applyFont="1"/>
    <xf numFmtId="0" fontId="12" fillId="0" borderId="0" xfId="0" applyFont="1" applyAlignment="1">
      <alignment horizontal="center"/>
    </xf>
    <xf numFmtId="0" fontId="14" fillId="0" borderId="5" xfId="0" applyFont="1" applyBorder="1" applyAlignment="1">
      <alignment horizontal="center"/>
    </xf>
    <xf numFmtId="0" fontId="18" fillId="0" borderId="0" xfId="0" applyFont="1" applyAlignment="1">
      <alignment horizontal="right"/>
    </xf>
    <xf numFmtId="0" fontId="12" fillId="0" borderId="0" xfId="0" applyFont="1" applyAlignment="1">
      <alignment horizontal="right"/>
    </xf>
    <xf numFmtId="0" fontId="12" fillId="11" borderId="0" xfId="0" applyFont="1" applyFill="1" applyAlignment="1">
      <alignment horizontal="center"/>
    </xf>
    <xf numFmtId="0" fontId="1" fillId="7" borderId="0" xfId="4" applyAlignment="1">
      <alignment horizontal="center"/>
    </xf>
    <xf numFmtId="0" fontId="1" fillId="7" borderId="0" xfId="4" applyAlignment="1">
      <alignment vertical="center"/>
    </xf>
    <xf numFmtId="0" fontId="1" fillId="7" borderId="0" xfId="4" applyAlignment="1">
      <alignment horizontal="left" vertical="center"/>
    </xf>
    <xf numFmtId="166" fontId="1" fillId="7" borderId="0" xfId="4" applyNumberFormat="1" applyAlignment="1">
      <alignment horizontal="right"/>
    </xf>
    <xf numFmtId="0" fontId="1" fillId="7" borderId="0" xfId="4" applyAlignment="1">
      <alignment horizontal="right"/>
    </xf>
    <xf numFmtId="166" fontId="1" fillId="7" borderId="4" xfId="4" applyNumberFormat="1" applyBorder="1"/>
    <xf numFmtId="166" fontId="5" fillId="3" borderId="2" xfId="1" applyFont="1" applyFill="1" applyBorder="1" applyAlignment="1">
      <alignment horizontal="center"/>
    </xf>
    <xf numFmtId="0" fontId="11" fillId="10" borderId="0" xfId="0" applyFont="1" applyFill="1" applyAlignment="1">
      <alignment horizontal="center"/>
    </xf>
    <xf numFmtId="0" fontId="11" fillId="10" borderId="0" xfId="0" applyFont="1" applyFill="1" applyAlignment="1">
      <alignment vertical="center"/>
    </xf>
    <xf numFmtId="0" fontId="11" fillId="10" borderId="0" xfId="0" applyFont="1" applyFill="1" applyAlignment="1">
      <alignment horizontal="left" vertical="center"/>
    </xf>
    <xf numFmtId="166" fontId="11" fillId="10" borderId="0" xfId="1" applyFont="1" applyFill="1" applyAlignment="1">
      <alignment horizontal="right"/>
    </xf>
    <xf numFmtId="0" fontId="11" fillId="10" borderId="0" xfId="0" applyFont="1" applyFill="1" applyAlignment="1">
      <alignment horizontal="right"/>
    </xf>
    <xf numFmtId="166" fontId="11" fillId="10" borderId="4" xfId="1" applyFont="1" applyFill="1" applyBorder="1"/>
    <xf numFmtId="166" fontId="5" fillId="3" borderId="13" xfId="1" applyFont="1" applyFill="1" applyBorder="1" applyAlignment="1">
      <alignment horizontal="center" vertical="center"/>
    </xf>
    <xf numFmtId="166" fontId="5" fillId="3" borderId="11" xfId="1" applyFont="1" applyFill="1" applyBorder="1" applyAlignment="1">
      <alignment horizontal="center" vertical="center"/>
    </xf>
    <xf numFmtId="166" fontId="5" fillId="3" borderId="3" xfId="1" applyFont="1" applyFill="1" applyBorder="1" applyAlignment="1">
      <alignment horizontal="center" vertical="center"/>
    </xf>
    <xf numFmtId="0" fontId="4" fillId="0" borderId="0" xfId="0" applyFont="1" applyAlignment="1">
      <alignment horizontal="center" vertical="center" wrapText="1"/>
    </xf>
    <xf numFmtId="0" fontId="3" fillId="0" borderId="0" xfId="0" applyFont="1" applyAlignment="1">
      <alignment horizontal="left"/>
    </xf>
    <xf numFmtId="0" fontId="3" fillId="0" borderId="4" xfId="0" applyFont="1" applyBorder="1" applyAlignment="1">
      <alignment horizontal="left"/>
    </xf>
    <xf numFmtId="0" fontId="3" fillId="0" borderId="0" xfId="0" applyFont="1" applyAlignment="1">
      <alignment horizontal="center"/>
    </xf>
    <xf numFmtId="0" fontId="3" fillId="0" borderId="4" xfId="0" applyFont="1" applyBorder="1" applyAlignment="1">
      <alignment horizontal="center"/>
    </xf>
    <xf numFmtId="0" fontId="3" fillId="0" borderId="11" xfId="0" applyFont="1" applyBorder="1" applyAlignment="1">
      <alignment horizontal="left"/>
    </xf>
    <xf numFmtId="0" fontId="3" fillId="0" borderId="3" xfId="0" applyFont="1" applyBorder="1" applyAlignment="1">
      <alignment horizontal="left"/>
    </xf>
    <xf numFmtId="0" fontId="4" fillId="0" borderId="0" xfId="0" applyFont="1" applyAlignment="1">
      <alignment horizontal="center" vertical="center"/>
    </xf>
    <xf numFmtId="0" fontId="7" fillId="0" borderId="0" xfId="2" applyAlignment="1"/>
    <xf numFmtId="0" fontId="0" fillId="2" borderId="0" xfId="0" applyFill="1" applyAlignment="1">
      <alignment horizontal="center"/>
    </xf>
  </cellXfs>
  <cellStyles count="7">
    <cellStyle name="20% - Accent3" xfId="4" builtinId="38"/>
    <cellStyle name="40% - Accent3" xfId="6" builtinId="39"/>
    <cellStyle name="Currency" xfId="1" builtinId="4"/>
    <cellStyle name="Normal" xfId="0" builtinId="0"/>
    <cellStyle name="Normal 2" xfId="2" xr:uid="{9FBDA749-80C7-4935-8371-B4D8ABD6F42A}"/>
    <cellStyle name="Normal 3 2" xfId="3" xr:uid="{ADC37AE4-1317-460D-9181-5ACB6E3568DB}"/>
    <cellStyle name="Percent" xfId="5" builtinId="5"/>
  </cellStyles>
  <dxfs count="142">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s>
  <tableStyles count="0" defaultTableStyle="TableStyleMedium2" defaultPivotStyle="PivotStyleMedium9"/>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a:t>ED Team Expenses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'Overall Summary'!$O$5:$O$21</c:f>
              <c:strCache>
                <c:ptCount val="17"/>
                <c:pt idx="0">
                  <c:v>President</c:v>
                </c:pt>
                <c:pt idx="1">
                  <c:v>Vice President (Operations)</c:v>
                </c:pt>
                <c:pt idx="2">
                  <c:v>Vice President (Student Affairs)</c:v>
                </c:pt>
                <c:pt idx="3">
                  <c:v>Academics</c:v>
                </c:pt>
                <c:pt idx="4">
                  <c:v>Communications</c:v>
                </c:pt>
                <c:pt idx="5">
                  <c:v>Clubs and Conferences</c:v>
                </c:pt>
                <c:pt idx="6">
                  <c:v>Design</c:v>
                </c:pt>
                <c:pt idx="7">
                  <c:v>Internal Processes</c:v>
                </c:pt>
                <c:pt idx="8">
                  <c:v>External Relations</c:v>
                </c:pt>
                <c:pt idx="9">
                  <c:v>Finance</c:v>
                </c:pt>
                <c:pt idx="10">
                  <c:v>First Year</c:v>
                </c:pt>
                <c:pt idx="11">
                  <c:v>Human Resources</c:v>
                </c:pt>
                <c:pt idx="12">
                  <c:v>Governance</c:v>
                </c:pt>
                <c:pt idx="13">
                  <c:v>Information Technology</c:v>
                </c:pt>
                <c:pt idx="14">
                  <c:v>Professional Development</c:v>
                </c:pt>
                <c:pt idx="15">
                  <c:v>Services</c:v>
                </c:pt>
                <c:pt idx="16">
                  <c:v>Social Issues</c:v>
                </c:pt>
              </c:strCache>
            </c:strRef>
          </c:cat>
          <c:val>
            <c:numRef>
              <c:f>'Overall Summary'!$P$5:$P$21</c:f>
              <c:numCache>
                <c:formatCode>_-"$"* #,##0.00_-;\-"$"* #,##0.00_-;_-"$"* "-"??_-;_-@_-</c:formatCode>
                <c:ptCount val="17"/>
                <c:pt idx="0">
                  <c:v>11749.513999999999</c:v>
                </c:pt>
                <c:pt idx="1">
                  <c:v>0</c:v>
                </c:pt>
                <c:pt idx="2">
                  <c:v>2146.6835999999998</c:v>
                </c:pt>
                <c:pt idx="3">
                  <c:v>1646.6359999999995</c:v>
                </c:pt>
                <c:pt idx="4">
                  <c:v>7152.9766</c:v>
                </c:pt>
                <c:pt idx="5">
                  <c:v>6570.95</c:v>
                </c:pt>
                <c:pt idx="6">
                  <c:v>6031.5784000000003</c:v>
                </c:pt>
                <c:pt idx="7">
                  <c:v>169.5</c:v>
                </c:pt>
                <c:pt idx="8">
                  <c:v>1420.9749999999999</c:v>
                </c:pt>
                <c:pt idx="9">
                  <c:v>5952.7947999999997</c:v>
                </c:pt>
                <c:pt idx="10">
                  <c:v>2012.5300000000002</c:v>
                </c:pt>
                <c:pt idx="11">
                  <c:v>1301.2628</c:v>
                </c:pt>
                <c:pt idx="12">
                  <c:v>1864.5</c:v>
                </c:pt>
                <c:pt idx="13">
                  <c:v>19420.6885</c:v>
                </c:pt>
                <c:pt idx="14">
                  <c:v>-231.65000000000055</c:v>
                </c:pt>
                <c:pt idx="15">
                  <c:v>0</c:v>
                </c:pt>
                <c:pt idx="16">
                  <c:v>9149.61</c:v>
                </c:pt>
              </c:numCache>
            </c:numRef>
          </c:val>
          <c:extLst>
            <c:ext xmlns:c16="http://schemas.microsoft.com/office/drawing/2014/chart" uri="{C3380CC4-5D6E-409C-BE32-E72D297353CC}">
              <c16:uniqueId val="{00000000-1653-4C3E-935C-80D6557C2D31}"/>
            </c:ext>
          </c:extLst>
        </c:ser>
        <c:dLbls>
          <c:showLegendKey val="0"/>
          <c:showVal val="0"/>
          <c:showCatName val="0"/>
          <c:showSerName val="0"/>
          <c:showPercent val="0"/>
          <c:showBubbleSize val="0"/>
        </c:dLbls>
        <c:gapWidth val="219"/>
        <c:overlap val="-27"/>
        <c:axId val="1796358416"/>
        <c:axId val="1707444832"/>
      </c:barChart>
      <c:catAx>
        <c:axId val="1796358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07444832"/>
        <c:crosses val="autoZero"/>
        <c:auto val="1"/>
        <c:lblAlgn val="ctr"/>
        <c:lblOffset val="100"/>
        <c:noMultiLvlLbl val="0"/>
      </c:catAx>
      <c:valAx>
        <c:axId val="1707444832"/>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quot;$&quot;* #,##0.00_-;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963584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1762124</xdr:colOff>
      <xdr:row>0</xdr:row>
      <xdr:rowOff>1857374</xdr:rowOff>
    </xdr:to>
    <xdr:pic>
      <xdr:nvPicPr>
        <xdr:cNvPr id="2" name="Picture 1">
          <a:extLst>
            <a:ext uri="{FF2B5EF4-FFF2-40B4-BE49-F238E27FC236}">
              <a16:creationId xmlns:a16="http://schemas.microsoft.com/office/drawing/2014/main" id="{D4EB1970-A59B-443E-B6AC-61F3DF28DD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819274" cy="1857374"/>
        </a:xfrm>
        <a:prstGeom prst="rect">
          <a:avLst/>
        </a:prstGeom>
      </xdr:spPr>
    </xdr:pic>
    <xdr:clientData/>
  </xdr:twoCellAnchor>
  <xdr:twoCellAnchor>
    <xdr:from>
      <xdr:col>11</xdr:col>
      <xdr:colOff>240959</xdr:colOff>
      <xdr:row>26</xdr:row>
      <xdr:rowOff>169973</xdr:rowOff>
    </xdr:from>
    <xdr:to>
      <xdr:col>16</xdr:col>
      <xdr:colOff>707570</xdr:colOff>
      <xdr:row>48</xdr:row>
      <xdr:rowOff>149678</xdr:rowOff>
    </xdr:to>
    <xdr:graphicFrame macro="">
      <xdr:nvGraphicFramePr>
        <xdr:cNvPr id="23" name="Chart 3">
          <a:extLst>
            <a:ext uri="{FF2B5EF4-FFF2-40B4-BE49-F238E27FC236}">
              <a16:creationId xmlns:a16="http://schemas.microsoft.com/office/drawing/2014/main" id="{1E7CB466-2BEB-43B5-BF02-9B4837EF085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13882</xdr:colOff>
      <xdr:row>0</xdr:row>
      <xdr:rowOff>1857374</xdr:rowOff>
    </xdr:to>
    <xdr:pic>
      <xdr:nvPicPr>
        <xdr:cNvPr id="2" name="Picture 1">
          <a:extLst>
            <a:ext uri="{FF2B5EF4-FFF2-40B4-BE49-F238E27FC236}">
              <a16:creationId xmlns:a16="http://schemas.microsoft.com/office/drawing/2014/main" id="{3C52FC5D-7539-4594-A401-71012C7B433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817282" cy="185737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262901</xdr:colOff>
      <xdr:row>0</xdr:row>
      <xdr:rowOff>1857374</xdr:rowOff>
    </xdr:to>
    <xdr:pic>
      <xdr:nvPicPr>
        <xdr:cNvPr id="2" name="Picture 1">
          <a:extLst>
            <a:ext uri="{FF2B5EF4-FFF2-40B4-BE49-F238E27FC236}">
              <a16:creationId xmlns:a16="http://schemas.microsoft.com/office/drawing/2014/main" id="{EC58ED2E-F7E1-4EAF-B864-D074BF1DBE7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824130" cy="185737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1819274</xdr:colOff>
      <xdr:row>0</xdr:row>
      <xdr:rowOff>1857374</xdr:rowOff>
    </xdr:to>
    <xdr:pic>
      <xdr:nvPicPr>
        <xdr:cNvPr id="2" name="Picture 1">
          <a:extLst>
            <a:ext uri="{FF2B5EF4-FFF2-40B4-BE49-F238E27FC236}">
              <a16:creationId xmlns:a16="http://schemas.microsoft.com/office/drawing/2014/main" id="{CB3EECA7-BAD7-405E-BC29-DF7D31E4562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819274" cy="1857374"/>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1819274</xdr:colOff>
      <xdr:row>0</xdr:row>
      <xdr:rowOff>1857374</xdr:rowOff>
    </xdr:to>
    <xdr:pic>
      <xdr:nvPicPr>
        <xdr:cNvPr id="2" name="Picture 1">
          <a:extLst>
            <a:ext uri="{FF2B5EF4-FFF2-40B4-BE49-F238E27FC236}">
              <a16:creationId xmlns:a16="http://schemas.microsoft.com/office/drawing/2014/main" id="{261B3F77-EEA2-4DCD-B377-F758B91D369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819274" cy="1857374"/>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oneCellAnchor>
    <xdr:from>
      <xdr:col>0</xdr:col>
      <xdr:colOff>0</xdr:colOff>
      <xdr:row>0</xdr:row>
      <xdr:rowOff>0</xdr:rowOff>
    </xdr:from>
    <xdr:ext cx="1819274" cy="1857374"/>
    <xdr:pic>
      <xdr:nvPicPr>
        <xdr:cNvPr id="2" name="Picture 1">
          <a:extLst>
            <a:ext uri="{FF2B5EF4-FFF2-40B4-BE49-F238E27FC236}">
              <a16:creationId xmlns:a16="http://schemas.microsoft.com/office/drawing/2014/main" id="{D4388ADC-9CF8-4AC6-8641-A2DD61B6D61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819274" cy="1857374"/>
        </a:xfrm>
        <a:prstGeom prst="rect">
          <a:avLst/>
        </a:prstGeom>
      </xdr:spPr>
    </xdr:pic>
    <xdr:clientData/>
  </xdr:one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1490133</xdr:colOff>
      <xdr:row>0</xdr:row>
      <xdr:rowOff>1857374</xdr:rowOff>
    </xdr:to>
    <xdr:pic>
      <xdr:nvPicPr>
        <xdr:cNvPr id="2" name="Picture 1">
          <a:extLst>
            <a:ext uri="{FF2B5EF4-FFF2-40B4-BE49-F238E27FC236}">
              <a16:creationId xmlns:a16="http://schemas.microsoft.com/office/drawing/2014/main" id="{2DD4675C-8441-484D-8BD6-C9274F4ECF1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490133" cy="1857374"/>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1819274</xdr:colOff>
      <xdr:row>0</xdr:row>
      <xdr:rowOff>1857374</xdr:rowOff>
    </xdr:to>
    <xdr:pic>
      <xdr:nvPicPr>
        <xdr:cNvPr id="2" name="Picture 1">
          <a:extLst>
            <a:ext uri="{FF2B5EF4-FFF2-40B4-BE49-F238E27FC236}">
              <a16:creationId xmlns:a16="http://schemas.microsoft.com/office/drawing/2014/main" id="{E3674B23-BE97-492D-B15C-A14B0B5A72F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819274" cy="1857374"/>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1819274</xdr:colOff>
      <xdr:row>0</xdr:row>
      <xdr:rowOff>1857374</xdr:rowOff>
    </xdr:to>
    <xdr:pic>
      <xdr:nvPicPr>
        <xdr:cNvPr id="2" name="Picture 1">
          <a:extLst>
            <a:ext uri="{FF2B5EF4-FFF2-40B4-BE49-F238E27FC236}">
              <a16:creationId xmlns:a16="http://schemas.microsoft.com/office/drawing/2014/main" id="{EF056EB6-A152-4380-A1BB-58D291F601C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819274" cy="1857374"/>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1819274</xdr:colOff>
      <xdr:row>0</xdr:row>
      <xdr:rowOff>1850447</xdr:rowOff>
    </xdr:to>
    <xdr:pic>
      <xdr:nvPicPr>
        <xdr:cNvPr id="2" name="Picture 1">
          <a:extLst>
            <a:ext uri="{FF2B5EF4-FFF2-40B4-BE49-F238E27FC236}">
              <a16:creationId xmlns:a16="http://schemas.microsoft.com/office/drawing/2014/main" id="{36623D13-1721-4DBD-9E2B-E889238E0D6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819274" cy="18573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822449" cy="1860549"/>
    <xdr:pic>
      <xdr:nvPicPr>
        <xdr:cNvPr id="2" name="Picture 1">
          <a:extLst>
            <a:ext uri="{FF2B5EF4-FFF2-40B4-BE49-F238E27FC236}">
              <a16:creationId xmlns:a16="http://schemas.microsoft.com/office/drawing/2014/main" id="{A57D1CB8-CC1A-42AB-BC55-6C85CB0C007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822449" cy="1860549"/>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1819274</xdr:colOff>
      <xdr:row>0</xdr:row>
      <xdr:rowOff>1857374</xdr:rowOff>
    </xdr:to>
    <xdr:pic>
      <xdr:nvPicPr>
        <xdr:cNvPr id="2" name="Picture 1">
          <a:extLst>
            <a:ext uri="{FF2B5EF4-FFF2-40B4-BE49-F238E27FC236}">
              <a16:creationId xmlns:a16="http://schemas.microsoft.com/office/drawing/2014/main" id="{AEF8CE8D-AF4F-48C1-B608-D920EAAF69E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819274" cy="185737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1822449</xdr:colOff>
      <xdr:row>0</xdr:row>
      <xdr:rowOff>1860549</xdr:rowOff>
    </xdr:to>
    <xdr:pic>
      <xdr:nvPicPr>
        <xdr:cNvPr id="2" name="Picture 1">
          <a:extLst>
            <a:ext uri="{FF2B5EF4-FFF2-40B4-BE49-F238E27FC236}">
              <a16:creationId xmlns:a16="http://schemas.microsoft.com/office/drawing/2014/main" id="{0BF69106-885F-411C-B1B4-3B8F099B843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822449" cy="186054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191365</xdr:colOff>
      <xdr:row>0</xdr:row>
      <xdr:rowOff>1857374</xdr:rowOff>
    </xdr:to>
    <xdr:pic>
      <xdr:nvPicPr>
        <xdr:cNvPr id="2" name="Picture 1">
          <a:extLst>
            <a:ext uri="{FF2B5EF4-FFF2-40B4-BE49-F238E27FC236}">
              <a16:creationId xmlns:a16="http://schemas.microsoft.com/office/drawing/2014/main" id="{A30B27D2-4992-4C18-A881-EBDFD7ECFD6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819274" cy="185737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1819274</xdr:colOff>
      <xdr:row>0</xdr:row>
      <xdr:rowOff>1857374</xdr:rowOff>
    </xdr:to>
    <xdr:pic>
      <xdr:nvPicPr>
        <xdr:cNvPr id="2" name="Picture 1">
          <a:extLst>
            <a:ext uri="{FF2B5EF4-FFF2-40B4-BE49-F238E27FC236}">
              <a16:creationId xmlns:a16="http://schemas.microsoft.com/office/drawing/2014/main" id="{2F9F7DBF-D90C-452F-B3A2-0723711C0BB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819274" cy="185737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1819274</xdr:colOff>
      <xdr:row>0</xdr:row>
      <xdr:rowOff>1857374</xdr:rowOff>
    </xdr:to>
    <xdr:pic>
      <xdr:nvPicPr>
        <xdr:cNvPr id="2" name="Picture 1">
          <a:extLst>
            <a:ext uri="{FF2B5EF4-FFF2-40B4-BE49-F238E27FC236}">
              <a16:creationId xmlns:a16="http://schemas.microsoft.com/office/drawing/2014/main" id="{6A842A0E-B2C7-45D1-BBB9-B4C51501FD7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819274" cy="185737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2548</xdr:colOff>
      <xdr:row>0</xdr:row>
      <xdr:rowOff>1857374</xdr:rowOff>
    </xdr:to>
    <xdr:pic>
      <xdr:nvPicPr>
        <xdr:cNvPr id="2" name="Picture 1">
          <a:extLst>
            <a:ext uri="{FF2B5EF4-FFF2-40B4-BE49-F238E27FC236}">
              <a16:creationId xmlns:a16="http://schemas.microsoft.com/office/drawing/2014/main" id="{34CF969C-0369-4F1A-927E-633D3BEF76A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819274" cy="185737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1809749</xdr:colOff>
      <xdr:row>0</xdr:row>
      <xdr:rowOff>1847849</xdr:rowOff>
    </xdr:to>
    <xdr:pic>
      <xdr:nvPicPr>
        <xdr:cNvPr id="2" name="Picture 1">
          <a:extLst>
            <a:ext uri="{FF2B5EF4-FFF2-40B4-BE49-F238E27FC236}">
              <a16:creationId xmlns:a16="http://schemas.microsoft.com/office/drawing/2014/main" id="{561DC97B-5AD0-481B-89C2-DF4C54A7A5B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809749" cy="184784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Nick Arnot" id="{83F5A0EA-C72A-40BC-983E-597B1EBFF665}" userId="Nick Arnot"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17" dT="2020-07-23T15:25:17.71" personId="{83F5A0EA-C72A-40BC-983E-597B1EBFF665}" id="{7328860E-E086-4E4C-8910-4524E9D3BD7B}">
    <text>18% gratuity included</text>
  </threadedComment>
  <threadedComment ref="G22" dT="2020-07-22T21:52:32.04" personId="{83F5A0EA-C72A-40BC-983E-597B1EBFF665}" id="{61D639E0-8695-4A00-9C0B-49986671DF99}">
    <text>(15 attendants + DoA + CC) * 2 slices/person * 2 caucuses</text>
  </threadedComment>
  <threadedComment ref="G23" dT="2020-07-23T15:52:09.82" personId="{83F5A0EA-C72A-40BC-983E-597B1EBFF665}" id="{D7AF85AD-8282-46AF-B040-4AB788E28DF6}">
    <text>10 if ChemEngChem has 1 rep for both chems</text>
  </threadedComment>
  <threadedComment ref="G27" dT="2020-07-22T03:55:54.49" personId="{83F5A0EA-C72A-40BC-983E-597B1EBFF665}" id="{584DFCFE-B921-494C-A55F-1E4CC5E9F097}">
    <text>(2 * 5 EL managers) + 2 FYPCOs + 2 DoAs</text>
  </threadedComment>
  <threadedComment ref="I27" dT="2020-07-22T20:51:06.24" personId="{83F5A0EA-C72A-40BC-983E-597B1EBFF665}" id="{15A6FEB0-A3E5-4036-9253-D8A622B6054F}">
    <text>18% gratuity included</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134209-4841-42D2-ACA8-01BDAA681023}">
  <sheetPr codeName="Sheet3"/>
  <dimension ref="A1:W71"/>
  <sheetViews>
    <sheetView showGridLines="0" topLeftCell="F1" zoomScale="71" zoomScaleNormal="70" workbookViewId="0">
      <pane ySplit="2" topLeftCell="A21" activePane="bottomLeft" state="frozen"/>
      <selection activeCell="E17" sqref="E17"/>
      <selection pane="bottomLeft" activeCell="A57" sqref="A57:K57"/>
    </sheetView>
  </sheetViews>
  <sheetFormatPr baseColWidth="10" defaultColWidth="10.33203125" defaultRowHeight="15" x14ac:dyDescent="0.2"/>
  <cols>
    <col min="1" max="1" width="26.5" style="103" customWidth="1"/>
    <col min="2" max="2" width="24" style="104" customWidth="1"/>
    <col min="3" max="3" width="49" style="100" customWidth="1"/>
    <col min="4" max="4" width="2.83203125" style="104" customWidth="1"/>
    <col min="5" max="5" width="120.83203125" style="103" customWidth="1"/>
    <col min="6" max="6" width="16.33203125" style="46" customWidth="1"/>
    <col min="7" max="7" width="16.33203125" style="47" customWidth="1"/>
    <col min="8" max="8" width="20.5" style="46" customWidth="1"/>
    <col min="9" max="9" width="19.5" style="46" customWidth="1"/>
    <col min="10" max="10" width="22" style="46" customWidth="1"/>
    <col min="11" max="11" width="22.33203125" style="54" customWidth="1"/>
    <col min="12" max="12" width="3.5" style="2" customWidth="1"/>
    <col min="13" max="13" width="21" style="2" customWidth="1"/>
    <col min="14" max="14" width="17.5" style="2" customWidth="1"/>
    <col min="15" max="15" width="30" style="2" customWidth="1"/>
    <col min="16" max="16" width="16.5" style="2" customWidth="1"/>
    <col min="17" max="19" width="10.33203125" style="2"/>
    <col min="20" max="20" width="6.1640625" style="2" customWidth="1"/>
    <col min="21" max="21" width="10.33203125" style="2"/>
    <col min="22" max="22" width="12.33203125" style="2" bestFit="1" customWidth="1"/>
    <col min="23" max="23" width="13.83203125" customWidth="1"/>
    <col min="24" max="16384" width="10.33203125" style="2"/>
  </cols>
  <sheetData>
    <row r="1" spans="1:23" ht="192.75" customHeight="1" x14ac:dyDescent="0.2">
      <c r="A1" s="67"/>
      <c r="B1" s="242" t="s">
        <v>0</v>
      </c>
      <c r="C1" s="242"/>
      <c r="D1" s="242"/>
      <c r="E1" s="242"/>
      <c r="F1" s="242"/>
      <c r="G1" s="242"/>
      <c r="H1" s="242"/>
      <c r="I1" s="242"/>
      <c r="J1" s="242"/>
      <c r="K1" s="242"/>
    </row>
    <row r="2" spans="1:23" s="91" customFormat="1" ht="15" customHeight="1" x14ac:dyDescent="0.2">
      <c r="A2" s="60" t="s">
        <v>1</v>
      </c>
      <c r="B2" s="60" t="s">
        <v>2</v>
      </c>
      <c r="C2" s="86" t="s">
        <v>3</v>
      </c>
      <c r="D2" s="60"/>
      <c r="E2" s="60" t="s">
        <v>4</v>
      </c>
      <c r="F2" s="89" t="s">
        <v>5</v>
      </c>
      <c r="G2" s="60" t="s">
        <v>6</v>
      </c>
      <c r="H2" s="89" t="s">
        <v>7</v>
      </c>
      <c r="I2" s="89" t="s">
        <v>8</v>
      </c>
      <c r="J2" s="89" t="s">
        <v>9</v>
      </c>
      <c r="K2" s="105" t="s">
        <v>10</v>
      </c>
      <c r="M2" s="239" t="s">
        <v>11</v>
      </c>
      <c r="N2" s="240"/>
      <c r="O2" s="240"/>
      <c r="P2" s="241"/>
      <c r="W2"/>
    </row>
    <row r="3" spans="1:23" ht="14.25" customHeight="1" x14ac:dyDescent="0.2">
      <c r="A3" s="67"/>
      <c r="B3" s="48"/>
      <c r="C3" s="80"/>
      <c r="D3" s="48"/>
      <c r="E3" s="67"/>
      <c r="F3" s="8"/>
      <c r="G3" s="9"/>
      <c r="H3" s="8"/>
      <c r="I3" s="8"/>
      <c r="J3" s="8"/>
      <c r="K3" s="10"/>
      <c r="M3" s="113"/>
      <c r="P3" s="114"/>
    </row>
    <row r="4" spans="1:23" ht="15" customHeight="1" x14ac:dyDescent="0.2">
      <c r="A4" s="92" t="s">
        <v>12</v>
      </c>
      <c r="B4" s="61"/>
      <c r="C4" s="81"/>
      <c r="D4" s="61"/>
      <c r="E4" s="69"/>
      <c r="F4" s="14"/>
      <c r="G4" s="15"/>
      <c r="H4" s="14"/>
      <c r="I4" s="14"/>
      <c r="J4" s="14"/>
      <c r="K4" s="16"/>
      <c r="M4" s="118" t="s">
        <v>13</v>
      </c>
      <c r="N4" s="94" t="s">
        <v>14</v>
      </c>
      <c r="O4" s="94" t="s">
        <v>1</v>
      </c>
      <c r="P4" s="119" t="s">
        <v>15</v>
      </c>
    </row>
    <row r="5" spans="1:23" x14ac:dyDescent="0.2">
      <c r="A5" s="247" t="s">
        <v>16</v>
      </c>
      <c r="B5" s="247"/>
      <c r="C5" s="247"/>
      <c r="D5" s="247"/>
      <c r="E5" s="247"/>
      <c r="F5" s="247"/>
      <c r="G5" s="247"/>
      <c r="H5" s="247"/>
      <c r="I5" s="247"/>
      <c r="J5" s="247"/>
      <c r="K5" s="248"/>
      <c r="M5" s="120">
        <f>RANK(N5,$N$5:$N$21)</f>
        <v>2</v>
      </c>
      <c r="N5" s="121">
        <f t="shared" ref="N5:N21" si="0">P5/$I$36</f>
        <v>0.15387293297426258</v>
      </c>
      <c r="O5" s="2" t="s">
        <v>17</v>
      </c>
      <c r="P5" s="115">
        <f>I18</f>
        <v>11749.513999999999</v>
      </c>
    </row>
    <row r="6" spans="1:23" ht="16" x14ac:dyDescent="0.2">
      <c r="A6" s="67"/>
      <c r="B6" s="48">
        <v>0</v>
      </c>
      <c r="C6" s="80" t="s">
        <v>18</v>
      </c>
      <c r="D6" s="48"/>
      <c r="E6" s="67" t="s">
        <v>19</v>
      </c>
      <c r="F6" s="8">
        <v>81.760000000000005</v>
      </c>
      <c r="G6" s="9">
        <v>3300</v>
      </c>
      <c r="H6" s="8">
        <f>F6*G6*0.8</f>
        <v>215846.40000000002</v>
      </c>
      <c r="I6" s="8">
        <f t="shared" ref="I6:I10" si="1">H6</f>
        <v>215846.40000000002</v>
      </c>
      <c r="J6" s="8"/>
      <c r="K6" s="19"/>
      <c r="M6" s="120">
        <f t="shared" ref="M6:M21" si="2">RANK(N6,$N$5:$N$21)</f>
        <v>15</v>
      </c>
      <c r="N6" s="121">
        <f t="shared" si="0"/>
        <v>0</v>
      </c>
      <c r="O6" s="2" t="s">
        <v>20</v>
      </c>
      <c r="P6" s="115">
        <f t="shared" ref="P6:P21" si="3">I19</f>
        <v>0</v>
      </c>
    </row>
    <row r="7" spans="1:23" ht="16" x14ac:dyDescent="0.2">
      <c r="A7" s="67"/>
      <c r="B7" s="48">
        <v>1</v>
      </c>
      <c r="C7" s="80" t="s">
        <v>21</v>
      </c>
      <c r="D7" s="48"/>
      <c r="E7" s="67" t="s">
        <v>22</v>
      </c>
      <c r="F7" s="8">
        <f>36251.52+50000</f>
        <v>86251.51999999999</v>
      </c>
      <c r="G7" s="9">
        <v>1</v>
      </c>
      <c r="H7" s="8">
        <f>F7*G7</f>
        <v>86251.51999999999</v>
      </c>
      <c r="I7" s="8">
        <f t="shared" si="1"/>
        <v>86251.51999999999</v>
      </c>
      <c r="J7" s="8"/>
      <c r="K7" s="19"/>
      <c r="M7" s="120">
        <f t="shared" si="2"/>
        <v>8</v>
      </c>
      <c r="N7" s="121">
        <f t="shared" si="0"/>
        <v>2.8113205507883026E-2</v>
      </c>
      <c r="O7" s="2" t="s">
        <v>23</v>
      </c>
      <c r="P7" s="115">
        <f t="shared" si="3"/>
        <v>2146.6835999999998</v>
      </c>
    </row>
    <row r="8" spans="1:23" ht="16" x14ac:dyDescent="0.2">
      <c r="A8" s="67"/>
      <c r="B8" s="48">
        <v>2</v>
      </c>
      <c r="C8" s="80" t="s">
        <v>24</v>
      </c>
      <c r="D8" s="48"/>
      <c r="E8" s="67" t="s">
        <v>25</v>
      </c>
      <c r="F8" s="8">
        <v>3247.22</v>
      </c>
      <c r="G8" s="9">
        <v>12</v>
      </c>
      <c r="H8" s="8">
        <f>F8*G8</f>
        <v>38966.639999999999</v>
      </c>
      <c r="I8" s="8">
        <f t="shared" si="1"/>
        <v>38966.639999999999</v>
      </c>
      <c r="J8" s="8"/>
      <c r="K8" s="19"/>
      <c r="M8" s="120">
        <f t="shared" si="2"/>
        <v>11</v>
      </c>
      <c r="N8" s="121">
        <f t="shared" si="0"/>
        <v>2.1564526912432956E-2</v>
      </c>
      <c r="O8" s="2" t="s">
        <v>26</v>
      </c>
      <c r="P8" s="115">
        <f t="shared" si="3"/>
        <v>1646.6359999999995</v>
      </c>
    </row>
    <row r="9" spans="1:23" ht="16" x14ac:dyDescent="0.2">
      <c r="A9" s="67"/>
      <c r="B9" s="48">
        <v>3</v>
      </c>
      <c r="C9" s="80" t="s">
        <v>27</v>
      </c>
      <c r="D9" s="48"/>
      <c r="E9" s="67" t="s">
        <v>28</v>
      </c>
      <c r="F9" s="8">
        <v>1000</v>
      </c>
      <c r="G9" s="9">
        <v>1</v>
      </c>
      <c r="H9" s="8">
        <f>F9</f>
        <v>1000</v>
      </c>
      <c r="I9" s="8">
        <f t="shared" ref="I9" si="4">H9</f>
        <v>1000</v>
      </c>
      <c r="J9" s="8"/>
      <c r="K9" s="19"/>
      <c r="M9" s="120">
        <f t="shared" si="2"/>
        <v>4</v>
      </c>
      <c r="N9" s="121">
        <f t="shared" si="0"/>
        <v>9.3676171536820063E-2</v>
      </c>
      <c r="O9" s="2" t="s">
        <v>29</v>
      </c>
      <c r="P9" s="115">
        <f t="shared" si="3"/>
        <v>7152.9766</v>
      </c>
    </row>
    <row r="10" spans="1:23" ht="16" x14ac:dyDescent="0.2">
      <c r="A10" s="67"/>
      <c r="B10" s="48">
        <v>4</v>
      </c>
      <c r="C10" s="80" t="s">
        <v>30</v>
      </c>
      <c r="D10" s="48"/>
      <c r="E10" s="67" t="s">
        <v>31</v>
      </c>
      <c r="F10" s="8">
        <v>15000</v>
      </c>
      <c r="G10" s="9">
        <v>1</v>
      </c>
      <c r="H10" s="8">
        <f>F10</f>
        <v>15000</v>
      </c>
      <c r="I10" s="8">
        <f t="shared" si="1"/>
        <v>15000</v>
      </c>
      <c r="J10" s="8"/>
      <c r="K10" s="19"/>
      <c r="M10" s="120">
        <f t="shared" si="2"/>
        <v>5</v>
      </c>
      <c r="N10" s="121">
        <f t="shared" si="0"/>
        <v>8.6053886903511997E-2</v>
      </c>
      <c r="O10" s="2" t="s">
        <v>32</v>
      </c>
      <c r="P10" s="115">
        <f t="shared" si="3"/>
        <v>6570.95</v>
      </c>
    </row>
    <row r="11" spans="1:23" x14ac:dyDescent="0.2">
      <c r="A11" s="67"/>
      <c r="B11" s="48"/>
      <c r="C11" s="80"/>
      <c r="D11" s="48"/>
      <c r="E11" s="67"/>
      <c r="F11" s="8"/>
      <c r="G11" s="9"/>
      <c r="H11" s="8"/>
      <c r="I11" s="8"/>
      <c r="J11" s="8"/>
      <c r="K11" s="19"/>
      <c r="M11" s="120">
        <f t="shared" si="2"/>
        <v>6</v>
      </c>
      <c r="N11" s="121">
        <f t="shared" si="0"/>
        <v>7.8990216861072729E-2</v>
      </c>
      <c r="O11" s="2" t="s">
        <v>33</v>
      </c>
      <c r="P11" s="115">
        <f t="shared" si="3"/>
        <v>6031.5784000000003</v>
      </c>
    </row>
    <row r="12" spans="1:23" s="26" customFormat="1" x14ac:dyDescent="0.2">
      <c r="A12" s="76"/>
      <c r="B12" s="87" t="s">
        <v>34</v>
      </c>
      <c r="C12" s="82"/>
      <c r="D12" s="62"/>
      <c r="E12" s="72" t="s">
        <v>35</v>
      </c>
      <c r="F12" s="23"/>
      <c r="G12" s="24"/>
      <c r="H12" s="23"/>
      <c r="I12" s="23">
        <f>SUM(I6:I10)</f>
        <v>357064.56000000006</v>
      </c>
      <c r="J12" s="23">
        <f>SUM(J6:J10)</f>
        <v>0</v>
      </c>
      <c r="K12" s="25">
        <f>SUM(K6:K10)</f>
        <v>0</v>
      </c>
      <c r="M12" s="120">
        <f t="shared" si="2"/>
        <v>14</v>
      </c>
      <c r="N12" s="121">
        <f t="shared" si="0"/>
        <v>2.2197907197810487E-3</v>
      </c>
      <c r="O12" s="2" t="s">
        <v>36</v>
      </c>
      <c r="P12" s="115">
        <f t="shared" si="3"/>
        <v>169.5</v>
      </c>
      <c r="W12"/>
    </row>
    <row r="13" spans="1:23" x14ac:dyDescent="0.2">
      <c r="A13" s="67"/>
      <c r="B13" s="48"/>
      <c r="C13" s="80"/>
      <c r="D13" s="48"/>
      <c r="E13" s="67"/>
      <c r="F13" s="8"/>
      <c r="G13" s="9"/>
      <c r="H13" s="8"/>
      <c r="I13" s="8"/>
      <c r="J13" s="8"/>
      <c r="K13" s="19"/>
      <c r="M13" s="120">
        <f t="shared" si="2"/>
        <v>12</v>
      </c>
      <c r="N13" s="121">
        <f t="shared" si="0"/>
        <v>1.8609245534164459E-2</v>
      </c>
      <c r="O13" s="2" t="s">
        <v>37</v>
      </c>
      <c r="P13" s="115">
        <f t="shared" si="3"/>
        <v>1420.9749999999999</v>
      </c>
    </row>
    <row r="14" spans="1:23" s="34" customFormat="1" x14ac:dyDescent="0.2">
      <c r="A14" s="93"/>
      <c r="B14" s="88" t="s">
        <v>38</v>
      </c>
      <c r="C14" s="83"/>
      <c r="D14" s="63"/>
      <c r="E14" s="74"/>
      <c r="F14" s="31"/>
      <c r="G14" s="32"/>
      <c r="H14" s="31"/>
      <c r="I14" s="31">
        <f>SumBold(I6:I12)</f>
        <v>357064.56</v>
      </c>
      <c r="J14" s="31">
        <f>SumBold(J5:J13)</f>
        <v>0</v>
      </c>
      <c r="K14" s="33">
        <f>SumBold(K5:K13)</f>
        <v>0</v>
      </c>
      <c r="M14" s="120">
        <f t="shared" si="2"/>
        <v>7</v>
      </c>
      <c r="N14" s="121">
        <f t="shared" si="0"/>
        <v>7.7958458134518488E-2</v>
      </c>
      <c r="O14" s="2" t="s">
        <v>39</v>
      </c>
      <c r="P14" s="115">
        <f t="shared" si="3"/>
        <v>5952.7947999999997</v>
      </c>
      <c r="W14"/>
    </row>
    <row r="15" spans="1:23" x14ac:dyDescent="0.2">
      <c r="A15" s="67"/>
      <c r="B15" s="48"/>
      <c r="C15" s="80"/>
      <c r="D15" s="48"/>
      <c r="E15" s="67"/>
      <c r="F15" s="8"/>
      <c r="G15" s="9"/>
      <c r="H15" s="8"/>
      <c r="I15" s="8"/>
      <c r="J15" s="8"/>
      <c r="K15" s="19"/>
      <c r="M15" s="120">
        <f t="shared" si="2"/>
        <v>9</v>
      </c>
      <c r="N15" s="121">
        <f t="shared" si="0"/>
        <v>2.6356315146200324E-2</v>
      </c>
      <c r="O15" s="2" t="s">
        <v>40</v>
      </c>
      <c r="P15" s="115">
        <f t="shared" si="3"/>
        <v>2012.5300000000002</v>
      </c>
    </row>
    <row r="16" spans="1:23" ht="15" customHeight="1" x14ac:dyDescent="0.2">
      <c r="A16" s="92" t="s">
        <v>41</v>
      </c>
      <c r="B16" s="61"/>
      <c r="C16" s="81"/>
      <c r="D16" s="61"/>
      <c r="E16" s="69"/>
      <c r="F16" s="14"/>
      <c r="G16" s="15"/>
      <c r="H16" s="14"/>
      <c r="I16" s="14"/>
      <c r="J16" s="14"/>
      <c r="K16" s="16"/>
      <c r="M16" s="120">
        <f t="shared" si="2"/>
        <v>13</v>
      </c>
      <c r="N16" s="121">
        <f t="shared" si="0"/>
        <v>1.7041481341807097E-2</v>
      </c>
      <c r="O16" s="2" t="s">
        <v>42</v>
      </c>
      <c r="P16" s="115">
        <f t="shared" si="3"/>
        <v>1301.2628</v>
      </c>
    </row>
    <row r="17" spans="1:16" x14ac:dyDescent="0.2">
      <c r="A17" s="247" t="s">
        <v>43</v>
      </c>
      <c r="B17" s="247"/>
      <c r="C17" s="247"/>
      <c r="D17" s="247"/>
      <c r="E17" s="247"/>
      <c r="F17" s="247"/>
      <c r="G17" s="247"/>
      <c r="H17" s="247"/>
      <c r="I17" s="247"/>
      <c r="J17" s="247"/>
      <c r="K17" s="248"/>
      <c r="M17" s="120">
        <f t="shared" si="2"/>
        <v>10</v>
      </c>
      <c r="N17" s="121">
        <f t="shared" si="0"/>
        <v>2.4417697917591536E-2</v>
      </c>
      <c r="O17" s="2" t="s">
        <v>44</v>
      </c>
      <c r="P17" s="115">
        <f t="shared" si="3"/>
        <v>1864.5</v>
      </c>
    </row>
    <row r="18" spans="1:16" ht="16" x14ac:dyDescent="0.2">
      <c r="A18" s="67"/>
      <c r="B18" s="48">
        <v>5</v>
      </c>
      <c r="C18" s="80" t="s">
        <v>17</v>
      </c>
      <c r="D18" s="48"/>
      <c r="E18" s="68" t="s">
        <v>45</v>
      </c>
      <c r="F18" s="8"/>
      <c r="G18" s="9"/>
      <c r="H18" s="107"/>
      <c r="I18" s="8">
        <f>-1*'1. President'!I40</f>
        <v>11749.513999999999</v>
      </c>
      <c r="J18" s="8">
        <f>-1*'1. President'!K40</f>
        <v>4999.32</v>
      </c>
      <c r="K18" s="8">
        <f>-1*'1. President'!L40</f>
        <v>2521.3200000000002</v>
      </c>
      <c r="M18" s="120">
        <f t="shared" si="2"/>
        <v>1</v>
      </c>
      <c r="N18" s="121">
        <f t="shared" si="0"/>
        <v>0.25433548143987339</v>
      </c>
      <c r="O18" s="2" t="s">
        <v>46</v>
      </c>
      <c r="P18" s="115">
        <f t="shared" si="3"/>
        <v>19420.6885</v>
      </c>
    </row>
    <row r="19" spans="1:16" ht="16" x14ac:dyDescent="0.2">
      <c r="A19" s="67"/>
      <c r="B19" s="48">
        <v>6</v>
      </c>
      <c r="C19" s="80" t="s">
        <v>20</v>
      </c>
      <c r="D19" s="48"/>
      <c r="E19" s="68" t="s">
        <v>47</v>
      </c>
      <c r="F19" s="8"/>
      <c r="G19" s="9"/>
      <c r="H19" s="107"/>
      <c r="I19" s="8">
        <v>0</v>
      </c>
      <c r="J19" s="8">
        <v>0</v>
      </c>
      <c r="K19" s="52">
        <v>0</v>
      </c>
      <c r="M19" s="120">
        <f t="shared" si="2"/>
        <v>17</v>
      </c>
      <c r="N19" s="121">
        <f t="shared" si="0"/>
        <v>-3.033713983700774E-3</v>
      </c>
      <c r="O19" s="2" t="s">
        <v>48</v>
      </c>
      <c r="P19" s="115">
        <f t="shared" si="3"/>
        <v>-231.65000000000055</v>
      </c>
    </row>
    <row r="20" spans="1:16" ht="16" x14ac:dyDescent="0.2">
      <c r="A20" s="67"/>
      <c r="B20" s="48">
        <v>7</v>
      </c>
      <c r="C20" s="80" t="s">
        <v>23</v>
      </c>
      <c r="D20" s="48"/>
      <c r="E20" s="68" t="s">
        <v>49</v>
      </c>
      <c r="F20" s="8"/>
      <c r="G20" s="9"/>
      <c r="H20" s="107"/>
      <c r="I20" s="8">
        <f>-1*'3. VPSA'!I28</f>
        <v>2146.6835999999998</v>
      </c>
      <c r="J20" s="8">
        <f>-1*'3. VPSA'!K28</f>
        <v>1466.29</v>
      </c>
      <c r="K20" s="52">
        <f>-1*'3. VPSA'!L28</f>
        <v>1635.54</v>
      </c>
      <c r="M20" s="120">
        <f t="shared" si="2"/>
        <v>15</v>
      </c>
      <c r="N20" s="121">
        <f t="shared" si="0"/>
        <v>0</v>
      </c>
      <c r="O20" s="2" t="s">
        <v>50</v>
      </c>
      <c r="P20" s="115">
        <f t="shared" si="3"/>
        <v>0</v>
      </c>
    </row>
    <row r="21" spans="1:16" ht="16" x14ac:dyDescent="0.2">
      <c r="A21" s="67"/>
      <c r="B21" s="48">
        <v>8</v>
      </c>
      <c r="C21" s="80" t="s">
        <v>26</v>
      </c>
      <c r="D21" s="48"/>
      <c r="E21" s="68" t="s">
        <v>51</v>
      </c>
      <c r="F21" s="8"/>
      <c r="G21" s="9"/>
      <c r="H21" s="107"/>
      <c r="I21" s="8">
        <f>-1*'4. DoA'!I36</f>
        <v>1646.6359999999995</v>
      </c>
      <c r="J21" s="8">
        <f>-1*'4. DoA'!K36</f>
        <v>0</v>
      </c>
      <c r="K21" s="52">
        <f>-1*'4. DoA'!L36</f>
        <v>925</v>
      </c>
      <c r="M21" s="120">
        <f t="shared" si="2"/>
        <v>3</v>
      </c>
      <c r="N21" s="121">
        <f t="shared" si="0"/>
        <v>0.11982430305378103</v>
      </c>
      <c r="O21" s="2" t="s">
        <v>52</v>
      </c>
      <c r="P21" s="115">
        <f t="shared" si="3"/>
        <v>9149.61</v>
      </c>
    </row>
    <row r="22" spans="1:16" ht="16" x14ac:dyDescent="0.2">
      <c r="A22" s="67"/>
      <c r="B22" s="48">
        <v>9</v>
      </c>
      <c r="C22" s="80" t="s">
        <v>29</v>
      </c>
      <c r="D22" s="48"/>
      <c r="E22" s="68" t="s">
        <v>53</v>
      </c>
      <c r="F22" s="8"/>
      <c r="G22" s="9"/>
      <c r="H22" s="107"/>
      <c r="I22" s="8">
        <f>-1*'5. DoComm'!I39</f>
        <v>7152.9766</v>
      </c>
      <c r="J22" s="8">
        <v>0</v>
      </c>
      <c r="K22" s="52">
        <v>0</v>
      </c>
      <c r="M22" s="120"/>
      <c r="N22" s="103"/>
      <c r="P22" s="114"/>
    </row>
    <row r="23" spans="1:16" ht="16" x14ac:dyDescent="0.2">
      <c r="A23" s="67"/>
      <c r="B23" s="48">
        <v>10</v>
      </c>
      <c r="C23" s="80" t="s">
        <v>54</v>
      </c>
      <c r="D23" s="48"/>
      <c r="E23" s="68" t="s">
        <v>55</v>
      </c>
      <c r="F23" s="8"/>
      <c r="G23" s="9"/>
      <c r="H23" s="107"/>
      <c r="I23" s="8">
        <f>-1*'6. DoCC'!I48</f>
        <v>6570.95</v>
      </c>
      <c r="J23" s="8">
        <f>-1*'6. DoCC'!K48</f>
        <v>0</v>
      </c>
      <c r="K23" s="52">
        <f>-1*'6. DoCC'!L48</f>
        <v>280.24</v>
      </c>
      <c r="M23" s="120">
        <f>RANK(N23,$N$23:$N$26)</f>
        <v>2</v>
      </c>
      <c r="N23" s="121">
        <f>P23/$I$66</f>
        <v>0.26818000579798906</v>
      </c>
      <c r="O23" s="2" t="s">
        <v>56</v>
      </c>
      <c r="P23" s="115">
        <f>I36</f>
        <v>76358.549700000003</v>
      </c>
    </row>
    <row r="24" spans="1:16" ht="16" x14ac:dyDescent="0.2">
      <c r="A24" s="67"/>
      <c r="B24" s="48">
        <v>11</v>
      </c>
      <c r="C24" s="80" t="s">
        <v>33</v>
      </c>
      <c r="D24" s="48"/>
      <c r="E24" s="68" t="s">
        <v>57</v>
      </c>
      <c r="F24" s="8"/>
      <c r="G24" s="9"/>
      <c r="H24" s="107"/>
      <c r="I24" s="8">
        <f>-1*'7. DoD'!I38</f>
        <v>6031.5784000000003</v>
      </c>
      <c r="J24" s="8">
        <f>-1*'7. DoD'!K38</f>
        <v>1000</v>
      </c>
      <c r="K24" s="52">
        <f>-1*'7. DoD'!L38</f>
        <v>1000</v>
      </c>
      <c r="M24" s="120">
        <f t="shared" ref="M24:M26" si="5">RANK(N24,$N$23:$N$26)</f>
        <v>1</v>
      </c>
      <c r="N24" s="121">
        <f t="shared" ref="N24:N26" si="6">P24/$I$66</f>
        <v>0.46902676393413356</v>
      </c>
      <c r="O24" s="2" t="s">
        <v>58</v>
      </c>
      <c r="P24" s="115">
        <f>I46</f>
        <v>133545.38999999998</v>
      </c>
    </row>
    <row r="25" spans="1:16" ht="16" x14ac:dyDescent="0.2">
      <c r="A25" s="67"/>
      <c r="B25" s="48">
        <v>12</v>
      </c>
      <c r="C25" s="80" t="s">
        <v>36</v>
      </c>
      <c r="D25" s="48"/>
      <c r="E25" s="68" t="s">
        <v>59</v>
      </c>
      <c r="F25" s="8"/>
      <c r="G25" s="9"/>
      <c r="H25" s="107"/>
      <c r="I25" s="8">
        <f>-1*'8. DoIP'!I36</f>
        <v>169.5</v>
      </c>
      <c r="J25" s="8">
        <f>-1*'8. DoIP'!K36</f>
        <v>0</v>
      </c>
      <c r="K25" s="52">
        <f>-1*'8. DoIP'!L36</f>
        <v>0</v>
      </c>
      <c r="M25" s="120">
        <f t="shared" si="5"/>
        <v>4</v>
      </c>
      <c r="N25" s="121">
        <f t="shared" si="6"/>
        <v>2.5793674792406265E-2</v>
      </c>
      <c r="O25" s="2" t="s">
        <v>60</v>
      </c>
      <c r="P25" s="115">
        <f>I56</f>
        <v>7344.2</v>
      </c>
    </row>
    <row r="26" spans="1:16" ht="16" x14ac:dyDescent="0.2">
      <c r="A26" s="67"/>
      <c r="B26" s="48">
        <v>13</v>
      </c>
      <c r="C26" s="80" t="s">
        <v>37</v>
      </c>
      <c r="D26" s="48"/>
      <c r="E26" s="68" t="s">
        <v>61</v>
      </c>
      <c r="F26" s="50"/>
      <c r="G26" s="9"/>
      <c r="H26" s="107"/>
      <c r="I26" s="50">
        <f>-1*'9. DoER'!I47</f>
        <v>1420.9749999999999</v>
      </c>
      <c r="J26" s="50">
        <f>-1*'9. DoER'!K47</f>
        <v>0</v>
      </c>
      <c r="K26" s="53">
        <f>-1*'9. DoER'!L47</f>
        <v>0</v>
      </c>
      <c r="M26" s="122">
        <f t="shared" si="5"/>
        <v>3</v>
      </c>
      <c r="N26" s="123">
        <f t="shared" si="6"/>
        <v>0.23699955547547105</v>
      </c>
      <c r="O26" s="116" t="s">
        <v>62</v>
      </c>
      <c r="P26" s="117">
        <f>I64</f>
        <v>67480.58</v>
      </c>
    </row>
    <row r="27" spans="1:16" ht="16" x14ac:dyDescent="0.2">
      <c r="A27" s="67"/>
      <c r="B27" s="48">
        <v>14</v>
      </c>
      <c r="C27" s="80" t="s">
        <v>39</v>
      </c>
      <c r="D27" s="48"/>
      <c r="E27" s="68" t="s">
        <v>63</v>
      </c>
      <c r="F27" s="50"/>
      <c r="G27" s="9"/>
      <c r="H27" s="107"/>
      <c r="I27" s="50">
        <f>-1*'10. DoF'!I30</f>
        <v>5952.7947999999997</v>
      </c>
      <c r="J27" s="50">
        <f>-1*'10. DoF'!K30</f>
        <v>0</v>
      </c>
      <c r="K27" s="52">
        <f>-1*'10. DoF'!L30</f>
        <v>0</v>
      </c>
    </row>
    <row r="28" spans="1:16" ht="16" x14ac:dyDescent="0.2">
      <c r="A28" s="67"/>
      <c r="B28" s="48">
        <v>15</v>
      </c>
      <c r="C28" s="80" t="s">
        <v>40</v>
      </c>
      <c r="D28" s="48"/>
      <c r="E28" s="68" t="s">
        <v>64</v>
      </c>
      <c r="F28" s="50"/>
      <c r="G28" s="9"/>
      <c r="H28" s="107"/>
      <c r="I28" s="50">
        <f>-1*'11. DoFY'!I56</f>
        <v>2012.5300000000002</v>
      </c>
      <c r="J28" s="50">
        <f>-1*'11. DoFY'!K56</f>
        <v>0</v>
      </c>
      <c r="K28" s="53">
        <f>-1*'11. DoFY'!L56</f>
        <v>0</v>
      </c>
    </row>
    <row r="29" spans="1:16" ht="16" x14ac:dyDescent="0.2">
      <c r="A29" s="67"/>
      <c r="B29" s="48">
        <v>16</v>
      </c>
      <c r="C29" s="80" t="s">
        <v>42</v>
      </c>
      <c r="D29" s="48"/>
      <c r="E29" s="68" t="s">
        <v>65</v>
      </c>
      <c r="F29" s="50"/>
      <c r="G29" s="9"/>
      <c r="H29" s="107"/>
      <c r="I29" s="50">
        <f>-1*'12. DoHR'!I33</f>
        <v>1301.2628</v>
      </c>
      <c r="J29" s="50">
        <v>0</v>
      </c>
      <c r="K29" s="52">
        <v>0</v>
      </c>
    </row>
    <row r="30" spans="1:16" ht="16" x14ac:dyDescent="0.2">
      <c r="A30" s="67"/>
      <c r="B30" s="48">
        <v>17</v>
      </c>
      <c r="C30" s="80" t="s">
        <v>44</v>
      </c>
      <c r="D30" s="48"/>
      <c r="E30" s="68" t="s">
        <v>66</v>
      </c>
      <c r="F30" s="50"/>
      <c r="G30" s="9"/>
      <c r="H30" s="107"/>
      <c r="I30" s="50">
        <f>-1*'13. DoG'!I35</f>
        <v>1864.5</v>
      </c>
      <c r="J30" s="50">
        <f>-1*'13. DoG'!K35</f>
        <v>0</v>
      </c>
      <c r="K30" s="53">
        <f>-1*'13. DoG'!L35</f>
        <v>0</v>
      </c>
    </row>
    <row r="31" spans="1:16" ht="16" x14ac:dyDescent="0.2">
      <c r="A31" s="67"/>
      <c r="B31" s="48">
        <v>18</v>
      </c>
      <c r="C31" s="80" t="s">
        <v>46</v>
      </c>
      <c r="D31" s="48"/>
      <c r="E31" s="68" t="s">
        <v>67</v>
      </c>
      <c r="F31" s="50"/>
      <c r="G31" s="9"/>
      <c r="H31" s="107"/>
      <c r="I31" s="50">
        <f>-1*'14. DoIT'!I60</f>
        <v>19420.6885</v>
      </c>
      <c r="J31" s="50">
        <f>-1*'14. DoIT'!K60</f>
        <v>0</v>
      </c>
      <c r="K31" s="50">
        <f>-1*'14. DoIT'!L60</f>
        <v>0</v>
      </c>
    </row>
    <row r="32" spans="1:16" ht="16" x14ac:dyDescent="0.2">
      <c r="A32" s="67"/>
      <c r="B32" s="48">
        <v>19</v>
      </c>
      <c r="C32" s="80" t="s">
        <v>48</v>
      </c>
      <c r="D32" s="48"/>
      <c r="E32" s="68" t="s">
        <v>68</v>
      </c>
      <c r="F32" s="50"/>
      <c r="G32" s="9"/>
      <c r="H32" s="107"/>
      <c r="I32" s="50">
        <f>-1*'15. DoPD'!I49</f>
        <v>-231.65000000000055</v>
      </c>
      <c r="J32" s="50">
        <f>-1*'15. DoPD'!K49</f>
        <v>1969.7299999999996</v>
      </c>
      <c r="K32" s="53">
        <f>-1*'15. DoPD'!L49</f>
        <v>1969.7299999999996</v>
      </c>
    </row>
    <row r="33" spans="1:23" ht="16" x14ac:dyDescent="0.2">
      <c r="A33" s="67"/>
      <c r="B33" s="48">
        <v>20</v>
      </c>
      <c r="C33" s="80" t="s">
        <v>50</v>
      </c>
      <c r="D33" s="48"/>
      <c r="E33" s="68" t="s">
        <v>69</v>
      </c>
      <c r="F33" s="50"/>
      <c r="G33" s="9"/>
      <c r="H33" s="107"/>
      <c r="I33" s="50">
        <f>-1*'16. DoS'!I23</f>
        <v>0</v>
      </c>
      <c r="J33" s="50">
        <v>0</v>
      </c>
      <c r="K33" s="52">
        <v>0</v>
      </c>
    </row>
    <row r="34" spans="1:23" ht="16" x14ac:dyDescent="0.2">
      <c r="A34" s="67"/>
      <c r="B34" s="48">
        <v>21</v>
      </c>
      <c r="C34" s="80" t="s">
        <v>52</v>
      </c>
      <c r="D34" s="48"/>
      <c r="E34" s="68" t="s">
        <v>70</v>
      </c>
      <c r="F34" s="50"/>
      <c r="G34" s="9"/>
      <c r="H34" s="107"/>
      <c r="I34" s="50">
        <f>-1*'17. DoSI'!I52</f>
        <v>9149.61</v>
      </c>
      <c r="J34" s="50">
        <v>0</v>
      </c>
      <c r="K34" s="52">
        <v>0</v>
      </c>
    </row>
    <row r="35" spans="1:23" x14ac:dyDescent="0.2">
      <c r="A35" s="67"/>
      <c r="B35" s="48"/>
      <c r="C35" s="80"/>
      <c r="D35" s="48"/>
      <c r="E35" s="48"/>
      <c r="F35" s="50"/>
      <c r="G35" s="9"/>
      <c r="H35" s="50"/>
      <c r="I35" s="50"/>
      <c r="J35" s="50"/>
      <c r="K35" s="52"/>
    </row>
    <row r="36" spans="1:23" s="26" customFormat="1" ht="15" customHeight="1" x14ac:dyDescent="0.2">
      <c r="A36" s="76"/>
      <c r="B36" s="87" t="s">
        <v>71</v>
      </c>
      <c r="C36" s="82"/>
      <c r="D36" s="62"/>
      <c r="E36" s="101"/>
      <c r="F36" s="23"/>
      <c r="G36" s="24"/>
      <c r="H36" s="23"/>
      <c r="I36" s="23">
        <f>SUM(I18:I34)</f>
        <v>76358.549700000003</v>
      </c>
      <c r="J36" s="23">
        <f>SUM(J18:J34)</f>
        <v>9435.34</v>
      </c>
      <c r="K36" s="25">
        <f>SUM(K18:K34)</f>
        <v>8331.83</v>
      </c>
      <c r="M36" s="2"/>
      <c r="N36" s="2"/>
      <c r="O36" s="2"/>
      <c r="P36" s="2"/>
      <c r="W36"/>
    </row>
    <row r="37" spans="1:23" ht="14.25" customHeight="1" x14ac:dyDescent="0.2">
      <c r="A37" s="245"/>
      <c r="B37" s="245"/>
      <c r="C37" s="245"/>
      <c r="D37" s="245"/>
      <c r="E37" s="245"/>
      <c r="F37" s="245"/>
      <c r="G37" s="245"/>
      <c r="H37" s="245"/>
      <c r="I37" s="245"/>
      <c r="J37" s="245"/>
      <c r="K37" s="246"/>
      <c r="M37" s="26"/>
      <c r="N37" s="26"/>
      <c r="O37" s="26"/>
      <c r="P37" s="26"/>
    </row>
    <row r="38" spans="1:23" ht="14.25" customHeight="1" x14ac:dyDescent="0.2">
      <c r="A38" s="243" t="s">
        <v>58</v>
      </c>
      <c r="B38" s="243"/>
      <c r="C38" s="243"/>
      <c r="D38" s="243"/>
      <c r="E38" s="243"/>
      <c r="F38" s="243"/>
      <c r="G38" s="243"/>
      <c r="H38" s="243"/>
      <c r="I38" s="243"/>
      <c r="J38" s="243"/>
      <c r="K38" s="244"/>
    </row>
    <row r="39" spans="1:23" ht="14.25" customHeight="1" x14ac:dyDescent="0.2">
      <c r="A39" s="67"/>
      <c r="B39" s="48">
        <v>22</v>
      </c>
      <c r="C39" s="80" t="s">
        <v>72</v>
      </c>
      <c r="D39" s="48"/>
      <c r="E39" s="68" t="s">
        <v>73</v>
      </c>
      <c r="F39" s="8">
        <v>32950</v>
      </c>
      <c r="G39" s="9">
        <v>1</v>
      </c>
      <c r="H39" s="8">
        <f t="shared" ref="H39:H44" si="7">F39*G39</f>
        <v>32950</v>
      </c>
      <c r="I39" s="8">
        <f t="shared" ref="I39:I44" si="8">H39</f>
        <v>32950</v>
      </c>
      <c r="J39" s="8"/>
      <c r="K39" s="19"/>
    </row>
    <row r="40" spans="1:23" ht="14.25" customHeight="1" x14ac:dyDescent="0.2">
      <c r="A40" s="67"/>
      <c r="B40" s="48">
        <v>23</v>
      </c>
      <c r="C40" s="80" t="s">
        <v>74</v>
      </c>
      <c r="D40" s="48"/>
      <c r="E40" s="192" t="s">
        <v>75</v>
      </c>
      <c r="F40" s="8">
        <v>73942.67</v>
      </c>
      <c r="G40" s="9">
        <v>1</v>
      </c>
      <c r="H40" s="8">
        <f t="shared" si="7"/>
        <v>73942.67</v>
      </c>
      <c r="I40" s="8">
        <f t="shared" si="8"/>
        <v>73942.67</v>
      </c>
      <c r="J40" s="8"/>
      <c r="K40" s="19"/>
      <c r="V40" s="68"/>
    </row>
    <row r="41" spans="1:23" ht="14.25" customHeight="1" x14ac:dyDescent="0.2">
      <c r="A41" s="67"/>
      <c r="B41" s="48">
        <v>24</v>
      </c>
      <c r="C41" s="80" t="s">
        <v>76</v>
      </c>
      <c r="D41" s="48"/>
      <c r="E41" s="102" t="s">
        <v>77</v>
      </c>
      <c r="F41" s="8">
        <v>21744.560000000001</v>
      </c>
      <c r="G41" s="9">
        <v>1</v>
      </c>
      <c r="H41" s="8">
        <f t="shared" si="7"/>
        <v>21744.560000000001</v>
      </c>
      <c r="I41" s="8">
        <f t="shared" si="8"/>
        <v>21744.560000000001</v>
      </c>
      <c r="J41" s="8"/>
      <c r="K41" s="19"/>
      <c r="V41" s="68"/>
    </row>
    <row r="42" spans="1:23" ht="14.25" customHeight="1" x14ac:dyDescent="0.2">
      <c r="A42" s="67"/>
      <c r="B42" s="48">
        <v>25</v>
      </c>
      <c r="C42" s="80" t="s">
        <v>78</v>
      </c>
      <c r="D42" s="48"/>
      <c r="E42" s="67" t="s">
        <v>79</v>
      </c>
      <c r="F42" s="8">
        <v>320.45</v>
      </c>
      <c r="G42" s="9">
        <v>1</v>
      </c>
      <c r="H42" s="8">
        <f t="shared" si="7"/>
        <v>320.45</v>
      </c>
      <c r="I42" s="8">
        <f t="shared" si="8"/>
        <v>320.45</v>
      </c>
      <c r="J42" s="8"/>
      <c r="K42" s="19"/>
      <c r="V42" s="77"/>
    </row>
    <row r="43" spans="1:23" ht="14.25" customHeight="1" x14ac:dyDescent="0.2">
      <c r="A43" s="67"/>
      <c r="B43" s="48">
        <v>26</v>
      </c>
      <c r="C43" s="80" t="s">
        <v>80</v>
      </c>
      <c r="D43" s="48"/>
      <c r="E43" s="67" t="s">
        <v>81</v>
      </c>
      <c r="F43" s="8">
        <v>4000</v>
      </c>
      <c r="G43" s="9">
        <v>1</v>
      </c>
      <c r="H43" s="8">
        <f t="shared" si="7"/>
        <v>4000</v>
      </c>
      <c r="I43" s="8">
        <f t="shared" si="8"/>
        <v>4000</v>
      </c>
      <c r="J43" s="8"/>
      <c r="K43" s="19"/>
    </row>
    <row r="44" spans="1:23" s="26" customFormat="1" ht="15" customHeight="1" x14ac:dyDescent="0.2">
      <c r="A44" s="67"/>
      <c r="B44" s="48">
        <v>27</v>
      </c>
      <c r="C44" s="80" t="s">
        <v>82</v>
      </c>
      <c r="D44" s="48"/>
      <c r="E44" s="67" t="s">
        <v>83</v>
      </c>
      <c r="F44" s="8">
        <v>587.71</v>
      </c>
      <c r="G44" s="9">
        <v>1</v>
      </c>
      <c r="H44" s="8">
        <f t="shared" si="7"/>
        <v>587.71</v>
      </c>
      <c r="I44" s="8">
        <f t="shared" si="8"/>
        <v>587.71</v>
      </c>
      <c r="J44" s="8"/>
      <c r="K44" s="19"/>
      <c r="M44" s="2"/>
      <c r="N44" s="2"/>
      <c r="O44" s="2"/>
      <c r="P44" s="2"/>
      <c r="W44"/>
    </row>
    <row r="45" spans="1:23" s="26" customFormat="1" ht="15" customHeight="1" x14ac:dyDescent="0.2">
      <c r="A45" s="67"/>
      <c r="B45" s="48"/>
      <c r="C45" s="80"/>
      <c r="D45" s="48"/>
      <c r="E45" s="67"/>
      <c r="F45" s="8"/>
      <c r="G45" s="9"/>
      <c r="H45" s="8"/>
      <c r="I45" s="8"/>
      <c r="J45" s="8"/>
      <c r="K45" s="19"/>
      <c r="W45"/>
    </row>
    <row r="46" spans="1:23" ht="18.75" customHeight="1" x14ac:dyDescent="0.2">
      <c r="A46" s="76"/>
      <c r="B46" s="87" t="s">
        <v>84</v>
      </c>
      <c r="C46" s="82"/>
      <c r="D46" s="62"/>
      <c r="E46" s="72"/>
      <c r="F46" s="23"/>
      <c r="G46" s="24"/>
      <c r="H46" s="23"/>
      <c r="I46" s="23">
        <f>SUM(I39:I44)</f>
        <v>133545.38999999998</v>
      </c>
      <c r="J46" s="23">
        <f t="shared" ref="J46:K46" si="9">SUM(J39:J44)</f>
        <v>0</v>
      </c>
      <c r="K46" s="25">
        <f t="shared" si="9"/>
        <v>0</v>
      </c>
      <c r="M46" s="26"/>
      <c r="N46" s="26"/>
      <c r="O46" s="26"/>
      <c r="P46" s="26"/>
    </row>
    <row r="47" spans="1:23" x14ac:dyDescent="0.2">
      <c r="A47" s="245"/>
      <c r="B47" s="245"/>
      <c r="C47" s="245"/>
      <c r="D47" s="245"/>
      <c r="E47" s="245"/>
      <c r="F47" s="245"/>
      <c r="G47" s="245"/>
      <c r="H47" s="245"/>
      <c r="I47" s="245"/>
      <c r="J47" s="245"/>
      <c r="K47" s="246"/>
    </row>
    <row r="48" spans="1:23" x14ac:dyDescent="0.2">
      <c r="A48" s="243" t="s">
        <v>60</v>
      </c>
      <c r="B48" s="243"/>
      <c r="C48" s="243"/>
      <c r="D48" s="243"/>
      <c r="E48" s="243"/>
      <c r="F48" s="243"/>
      <c r="G48" s="243"/>
      <c r="H48" s="243"/>
      <c r="I48" s="243"/>
      <c r="J48" s="243"/>
      <c r="K48" s="244"/>
    </row>
    <row r="49" spans="1:23" ht="15" customHeight="1" x14ac:dyDescent="0.2">
      <c r="A49" s="67"/>
      <c r="B49" s="48">
        <v>28</v>
      </c>
      <c r="C49" s="80" t="s">
        <v>85</v>
      </c>
      <c r="D49" s="48"/>
      <c r="E49" s="68" t="s">
        <v>86</v>
      </c>
      <c r="F49" s="8">
        <v>3</v>
      </c>
      <c r="G49" s="9">
        <v>12</v>
      </c>
      <c r="H49" s="8">
        <f>F49*G49</f>
        <v>36</v>
      </c>
      <c r="I49" s="8">
        <f t="shared" ref="I49:I54" si="10">H49</f>
        <v>36</v>
      </c>
      <c r="J49" s="8"/>
      <c r="K49" s="19"/>
    </row>
    <row r="50" spans="1:23" ht="16" x14ac:dyDescent="0.2">
      <c r="A50" s="67"/>
      <c r="B50" s="48">
        <v>29</v>
      </c>
      <c r="C50" s="80" t="s">
        <v>87</v>
      </c>
      <c r="D50" s="48"/>
      <c r="E50" s="102" t="s">
        <v>88</v>
      </c>
      <c r="F50" s="8">
        <v>912.05</v>
      </c>
      <c r="G50" s="9">
        <v>4</v>
      </c>
      <c r="H50" s="8">
        <f>F50*G50</f>
        <v>3648.2</v>
      </c>
      <c r="I50" s="8">
        <f t="shared" si="10"/>
        <v>3648.2</v>
      </c>
      <c r="J50" s="8"/>
      <c r="K50" s="19"/>
    </row>
    <row r="51" spans="1:23" ht="16" x14ac:dyDescent="0.2">
      <c r="A51" s="67"/>
      <c r="B51" s="48">
        <v>30</v>
      </c>
      <c r="C51" s="80" t="s">
        <v>89</v>
      </c>
      <c r="D51" s="48"/>
      <c r="E51" s="67" t="s">
        <v>90</v>
      </c>
      <c r="F51" s="8">
        <v>500</v>
      </c>
      <c r="G51" s="9">
        <v>1</v>
      </c>
      <c r="H51" s="8">
        <f>F51*G51</f>
        <v>500</v>
      </c>
      <c r="I51" s="8">
        <f t="shared" si="10"/>
        <v>500</v>
      </c>
      <c r="J51" s="8"/>
      <c r="K51" s="19"/>
    </row>
    <row r="52" spans="1:23" ht="16" x14ac:dyDescent="0.2">
      <c r="A52" s="67"/>
      <c r="B52" s="48">
        <v>31</v>
      </c>
      <c r="C52" s="80" t="s">
        <v>91</v>
      </c>
      <c r="D52" s="48"/>
      <c r="E52" s="102" t="s">
        <v>92</v>
      </c>
      <c r="F52" s="8">
        <v>1800</v>
      </c>
      <c r="G52" s="9">
        <v>1</v>
      </c>
      <c r="H52" s="8">
        <v>1800</v>
      </c>
      <c r="I52" s="8">
        <f t="shared" si="10"/>
        <v>1800</v>
      </c>
      <c r="J52" s="8"/>
      <c r="K52" s="19"/>
    </row>
    <row r="53" spans="1:23" s="26" customFormat="1" ht="16" x14ac:dyDescent="0.2">
      <c r="A53" s="67"/>
      <c r="B53" s="48">
        <v>32</v>
      </c>
      <c r="C53" s="80" t="s">
        <v>93</v>
      </c>
      <c r="D53" s="48"/>
      <c r="E53" s="102" t="s">
        <v>94</v>
      </c>
      <c r="F53" s="8">
        <v>80</v>
      </c>
      <c r="G53" s="9">
        <v>2</v>
      </c>
      <c r="H53" s="8">
        <v>160</v>
      </c>
      <c r="I53" s="8">
        <f t="shared" si="10"/>
        <v>160</v>
      </c>
      <c r="J53" s="8"/>
      <c r="K53" s="19"/>
      <c r="M53" s="2"/>
      <c r="N53" s="2"/>
      <c r="O53" s="2"/>
      <c r="P53" s="2"/>
      <c r="W53"/>
    </row>
    <row r="54" spans="1:23" s="26" customFormat="1" ht="16" x14ac:dyDescent="0.2">
      <c r="A54" s="67"/>
      <c r="B54" s="48">
        <v>33</v>
      </c>
      <c r="C54" s="80" t="s">
        <v>95</v>
      </c>
      <c r="D54" s="48"/>
      <c r="E54" s="102" t="s">
        <v>96</v>
      </c>
      <c r="F54" s="8">
        <v>1200</v>
      </c>
      <c r="G54" s="9">
        <v>1</v>
      </c>
      <c r="H54" s="8">
        <v>1200</v>
      </c>
      <c r="I54" s="8">
        <f t="shared" si="10"/>
        <v>1200</v>
      </c>
      <c r="J54" s="8"/>
      <c r="K54" s="19"/>
      <c r="W54"/>
    </row>
    <row r="55" spans="1:23" s="26" customFormat="1" x14ac:dyDescent="0.2">
      <c r="A55" s="67"/>
      <c r="B55" s="48"/>
      <c r="C55" s="80"/>
      <c r="D55" s="48"/>
      <c r="E55" s="102"/>
      <c r="F55" s="8"/>
      <c r="G55" s="9"/>
      <c r="H55" s="8"/>
      <c r="I55" s="8"/>
      <c r="J55" s="8"/>
      <c r="K55" s="19"/>
      <c r="W55"/>
    </row>
    <row r="56" spans="1:23" x14ac:dyDescent="0.2">
      <c r="A56" s="76"/>
      <c r="B56" s="87" t="s">
        <v>97</v>
      </c>
      <c r="C56" s="82"/>
      <c r="D56" s="62"/>
      <c r="E56" s="72"/>
      <c r="F56" s="23"/>
      <c r="G56" s="24"/>
      <c r="H56" s="23"/>
      <c r="I56" s="23">
        <f>SUM(I49:I54)</f>
        <v>7344.2</v>
      </c>
      <c r="J56" s="23">
        <f t="shared" ref="J56:K56" si="11">SUM(J49:J54)</f>
        <v>0</v>
      </c>
      <c r="K56" s="25">
        <f t="shared" si="11"/>
        <v>0</v>
      </c>
      <c r="M56" s="26"/>
      <c r="N56" s="26"/>
      <c r="O56" s="26"/>
      <c r="P56" s="26"/>
    </row>
    <row r="57" spans="1:23" x14ac:dyDescent="0.2">
      <c r="A57" s="245"/>
      <c r="B57" s="245"/>
      <c r="C57" s="245"/>
      <c r="D57" s="245"/>
      <c r="E57" s="245"/>
      <c r="F57" s="245"/>
      <c r="G57" s="245"/>
      <c r="H57" s="245"/>
      <c r="I57" s="245"/>
      <c r="J57" s="245"/>
      <c r="K57" s="246"/>
    </row>
    <row r="58" spans="1:23" x14ac:dyDescent="0.2">
      <c r="A58" s="243" t="s">
        <v>98</v>
      </c>
      <c r="B58" s="243"/>
      <c r="C58" s="243"/>
      <c r="D58" s="243"/>
      <c r="E58" s="243"/>
      <c r="F58" s="243"/>
      <c r="G58" s="243"/>
      <c r="H58" s="243"/>
      <c r="I58" s="243"/>
      <c r="J58" s="243"/>
      <c r="K58" s="244"/>
    </row>
    <row r="59" spans="1:23" ht="16" x14ac:dyDescent="0.2">
      <c r="A59" s="67"/>
      <c r="B59" s="48">
        <v>34</v>
      </c>
      <c r="C59" s="80" t="s">
        <v>99</v>
      </c>
      <c r="D59" s="48"/>
      <c r="E59" s="68" t="s">
        <v>100</v>
      </c>
      <c r="F59" s="8">
        <f>21*35*14+(1709.52+3081.91)/3</f>
        <v>11887.143333333333</v>
      </c>
      <c r="G59" s="9">
        <v>3</v>
      </c>
      <c r="H59" s="8">
        <f>F59*G59</f>
        <v>35661.43</v>
      </c>
      <c r="I59" s="8">
        <f>H59</f>
        <v>35661.43</v>
      </c>
      <c r="J59" s="8"/>
      <c r="K59" s="19"/>
    </row>
    <row r="60" spans="1:23" ht="16" x14ac:dyDescent="0.2">
      <c r="A60" s="67"/>
      <c r="B60" s="48">
        <v>35</v>
      </c>
      <c r="C60" s="80" t="s">
        <v>101</v>
      </c>
      <c r="D60" s="48"/>
      <c r="E60" s="192" t="s">
        <v>102</v>
      </c>
      <c r="F60" s="8">
        <v>10000</v>
      </c>
      <c r="G60" s="9">
        <v>1</v>
      </c>
      <c r="H60" s="8">
        <f>F60*G60</f>
        <v>10000</v>
      </c>
      <c r="I60" s="8">
        <f>H60</f>
        <v>10000</v>
      </c>
      <c r="J60" s="8"/>
      <c r="K60" s="19"/>
    </row>
    <row r="61" spans="1:23" s="26" customFormat="1" ht="16" x14ac:dyDescent="0.2">
      <c r="A61" s="67"/>
      <c r="B61" s="48">
        <v>36</v>
      </c>
      <c r="C61" s="80" t="s">
        <v>103</v>
      </c>
      <c r="D61" s="48"/>
      <c r="E61" s="102" t="s">
        <v>104</v>
      </c>
      <c r="F61" s="8">
        <v>735</v>
      </c>
      <c r="G61" s="9">
        <v>3</v>
      </c>
      <c r="H61" s="8">
        <f>F61*G61</f>
        <v>2205</v>
      </c>
      <c r="I61" s="8">
        <f>H61</f>
        <v>2205</v>
      </c>
      <c r="J61" s="8"/>
      <c r="K61" s="19"/>
      <c r="M61" s="2"/>
      <c r="N61" s="2"/>
      <c r="O61" s="2"/>
      <c r="P61" s="2"/>
      <c r="W61"/>
    </row>
    <row r="62" spans="1:23" ht="16" x14ac:dyDescent="0.2">
      <c r="A62" s="67"/>
      <c r="B62" s="48">
        <v>37</v>
      </c>
      <c r="C62" s="80" t="s">
        <v>105</v>
      </c>
      <c r="D62" s="48"/>
      <c r="E62" s="67" t="s">
        <v>106</v>
      </c>
      <c r="F62" s="8">
        <v>6538.05</v>
      </c>
      <c r="G62" s="9">
        <v>3</v>
      </c>
      <c r="H62" s="8">
        <f>F62*G62</f>
        <v>19614.150000000001</v>
      </c>
      <c r="I62" s="8">
        <f>H62</f>
        <v>19614.150000000001</v>
      </c>
      <c r="J62" s="8"/>
      <c r="K62" s="19"/>
      <c r="M62" s="26"/>
      <c r="N62" s="26"/>
      <c r="O62" s="26"/>
      <c r="P62" s="26"/>
    </row>
    <row r="63" spans="1:23" x14ac:dyDescent="0.2">
      <c r="A63" s="67"/>
      <c r="B63" s="48"/>
      <c r="C63" s="80"/>
      <c r="D63" s="48"/>
      <c r="E63" s="67"/>
      <c r="F63" s="8"/>
      <c r="G63" s="9"/>
      <c r="H63" s="8"/>
      <c r="I63" s="8"/>
      <c r="J63" s="8"/>
      <c r="K63" s="19"/>
    </row>
    <row r="64" spans="1:23" s="34" customFormat="1" x14ac:dyDescent="0.2">
      <c r="A64" s="76"/>
      <c r="B64" s="87" t="s">
        <v>107</v>
      </c>
      <c r="C64" s="82"/>
      <c r="D64" s="62"/>
      <c r="E64" s="72"/>
      <c r="F64" s="23"/>
      <c r="G64" s="24"/>
      <c r="H64" s="23"/>
      <c r="I64" s="23">
        <f>SUM(I59:I62)</f>
        <v>67480.58</v>
      </c>
      <c r="J64" s="23">
        <f t="shared" ref="J64:K64" si="12">SUM(J59:J62)</f>
        <v>0</v>
      </c>
      <c r="K64" s="25">
        <f t="shared" si="12"/>
        <v>0</v>
      </c>
      <c r="M64" s="2"/>
      <c r="N64" s="2"/>
      <c r="O64" s="2"/>
      <c r="P64" s="2"/>
      <c r="W64"/>
    </row>
    <row r="65" spans="1:23" x14ac:dyDescent="0.2">
      <c r="A65" s="67"/>
      <c r="B65" s="48"/>
      <c r="C65" s="80"/>
      <c r="D65" s="48"/>
      <c r="E65" s="67"/>
      <c r="F65" s="8"/>
      <c r="G65" s="9"/>
      <c r="H65" s="8"/>
      <c r="I65" s="8"/>
      <c r="J65" s="8"/>
      <c r="K65" s="19"/>
      <c r="M65" s="34"/>
      <c r="N65" s="34"/>
      <c r="O65" s="34"/>
      <c r="P65" s="34"/>
    </row>
    <row r="66" spans="1:23" ht="15" customHeight="1" x14ac:dyDescent="0.2">
      <c r="A66" s="93"/>
      <c r="B66" s="88" t="s">
        <v>108</v>
      </c>
      <c r="C66" s="83"/>
      <c r="D66" s="63"/>
      <c r="E66" s="74"/>
      <c r="F66" s="31"/>
      <c r="G66" s="32"/>
      <c r="H66" s="31"/>
      <c r="I66" s="31">
        <f>SumBold(I17:I65)</f>
        <v>284728.71970000002</v>
      </c>
      <c r="J66" s="31">
        <f>SumBold(J17:J65)</f>
        <v>9435.34</v>
      </c>
      <c r="K66" s="33">
        <f>SumBold(K17:K65)</f>
        <v>8331.83</v>
      </c>
    </row>
    <row r="67" spans="1:23" s="26" customFormat="1" x14ac:dyDescent="0.2">
      <c r="A67" s="67"/>
      <c r="B67" s="48"/>
      <c r="C67" s="80"/>
      <c r="D67" s="48"/>
      <c r="E67" s="67"/>
      <c r="F67" s="8"/>
      <c r="G67" s="9"/>
      <c r="H67" s="8"/>
      <c r="I67" s="8"/>
      <c r="J67" s="8"/>
      <c r="K67" s="19"/>
      <c r="M67" s="2"/>
      <c r="N67" s="2"/>
      <c r="O67" s="2"/>
      <c r="P67" s="2"/>
      <c r="W67"/>
    </row>
    <row r="68" spans="1:23" s="26" customFormat="1" x14ac:dyDescent="0.2">
      <c r="A68" s="92" t="s">
        <v>109</v>
      </c>
      <c r="B68" s="61"/>
      <c r="C68" s="81"/>
      <c r="D68" s="61"/>
      <c r="E68" s="69"/>
      <c r="F68" s="14"/>
      <c r="G68" s="15"/>
      <c r="H68" s="14"/>
      <c r="I68" s="14"/>
      <c r="J68" s="14"/>
      <c r="K68" s="16"/>
      <c r="W68"/>
    </row>
    <row r="69" spans="1:23" s="26" customFormat="1" x14ac:dyDescent="0.2">
      <c r="A69" s="76"/>
      <c r="B69" s="64" t="s">
        <v>110</v>
      </c>
      <c r="C69" s="84"/>
      <c r="D69" s="64"/>
      <c r="E69" s="76"/>
      <c r="F69" s="37"/>
      <c r="G69" s="38"/>
      <c r="H69" s="37"/>
      <c r="I69" s="37">
        <f>I14</f>
        <v>357064.56</v>
      </c>
      <c r="J69" s="37">
        <f>J14</f>
        <v>0</v>
      </c>
      <c r="K69" s="39">
        <f>K14</f>
        <v>0</v>
      </c>
      <c r="W69"/>
    </row>
    <row r="70" spans="1:23" x14ac:dyDescent="0.2">
      <c r="A70" s="76"/>
      <c r="B70" s="64" t="s">
        <v>111</v>
      </c>
      <c r="C70" s="84"/>
      <c r="D70" s="64"/>
      <c r="E70" s="76"/>
      <c r="F70" s="37"/>
      <c r="G70" s="38"/>
      <c r="H70" s="37"/>
      <c r="I70" s="37">
        <f>I66</f>
        <v>284728.71970000002</v>
      </c>
      <c r="J70" s="37">
        <f>J66</f>
        <v>9435.34</v>
      </c>
      <c r="K70" s="40">
        <f>K66</f>
        <v>8331.83</v>
      </c>
      <c r="M70" s="26"/>
      <c r="N70" s="26"/>
      <c r="O70" s="26"/>
      <c r="P70" s="26"/>
    </row>
    <row r="71" spans="1:23" x14ac:dyDescent="0.2">
      <c r="A71" s="78"/>
      <c r="B71" s="65" t="s">
        <v>112</v>
      </c>
      <c r="C71" s="85"/>
      <c r="D71" s="65"/>
      <c r="E71" s="78"/>
      <c r="F71" s="43"/>
      <c r="G71" s="44"/>
      <c r="H71" s="43"/>
      <c r="I71" s="55">
        <f>SUM(I69,I70*-1)</f>
        <v>72335.840299999982</v>
      </c>
      <c r="J71" s="43">
        <f>SUM(J69,J70*-1)</f>
        <v>-9435.34</v>
      </c>
      <c r="K71" s="45">
        <f>SUM(K69,K70*-1)</f>
        <v>-8331.83</v>
      </c>
    </row>
  </sheetData>
  <mergeCells count="10">
    <mergeCell ref="M2:P2"/>
    <mergeCell ref="B1:K1"/>
    <mergeCell ref="A58:K58"/>
    <mergeCell ref="A57:K57"/>
    <mergeCell ref="A48:K48"/>
    <mergeCell ref="A47:K47"/>
    <mergeCell ref="A38:K38"/>
    <mergeCell ref="A37:K37"/>
    <mergeCell ref="A17:K17"/>
    <mergeCell ref="A5:K5"/>
  </mergeCells>
  <phoneticPr fontId="13" type="noConversion"/>
  <conditionalFormatting sqref="B18:D18 F59:K59 F39:K39 B63:K71 B45:K46 B36:K36 C19:D25 B6:K8 B19:B35 C41:K44 B49:K56 C61:K62 B10:K15 E18:K35">
    <cfRule type="expression" dxfId="141" priority="17">
      <formula>MOD($B6,2)=1</formula>
    </cfRule>
  </conditionalFormatting>
  <conditionalFormatting sqref="C32:D35">
    <cfRule type="expression" dxfId="140" priority="14">
      <formula>MOD($B32,2)=1</formula>
    </cfRule>
  </conditionalFormatting>
  <conditionalFormatting sqref="B59:D60 F60:K60 E59 B61:B62">
    <cfRule type="expression" dxfId="139" priority="11">
      <formula>MOD($B59,2)=1</formula>
    </cfRule>
  </conditionalFormatting>
  <conditionalFormatting sqref="C29:D31">
    <cfRule type="expression" dxfId="138" priority="10">
      <formula>MOD($B29,2)=1</formula>
    </cfRule>
  </conditionalFormatting>
  <conditionalFormatting sqref="C26:D28">
    <cfRule type="expression" dxfId="137" priority="9">
      <formula>MOD($B26,2)=1</formula>
    </cfRule>
  </conditionalFormatting>
  <conditionalFormatting sqref="B39:D40 F40:K40 E39 B41:B44">
    <cfRule type="expression" dxfId="136" priority="6">
      <formula>MOD($B39,2)=1</formula>
    </cfRule>
  </conditionalFormatting>
  <conditionalFormatting sqref="B9:K9">
    <cfRule type="expression" dxfId="135" priority="4">
      <formula>MOD($B9,2)=1</formula>
    </cfRule>
  </conditionalFormatting>
  <conditionalFormatting sqref="V40:V42">
    <cfRule type="expression" dxfId="134" priority="1">
      <formula>MOD($B77,2)=1</formula>
    </cfRule>
  </conditionalFormatting>
  <pageMargins left="0.7" right="0.7" top="0.75" bottom="0.75" header="0.3" footer="0.3"/>
  <pageSetup scale="26" fitToWidth="0"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A7B33-839A-4A55-BA6F-2540E006A10A}">
  <sheetPr codeName="Sheet7"/>
  <dimension ref="A1:L47"/>
  <sheetViews>
    <sheetView showGridLines="0" zoomScale="65" zoomScaleNormal="75" workbookViewId="0">
      <pane ySplit="2" topLeftCell="A3" activePane="bottomLeft" state="frozen"/>
      <selection pane="bottomLeft" activeCell="I43" sqref="I43"/>
    </sheetView>
  </sheetViews>
  <sheetFormatPr baseColWidth="10" defaultColWidth="9.83203125" defaultRowHeight="15" x14ac:dyDescent="0.2"/>
  <cols>
    <col min="1" max="1" width="25.83203125" customWidth="1"/>
    <col min="2" max="2" width="23.5" style="7" customWidth="1"/>
    <col min="3" max="3" width="23.5" style="68" customWidth="1"/>
    <col min="4" max="4" width="21.33203125" style="48" customWidth="1"/>
    <col min="5" max="5" width="55.33203125" customWidth="1"/>
    <col min="6" max="6" width="15.5" style="8" customWidth="1"/>
    <col min="7" max="7" width="15.5" style="9" customWidth="1"/>
    <col min="8" max="8" width="19.5" style="8" customWidth="1"/>
    <col min="9" max="9" width="18.5" style="8" customWidth="1"/>
    <col min="10" max="11" width="21" style="8" customWidth="1"/>
    <col min="12" max="12" width="21.33203125" style="1" customWidth="1"/>
    <col min="13" max="16384" width="9.83203125" style="2"/>
  </cols>
  <sheetData>
    <row r="1" spans="1:12" ht="148.5" customHeight="1" x14ac:dyDescent="0.2">
      <c r="B1" s="242" t="s">
        <v>283</v>
      </c>
      <c r="C1" s="242"/>
      <c r="D1" s="242"/>
      <c r="E1" s="242"/>
      <c r="F1" s="242"/>
      <c r="G1" s="242"/>
      <c r="H1" s="242"/>
      <c r="I1" s="242"/>
      <c r="J1" s="242"/>
      <c r="K1" s="242"/>
    </row>
    <row r="2" spans="1:12" s="6" customFormat="1" ht="15" customHeight="1" x14ac:dyDescent="0.25">
      <c r="A2" s="3" t="s">
        <v>1</v>
      </c>
      <c r="B2" s="3" t="s">
        <v>2</v>
      </c>
      <c r="C2" s="60" t="s">
        <v>3</v>
      </c>
      <c r="D2" s="60" t="s">
        <v>114</v>
      </c>
      <c r="E2" s="3" t="s">
        <v>4</v>
      </c>
      <c r="F2" s="4" t="s">
        <v>5</v>
      </c>
      <c r="G2" s="3" t="s">
        <v>6</v>
      </c>
      <c r="H2" s="4" t="s">
        <v>7</v>
      </c>
      <c r="I2" s="4" t="s">
        <v>8</v>
      </c>
      <c r="J2" s="4" t="s">
        <v>115</v>
      </c>
      <c r="K2" s="4" t="s">
        <v>9</v>
      </c>
      <c r="L2" s="5" t="s">
        <v>10</v>
      </c>
    </row>
    <row r="3" spans="1:12" ht="14.25" customHeight="1" x14ac:dyDescent="0.2">
      <c r="L3" s="10"/>
    </row>
    <row r="4" spans="1:12" x14ac:dyDescent="0.2">
      <c r="A4" s="11" t="s">
        <v>12</v>
      </c>
      <c r="B4" s="12"/>
      <c r="C4" s="70"/>
      <c r="D4" s="61"/>
      <c r="E4" s="13"/>
      <c r="F4" s="14"/>
      <c r="G4" s="15"/>
      <c r="H4" s="14"/>
      <c r="I4" s="14"/>
      <c r="J4" s="14"/>
      <c r="K4" s="14"/>
      <c r="L4" s="16"/>
    </row>
    <row r="5" spans="1:12" x14ac:dyDescent="0.2">
      <c r="A5" s="17" t="s">
        <v>284</v>
      </c>
      <c r="L5" s="18"/>
    </row>
    <row r="6" spans="1:12" customFormat="1" x14ac:dyDescent="0.2">
      <c r="B6" s="134">
        <v>25000</v>
      </c>
      <c r="C6" s="143" t="s">
        <v>285</v>
      </c>
      <c r="D6" s="135"/>
      <c r="E6" s="136" t="s">
        <v>286</v>
      </c>
      <c r="F6" s="139">
        <v>20</v>
      </c>
      <c r="G6" s="137">
        <v>6</v>
      </c>
      <c r="H6" s="106">
        <f t="shared" ref="H6:H10" si="0">F6*G6</f>
        <v>120</v>
      </c>
      <c r="I6" s="106">
        <f t="shared" ref="I6:I10" si="1">H6*1.13</f>
        <v>135.6</v>
      </c>
      <c r="J6" s="106">
        <f>I6*0.75</f>
        <v>101.69999999999999</v>
      </c>
      <c r="K6" s="106"/>
      <c r="L6" s="138"/>
    </row>
    <row r="7" spans="1:12" customFormat="1" x14ac:dyDescent="0.2">
      <c r="B7" s="7">
        <v>25001</v>
      </c>
      <c r="C7" s="68" t="s">
        <v>287</v>
      </c>
      <c r="D7" s="48"/>
      <c r="E7" t="s">
        <v>286</v>
      </c>
      <c r="F7" s="124">
        <v>20</v>
      </c>
      <c r="G7" s="9">
        <v>6</v>
      </c>
      <c r="H7" s="50">
        <f t="shared" si="0"/>
        <v>120</v>
      </c>
      <c r="I7" s="50">
        <f t="shared" si="1"/>
        <v>135.6</v>
      </c>
      <c r="J7" s="50">
        <f t="shared" ref="J7:J10" si="2">I7*0.75</f>
        <v>101.69999999999999</v>
      </c>
      <c r="K7" s="50"/>
      <c r="L7" s="125"/>
    </row>
    <row r="8" spans="1:12" customFormat="1" x14ac:dyDescent="0.2">
      <c r="B8" s="134">
        <v>25002</v>
      </c>
      <c r="C8" s="143" t="s">
        <v>288</v>
      </c>
      <c r="D8" s="135"/>
      <c r="E8" s="136" t="s">
        <v>286</v>
      </c>
      <c r="F8" s="139">
        <v>15</v>
      </c>
      <c r="G8" s="137">
        <v>6</v>
      </c>
      <c r="H8" s="106">
        <f t="shared" si="0"/>
        <v>90</v>
      </c>
      <c r="I8" s="106">
        <f t="shared" si="1"/>
        <v>101.69999999999999</v>
      </c>
      <c r="J8" s="106">
        <f t="shared" si="2"/>
        <v>76.274999999999991</v>
      </c>
      <c r="K8" s="106"/>
      <c r="L8" s="138"/>
    </row>
    <row r="9" spans="1:12" customFormat="1" x14ac:dyDescent="0.2">
      <c r="B9" s="7">
        <v>25003</v>
      </c>
      <c r="C9" s="68" t="s">
        <v>289</v>
      </c>
      <c r="D9" s="48"/>
      <c r="E9" t="s">
        <v>286</v>
      </c>
      <c r="F9" s="124">
        <v>35</v>
      </c>
      <c r="G9" s="9">
        <v>6</v>
      </c>
      <c r="H9" s="50">
        <f t="shared" si="0"/>
        <v>210</v>
      </c>
      <c r="I9" s="50">
        <f t="shared" si="1"/>
        <v>237.29999999999998</v>
      </c>
      <c r="J9" s="50">
        <f t="shared" si="2"/>
        <v>177.97499999999999</v>
      </c>
      <c r="K9" s="50"/>
      <c r="L9" s="125"/>
    </row>
    <row r="10" spans="1:12" customFormat="1" x14ac:dyDescent="0.2">
      <c r="B10" s="134">
        <v>25004</v>
      </c>
      <c r="C10" s="143" t="s">
        <v>290</v>
      </c>
      <c r="D10" s="135"/>
      <c r="E10" s="136" t="s">
        <v>286</v>
      </c>
      <c r="F10" s="106">
        <v>15</v>
      </c>
      <c r="G10" s="137">
        <v>6</v>
      </c>
      <c r="H10" s="106">
        <f t="shared" si="0"/>
        <v>90</v>
      </c>
      <c r="I10" s="106">
        <f t="shared" si="1"/>
        <v>101.69999999999999</v>
      </c>
      <c r="J10" s="106">
        <f t="shared" si="2"/>
        <v>76.274999999999991</v>
      </c>
      <c r="K10" s="106"/>
      <c r="L10" s="138"/>
    </row>
    <row r="11" spans="1:12" x14ac:dyDescent="0.2">
      <c r="L11" s="19"/>
    </row>
    <row r="12" spans="1:12" s="26" customFormat="1" x14ac:dyDescent="0.2">
      <c r="A12" s="17"/>
      <c r="B12" s="20" t="s">
        <v>146</v>
      </c>
      <c r="C12" s="73"/>
      <c r="D12" s="62"/>
      <c r="E12" s="22"/>
      <c r="F12" s="23"/>
      <c r="G12" s="24"/>
      <c r="H12" s="23"/>
      <c r="I12" s="23">
        <f>SUM(I6:I10)</f>
        <v>711.89999999999986</v>
      </c>
      <c r="J12" s="23">
        <f>SUM(J6:J10)</f>
        <v>533.92499999999995</v>
      </c>
      <c r="K12" s="23">
        <f>SUM(K6:K10)</f>
        <v>0</v>
      </c>
      <c r="L12" s="25">
        <f>SUM(L6:L10)</f>
        <v>0</v>
      </c>
    </row>
    <row r="13" spans="1:12" x14ac:dyDescent="0.2">
      <c r="L13" s="19"/>
    </row>
    <row r="14" spans="1:12" s="34" customFormat="1" x14ac:dyDescent="0.2">
      <c r="A14" s="27"/>
      <c r="B14" s="28" t="s">
        <v>38</v>
      </c>
      <c r="C14" s="75"/>
      <c r="D14" s="63"/>
      <c r="E14" s="30"/>
      <c r="F14" s="31"/>
      <c r="G14" s="32"/>
      <c r="H14" s="31"/>
      <c r="I14" s="31">
        <f>SumBold(I5:I13)</f>
        <v>711.9</v>
      </c>
      <c r="J14" s="31">
        <f>SumBold(J5:J13)</f>
        <v>533.92499999999995</v>
      </c>
      <c r="K14" s="31">
        <f>SumBold(K5:K13)</f>
        <v>0</v>
      </c>
      <c r="L14" s="33">
        <f>SumBold(L5:L13)</f>
        <v>0</v>
      </c>
    </row>
    <row r="15" spans="1:12" x14ac:dyDescent="0.2">
      <c r="L15" s="19"/>
    </row>
    <row r="16" spans="1:12" x14ac:dyDescent="0.2">
      <c r="A16" s="11" t="s">
        <v>41</v>
      </c>
      <c r="B16" s="12"/>
      <c r="C16" s="70"/>
      <c r="D16" s="61"/>
      <c r="E16" s="13"/>
      <c r="F16" s="14"/>
      <c r="G16" s="15"/>
      <c r="H16" s="14"/>
      <c r="I16" s="14"/>
      <c r="J16" s="14"/>
      <c r="K16" s="14"/>
      <c r="L16" s="16"/>
    </row>
    <row r="17" spans="1:12" x14ac:dyDescent="0.2">
      <c r="A17" s="17" t="s">
        <v>291</v>
      </c>
      <c r="L17" s="19"/>
    </row>
    <row r="18" spans="1:12" customFormat="1" x14ac:dyDescent="0.2">
      <c r="A18" s="66" t="s">
        <v>292</v>
      </c>
      <c r="B18" s="7">
        <v>25100</v>
      </c>
      <c r="C18" s="68" t="s">
        <v>293</v>
      </c>
      <c r="E18" t="s">
        <v>294</v>
      </c>
      <c r="F18" s="50">
        <v>500</v>
      </c>
      <c r="G18" s="9">
        <v>1</v>
      </c>
      <c r="H18" s="50">
        <f>F18*G18</f>
        <v>500</v>
      </c>
      <c r="I18" s="50">
        <f>H18*1.13</f>
        <v>565</v>
      </c>
      <c r="J18" s="50">
        <f>I18*1.25</f>
        <v>706.25</v>
      </c>
      <c r="K18" s="50"/>
      <c r="L18" s="125"/>
    </row>
    <row r="19" spans="1:12" customFormat="1" x14ac:dyDescent="0.2">
      <c r="A19" s="66" t="s">
        <v>295</v>
      </c>
      <c r="B19" s="134">
        <v>25101</v>
      </c>
      <c r="C19" s="143" t="s">
        <v>296</v>
      </c>
      <c r="D19" s="134">
        <v>23</v>
      </c>
      <c r="E19" s="136" t="s">
        <v>297</v>
      </c>
      <c r="F19" s="106">
        <v>1.5</v>
      </c>
      <c r="G19" s="137">
        <v>25</v>
      </c>
      <c r="H19" s="106">
        <f t="shared" ref="H19:H22" si="3">F19*G19</f>
        <v>37.5</v>
      </c>
      <c r="I19" s="106">
        <f t="shared" ref="I19:I22" si="4">H19*1.13</f>
        <v>42.374999999999993</v>
      </c>
      <c r="J19" s="106">
        <f t="shared" ref="J19:J22" si="5">I19*1.25</f>
        <v>52.968749999999993</v>
      </c>
      <c r="K19" s="106"/>
      <c r="L19" s="138"/>
    </row>
    <row r="20" spans="1:12" customFormat="1" x14ac:dyDescent="0.2">
      <c r="A20" s="66" t="s">
        <v>298</v>
      </c>
      <c r="B20" s="134">
        <v>25102</v>
      </c>
      <c r="C20" s="143" t="s">
        <v>299</v>
      </c>
      <c r="D20" s="134">
        <v>12</v>
      </c>
      <c r="E20" s="136" t="s">
        <v>300</v>
      </c>
      <c r="F20" s="106">
        <v>40</v>
      </c>
      <c r="G20" s="137">
        <v>10</v>
      </c>
      <c r="H20" s="106">
        <f t="shared" si="3"/>
        <v>400</v>
      </c>
      <c r="I20" s="106">
        <f t="shared" si="4"/>
        <v>451.99999999999994</v>
      </c>
      <c r="J20" s="106">
        <f t="shared" si="5"/>
        <v>564.99999999999989</v>
      </c>
      <c r="K20" s="106"/>
      <c r="L20" s="138"/>
    </row>
    <row r="21" spans="1:12" customFormat="1" x14ac:dyDescent="0.2">
      <c r="A21" s="201"/>
      <c r="B21" s="7">
        <v>25103</v>
      </c>
      <c r="C21" s="68" t="s">
        <v>301</v>
      </c>
      <c r="D21" s="7">
        <v>28</v>
      </c>
      <c r="E21" t="s">
        <v>300</v>
      </c>
      <c r="F21" s="50">
        <v>10</v>
      </c>
      <c r="G21" s="9">
        <v>10</v>
      </c>
      <c r="H21" s="50">
        <f t="shared" si="3"/>
        <v>100</v>
      </c>
      <c r="I21" s="50">
        <f t="shared" si="4"/>
        <v>112.99999999999999</v>
      </c>
      <c r="J21" s="50">
        <f t="shared" si="5"/>
        <v>141.24999999999997</v>
      </c>
      <c r="K21" s="50"/>
      <c r="L21" s="125"/>
    </row>
    <row r="22" spans="1:12" customFormat="1" x14ac:dyDescent="0.2">
      <c r="B22" s="134">
        <v>25104</v>
      </c>
      <c r="C22" s="143" t="s">
        <v>302</v>
      </c>
      <c r="D22" s="134">
        <v>18</v>
      </c>
      <c r="E22" s="136" t="s">
        <v>303</v>
      </c>
      <c r="F22" s="106">
        <v>120</v>
      </c>
      <c r="G22" s="137">
        <v>1</v>
      </c>
      <c r="H22" s="106">
        <f t="shared" si="3"/>
        <v>120</v>
      </c>
      <c r="I22" s="106">
        <f t="shared" si="4"/>
        <v>135.6</v>
      </c>
      <c r="J22" s="106">
        <f t="shared" si="5"/>
        <v>169.5</v>
      </c>
      <c r="K22" s="106"/>
      <c r="L22" s="138"/>
    </row>
    <row r="23" spans="1:12" x14ac:dyDescent="0.2">
      <c r="L23" s="19"/>
    </row>
    <row r="24" spans="1:12" s="26" customFormat="1" x14ac:dyDescent="0.2">
      <c r="A24" s="17"/>
      <c r="B24" s="20" t="s">
        <v>148</v>
      </c>
      <c r="C24" s="73"/>
      <c r="D24" s="62"/>
      <c r="E24" s="22"/>
      <c r="F24" s="23"/>
      <c r="G24" s="24"/>
      <c r="H24" s="23"/>
      <c r="I24" s="23">
        <f>SUM(I18:I22)</f>
        <v>1307.9749999999999</v>
      </c>
      <c r="J24" s="23">
        <f>SUM(J18:J22)</f>
        <v>1634.96875</v>
      </c>
      <c r="K24" s="23">
        <f>SUM(K18:K22)</f>
        <v>0</v>
      </c>
      <c r="L24" s="25">
        <f>SUM(L18:L22)</f>
        <v>0</v>
      </c>
    </row>
    <row r="25" spans="1:12" x14ac:dyDescent="0.2">
      <c r="A25" s="17" t="s">
        <v>304</v>
      </c>
      <c r="L25" s="19"/>
    </row>
    <row r="26" spans="1:12" s="167" customFormat="1" x14ac:dyDescent="0.2">
      <c r="A26" s="202" t="s">
        <v>305</v>
      </c>
      <c r="B26" s="190">
        <v>25200</v>
      </c>
      <c r="C26" s="178" t="s">
        <v>306</v>
      </c>
      <c r="D26" s="190">
        <v>29</v>
      </c>
      <c r="E26" s="191" t="s">
        <v>307</v>
      </c>
      <c r="F26" s="180">
        <v>100</v>
      </c>
      <c r="G26" s="181">
        <v>1</v>
      </c>
      <c r="H26" s="106">
        <f>F26*G26</f>
        <v>100</v>
      </c>
      <c r="I26" s="106">
        <f>H26*1.13</f>
        <v>112.99999999999999</v>
      </c>
      <c r="J26" s="106">
        <f>I26*1.25</f>
        <v>141.24999999999997</v>
      </c>
      <c r="K26" s="106"/>
      <c r="L26" s="138"/>
    </row>
    <row r="27" spans="1:12" x14ac:dyDescent="0.2">
      <c r="L27" s="19"/>
    </row>
    <row r="28" spans="1:12" s="26" customFormat="1" x14ac:dyDescent="0.2">
      <c r="A28" s="17"/>
      <c r="B28" s="20" t="s">
        <v>238</v>
      </c>
      <c r="C28" s="73"/>
      <c r="D28" s="62"/>
      <c r="E28" s="22"/>
      <c r="F28" s="23"/>
      <c r="G28" s="24"/>
      <c r="H28" s="23"/>
      <c r="I28" s="23">
        <f>SUM(I26:I26)</f>
        <v>112.99999999999999</v>
      </c>
      <c r="J28" s="23">
        <f>SUM(J26:J26)</f>
        <v>141.24999999999997</v>
      </c>
      <c r="K28" s="23">
        <f>SUM(K26:K26)</f>
        <v>0</v>
      </c>
      <c r="L28" s="25">
        <f>SUM(L26:L26)</f>
        <v>0</v>
      </c>
    </row>
    <row r="29" spans="1:12" x14ac:dyDescent="0.2">
      <c r="A29" s="17" t="s">
        <v>308</v>
      </c>
      <c r="L29" s="19"/>
    </row>
    <row r="30" spans="1:12" s="167" customFormat="1" x14ac:dyDescent="0.2">
      <c r="A30" s="140"/>
      <c r="B30" s="190" t="s">
        <v>117</v>
      </c>
      <c r="C30" s="178"/>
      <c r="D30" s="179"/>
      <c r="E30" s="191"/>
      <c r="F30" s="199"/>
      <c r="G30" s="181"/>
      <c r="H30" s="180">
        <f>F30*G30</f>
        <v>0</v>
      </c>
      <c r="I30" s="180">
        <f>H30*1.13</f>
        <v>0</v>
      </c>
      <c r="J30" s="180">
        <f>I30*1.25</f>
        <v>0</v>
      </c>
      <c r="K30" s="180"/>
      <c r="L30" s="200"/>
    </row>
    <row r="31" spans="1:12" x14ac:dyDescent="0.2">
      <c r="L31" s="19"/>
    </row>
    <row r="32" spans="1:12" s="26" customFormat="1" x14ac:dyDescent="0.2">
      <c r="A32" s="17"/>
      <c r="B32" s="20" t="s">
        <v>138</v>
      </c>
      <c r="C32" s="73"/>
      <c r="D32" s="62"/>
      <c r="E32" s="22"/>
      <c r="F32" s="23"/>
      <c r="G32" s="24"/>
      <c r="H32" s="23"/>
      <c r="I32" s="23">
        <f>SUM(I30:I30)</f>
        <v>0</v>
      </c>
      <c r="J32" s="23">
        <f>SUM(J30:J30)</f>
        <v>0</v>
      </c>
      <c r="K32" s="23">
        <f>SUM(K30:K30)</f>
        <v>0</v>
      </c>
      <c r="L32" s="25">
        <f>SUM(L30:L30)</f>
        <v>0</v>
      </c>
    </row>
    <row r="33" spans="1:12" x14ac:dyDescent="0.2">
      <c r="A33" s="17" t="s">
        <v>309</v>
      </c>
      <c r="L33" s="19"/>
    </row>
    <row r="34" spans="1:12" customFormat="1" x14ac:dyDescent="0.2">
      <c r="A34" s="202" t="s">
        <v>286</v>
      </c>
      <c r="B34" s="7">
        <v>25400</v>
      </c>
      <c r="C34" s="68" t="s">
        <v>285</v>
      </c>
      <c r="D34" s="48">
        <v>21</v>
      </c>
      <c r="E34" t="s">
        <v>286</v>
      </c>
      <c r="F34" s="124">
        <v>20</v>
      </c>
      <c r="G34" s="9">
        <v>6</v>
      </c>
      <c r="H34" s="50">
        <f>F34*G34</f>
        <v>120</v>
      </c>
      <c r="I34" s="50">
        <f>H34*1.13</f>
        <v>135.6</v>
      </c>
      <c r="J34" s="50">
        <f>I34*1.25</f>
        <v>169.5</v>
      </c>
      <c r="K34" s="50"/>
      <c r="L34" s="125"/>
    </row>
    <row r="35" spans="1:12" customFormat="1" x14ac:dyDescent="0.2">
      <c r="B35" s="134">
        <v>25401</v>
      </c>
      <c r="C35" s="143" t="s">
        <v>287</v>
      </c>
      <c r="D35" s="135">
        <v>21</v>
      </c>
      <c r="E35" s="136" t="s">
        <v>286</v>
      </c>
      <c r="F35" s="139">
        <v>20</v>
      </c>
      <c r="G35" s="137">
        <v>6</v>
      </c>
      <c r="H35" s="106">
        <f t="shared" ref="H35:H38" si="6">F35*G35</f>
        <v>120</v>
      </c>
      <c r="I35" s="106">
        <f t="shared" ref="I35:I38" si="7">H35*1.13</f>
        <v>135.6</v>
      </c>
      <c r="J35" s="106">
        <f t="shared" ref="J35:J38" si="8">I35*1.25</f>
        <v>169.5</v>
      </c>
      <c r="K35" s="106"/>
      <c r="L35" s="138"/>
    </row>
    <row r="36" spans="1:12" customFormat="1" x14ac:dyDescent="0.2">
      <c r="B36" s="7">
        <v>25402</v>
      </c>
      <c r="C36" s="68" t="s">
        <v>288</v>
      </c>
      <c r="D36" s="48">
        <v>21</v>
      </c>
      <c r="E36" t="s">
        <v>286</v>
      </c>
      <c r="F36" s="124">
        <v>15</v>
      </c>
      <c r="G36" s="9">
        <v>6</v>
      </c>
      <c r="H36" s="50">
        <f t="shared" si="6"/>
        <v>90</v>
      </c>
      <c r="I36" s="50">
        <f t="shared" si="7"/>
        <v>101.69999999999999</v>
      </c>
      <c r="J36" s="50">
        <f t="shared" si="8"/>
        <v>127.12499999999999</v>
      </c>
      <c r="K36" s="50"/>
      <c r="L36" s="125"/>
    </row>
    <row r="37" spans="1:12" customFormat="1" x14ac:dyDescent="0.2">
      <c r="B37" s="134">
        <v>25403</v>
      </c>
      <c r="C37" s="143" t="s">
        <v>289</v>
      </c>
      <c r="D37" s="135">
        <v>21</v>
      </c>
      <c r="E37" s="136" t="s">
        <v>286</v>
      </c>
      <c r="F37" s="139">
        <v>35</v>
      </c>
      <c r="G37" s="137">
        <v>6</v>
      </c>
      <c r="H37" s="106">
        <f t="shared" si="6"/>
        <v>210</v>
      </c>
      <c r="I37" s="106">
        <f t="shared" si="7"/>
        <v>237.29999999999998</v>
      </c>
      <c r="J37" s="106">
        <f t="shared" si="8"/>
        <v>296.625</v>
      </c>
      <c r="K37" s="106"/>
      <c r="L37" s="138"/>
    </row>
    <row r="38" spans="1:12" customFormat="1" x14ac:dyDescent="0.2">
      <c r="B38" s="7">
        <v>25404</v>
      </c>
      <c r="C38" s="68" t="s">
        <v>310</v>
      </c>
      <c r="D38" s="48">
        <v>21</v>
      </c>
      <c r="E38" t="s">
        <v>286</v>
      </c>
      <c r="F38" s="141">
        <v>15</v>
      </c>
      <c r="G38" s="9">
        <v>6</v>
      </c>
      <c r="H38" s="50">
        <f t="shared" si="6"/>
        <v>90</v>
      </c>
      <c r="I38" s="50">
        <f t="shared" si="7"/>
        <v>101.69999999999999</v>
      </c>
      <c r="J38" s="50">
        <f t="shared" si="8"/>
        <v>127.12499999999999</v>
      </c>
      <c r="K38" s="50"/>
      <c r="L38" s="125"/>
    </row>
    <row r="39" spans="1:12" x14ac:dyDescent="0.2">
      <c r="L39" s="19"/>
    </row>
    <row r="40" spans="1:12" s="26" customFormat="1" x14ac:dyDescent="0.2">
      <c r="A40" s="17"/>
      <c r="B40" s="20" t="s">
        <v>138</v>
      </c>
      <c r="C40" s="73"/>
      <c r="D40" s="62"/>
      <c r="E40" s="22"/>
      <c r="F40" s="23"/>
      <c r="G40" s="24"/>
      <c r="H40" s="23"/>
      <c r="I40" s="23">
        <f>SUM(I34:I38)</f>
        <v>711.89999999999986</v>
      </c>
      <c r="J40" s="23">
        <f>SUM(J34:J38)</f>
        <v>889.875</v>
      </c>
      <c r="K40" s="23">
        <f>SUM(K34:K38)</f>
        <v>0</v>
      </c>
      <c r="L40" s="25">
        <f>SUM(L34:L38)</f>
        <v>0</v>
      </c>
    </row>
    <row r="41" spans="1:12" x14ac:dyDescent="0.2">
      <c r="L41" s="19"/>
    </row>
    <row r="42" spans="1:12" s="34" customFormat="1" x14ac:dyDescent="0.2">
      <c r="A42" s="27"/>
      <c r="B42" s="28" t="s">
        <v>108</v>
      </c>
      <c r="C42" s="75"/>
      <c r="D42" s="63"/>
      <c r="E42" s="30"/>
      <c r="F42" s="31"/>
      <c r="G42" s="32"/>
      <c r="H42" s="31"/>
      <c r="I42" s="31">
        <f>SumBold(I17:I41)</f>
        <v>2132.875</v>
      </c>
      <c r="J42" s="31">
        <f>SumBold(J17:J41)</f>
        <v>2666.0938000000001</v>
      </c>
      <c r="K42" s="31">
        <f>SumBold(K17:K41)</f>
        <v>0</v>
      </c>
      <c r="L42" s="33">
        <f>SumBold(L17:L41)</f>
        <v>0</v>
      </c>
    </row>
    <row r="43" spans="1:12" x14ac:dyDescent="0.2">
      <c r="L43" s="19"/>
    </row>
    <row r="44" spans="1:12" x14ac:dyDescent="0.2">
      <c r="A44" s="11" t="s">
        <v>109</v>
      </c>
      <c r="B44" s="12"/>
      <c r="C44" s="70"/>
      <c r="D44" s="61"/>
      <c r="E44" s="13"/>
      <c r="F44" s="14"/>
      <c r="G44" s="15"/>
      <c r="H44" s="14"/>
      <c r="I44" s="14"/>
      <c r="J44" s="14"/>
      <c r="K44" s="14"/>
      <c r="L44" s="16"/>
    </row>
    <row r="45" spans="1:12" s="26" customFormat="1" x14ac:dyDescent="0.2">
      <c r="A45" s="17"/>
      <c r="B45" s="166" t="s">
        <v>110</v>
      </c>
      <c r="C45" s="77"/>
      <c r="D45" s="64"/>
      <c r="E45" s="17"/>
      <c r="F45" s="37"/>
      <c r="G45" s="38"/>
      <c r="H45" s="37"/>
      <c r="I45" s="37">
        <f>I14</f>
        <v>711.9</v>
      </c>
      <c r="J45" s="37">
        <f>J14</f>
        <v>533.92499999999995</v>
      </c>
      <c r="K45" s="37">
        <f>K14</f>
        <v>0</v>
      </c>
      <c r="L45" s="39">
        <f>L14</f>
        <v>0</v>
      </c>
    </row>
    <row r="46" spans="1:12" s="26" customFormat="1" x14ac:dyDescent="0.2">
      <c r="A46" s="17"/>
      <c r="B46" s="166" t="s">
        <v>111</v>
      </c>
      <c r="C46" s="77"/>
      <c r="D46" s="64"/>
      <c r="E46" s="17"/>
      <c r="F46" s="37"/>
      <c r="G46" s="38"/>
      <c r="H46" s="37"/>
      <c r="I46" s="37">
        <f>I42</f>
        <v>2132.875</v>
      </c>
      <c r="J46" s="37">
        <f>J42</f>
        <v>2666.0938000000001</v>
      </c>
      <c r="K46" s="37">
        <f>K42</f>
        <v>0</v>
      </c>
      <c r="L46" s="40">
        <f>L42</f>
        <v>0</v>
      </c>
    </row>
    <row r="47" spans="1:12" s="26" customFormat="1" x14ac:dyDescent="0.2">
      <c r="A47" s="41"/>
      <c r="B47" s="42" t="s">
        <v>112</v>
      </c>
      <c r="C47" s="79"/>
      <c r="D47" s="65"/>
      <c r="E47" s="41"/>
      <c r="F47" s="43"/>
      <c r="G47" s="44"/>
      <c r="H47" s="43"/>
      <c r="I47" s="43">
        <f>SUM(I45,I46*-1)</f>
        <v>-1420.9749999999999</v>
      </c>
      <c r="J47" s="43">
        <f t="shared" ref="J47:L47" si="9">SUM(J45,J46*-1)</f>
        <v>-2132.1688000000004</v>
      </c>
      <c r="K47" s="43">
        <f t="shared" si="9"/>
        <v>0</v>
      </c>
      <c r="L47" s="45">
        <f t="shared" si="9"/>
        <v>0</v>
      </c>
    </row>
  </sheetData>
  <mergeCells count="1">
    <mergeCell ref="B1:K1"/>
  </mergeCells>
  <conditionalFormatting sqref="B41:L47 B31:L32 B30:D30 F30:L30 B18:B22 H18:L22 B23:L29">
    <cfRule type="expression" dxfId="83" priority="46">
      <formula>MOD($B18,2)=1</formula>
    </cfRule>
  </conditionalFormatting>
  <conditionalFormatting sqref="B11:L12 B6:D10 H6:L10">
    <cfRule type="expression" dxfId="82" priority="45">
      <formula>MOD($B6,2)=1</formula>
    </cfRule>
  </conditionalFormatting>
  <conditionalFormatting sqref="B13:L15">
    <cfRule type="expression" dxfId="81" priority="44">
      <formula>MOD($B13,2)=1</formula>
    </cfRule>
  </conditionalFormatting>
  <conditionalFormatting sqref="B33:L33 B39:L40 B34:D38 H34:L38">
    <cfRule type="expression" dxfId="80" priority="43">
      <formula>MOD($B33,2)=1</formula>
    </cfRule>
  </conditionalFormatting>
  <conditionalFormatting sqref="E10:F10 G7:G10">
    <cfRule type="expression" dxfId="79" priority="42">
      <formula>MOD($B7,2)=1</formula>
    </cfRule>
  </conditionalFormatting>
  <conditionalFormatting sqref="E6:G6 E7:F9">
    <cfRule type="expression" dxfId="78" priority="41">
      <formula>MOD($B6,2)=1</formula>
    </cfRule>
  </conditionalFormatting>
  <conditionalFormatting sqref="E38:F38 G35:G38">
    <cfRule type="expression" dxfId="77" priority="40">
      <formula>MOD($B35,2)=1</formula>
    </cfRule>
  </conditionalFormatting>
  <conditionalFormatting sqref="E34:G34 E35:F37">
    <cfRule type="expression" dxfId="76" priority="39">
      <formula>MOD($B34,2)=1</formula>
    </cfRule>
  </conditionalFormatting>
  <conditionalFormatting sqref="E30">
    <cfRule type="expression" dxfId="75" priority="38">
      <formula>MOD($B30,2)=1</formula>
    </cfRule>
  </conditionalFormatting>
  <conditionalFormatting sqref="C18:G18">
    <cfRule type="expression" dxfId="74" priority="34">
      <formula>MOD($B18,2)=1</formula>
    </cfRule>
  </conditionalFormatting>
  <conditionalFormatting sqref="F19:G19">
    <cfRule type="expression" dxfId="73" priority="27">
      <formula>MOD($B19,2)=1</formula>
    </cfRule>
  </conditionalFormatting>
  <conditionalFormatting sqref="C19:E19">
    <cfRule type="expression" dxfId="72" priority="26">
      <formula>MOD($B19,2)=1</formula>
    </cfRule>
  </conditionalFormatting>
  <conditionalFormatting sqref="C22:G22">
    <cfRule type="expression" dxfId="71" priority="17">
      <formula>MOD($B22,2)=1</formula>
    </cfRule>
  </conditionalFormatting>
  <conditionalFormatting sqref="C20:G20">
    <cfRule type="expression" dxfId="70" priority="16">
      <formula>MOD($B20,2)=1</formula>
    </cfRule>
  </conditionalFormatting>
  <conditionalFormatting sqref="C21:G21">
    <cfRule type="expression" dxfId="69" priority="15">
      <formula>MOD($B21,2)=1</formula>
    </cfRule>
  </conditionalFormatting>
  <pageMargins left="0.7" right="0.7" top="0.75" bottom="0.75" header="0.3" footer="0.3"/>
  <pageSetup scale="26" fitToWidth="0"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22E92-8333-4E21-8B3E-990DAE9AE15B}">
  <sheetPr codeName="Sheet9"/>
  <dimension ref="A1:L30"/>
  <sheetViews>
    <sheetView showGridLines="0" zoomScale="70" zoomScaleNormal="70" workbookViewId="0">
      <pane ySplit="2" topLeftCell="A3" activePane="bottomLeft" state="frozen"/>
      <selection pane="bottomLeft" activeCell="B20" sqref="B20"/>
    </sheetView>
  </sheetViews>
  <sheetFormatPr baseColWidth="10" defaultColWidth="9.83203125" defaultRowHeight="15" x14ac:dyDescent="0.2"/>
  <cols>
    <col min="1" max="1" width="22.33203125" style="68" customWidth="1"/>
    <col min="2" max="2" width="23.83203125" style="48" bestFit="1" customWidth="1"/>
    <col min="3" max="3" width="18.5" style="68" bestFit="1" customWidth="1"/>
    <col min="4" max="4" width="18.83203125" style="48" customWidth="1"/>
    <col min="5" max="5" width="101" style="68" customWidth="1"/>
    <col min="6" max="6" width="14.33203125" style="8" bestFit="1" customWidth="1"/>
    <col min="7" max="7" width="10.83203125" style="9" bestFit="1" customWidth="1"/>
    <col min="8" max="8" width="19.5" style="8" customWidth="1"/>
    <col min="9" max="9" width="20.33203125" style="8" customWidth="1"/>
    <col min="10" max="10" width="22.5" style="8" bestFit="1" customWidth="1"/>
    <col min="11" max="11" width="20.83203125" style="8" customWidth="1"/>
    <col min="12" max="12" width="23" style="1" customWidth="1"/>
    <col min="13" max="16384" width="9.83203125" style="2"/>
  </cols>
  <sheetData>
    <row r="1" spans="1:12" ht="148.5" customHeight="1" x14ac:dyDescent="0.2">
      <c r="B1" s="242" t="s">
        <v>311</v>
      </c>
      <c r="C1" s="242"/>
      <c r="D1" s="242"/>
      <c r="E1" s="242"/>
      <c r="F1" s="242"/>
      <c r="G1" s="242"/>
      <c r="H1" s="242"/>
      <c r="I1" s="242"/>
      <c r="J1" s="242"/>
      <c r="K1" s="242"/>
    </row>
    <row r="2" spans="1:12" s="91" customFormat="1" ht="15" customHeight="1" x14ac:dyDescent="0.2">
      <c r="A2" s="60" t="s">
        <v>1</v>
      </c>
      <c r="B2" s="60" t="s">
        <v>2</v>
      </c>
      <c r="C2" s="60" t="s">
        <v>3</v>
      </c>
      <c r="D2" s="60" t="s">
        <v>114</v>
      </c>
      <c r="E2" s="60" t="s">
        <v>4</v>
      </c>
      <c r="F2" s="89" t="s">
        <v>5</v>
      </c>
      <c r="G2" s="60" t="s">
        <v>6</v>
      </c>
      <c r="H2" s="89" t="s">
        <v>7</v>
      </c>
      <c r="I2" s="89" t="s">
        <v>8</v>
      </c>
      <c r="J2" s="89" t="s">
        <v>115</v>
      </c>
      <c r="K2" s="89" t="s">
        <v>9</v>
      </c>
      <c r="L2" s="90" t="s">
        <v>10</v>
      </c>
    </row>
    <row r="3" spans="1:12" ht="14.25" customHeight="1" x14ac:dyDescent="0.2">
      <c r="L3" s="10"/>
    </row>
    <row r="4" spans="1:12" ht="15" customHeight="1" x14ac:dyDescent="0.2">
      <c r="A4" s="97" t="s">
        <v>12</v>
      </c>
      <c r="B4" s="61"/>
      <c r="C4" s="70"/>
      <c r="D4" s="61"/>
      <c r="E4" s="70"/>
      <c r="F4" s="14"/>
      <c r="G4" s="15"/>
      <c r="H4" s="14"/>
      <c r="I4" s="14"/>
      <c r="J4" s="14"/>
      <c r="K4" s="14"/>
      <c r="L4" s="16"/>
    </row>
    <row r="5" spans="1:12" x14ac:dyDescent="0.2">
      <c r="A5" s="77" t="s">
        <v>312</v>
      </c>
      <c r="L5" s="18"/>
    </row>
    <row r="6" spans="1:12" x14ac:dyDescent="0.2">
      <c r="B6" s="48" t="s">
        <v>117</v>
      </c>
      <c r="H6" s="8">
        <f t="shared" ref="H6" si="0">F6*G6</f>
        <v>0</v>
      </c>
      <c r="I6" s="8">
        <f t="shared" ref="I6" si="1">H6*1.13</f>
        <v>0</v>
      </c>
      <c r="J6" s="8">
        <f>I6*0.75</f>
        <v>0</v>
      </c>
      <c r="L6" s="19"/>
    </row>
    <row r="7" spans="1:12" x14ac:dyDescent="0.2">
      <c r="L7" s="19"/>
    </row>
    <row r="8" spans="1:12" s="26" customFormat="1" x14ac:dyDescent="0.2">
      <c r="A8" s="77"/>
      <c r="B8" s="87" t="s">
        <v>146</v>
      </c>
      <c r="C8" s="73"/>
      <c r="D8" s="62"/>
      <c r="E8" s="73"/>
      <c r="F8" s="23"/>
      <c r="G8" s="24"/>
      <c r="H8" s="23"/>
      <c r="I8" s="23">
        <f>SUM(I6:I6)</f>
        <v>0</v>
      </c>
      <c r="J8" s="23">
        <f>SUM(J6:J6)</f>
        <v>0</v>
      </c>
      <c r="K8" s="23">
        <f>SUM(K6:K6)</f>
        <v>0</v>
      </c>
      <c r="L8" s="25">
        <f>SUM(L6:L6)</f>
        <v>0</v>
      </c>
    </row>
    <row r="9" spans="1:12" x14ac:dyDescent="0.2">
      <c r="L9" s="19"/>
    </row>
    <row r="10" spans="1:12" s="34" customFormat="1" x14ac:dyDescent="0.2">
      <c r="A10" s="98"/>
      <c r="B10" s="88" t="s">
        <v>38</v>
      </c>
      <c r="C10" s="75"/>
      <c r="D10" s="63"/>
      <c r="E10" s="75"/>
      <c r="F10" s="31"/>
      <c r="G10" s="32"/>
      <c r="H10" s="31"/>
      <c r="I10" s="31">
        <f>SumBold(I5:I9)</f>
        <v>0</v>
      </c>
      <c r="J10" s="31">
        <f>SumBold(J5:J9)</f>
        <v>0</v>
      </c>
      <c r="K10" s="31">
        <f>SumBold(K5:K9)</f>
        <v>0</v>
      </c>
      <c r="L10" s="33">
        <f>SumBold(L5:L9)</f>
        <v>0</v>
      </c>
    </row>
    <row r="11" spans="1:12" x14ac:dyDescent="0.2">
      <c r="L11" s="19"/>
    </row>
    <row r="12" spans="1:12" ht="15" customHeight="1" x14ac:dyDescent="0.2">
      <c r="A12" s="97" t="s">
        <v>41</v>
      </c>
      <c r="B12" s="61"/>
      <c r="C12" s="70"/>
      <c r="D12" s="61"/>
      <c r="E12" s="70"/>
      <c r="F12" s="14"/>
      <c r="G12" s="15"/>
      <c r="H12" s="14"/>
      <c r="I12" s="14"/>
      <c r="J12" s="14"/>
      <c r="K12" s="14"/>
      <c r="L12" s="16"/>
    </row>
    <row r="13" spans="1:12" x14ac:dyDescent="0.2">
      <c r="A13" s="77" t="s">
        <v>313</v>
      </c>
      <c r="L13" s="19"/>
    </row>
    <row r="14" spans="1:12" customFormat="1" x14ac:dyDescent="0.2">
      <c r="A14" s="68"/>
      <c r="B14" s="135">
        <v>40100</v>
      </c>
      <c r="C14" s="143" t="s">
        <v>314</v>
      </c>
      <c r="D14" s="135">
        <v>10</v>
      </c>
      <c r="E14" s="143" t="s">
        <v>315</v>
      </c>
      <c r="F14" s="106">
        <f>20*2*12*2</f>
        <v>960</v>
      </c>
      <c r="G14" s="137">
        <v>3</v>
      </c>
      <c r="H14" s="106">
        <f>F14*G14</f>
        <v>2880</v>
      </c>
      <c r="I14" s="106">
        <f>H14*1.13</f>
        <v>3254.3999999999996</v>
      </c>
      <c r="J14" s="106">
        <f>I14*1.25</f>
        <v>4067.9999999999995</v>
      </c>
      <c r="K14" s="106"/>
      <c r="L14" s="138"/>
    </row>
    <row r="15" spans="1:12" customFormat="1" x14ac:dyDescent="0.2">
      <c r="A15" s="68"/>
      <c r="B15" s="48">
        <v>40101</v>
      </c>
      <c r="C15" s="68" t="s">
        <v>316</v>
      </c>
      <c r="D15" s="48">
        <v>5</v>
      </c>
      <c r="E15" s="68" t="s">
        <v>317</v>
      </c>
      <c r="F15" s="50">
        <v>30</v>
      </c>
      <c r="G15" s="9">
        <v>6</v>
      </c>
      <c r="H15" s="50">
        <f t="shared" ref="H15:H16" si="2">F15*G15</f>
        <v>180</v>
      </c>
      <c r="I15" s="50">
        <f t="shared" ref="I15:I16" si="3">H15*1.13</f>
        <v>203.39999999999998</v>
      </c>
      <c r="J15" s="50">
        <f t="shared" ref="J15" si="4">I15*1.25</f>
        <v>254.24999999999997</v>
      </c>
      <c r="K15" s="50"/>
      <c r="L15" s="125"/>
    </row>
    <row r="16" spans="1:12" customFormat="1" x14ac:dyDescent="0.2">
      <c r="A16" s="68"/>
      <c r="B16" s="135">
        <v>40102</v>
      </c>
      <c r="C16" s="143" t="s">
        <v>89</v>
      </c>
      <c r="D16" s="135">
        <v>2</v>
      </c>
      <c r="E16" s="143" t="s">
        <v>318</v>
      </c>
      <c r="F16" s="106">
        <v>50</v>
      </c>
      <c r="G16" s="137">
        <v>1</v>
      </c>
      <c r="H16" s="106">
        <f t="shared" si="2"/>
        <v>50</v>
      </c>
      <c r="I16" s="106">
        <f t="shared" si="3"/>
        <v>56.499999999999993</v>
      </c>
      <c r="J16" s="106">
        <f>I16*1.25</f>
        <v>70.624999999999986</v>
      </c>
      <c r="K16" s="106"/>
      <c r="L16" s="138"/>
    </row>
    <row r="17" spans="1:12" customFormat="1" x14ac:dyDescent="0.2">
      <c r="A17" s="68"/>
      <c r="B17" s="48"/>
      <c r="C17" s="68"/>
      <c r="D17" s="48"/>
      <c r="E17" s="68"/>
      <c r="F17" s="50"/>
      <c r="G17" s="9"/>
      <c r="H17" s="50"/>
      <c r="I17" s="50"/>
      <c r="J17" s="50"/>
      <c r="K17" s="50"/>
      <c r="L17" s="125"/>
    </row>
    <row r="18" spans="1:12" s="26" customFormat="1" x14ac:dyDescent="0.2">
      <c r="A18" s="77"/>
      <c r="B18" s="87" t="s">
        <v>319</v>
      </c>
      <c r="C18" s="73"/>
      <c r="D18" s="62"/>
      <c r="E18" s="73"/>
      <c r="F18" s="23"/>
      <c r="G18" s="24"/>
      <c r="H18" s="23"/>
      <c r="I18" s="23">
        <f>SUM(I14:I16)</f>
        <v>3514.2999999999997</v>
      </c>
      <c r="J18" s="23">
        <f>SUM(J14:J16)</f>
        <v>4392.8749999999991</v>
      </c>
      <c r="K18" s="23">
        <f>SUM(K14:K15)</f>
        <v>0</v>
      </c>
      <c r="L18" s="25">
        <f>SUM(L14:L15)</f>
        <v>0</v>
      </c>
    </row>
    <row r="19" spans="1:12" x14ac:dyDescent="0.2">
      <c r="A19" s="77" t="s">
        <v>320</v>
      </c>
      <c r="L19" s="19"/>
    </row>
    <row r="20" spans="1:12" customFormat="1" x14ac:dyDescent="0.2">
      <c r="A20" s="68"/>
      <c r="B20" s="48">
        <v>40200</v>
      </c>
      <c r="C20" s="68" t="s">
        <v>321</v>
      </c>
      <c r="D20" s="48">
        <v>10</v>
      </c>
      <c r="E20" s="68" t="s">
        <v>322</v>
      </c>
      <c r="F20" s="50">
        <v>50</v>
      </c>
      <c r="G20" s="9">
        <v>12</v>
      </c>
      <c r="H20" s="50">
        <f>F20*G20</f>
        <v>600</v>
      </c>
      <c r="I20" s="50">
        <f>H20*1.13</f>
        <v>677.99999999999989</v>
      </c>
      <c r="J20" s="50">
        <f>I20*1.25</f>
        <v>847.49999999999989</v>
      </c>
      <c r="K20" s="50"/>
      <c r="L20" s="125"/>
    </row>
    <row r="21" spans="1:12" customFormat="1" x14ac:dyDescent="0.2">
      <c r="A21" s="68"/>
      <c r="B21" s="135">
        <v>40201</v>
      </c>
      <c r="C21" s="143" t="s">
        <v>323</v>
      </c>
      <c r="D21" s="135">
        <v>10</v>
      </c>
      <c r="E21" s="143" t="s">
        <v>324</v>
      </c>
      <c r="F21" s="106">
        <v>129.83000000000001</v>
      </c>
      <c r="G21" s="137">
        <v>12</v>
      </c>
      <c r="H21" s="106">
        <f t="shared" ref="H21" si="5">F21*G21</f>
        <v>1557.96</v>
      </c>
      <c r="I21" s="106">
        <f t="shared" ref="I21" si="6">H21*1.13</f>
        <v>1760.4947999999999</v>
      </c>
      <c r="J21" s="106">
        <f t="shared" ref="J21" si="7">I21*1.25</f>
        <v>2200.6185</v>
      </c>
      <c r="K21" s="106"/>
      <c r="L21" s="138"/>
    </row>
    <row r="22" spans="1:12" x14ac:dyDescent="0.2">
      <c r="L22" s="19"/>
    </row>
    <row r="23" spans="1:12" s="26" customFormat="1" x14ac:dyDescent="0.2">
      <c r="A23" s="77"/>
      <c r="B23" s="87" t="s">
        <v>325</v>
      </c>
      <c r="C23" s="73"/>
      <c r="D23" s="62"/>
      <c r="E23" s="73"/>
      <c r="F23" s="23"/>
      <c r="G23" s="24"/>
      <c r="H23" s="23"/>
      <c r="I23" s="23">
        <f>SUM(I20:I21)</f>
        <v>2438.4947999999999</v>
      </c>
      <c r="J23" s="23">
        <f>SUM(J20:J21)</f>
        <v>3048.1185</v>
      </c>
      <c r="K23" s="23">
        <f>SUM(K20:K21)</f>
        <v>0</v>
      </c>
      <c r="L23" s="25">
        <f>SUM(L20:L21)</f>
        <v>0</v>
      </c>
    </row>
    <row r="24" spans="1:12" x14ac:dyDescent="0.2">
      <c r="L24" s="19"/>
    </row>
    <row r="25" spans="1:12" s="34" customFormat="1" x14ac:dyDescent="0.2">
      <c r="A25" s="98"/>
      <c r="B25" s="88" t="s">
        <v>108</v>
      </c>
      <c r="C25" s="75"/>
      <c r="D25" s="63"/>
      <c r="E25" s="75"/>
      <c r="F25" s="31"/>
      <c r="G25" s="32"/>
      <c r="H25" s="31"/>
      <c r="I25" s="31">
        <f>SumBold(I13:I24)</f>
        <v>5952.7947999999997</v>
      </c>
      <c r="J25" s="31">
        <f>SumBold(J13:J24)</f>
        <v>7440.9934999999996</v>
      </c>
      <c r="K25" s="31">
        <f>SumBold(K13:K24)</f>
        <v>0</v>
      </c>
      <c r="L25" s="33">
        <f>SumBold(L13:L24)</f>
        <v>0</v>
      </c>
    </row>
    <row r="26" spans="1:12" x14ac:dyDescent="0.2">
      <c r="L26" s="19"/>
    </row>
    <row r="27" spans="1:12" ht="15" customHeight="1" x14ac:dyDescent="0.2">
      <c r="A27" s="97" t="s">
        <v>109</v>
      </c>
      <c r="B27" s="61"/>
      <c r="C27" s="70"/>
      <c r="D27" s="61"/>
      <c r="E27" s="70"/>
      <c r="F27" s="14"/>
      <c r="G27" s="15"/>
      <c r="H27" s="14"/>
      <c r="I27" s="14"/>
      <c r="J27" s="14"/>
      <c r="K27" s="14"/>
      <c r="L27" s="16"/>
    </row>
    <row r="28" spans="1:12" s="26" customFormat="1" x14ac:dyDescent="0.2">
      <c r="A28" s="77"/>
      <c r="B28" s="64" t="s">
        <v>110</v>
      </c>
      <c r="C28" s="77"/>
      <c r="D28" s="64"/>
      <c r="E28" s="77"/>
      <c r="F28" s="37"/>
      <c r="G28" s="38"/>
      <c r="H28" s="37"/>
      <c r="I28" s="37">
        <f>I10</f>
        <v>0</v>
      </c>
      <c r="J28" s="37">
        <f>J10</f>
        <v>0</v>
      </c>
      <c r="K28" s="37">
        <f>K10</f>
        <v>0</v>
      </c>
      <c r="L28" s="39">
        <f>L10</f>
        <v>0</v>
      </c>
    </row>
    <row r="29" spans="1:12" s="26" customFormat="1" x14ac:dyDescent="0.2">
      <c r="A29" s="77"/>
      <c r="B29" s="64" t="s">
        <v>111</v>
      </c>
      <c r="C29" s="77"/>
      <c r="D29" s="64"/>
      <c r="E29" s="77"/>
      <c r="F29" s="37"/>
      <c r="G29" s="38"/>
      <c r="H29" s="37"/>
      <c r="I29" s="37">
        <f>I25</f>
        <v>5952.7947999999997</v>
      </c>
      <c r="J29" s="37">
        <f>J25</f>
        <v>7440.9934999999996</v>
      </c>
      <c r="K29" s="37">
        <f>K25</f>
        <v>0</v>
      </c>
      <c r="L29" s="40">
        <f>L25</f>
        <v>0</v>
      </c>
    </row>
    <row r="30" spans="1:12" s="26" customFormat="1" x14ac:dyDescent="0.2">
      <c r="A30" s="79"/>
      <c r="B30" s="65" t="s">
        <v>112</v>
      </c>
      <c r="C30" s="79"/>
      <c r="D30" s="65"/>
      <c r="E30" s="79"/>
      <c r="F30" s="43"/>
      <c r="G30" s="44"/>
      <c r="H30" s="43"/>
      <c r="I30" s="43">
        <f>SUM(I28,I29*-1)</f>
        <v>-5952.7947999999997</v>
      </c>
      <c r="J30" s="43">
        <f t="shared" ref="J30:L30" si="8">SUM(J28,J29*-1)</f>
        <v>-7440.9934999999996</v>
      </c>
      <c r="K30" s="43">
        <f t="shared" si="8"/>
        <v>0</v>
      </c>
      <c r="L30" s="45">
        <f t="shared" si="8"/>
        <v>0</v>
      </c>
    </row>
  </sheetData>
  <mergeCells count="1">
    <mergeCell ref="B1:K1"/>
  </mergeCells>
  <phoneticPr fontId="13" type="noConversion"/>
  <conditionalFormatting sqref="B6:L8 B22:L30 B14:L18 F21:L21 B21:D21">
    <cfRule type="expression" dxfId="68" priority="5">
      <formula>MOD($B6,2)=1</formula>
    </cfRule>
  </conditionalFormatting>
  <conditionalFormatting sqref="B9:L11">
    <cfRule type="expression" dxfId="67" priority="4">
      <formula>MOD($B9,2)=1</formula>
    </cfRule>
  </conditionalFormatting>
  <conditionalFormatting sqref="B19:L20">
    <cfRule type="expression" dxfId="66" priority="3">
      <formula>MOD($B19,2)=1</formula>
    </cfRule>
  </conditionalFormatting>
  <conditionalFormatting sqref="E21">
    <cfRule type="expression" dxfId="65" priority="2">
      <formula>MOD($B21,2)=1</formula>
    </cfRule>
  </conditionalFormatting>
  <pageMargins left="0.7" right="0.7" top="0.75" bottom="0.75" header="0.3" footer="0.3"/>
  <pageSetup scale="26" fitToWidth="0"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00837C-53B4-40E6-A2E5-306FB324001F}">
  <sheetPr codeName="Sheet12"/>
  <dimension ref="A1:L56"/>
  <sheetViews>
    <sheetView showGridLines="0" zoomScale="70" zoomScaleNormal="70" workbookViewId="0">
      <pane ySplit="2" topLeftCell="A3" activePane="bottomLeft" state="frozen"/>
      <selection pane="bottomLeft" activeCell="B35" sqref="B35"/>
    </sheetView>
  </sheetViews>
  <sheetFormatPr baseColWidth="10" defaultColWidth="9.83203125" defaultRowHeight="15" x14ac:dyDescent="0.2"/>
  <cols>
    <col min="1" max="1" width="28.83203125" customWidth="1"/>
    <col min="2" max="2" width="38.1640625" style="7" customWidth="1"/>
    <col min="3" max="3" width="23.5" style="68" customWidth="1"/>
    <col min="4" max="4" width="22.6640625" style="48" customWidth="1"/>
    <col min="5" max="5" width="47.5" customWidth="1"/>
    <col min="6" max="6" width="15.5" style="8" customWidth="1"/>
    <col min="7" max="7" width="15.5" style="9" customWidth="1"/>
    <col min="8" max="8" width="19.5" style="8" customWidth="1"/>
    <col min="9" max="9" width="18.5" style="8" customWidth="1"/>
    <col min="10" max="11" width="21" style="8" customWidth="1"/>
    <col min="12" max="12" width="21.33203125" style="1" customWidth="1"/>
    <col min="13" max="16384" width="9.83203125" style="2"/>
  </cols>
  <sheetData>
    <row r="1" spans="1:12" ht="148.5" customHeight="1" x14ac:dyDescent="0.2">
      <c r="B1" s="242" t="s">
        <v>326</v>
      </c>
      <c r="C1" s="242"/>
      <c r="D1" s="242"/>
      <c r="E1" s="242"/>
      <c r="F1" s="242"/>
      <c r="G1" s="242"/>
      <c r="H1" s="242"/>
      <c r="I1" s="242"/>
      <c r="J1" s="242"/>
      <c r="K1" s="242"/>
    </row>
    <row r="2" spans="1:12" s="6" customFormat="1" ht="15" customHeight="1" x14ac:dyDescent="0.25">
      <c r="A2" s="3" t="s">
        <v>1</v>
      </c>
      <c r="B2" s="3" t="s">
        <v>2</v>
      </c>
      <c r="C2" s="60" t="s">
        <v>3</v>
      </c>
      <c r="D2" s="60" t="s">
        <v>114</v>
      </c>
      <c r="E2" s="3" t="s">
        <v>4</v>
      </c>
      <c r="F2" s="4" t="s">
        <v>5</v>
      </c>
      <c r="G2" s="3" t="s">
        <v>6</v>
      </c>
      <c r="H2" s="4" t="s">
        <v>7</v>
      </c>
      <c r="I2" s="4" t="s">
        <v>8</v>
      </c>
      <c r="J2" s="4" t="s">
        <v>115</v>
      </c>
      <c r="K2" s="4" t="s">
        <v>9</v>
      </c>
      <c r="L2" s="5" t="s">
        <v>10</v>
      </c>
    </row>
    <row r="3" spans="1:12" ht="14.25" customHeight="1" x14ac:dyDescent="0.2">
      <c r="L3" s="10"/>
    </row>
    <row r="4" spans="1:12" ht="15" customHeight="1" x14ac:dyDescent="0.2">
      <c r="A4" s="11" t="s">
        <v>12</v>
      </c>
      <c r="B4" s="12"/>
      <c r="C4" s="70"/>
      <c r="D4" s="61"/>
      <c r="E4" s="13"/>
      <c r="F4" s="14"/>
      <c r="G4" s="15"/>
      <c r="H4" s="14"/>
      <c r="I4" s="14"/>
      <c r="J4" s="14"/>
      <c r="K4" s="14"/>
      <c r="L4" s="16"/>
    </row>
    <row r="5" spans="1:12" x14ac:dyDescent="0.2">
      <c r="A5" s="17" t="s">
        <v>327</v>
      </c>
      <c r="L5" s="18"/>
    </row>
    <row r="6" spans="1:12" x14ac:dyDescent="0.2">
      <c r="B6" s="7">
        <v>30000</v>
      </c>
      <c r="C6" s="68" t="s">
        <v>328</v>
      </c>
      <c r="D6" s="48">
        <v>2</v>
      </c>
      <c r="E6" t="s">
        <v>329</v>
      </c>
      <c r="F6" s="8">
        <v>30</v>
      </c>
      <c r="G6" s="9">
        <v>3</v>
      </c>
      <c r="H6" s="8">
        <f t="shared" ref="H6:H7" si="0">F6*G6</f>
        <v>90</v>
      </c>
      <c r="I6" s="8">
        <f t="shared" ref="I6:I7" si="1">H6*1.13</f>
        <v>101.69999999999999</v>
      </c>
      <c r="J6" s="8">
        <f>I6*0.75</f>
        <v>76.274999999999991</v>
      </c>
      <c r="L6" s="19"/>
    </row>
    <row r="7" spans="1:12" x14ac:dyDescent="0.2">
      <c r="B7" s="7">
        <v>30001</v>
      </c>
      <c r="C7" s="68" t="s">
        <v>330</v>
      </c>
      <c r="D7" s="48">
        <v>1</v>
      </c>
      <c r="E7" t="s">
        <v>331</v>
      </c>
      <c r="F7" s="8">
        <v>190</v>
      </c>
      <c r="G7" s="9">
        <v>4</v>
      </c>
      <c r="H7" s="8">
        <f t="shared" si="0"/>
        <v>760</v>
      </c>
      <c r="I7" s="8">
        <f t="shared" si="1"/>
        <v>858.8</v>
      </c>
      <c r="J7" s="8">
        <f t="shared" ref="J7" si="2">I7*0.75</f>
        <v>644.09999999999991</v>
      </c>
      <c r="L7" s="19"/>
    </row>
    <row r="8" spans="1:12" x14ac:dyDescent="0.2">
      <c r="L8" s="19"/>
    </row>
    <row r="9" spans="1:12" s="26" customFormat="1" x14ac:dyDescent="0.2">
      <c r="A9" s="17"/>
      <c r="B9" s="20" t="s">
        <v>332</v>
      </c>
      <c r="C9" s="73"/>
      <c r="D9" s="62"/>
      <c r="E9" s="22"/>
      <c r="F9" s="23"/>
      <c r="G9" s="24"/>
      <c r="H9" s="23"/>
      <c r="I9" s="23">
        <f>SUM(I6:I7)</f>
        <v>960.5</v>
      </c>
      <c r="J9" s="23">
        <f>SUM(J6:J7)</f>
        <v>720.37499999999989</v>
      </c>
      <c r="K9" s="23">
        <f>SUM(K6:K7)</f>
        <v>0</v>
      </c>
      <c r="L9" s="25">
        <f>SUM(L6:L7)</f>
        <v>0</v>
      </c>
    </row>
    <row r="10" spans="1:12" x14ac:dyDescent="0.2">
      <c r="L10" s="19"/>
    </row>
    <row r="11" spans="1:12" s="34" customFormat="1" x14ac:dyDescent="0.2">
      <c r="A11" s="27"/>
      <c r="B11" s="28" t="s">
        <v>38</v>
      </c>
      <c r="C11" s="75"/>
      <c r="D11" s="63"/>
      <c r="E11" s="30"/>
      <c r="F11" s="31"/>
      <c r="G11" s="32"/>
      <c r="H11" s="31"/>
      <c r="I11" s="31">
        <f>SumBold(I5:I10)</f>
        <v>960.5</v>
      </c>
      <c r="J11" s="31">
        <f>SumBold(J5:J10)</f>
        <v>720.375</v>
      </c>
      <c r="K11" s="31">
        <f>SumBold(K5:K10)</f>
        <v>0</v>
      </c>
      <c r="L11" s="33">
        <f>SumBold(L5:L10)</f>
        <v>0</v>
      </c>
    </row>
    <row r="12" spans="1:12" x14ac:dyDescent="0.2">
      <c r="L12" s="19"/>
    </row>
    <row r="13" spans="1:12" ht="15" customHeight="1" x14ac:dyDescent="0.2">
      <c r="A13" s="11" t="s">
        <v>41</v>
      </c>
      <c r="B13" s="12"/>
      <c r="C13" s="70"/>
      <c r="D13" s="61"/>
      <c r="E13" s="13"/>
      <c r="F13" s="14"/>
      <c r="G13" s="15"/>
      <c r="H13" s="14"/>
      <c r="I13" s="14"/>
      <c r="J13" s="14"/>
      <c r="K13" s="14"/>
      <c r="L13" s="16"/>
    </row>
    <row r="14" spans="1:12" x14ac:dyDescent="0.2">
      <c r="A14" s="17" t="s">
        <v>333</v>
      </c>
      <c r="L14" s="19"/>
    </row>
    <row r="15" spans="1:12" x14ac:dyDescent="0.2">
      <c r="B15" s="7">
        <v>30100</v>
      </c>
      <c r="C15" s="68" t="s">
        <v>334</v>
      </c>
      <c r="D15" s="48">
        <v>2</v>
      </c>
      <c r="E15" t="s">
        <v>335</v>
      </c>
      <c r="F15" s="8">
        <v>8</v>
      </c>
      <c r="G15" s="9">
        <v>21</v>
      </c>
      <c r="H15" s="8">
        <f>F15*G15</f>
        <v>168</v>
      </c>
      <c r="I15" s="8">
        <f>H15*1.13</f>
        <v>189.83999999999997</v>
      </c>
      <c r="J15" s="8">
        <f>I15*1.25</f>
        <v>237.29999999999995</v>
      </c>
      <c r="L15" s="19"/>
    </row>
    <row r="16" spans="1:12" x14ac:dyDescent="0.2">
      <c r="B16" s="7">
        <v>30101</v>
      </c>
      <c r="C16" s="68" t="s">
        <v>336</v>
      </c>
      <c r="D16" s="48">
        <v>2</v>
      </c>
      <c r="E16" t="s">
        <v>337</v>
      </c>
      <c r="F16" s="8">
        <v>8</v>
      </c>
      <c r="G16" s="9">
        <v>21</v>
      </c>
      <c r="H16" s="8">
        <f t="shared" ref="H16" si="3">F16*G16</f>
        <v>168</v>
      </c>
      <c r="I16" s="8">
        <f t="shared" ref="I16" si="4">H16*1.13</f>
        <v>189.83999999999997</v>
      </c>
      <c r="J16" s="8">
        <f t="shared" ref="J16" si="5">I16*1.25</f>
        <v>237.29999999999995</v>
      </c>
      <c r="L16" s="19"/>
    </row>
    <row r="17" spans="1:12" x14ac:dyDescent="0.2">
      <c r="L17" s="19"/>
    </row>
    <row r="18" spans="1:12" s="26" customFormat="1" x14ac:dyDescent="0.2">
      <c r="A18" s="17"/>
      <c r="B18" s="20" t="s">
        <v>338</v>
      </c>
      <c r="C18" s="73"/>
      <c r="D18" s="62"/>
      <c r="E18" s="22"/>
      <c r="F18" s="23"/>
      <c r="G18" s="24"/>
      <c r="H18" s="23"/>
      <c r="I18" s="23">
        <f>SUM(I15:I16)</f>
        <v>379.67999999999995</v>
      </c>
      <c r="J18" s="23">
        <f>SUM(J15:J16)</f>
        <v>474.59999999999991</v>
      </c>
      <c r="K18" s="23">
        <f>SUM(K15:K16)</f>
        <v>0</v>
      </c>
      <c r="L18" s="25">
        <f>SUM(L15:L16)</f>
        <v>0</v>
      </c>
    </row>
    <row r="19" spans="1:12" x14ac:dyDescent="0.2">
      <c r="A19" s="17" t="s">
        <v>339</v>
      </c>
      <c r="L19" s="19"/>
    </row>
    <row r="20" spans="1:12" x14ac:dyDescent="0.2">
      <c r="B20" s="7">
        <v>30200</v>
      </c>
      <c r="C20" s="68" t="s">
        <v>340</v>
      </c>
      <c r="D20" s="48">
        <v>3</v>
      </c>
      <c r="E20" t="s">
        <v>341</v>
      </c>
      <c r="F20" s="8">
        <v>8</v>
      </c>
      <c r="G20" s="9">
        <v>25</v>
      </c>
      <c r="H20" s="8">
        <f>F20*G20</f>
        <v>200</v>
      </c>
      <c r="I20" s="8">
        <f>H20*1.13</f>
        <v>225.99999999999997</v>
      </c>
      <c r="J20" s="8">
        <f>I20*1.25</f>
        <v>282.49999999999994</v>
      </c>
      <c r="L20" s="19"/>
    </row>
    <row r="21" spans="1:12" x14ac:dyDescent="0.2">
      <c r="B21" s="7">
        <v>30201</v>
      </c>
      <c r="C21" s="68" t="s">
        <v>342</v>
      </c>
      <c r="D21" s="48">
        <v>6</v>
      </c>
      <c r="E21" t="s">
        <v>343</v>
      </c>
      <c r="F21" s="8">
        <v>15</v>
      </c>
      <c r="G21" s="9">
        <v>10</v>
      </c>
      <c r="H21" s="8">
        <f t="shared" ref="H21" si="6">F21*G21</f>
        <v>150</v>
      </c>
      <c r="I21" s="8">
        <f t="shared" ref="I21" si="7">H21*1.13</f>
        <v>169.49999999999997</v>
      </c>
      <c r="J21" s="8">
        <f t="shared" ref="J21" si="8">I21*1.25</f>
        <v>211.87499999999997</v>
      </c>
      <c r="L21" s="19"/>
    </row>
    <row r="22" spans="1:12" x14ac:dyDescent="0.2">
      <c r="L22" s="19"/>
    </row>
    <row r="23" spans="1:12" s="26" customFormat="1" x14ac:dyDescent="0.2">
      <c r="A23" s="17"/>
      <c r="B23" s="20" t="s">
        <v>344</v>
      </c>
      <c r="C23" s="73"/>
      <c r="D23" s="62"/>
      <c r="E23" s="22"/>
      <c r="F23" s="23"/>
      <c r="G23" s="24"/>
      <c r="H23" s="23"/>
      <c r="I23" s="23">
        <f>SUM(I20:I21)</f>
        <v>395.49999999999994</v>
      </c>
      <c r="J23" s="23">
        <f>SUM(J20:J21)</f>
        <v>494.37499999999989</v>
      </c>
      <c r="K23" s="23">
        <f>SUM(K20:K21)</f>
        <v>0</v>
      </c>
      <c r="L23" s="25">
        <f>SUM(L20:L21)</f>
        <v>0</v>
      </c>
    </row>
    <row r="24" spans="1:12" x14ac:dyDescent="0.2">
      <c r="A24" s="17" t="s">
        <v>345</v>
      </c>
      <c r="L24" s="19"/>
    </row>
    <row r="25" spans="1:12" x14ac:dyDescent="0.2">
      <c r="B25" s="7">
        <v>30300</v>
      </c>
      <c r="C25" s="68" t="s">
        <v>346</v>
      </c>
      <c r="D25" s="48">
        <v>6</v>
      </c>
      <c r="E25" t="s">
        <v>347</v>
      </c>
      <c r="F25" s="8">
        <v>30</v>
      </c>
      <c r="G25" s="9">
        <v>8</v>
      </c>
      <c r="H25" s="8">
        <f t="shared" ref="H25:H26" si="9">F25*G25</f>
        <v>240</v>
      </c>
      <c r="I25" s="8">
        <f t="shared" ref="I25:I26" si="10">H25*1.13</f>
        <v>271.2</v>
      </c>
      <c r="J25" s="8">
        <f t="shared" ref="J25:J26" si="11">I25*1.25</f>
        <v>339</v>
      </c>
      <c r="L25" s="19"/>
    </row>
    <row r="26" spans="1:12" x14ac:dyDescent="0.2">
      <c r="B26" s="7">
        <v>30301</v>
      </c>
      <c r="C26" s="68" t="s">
        <v>348</v>
      </c>
      <c r="D26" s="48">
        <v>5</v>
      </c>
      <c r="E26" t="s">
        <v>349</v>
      </c>
      <c r="F26" s="8">
        <v>15</v>
      </c>
      <c r="G26" s="9">
        <v>17</v>
      </c>
      <c r="H26" s="8">
        <f t="shared" si="9"/>
        <v>255</v>
      </c>
      <c r="I26" s="8">
        <f t="shared" si="10"/>
        <v>288.14999999999998</v>
      </c>
      <c r="J26" s="8">
        <f t="shared" si="11"/>
        <v>360.1875</v>
      </c>
      <c r="L26" s="19"/>
    </row>
    <row r="27" spans="1:12" x14ac:dyDescent="0.2">
      <c r="L27" s="19"/>
    </row>
    <row r="28" spans="1:12" s="26" customFormat="1" x14ac:dyDescent="0.2">
      <c r="A28" s="17"/>
      <c r="B28" s="20" t="s">
        <v>350</v>
      </c>
      <c r="C28" s="73"/>
      <c r="D28" s="62"/>
      <c r="E28" s="22"/>
      <c r="F28" s="23"/>
      <c r="G28" s="24"/>
      <c r="H28" s="23"/>
      <c r="I28" s="23">
        <f>SUM(I25:I26)</f>
        <v>559.34999999999991</v>
      </c>
      <c r="J28" s="23">
        <f>SUM(J25:J26)</f>
        <v>699.1875</v>
      </c>
      <c r="K28" s="23">
        <f>SUM(K25:K26)</f>
        <v>0</v>
      </c>
      <c r="L28" s="25">
        <f>SUM(L25:L26)</f>
        <v>0</v>
      </c>
    </row>
    <row r="29" spans="1:12" x14ac:dyDescent="0.2">
      <c r="A29" s="17" t="s">
        <v>351</v>
      </c>
      <c r="L29" s="19"/>
    </row>
    <row r="30" spans="1:12" x14ac:dyDescent="0.2">
      <c r="B30" s="7">
        <v>30400</v>
      </c>
      <c r="C30" s="68" t="s">
        <v>346</v>
      </c>
      <c r="D30" s="48">
        <v>10</v>
      </c>
      <c r="E30" t="s">
        <v>352</v>
      </c>
      <c r="F30" s="8">
        <v>30</v>
      </c>
      <c r="G30" s="9">
        <v>3</v>
      </c>
      <c r="H30" s="8">
        <f t="shared" ref="H30" si="12">F30*G30</f>
        <v>90</v>
      </c>
      <c r="I30" s="8">
        <f t="shared" ref="I30" si="13">H30*1.13</f>
        <v>101.69999999999999</v>
      </c>
      <c r="J30" s="8">
        <f t="shared" ref="J30" si="14">I30*1.25</f>
        <v>127.12499999999999</v>
      </c>
      <c r="L30" s="19"/>
    </row>
    <row r="31" spans="1:12" x14ac:dyDescent="0.2">
      <c r="L31" s="19"/>
    </row>
    <row r="32" spans="1:12" s="26" customFormat="1" x14ac:dyDescent="0.2">
      <c r="A32" s="17"/>
      <c r="B32" s="20" t="s">
        <v>353</v>
      </c>
      <c r="C32" s="73"/>
      <c r="D32" s="62"/>
      <c r="E32" s="22"/>
      <c r="F32" s="23"/>
      <c r="G32" s="24"/>
      <c r="H32" s="23"/>
      <c r="I32" s="23">
        <f>SUM(I30:I30)</f>
        <v>101.69999999999999</v>
      </c>
      <c r="J32" s="23">
        <f>SUM(J30:J30)</f>
        <v>127.12499999999999</v>
      </c>
      <c r="K32" s="23">
        <f>SUM(K30:K30)</f>
        <v>0</v>
      </c>
      <c r="L32" s="25">
        <f>SUM(L30:L30)</f>
        <v>0</v>
      </c>
    </row>
    <row r="33" spans="1:12" x14ac:dyDescent="0.2">
      <c r="A33" s="17" t="s">
        <v>354</v>
      </c>
      <c r="L33" s="19"/>
    </row>
    <row r="34" spans="1:12" x14ac:dyDescent="0.2">
      <c r="B34" s="7">
        <v>30500</v>
      </c>
      <c r="C34" s="68" t="s">
        <v>340</v>
      </c>
      <c r="D34" s="48">
        <v>8</v>
      </c>
      <c r="E34" t="s">
        <v>355</v>
      </c>
      <c r="F34" s="8">
        <v>8</v>
      </c>
      <c r="G34" s="9">
        <v>30</v>
      </c>
      <c r="H34" s="8">
        <f>F34*G34</f>
        <v>240</v>
      </c>
      <c r="I34" s="8">
        <f>H34*1.13</f>
        <v>271.2</v>
      </c>
      <c r="J34" s="8">
        <f>I34*1.25</f>
        <v>339</v>
      </c>
      <c r="L34" s="19"/>
    </row>
    <row r="35" spans="1:12" x14ac:dyDescent="0.2">
      <c r="L35" s="19"/>
    </row>
    <row r="36" spans="1:12" s="26" customFormat="1" x14ac:dyDescent="0.2">
      <c r="A36" s="17"/>
      <c r="B36" s="20" t="s">
        <v>356</v>
      </c>
      <c r="C36" s="73"/>
      <c r="D36" s="62"/>
      <c r="E36" s="22"/>
      <c r="F36" s="23"/>
      <c r="G36" s="24"/>
      <c r="H36" s="23"/>
      <c r="I36" s="23">
        <f>SUM(I34:I34)</f>
        <v>271.2</v>
      </c>
      <c r="J36" s="23">
        <f>SUM(J34:J34)</f>
        <v>339</v>
      </c>
      <c r="K36" s="23">
        <f>SUM(K34:K34)</f>
        <v>0</v>
      </c>
      <c r="L36" s="25">
        <f>SUM(L34:L34)</f>
        <v>0</v>
      </c>
    </row>
    <row r="37" spans="1:12" x14ac:dyDescent="0.2">
      <c r="A37" s="17" t="s">
        <v>357</v>
      </c>
      <c r="L37" s="19"/>
    </row>
    <row r="38" spans="1:12" x14ac:dyDescent="0.2">
      <c r="B38" s="7">
        <v>30600</v>
      </c>
      <c r="C38" s="68" t="s">
        <v>358</v>
      </c>
      <c r="D38" s="48">
        <v>5</v>
      </c>
      <c r="E38" t="s">
        <v>359</v>
      </c>
      <c r="F38" s="8">
        <v>75</v>
      </c>
      <c r="G38" s="9">
        <v>4</v>
      </c>
      <c r="H38" s="8">
        <f>F38*G38</f>
        <v>300</v>
      </c>
      <c r="I38" s="8">
        <f>H38*1.13</f>
        <v>338.99999999999994</v>
      </c>
      <c r="J38" s="8">
        <f>I38*1.25</f>
        <v>423.74999999999994</v>
      </c>
      <c r="L38" s="19"/>
    </row>
    <row r="39" spans="1:12" x14ac:dyDescent="0.2">
      <c r="L39" s="19"/>
    </row>
    <row r="40" spans="1:12" s="26" customFormat="1" x14ac:dyDescent="0.2">
      <c r="A40" s="17"/>
      <c r="B40" s="20" t="s">
        <v>360</v>
      </c>
      <c r="C40" s="73"/>
      <c r="D40" s="62"/>
      <c r="E40" s="22"/>
      <c r="F40" s="23"/>
      <c r="G40" s="24"/>
      <c r="H40" s="23"/>
      <c r="I40" s="23">
        <f>SUM(I38:I38)</f>
        <v>338.99999999999994</v>
      </c>
      <c r="J40" s="23">
        <f>SUM(J38:J38)</f>
        <v>423.74999999999994</v>
      </c>
      <c r="K40" s="23">
        <f>SUM(K38:K38)</f>
        <v>0</v>
      </c>
      <c r="L40" s="25">
        <f>SUM(L38:L38)</f>
        <v>0</v>
      </c>
    </row>
    <row r="41" spans="1:12" x14ac:dyDescent="0.2">
      <c r="A41" s="17" t="s">
        <v>361</v>
      </c>
      <c r="L41" s="19"/>
    </row>
    <row r="42" spans="1:12" x14ac:dyDescent="0.2">
      <c r="B42" s="7">
        <v>30700</v>
      </c>
      <c r="C42" s="68" t="s">
        <v>362</v>
      </c>
      <c r="D42" s="48">
        <v>8</v>
      </c>
      <c r="E42" t="s">
        <v>363</v>
      </c>
      <c r="F42" s="8">
        <v>8</v>
      </c>
      <c r="G42" s="9">
        <v>50</v>
      </c>
      <c r="H42" s="8">
        <f>F42*G42</f>
        <v>400</v>
      </c>
      <c r="I42" s="8">
        <f>H42*1.13</f>
        <v>451.99999999999994</v>
      </c>
      <c r="J42" s="8">
        <f>I42*1.25</f>
        <v>564.99999999999989</v>
      </c>
      <c r="L42" s="19"/>
    </row>
    <row r="43" spans="1:12" x14ac:dyDescent="0.2">
      <c r="L43" s="19"/>
    </row>
    <row r="44" spans="1:12" s="26" customFormat="1" x14ac:dyDescent="0.2">
      <c r="A44" s="17"/>
      <c r="B44" s="20" t="s">
        <v>364</v>
      </c>
      <c r="C44" s="73"/>
      <c r="D44" s="62"/>
      <c r="E44" s="22"/>
      <c r="F44" s="23"/>
      <c r="G44" s="24"/>
      <c r="H44" s="23"/>
      <c r="I44" s="23">
        <f>SUM(I42:I42)</f>
        <v>451.99999999999994</v>
      </c>
      <c r="J44" s="23">
        <f>SUM(J42:J42)</f>
        <v>564.99999999999989</v>
      </c>
      <c r="K44" s="23">
        <f>SUM(K42:K42)</f>
        <v>0</v>
      </c>
      <c r="L44" s="25">
        <f>SUM(L42:L42)</f>
        <v>0</v>
      </c>
    </row>
    <row r="45" spans="1:12" x14ac:dyDescent="0.2">
      <c r="A45" s="17" t="s">
        <v>365</v>
      </c>
      <c r="L45" s="19"/>
    </row>
    <row r="46" spans="1:12" x14ac:dyDescent="0.2">
      <c r="B46" s="7">
        <v>30800</v>
      </c>
      <c r="C46" s="68" t="s">
        <v>366</v>
      </c>
      <c r="D46" s="48">
        <v>8</v>
      </c>
      <c r="E46" t="s">
        <v>367</v>
      </c>
      <c r="F46" s="8">
        <v>30</v>
      </c>
      <c r="G46" s="9">
        <v>6</v>
      </c>
      <c r="H46" s="8">
        <f>F46*G46</f>
        <v>180</v>
      </c>
      <c r="I46" s="8">
        <f>H46*1.13</f>
        <v>203.39999999999998</v>
      </c>
      <c r="J46" s="8">
        <f>I46*1.25</f>
        <v>254.24999999999997</v>
      </c>
      <c r="L46" s="19"/>
    </row>
    <row r="47" spans="1:12" x14ac:dyDescent="0.2">
      <c r="B47" s="7">
        <v>30801</v>
      </c>
      <c r="C47" s="68" t="s">
        <v>368</v>
      </c>
      <c r="D47" s="48">
        <v>8</v>
      </c>
      <c r="E47" t="s">
        <v>369</v>
      </c>
      <c r="F47" s="8">
        <v>40</v>
      </c>
      <c r="G47" s="9">
        <v>6</v>
      </c>
      <c r="H47" s="8">
        <f t="shared" ref="H47" si="15">F47*G47</f>
        <v>240</v>
      </c>
      <c r="I47" s="8">
        <f t="shared" ref="I47" si="16">H47*1.13</f>
        <v>271.2</v>
      </c>
      <c r="J47" s="8">
        <f t="shared" ref="J47" si="17">I47*1.25</f>
        <v>339</v>
      </c>
      <c r="L47" s="19"/>
    </row>
    <row r="48" spans="1:12" x14ac:dyDescent="0.2">
      <c r="L48" s="19"/>
    </row>
    <row r="49" spans="1:12" s="26" customFormat="1" x14ac:dyDescent="0.2">
      <c r="A49" s="17"/>
      <c r="B49" s="20" t="s">
        <v>370</v>
      </c>
      <c r="C49" s="73"/>
      <c r="D49" s="62"/>
      <c r="E49" s="22"/>
      <c r="F49" s="23"/>
      <c r="G49" s="24"/>
      <c r="H49" s="23"/>
      <c r="I49" s="23">
        <f>SUM(I46:I47)</f>
        <v>474.59999999999997</v>
      </c>
      <c r="J49" s="23">
        <f>SUM(J46:J47)</f>
        <v>593.25</v>
      </c>
      <c r="K49" s="23">
        <f>SUM(K46:K47)</f>
        <v>0</v>
      </c>
      <c r="L49" s="25">
        <f>SUM(L46:L47)</f>
        <v>0</v>
      </c>
    </row>
    <row r="50" spans="1:12" x14ac:dyDescent="0.2">
      <c r="L50" s="19"/>
    </row>
    <row r="51" spans="1:12" s="34" customFormat="1" x14ac:dyDescent="0.2">
      <c r="A51" s="27"/>
      <c r="B51" s="28" t="s">
        <v>108</v>
      </c>
      <c r="C51" s="75"/>
      <c r="D51" s="63"/>
      <c r="E51" s="30"/>
      <c r="F51" s="31"/>
      <c r="G51" s="32"/>
      <c r="H51" s="31"/>
      <c r="I51" s="31">
        <f>SumBold(I14:I50)</f>
        <v>2973.03</v>
      </c>
      <c r="J51" s="31">
        <f>SumBold(J14:J50)</f>
        <v>3716.2874999999999</v>
      </c>
      <c r="K51" s="31">
        <f>SumBold(K14:K50)</f>
        <v>0</v>
      </c>
      <c r="L51" s="33">
        <f>SumBold(L14:L50)</f>
        <v>0</v>
      </c>
    </row>
    <row r="52" spans="1:12" x14ac:dyDescent="0.2">
      <c r="L52" s="19"/>
    </row>
    <row r="53" spans="1:12" ht="15" customHeight="1" x14ac:dyDescent="0.2">
      <c r="A53" s="11" t="s">
        <v>109</v>
      </c>
      <c r="B53" s="12"/>
      <c r="C53" s="70"/>
      <c r="D53" s="61"/>
      <c r="E53" s="13"/>
      <c r="F53" s="14"/>
      <c r="G53" s="15"/>
      <c r="H53" s="14"/>
      <c r="I53" s="14"/>
      <c r="J53" s="14"/>
      <c r="K53" s="14"/>
      <c r="L53" s="16"/>
    </row>
    <row r="54" spans="1:12" s="26" customFormat="1" x14ac:dyDescent="0.2">
      <c r="A54" s="17"/>
      <c r="B54" s="166" t="s">
        <v>110</v>
      </c>
      <c r="C54" s="77"/>
      <c r="D54" s="64"/>
      <c r="E54" s="17"/>
      <c r="F54" s="37"/>
      <c r="G54" s="38"/>
      <c r="H54" s="37"/>
      <c r="I54" s="37">
        <f>I11</f>
        <v>960.5</v>
      </c>
      <c r="J54" s="37">
        <f>J11</f>
        <v>720.375</v>
      </c>
      <c r="K54" s="37">
        <f>K11</f>
        <v>0</v>
      </c>
      <c r="L54" s="39">
        <f>L11</f>
        <v>0</v>
      </c>
    </row>
    <row r="55" spans="1:12" s="26" customFormat="1" x14ac:dyDescent="0.2">
      <c r="A55" s="17"/>
      <c r="B55" s="166" t="s">
        <v>111</v>
      </c>
      <c r="C55" s="77"/>
      <c r="D55" s="64"/>
      <c r="E55" s="17"/>
      <c r="F55" s="37"/>
      <c r="G55" s="38"/>
      <c r="H55" s="37"/>
      <c r="I55" s="37">
        <f>I51</f>
        <v>2973.03</v>
      </c>
      <c r="J55" s="37">
        <f>J51</f>
        <v>3716.2874999999999</v>
      </c>
      <c r="K55" s="37">
        <f>K51</f>
        <v>0</v>
      </c>
      <c r="L55" s="40">
        <f>L51</f>
        <v>0</v>
      </c>
    </row>
    <row r="56" spans="1:12" s="26" customFormat="1" x14ac:dyDescent="0.2">
      <c r="A56" s="41"/>
      <c r="B56" s="42" t="s">
        <v>112</v>
      </c>
      <c r="C56" s="79"/>
      <c r="D56" s="65"/>
      <c r="E56" s="41"/>
      <c r="F56" s="43"/>
      <c r="G56" s="44"/>
      <c r="H56" s="43"/>
      <c r="I56" s="43">
        <f>SUM(I54,I55*-1)</f>
        <v>-2012.5300000000002</v>
      </c>
      <c r="J56" s="43">
        <f t="shared" ref="J56:L56" si="18">SUM(J54,J55*-1)</f>
        <v>-2995.9124999999999</v>
      </c>
      <c r="K56" s="43">
        <f t="shared" si="18"/>
        <v>0</v>
      </c>
      <c r="L56" s="45">
        <f t="shared" si="18"/>
        <v>0</v>
      </c>
    </row>
  </sheetData>
  <mergeCells count="1">
    <mergeCell ref="B1:K1"/>
  </mergeCells>
  <conditionalFormatting sqref="B8:L9 B6:B7 H6:L7 B15:B16 H15:L16 B17:L56">
    <cfRule type="expression" dxfId="64" priority="7">
      <formula>MOD($B6,2)=1</formula>
    </cfRule>
  </conditionalFormatting>
  <conditionalFormatting sqref="B10:L12">
    <cfRule type="expression" dxfId="63" priority="6">
      <formula>MOD($B10,2)=1</formula>
    </cfRule>
  </conditionalFormatting>
  <conditionalFormatting sqref="C7:G7 E6:G6">
    <cfRule type="expression" dxfId="62" priority="5">
      <formula>MOD($B6,2)=1</formula>
    </cfRule>
  </conditionalFormatting>
  <conditionalFormatting sqref="C6">
    <cfRule type="expression" dxfId="61" priority="4">
      <formula>MOD($B6,2)=1</formula>
    </cfRule>
  </conditionalFormatting>
  <conditionalFormatting sqref="D6">
    <cfRule type="expression" dxfId="60" priority="3">
      <formula>MOD($B6,2)=1</formula>
    </cfRule>
  </conditionalFormatting>
  <conditionalFormatting sqref="C15:G16">
    <cfRule type="expression" dxfId="59" priority="2">
      <formula>MOD($B15,2)=1</formula>
    </cfRule>
  </conditionalFormatting>
  <pageMargins left="0.7" right="0.7" top="0.75" bottom="0.75" header="0.3" footer="0.3"/>
  <pageSetup scale="26" fitToWidth="0" fitToHeight="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5A3DF3-8F89-42C3-9E57-233B12E92B07}">
  <sheetPr codeName="Sheet15"/>
  <dimension ref="A1:L33"/>
  <sheetViews>
    <sheetView showGridLines="0" zoomScale="75" zoomScaleNormal="75" workbookViewId="0">
      <pane ySplit="2" topLeftCell="A3" activePane="bottomLeft" state="frozen"/>
      <selection pane="bottomLeft" activeCell="B25" sqref="B25"/>
    </sheetView>
  </sheetViews>
  <sheetFormatPr baseColWidth="10" defaultColWidth="9.5" defaultRowHeight="15" x14ac:dyDescent="0.2"/>
  <cols>
    <col min="1" max="1" width="29.5" customWidth="1"/>
    <col min="2" max="3" width="23" style="7" customWidth="1"/>
    <col min="4" max="4" width="29.5" customWidth="1"/>
    <col min="5" max="5" width="36" customWidth="1"/>
    <col min="6" max="6" width="15.1640625" style="8" customWidth="1"/>
    <col min="7" max="7" width="15.1640625" style="9" customWidth="1"/>
    <col min="8" max="8" width="19.1640625" style="8" customWidth="1"/>
    <col min="9" max="9" width="18.1640625" style="8" customWidth="1"/>
    <col min="10" max="11" width="20.5" style="8" customWidth="1"/>
    <col min="12" max="12" width="20.83203125" style="1" customWidth="1"/>
    <col min="13" max="16384" width="9.5" style="2"/>
  </cols>
  <sheetData>
    <row r="1" spans="1:12" ht="148.5" customHeight="1" x14ac:dyDescent="0.2">
      <c r="B1" s="242" t="s">
        <v>371</v>
      </c>
      <c r="C1" s="242"/>
      <c r="D1" s="242"/>
      <c r="E1" s="242"/>
      <c r="F1" s="242"/>
      <c r="G1" s="242"/>
      <c r="H1" s="242"/>
      <c r="I1" s="242"/>
      <c r="J1" s="242"/>
      <c r="K1" s="242"/>
    </row>
    <row r="2" spans="1:12" s="6" customFormat="1" ht="15" customHeight="1" x14ac:dyDescent="0.25">
      <c r="A2" s="3" t="s">
        <v>1</v>
      </c>
      <c r="B2" s="3" t="s">
        <v>2</v>
      </c>
      <c r="C2" s="3" t="s">
        <v>3</v>
      </c>
      <c r="D2" s="3" t="s">
        <v>114</v>
      </c>
      <c r="E2" s="3" t="s">
        <v>4</v>
      </c>
      <c r="F2" s="4" t="s">
        <v>5</v>
      </c>
      <c r="G2" s="3" t="s">
        <v>6</v>
      </c>
      <c r="H2" s="4" t="s">
        <v>7</v>
      </c>
      <c r="I2" s="4" t="s">
        <v>8</v>
      </c>
      <c r="J2" s="4" t="s">
        <v>115</v>
      </c>
      <c r="K2" s="4" t="s">
        <v>9</v>
      </c>
      <c r="L2" s="5" t="s">
        <v>10</v>
      </c>
    </row>
    <row r="3" spans="1:12" ht="14.25" customHeight="1" x14ac:dyDescent="0.2">
      <c r="L3" s="10"/>
    </row>
    <row r="4" spans="1:12" ht="15" customHeight="1" x14ac:dyDescent="0.2">
      <c r="A4" s="11" t="s">
        <v>12</v>
      </c>
      <c r="B4" s="12"/>
      <c r="C4" s="12"/>
      <c r="D4" s="13"/>
      <c r="E4" s="13"/>
      <c r="F4" s="14"/>
      <c r="G4" s="15"/>
      <c r="H4" s="14"/>
      <c r="I4" s="14"/>
      <c r="J4" s="14"/>
      <c r="K4" s="14"/>
      <c r="L4" s="16"/>
    </row>
    <row r="5" spans="1:12" x14ac:dyDescent="0.2">
      <c r="A5" s="17" t="s">
        <v>372</v>
      </c>
      <c r="C5" s="68"/>
      <c r="D5" s="48"/>
      <c r="L5" s="18"/>
    </row>
    <row r="6" spans="1:12" x14ac:dyDescent="0.2">
      <c r="B6" s="7" t="s">
        <v>117</v>
      </c>
      <c r="C6" s="68"/>
      <c r="D6" s="48"/>
      <c r="H6" s="8">
        <f t="shared" ref="H6" si="0">F6*G6</f>
        <v>0</v>
      </c>
      <c r="I6" s="8">
        <f t="shared" ref="I6" si="1">H6*1.13</f>
        <v>0</v>
      </c>
      <c r="J6" s="8">
        <f>I6*0.75</f>
        <v>0</v>
      </c>
      <c r="L6" s="19"/>
    </row>
    <row r="7" spans="1:12" x14ac:dyDescent="0.2">
      <c r="C7" s="68"/>
      <c r="D7" s="48"/>
      <c r="L7" s="19"/>
    </row>
    <row r="8" spans="1:12" s="26" customFormat="1" x14ac:dyDescent="0.2">
      <c r="A8" s="17"/>
      <c r="B8" s="20" t="s">
        <v>373</v>
      </c>
      <c r="C8" s="73"/>
      <c r="D8" s="62"/>
      <c r="E8" s="22"/>
      <c r="F8" s="23"/>
      <c r="G8" s="24"/>
      <c r="H8" s="23"/>
      <c r="I8" s="23">
        <f>SUM(I6:I6)</f>
        <v>0</v>
      </c>
      <c r="J8" s="23">
        <f>SUM(J6:J6)</f>
        <v>0</v>
      </c>
      <c r="K8" s="23">
        <f>SUM(K6:K6)</f>
        <v>0</v>
      </c>
      <c r="L8" s="25">
        <f>SUM(L6:L6)</f>
        <v>0</v>
      </c>
    </row>
    <row r="9" spans="1:12" x14ac:dyDescent="0.2">
      <c r="C9" s="68"/>
      <c r="D9" s="48"/>
      <c r="L9" s="19"/>
    </row>
    <row r="10" spans="1:12" s="34" customFormat="1" x14ac:dyDescent="0.2">
      <c r="A10" s="27"/>
      <c r="B10" s="28" t="s">
        <v>38</v>
      </c>
      <c r="C10" s="75"/>
      <c r="D10" s="63"/>
      <c r="E10" s="30"/>
      <c r="F10" s="31"/>
      <c r="G10" s="32"/>
      <c r="H10" s="31"/>
      <c r="I10" s="31">
        <f>SumBold(I5:I9)</f>
        <v>0</v>
      </c>
      <c r="J10" s="31">
        <f>SumBold(J5:J9)</f>
        <v>0</v>
      </c>
      <c r="K10" s="31">
        <f>SumBold(K5:K9)</f>
        <v>0</v>
      </c>
      <c r="L10" s="33">
        <f>SumBold(L5:L9)</f>
        <v>0</v>
      </c>
    </row>
    <row r="11" spans="1:12" x14ac:dyDescent="0.2">
      <c r="L11" s="19"/>
    </row>
    <row r="12" spans="1:12" ht="15" customHeight="1" x14ac:dyDescent="0.2">
      <c r="A12" s="11" t="s">
        <v>41</v>
      </c>
      <c r="B12" s="12"/>
      <c r="C12" s="12"/>
      <c r="D12" s="13"/>
      <c r="E12" s="13"/>
      <c r="F12" s="14"/>
      <c r="G12" s="15"/>
      <c r="H12" s="14"/>
      <c r="I12" s="14"/>
      <c r="J12" s="14"/>
      <c r="K12" s="14"/>
      <c r="L12" s="16"/>
    </row>
    <row r="13" spans="1:12" x14ac:dyDescent="0.2">
      <c r="A13" s="17" t="s">
        <v>374</v>
      </c>
      <c r="D13" s="7"/>
      <c r="L13" s="19"/>
    </row>
    <row r="14" spans="1:12" x14ac:dyDescent="0.2">
      <c r="B14" s="7">
        <v>50100</v>
      </c>
      <c r="C14" s="68" t="s">
        <v>375</v>
      </c>
      <c r="D14" s="7">
        <v>8</v>
      </c>
      <c r="E14" t="s">
        <v>376</v>
      </c>
      <c r="F14" s="8">
        <v>20</v>
      </c>
      <c r="G14" s="9">
        <v>10</v>
      </c>
      <c r="H14" s="8">
        <f>F14*G14</f>
        <v>200</v>
      </c>
      <c r="I14" s="8">
        <f>H14*1.13</f>
        <v>225.99999999999997</v>
      </c>
      <c r="J14" s="8">
        <f>I14*1.25</f>
        <v>282.49999999999994</v>
      </c>
      <c r="L14" s="19"/>
    </row>
    <row r="15" spans="1:12" x14ac:dyDescent="0.2">
      <c r="B15" s="7">
        <v>50101</v>
      </c>
      <c r="C15" s="68" t="s">
        <v>377</v>
      </c>
      <c r="D15" s="7">
        <v>9</v>
      </c>
      <c r="E15" t="s">
        <v>378</v>
      </c>
      <c r="F15" s="8">
        <v>49.57</v>
      </c>
      <c r="G15" s="9">
        <v>8</v>
      </c>
      <c r="H15" s="8">
        <f t="shared" ref="H15" si="2">F15*G15</f>
        <v>396.56</v>
      </c>
      <c r="I15" s="8">
        <f t="shared" ref="I15" si="3">H15*1.13</f>
        <v>448.11279999999994</v>
      </c>
      <c r="J15" s="8">
        <f t="shared" ref="J15" si="4">I15*1.25</f>
        <v>560.14099999999996</v>
      </c>
      <c r="L15" s="19"/>
    </row>
    <row r="16" spans="1:12" x14ac:dyDescent="0.2">
      <c r="C16" s="68"/>
      <c r="L16" s="19"/>
    </row>
    <row r="17" spans="1:12" s="26" customFormat="1" x14ac:dyDescent="0.2">
      <c r="A17" s="17"/>
      <c r="B17" s="20" t="s">
        <v>379</v>
      </c>
      <c r="C17" s="73"/>
      <c r="D17" s="22"/>
      <c r="E17" s="22"/>
      <c r="F17" s="23"/>
      <c r="G17" s="24"/>
      <c r="H17" s="23"/>
      <c r="I17" s="23">
        <f>SUM(I14:I15)</f>
        <v>674.11279999999988</v>
      </c>
      <c r="J17" s="23">
        <f>SUM(J14:J15)</f>
        <v>842.64099999999985</v>
      </c>
      <c r="K17" s="23">
        <f>SUM(K14:K15)</f>
        <v>0</v>
      </c>
      <c r="L17" s="25">
        <f>SUM(L14:L15)</f>
        <v>0</v>
      </c>
    </row>
    <row r="18" spans="1:12" x14ac:dyDescent="0.2">
      <c r="A18" s="17" t="s">
        <v>380</v>
      </c>
      <c r="C18" s="68"/>
      <c r="L18" s="19"/>
    </row>
    <row r="19" spans="1:12" x14ac:dyDescent="0.2">
      <c r="B19" s="7">
        <v>50200</v>
      </c>
      <c r="C19" s="68" t="s">
        <v>193</v>
      </c>
      <c r="D19" s="7">
        <v>1</v>
      </c>
      <c r="E19" t="s">
        <v>381</v>
      </c>
      <c r="F19" s="8">
        <v>30</v>
      </c>
      <c r="G19" s="9">
        <v>10</v>
      </c>
      <c r="H19" s="8">
        <f t="shared" ref="H19:H20" si="5">F19*G19</f>
        <v>300</v>
      </c>
      <c r="I19" s="8">
        <f t="shared" ref="I19:I20" si="6">H19*1.13</f>
        <v>338.99999999999994</v>
      </c>
      <c r="J19" s="8">
        <f t="shared" ref="J19:J20" si="7">I19*1.25</f>
        <v>423.74999999999994</v>
      </c>
      <c r="L19" s="19"/>
    </row>
    <row r="20" spans="1:12" x14ac:dyDescent="0.2">
      <c r="B20" s="7">
        <v>50201</v>
      </c>
      <c r="C20" s="68" t="s">
        <v>382</v>
      </c>
      <c r="D20" s="7">
        <v>7</v>
      </c>
      <c r="E20" t="s">
        <v>383</v>
      </c>
      <c r="F20" s="8">
        <v>75</v>
      </c>
      <c r="G20" s="9">
        <v>1</v>
      </c>
      <c r="H20" s="8">
        <f t="shared" si="5"/>
        <v>75</v>
      </c>
      <c r="I20" s="8">
        <f t="shared" si="6"/>
        <v>84.749999999999986</v>
      </c>
      <c r="J20" s="8">
        <f t="shared" si="7"/>
        <v>105.93749999999999</v>
      </c>
      <c r="L20" s="19"/>
    </row>
    <row r="21" spans="1:12" x14ac:dyDescent="0.2">
      <c r="C21" s="68"/>
      <c r="D21" s="7"/>
      <c r="L21" s="19"/>
    </row>
    <row r="22" spans="1:12" s="26" customFormat="1" x14ac:dyDescent="0.2">
      <c r="A22" s="17"/>
      <c r="B22" s="20" t="s">
        <v>384</v>
      </c>
      <c r="C22" s="73"/>
      <c r="D22" s="21"/>
      <c r="E22" s="22"/>
      <c r="F22" s="23"/>
      <c r="G22" s="24"/>
      <c r="H22" s="23"/>
      <c r="I22" s="23">
        <f>SUM(I19:I20)</f>
        <v>423.74999999999994</v>
      </c>
      <c r="J22" s="23">
        <f>SUM(J19:J20)</f>
        <v>529.68749999999989</v>
      </c>
      <c r="K22" s="23">
        <f>SUM(K19:K20)</f>
        <v>0</v>
      </c>
      <c r="L22" s="25">
        <f>SUM(L19:L20)</f>
        <v>0</v>
      </c>
    </row>
    <row r="23" spans="1:12" x14ac:dyDescent="0.2">
      <c r="A23" s="17" t="s">
        <v>385</v>
      </c>
      <c r="C23" s="68"/>
      <c r="D23" s="7"/>
      <c r="L23" s="19"/>
    </row>
    <row r="24" spans="1:12" x14ac:dyDescent="0.2">
      <c r="B24" s="7">
        <v>50300</v>
      </c>
      <c r="C24" s="68" t="s">
        <v>386</v>
      </c>
      <c r="D24" s="7">
        <v>4</v>
      </c>
      <c r="E24" t="s">
        <v>387</v>
      </c>
      <c r="F24" s="8">
        <v>30</v>
      </c>
      <c r="G24" s="9">
        <v>6</v>
      </c>
      <c r="H24" s="8">
        <f t="shared" ref="H24" si="8">F24*G24</f>
        <v>180</v>
      </c>
      <c r="I24" s="8">
        <f t="shared" ref="I24" si="9">H24*1.13</f>
        <v>203.39999999999998</v>
      </c>
      <c r="J24" s="8">
        <f t="shared" ref="J24" si="10">I24*1.25</f>
        <v>254.24999999999997</v>
      </c>
      <c r="L24" s="19"/>
    </row>
    <row r="25" spans="1:12" x14ac:dyDescent="0.2">
      <c r="L25" s="19"/>
    </row>
    <row r="26" spans="1:12" s="26" customFormat="1" x14ac:dyDescent="0.2">
      <c r="A26" s="17"/>
      <c r="B26" s="20" t="s">
        <v>388</v>
      </c>
      <c r="C26" s="21"/>
      <c r="D26" s="22"/>
      <c r="E26" s="22"/>
      <c r="F26" s="23"/>
      <c r="G26" s="24"/>
      <c r="H26" s="23"/>
      <c r="I26" s="23">
        <f>SUM(I24:I24)</f>
        <v>203.39999999999998</v>
      </c>
      <c r="J26" s="23">
        <f>SUM(J24:J24)</f>
        <v>254.24999999999997</v>
      </c>
      <c r="K26" s="23">
        <f>SUM(K24:K24)</f>
        <v>0</v>
      </c>
      <c r="L26" s="25">
        <f>SUM(L24:L24)</f>
        <v>0</v>
      </c>
    </row>
    <row r="27" spans="1:12" x14ac:dyDescent="0.2">
      <c r="L27" s="19"/>
    </row>
    <row r="28" spans="1:12" s="34" customFormat="1" x14ac:dyDescent="0.2">
      <c r="A28" s="27"/>
      <c r="B28" s="28" t="s">
        <v>108</v>
      </c>
      <c r="C28" s="29"/>
      <c r="D28" s="30"/>
      <c r="E28" s="30"/>
      <c r="F28" s="31"/>
      <c r="G28" s="32"/>
      <c r="H28" s="31"/>
      <c r="I28" s="31">
        <f>SumBold(I13:I27)</f>
        <v>1301.2628</v>
      </c>
      <c r="J28" s="31">
        <f>SumBold(J13:J27)</f>
        <v>1626.5785000000001</v>
      </c>
      <c r="K28" s="31">
        <f>SumBold(K13:K27)</f>
        <v>0</v>
      </c>
      <c r="L28" s="33">
        <f>SumBold(L13:L27)</f>
        <v>0</v>
      </c>
    </row>
    <row r="29" spans="1:12" x14ac:dyDescent="0.2">
      <c r="L29" s="19"/>
    </row>
    <row r="30" spans="1:12" ht="15" customHeight="1" x14ac:dyDescent="0.2">
      <c r="A30" s="11" t="s">
        <v>109</v>
      </c>
      <c r="B30" s="12"/>
      <c r="C30" s="12"/>
      <c r="D30" s="13"/>
      <c r="E30" s="13"/>
      <c r="F30" s="14"/>
      <c r="G30" s="15"/>
      <c r="H30" s="14"/>
      <c r="I30" s="14"/>
      <c r="J30" s="14"/>
      <c r="K30" s="14"/>
      <c r="L30" s="16"/>
    </row>
    <row r="31" spans="1:12" s="26" customFormat="1" x14ac:dyDescent="0.2">
      <c r="A31" s="17"/>
      <c r="B31" s="166" t="s">
        <v>110</v>
      </c>
      <c r="C31" s="166"/>
      <c r="D31" s="17"/>
      <c r="E31" s="17"/>
      <c r="F31" s="37"/>
      <c r="G31" s="38"/>
      <c r="H31" s="37"/>
      <c r="I31" s="37">
        <f>I10</f>
        <v>0</v>
      </c>
      <c r="J31" s="37">
        <f>J10</f>
        <v>0</v>
      </c>
      <c r="K31" s="37">
        <f>K10</f>
        <v>0</v>
      </c>
      <c r="L31" s="37">
        <f>L10</f>
        <v>0</v>
      </c>
    </row>
    <row r="32" spans="1:12" s="26" customFormat="1" x14ac:dyDescent="0.2">
      <c r="A32" s="17"/>
      <c r="B32" s="166" t="s">
        <v>111</v>
      </c>
      <c r="C32" s="166"/>
      <c r="D32" s="17"/>
      <c r="E32" s="17"/>
      <c r="F32" s="37"/>
      <c r="G32" s="38"/>
      <c r="H32" s="37"/>
      <c r="I32" s="37">
        <f>I28</f>
        <v>1301.2628</v>
      </c>
      <c r="J32" s="37">
        <f>J28</f>
        <v>1626.5785000000001</v>
      </c>
      <c r="K32" s="37">
        <f>K28</f>
        <v>0</v>
      </c>
      <c r="L32" s="40">
        <f>L28</f>
        <v>0</v>
      </c>
    </row>
    <row r="33" spans="1:12" s="26" customFormat="1" x14ac:dyDescent="0.2">
      <c r="A33" s="41"/>
      <c r="B33" s="42" t="s">
        <v>112</v>
      </c>
      <c r="C33" s="42"/>
      <c r="D33" s="41"/>
      <c r="E33" s="41"/>
      <c r="F33" s="43"/>
      <c r="G33" s="44"/>
      <c r="H33" s="43"/>
      <c r="I33" s="43">
        <f>SUM(I31,I32*-1)</f>
        <v>-1301.2628</v>
      </c>
      <c r="J33" s="43">
        <f t="shared" ref="J33:L33" si="11">SUM(J31,J32*-1)</f>
        <v>-1626.5785000000001</v>
      </c>
      <c r="K33" s="43">
        <f t="shared" si="11"/>
        <v>0</v>
      </c>
      <c r="L33" s="45">
        <f t="shared" si="11"/>
        <v>0</v>
      </c>
    </row>
  </sheetData>
  <mergeCells count="1">
    <mergeCell ref="B1:K1"/>
  </mergeCells>
  <conditionalFormatting sqref="B11:L11 B6 H6:L6 B14:L33">
    <cfRule type="expression" dxfId="58" priority="14">
      <formula>MOD($B6,2)=1</formula>
    </cfRule>
  </conditionalFormatting>
  <conditionalFormatting sqref="B7:L8">
    <cfRule type="expression" dxfId="57" priority="5">
      <formula>MOD($B7,2)=1</formula>
    </cfRule>
  </conditionalFormatting>
  <conditionalFormatting sqref="B9:L10">
    <cfRule type="expression" dxfId="56" priority="4">
      <formula>MOD($B9,2)=1</formula>
    </cfRule>
  </conditionalFormatting>
  <conditionalFormatting sqref="E6:G6">
    <cfRule type="expression" dxfId="55" priority="3">
      <formula>MOD($B6,2)=1</formula>
    </cfRule>
  </conditionalFormatting>
  <conditionalFormatting sqref="C6">
    <cfRule type="expression" dxfId="54" priority="2">
      <formula>MOD($B6,2)=1</formula>
    </cfRule>
  </conditionalFormatting>
  <conditionalFormatting sqref="D6">
    <cfRule type="expression" dxfId="53" priority="1">
      <formula>MOD($B6,2)=1</formula>
    </cfRule>
  </conditionalFormatting>
  <pageMargins left="0.7" right="0.7" top="0.75" bottom="0.75" header="0.3" footer="0.3"/>
  <pageSetup scale="26" fitToWidth="0"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5D841-86DA-4495-BB1D-F209D97C17D6}">
  <sheetPr codeName="Sheet11"/>
  <dimension ref="A1:L35"/>
  <sheetViews>
    <sheetView showGridLines="0" zoomScale="63" zoomScaleNormal="75" workbookViewId="0">
      <pane ySplit="2" topLeftCell="A3" activePane="bottomLeft" state="frozen"/>
      <selection pane="bottomLeft" activeCell="J25" sqref="J25"/>
    </sheetView>
  </sheetViews>
  <sheetFormatPr baseColWidth="10" defaultColWidth="9.83203125" defaultRowHeight="15" x14ac:dyDescent="0.2"/>
  <cols>
    <col min="1" max="1" width="30" style="68" customWidth="1"/>
    <col min="2" max="2" width="38" style="48" customWidth="1"/>
    <col min="3" max="3" width="29" style="68" bestFit="1" customWidth="1"/>
    <col min="4" max="4" width="26.6640625" style="48" customWidth="1"/>
    <col min="5" max="5" width="47.5" style="68" customWidth="1"/>
    <col min="6" max="6" width="15.5" style="8" customWidth="1"/>
    <col min="7" max="7" width="15.5" style="9" customWidth="1"/>
    <col min="8" max="8" width="19.5" style="8" customWidth="1"/>
    <col min="9" max="9" width="18.5" style="8" customWidth="1"/>
    <col min="10" max="11" width="21" style="8" customWidth="1"/>
    <col min="12" max="12" width="21.33203125" style="1" customWidth="1"/>
    <col min="13" max="16384" width="9.83203125" style="2"/>
  </cols>
  <sheetData>
    <row r="1" spans="1:12" ht="148.5" customHeight="1" x14ac:dyDescent="0.2">
      <c r="B1" s="242" t="s">
        <v>389</v>
      </c>
      <c r="C1" s="242"/>
      <c r="D1" s="242"/>
      <c r="E1" s="242"/>
      <c r="F1" s="242"/>
      <c r="G1" s="242"/>
      <c r="H1" s="242"/>
      <c r="I1" s="242"/>
      <c r="J1" s="242"/>
      <c r="K1" s="242"/>
    </row>
    <row r="2" spans="1:12" s="91" customFormat="1" ht="15" customHeight="1" x14ac:dyDescent="0.2">
      <c r="A2" s="60" t="s">
        <v>1</v>
      </c>
      <c r="B2" s="60" t="s">
        <v>2</v>
      </c>
      <c r="C2" s="60" t="s">
        <v>3</v>
      </c>
      <c r="D2" s="60" t="s">
        <v>114</v>
      </c>
      <c r="E2" s="60" t="s">
        <v>4</v>
      </c>
      <c r="F2" s="89" t="s">
        <v>5</v>
      </c>
      <c r="G2" s="60" t="s">
        <v>6</v>
      </c>
      <c r="H2" s="89" t="s">
        <v>7</v>
      </c>
      <c r="I2" s="89" t="s">
        <v>8</v>
      </c>
      <c r="J2" s="89" t="s">
        <v>115</v>
      </c>
      <c r="K2" s="89" t="s">
        <v>9</v>
      </c>
      <c r="L2" s="90" t="s">
        <v>10</v>
      </c>
    </row>
    <row r="3" spans="1:12" ht="14.25" customHeight="1" x14ac:dyDescent="0.2">
      <c r="L3" s="10"/>
    </row>
    <row r="4" spans="1:12" ht="15" customHeight="1" x14ac:dyDescent="0.2">
      <c r="A4" s="97" t="s">
        <v>12</v>
      </c>
      <c r="B4" s="61"/>
      <c r="C4" s="70"/>
      <c r="D4" s="61"/>
      <c r="E4" s="70"/>
      <c r="F4" s="14"/>
      <c r="G4" s="15"/>
      <c r="H4" s="14"/>
      <c r="I4" s="14"/>
      <c r="J4" s="14"/>
      <c r="K4" s="14"/>
      <c r="L4" s="16"/>
    </row>
    <row r="5" spans="1:12" x14ac:dyDescent="0.2">
      <c r="A5" s="77" t="s">
        <v>390</v>
      </c>
      <c r="L5" s="18"/>
    </row>
    <row r="6" spans="1:12" x14ac:dyDescent="0.2">
      <c r="B6" s="48" t="s">
        <v>117</v>
      </c>
      <c r="H6" s="8">
        <f>F6*G6</f>
        <v>0</v>
      </c>
      <c r="I6" s="8">
        <f>H6*1.13</f>
        <v>0</v>
      </c>
      <c r="J6" s="8">
        <f>I6*0.75</f>
        <v>0</v>
      </c>
      <c r="K6" s="8">
        <v>0</v>
      </c>
      <c r="L6" s="19">
        <v>0</v>
      </c>
    </row>
    <row r="7" spans="1:12" x14ac:dyDescent="0.2">
      <c r="L7" s="19"/>
    </row>
    <row r="8" spans="1:12" s="26" customFormat="1" x14ac:dyDescent="0.2">
      <c r="A8" s="77"/>
      <c r="B8" s="87" t="s">
        <v>391</v>
      </c>
      <c r="C8" s="73"/>
      <c r="D8" s="62"/>
      <c r="E8" s="73"/>
      <c r="F8" s="23"/>
      <c r="G8" s="24"/>
      <c r="H8" s="23"/>
      <c r="I8" s="23">
        <f>SUM(I6:I6)</f>
        <v>0</v>
      </c>
      <c r="J8" s="23">
        <f>SUM(J6:J6)</f>
        <v>0</v>
      </c>
      <c r="K8" s="23">
        <f>SUM(K6:K6)</f>
        <v>0</v>
      </c>
      <c r="L8" s="25">
        <f>SUM(L6:L6)</f>
        <v>0</v>
      </c>
    </row>
    <row r="9" spans="1:12" x14ac:dyDescent="0.2">
      <c r="L9" s="19"/>
    </row>
    <row r="10" spans="1:12" s="34" customFormat="1" x14ac:dyDescent="0.2">
      <c r="A10" s="98"/>
      <c r="B10" s="88" t="s">
        <v>38</v>
      </c>
      <c r="C10" s="75"/>
      <c r="D10" s="63"/>
      <c r="E10" s="75"/>
      <c r="F10" s="31"/>
      <c r="G10" s="32"/>
      <c r="H10" s="31"/>
      <c r="I10" s="31">
        <f>SumBold(I5:I9)</f>
        <v>0</v>
      </c>
      <c r="J10" s="31">
        <f>SumBold(J5:J9)</f>
        <v>0</v>
      </c>
      <c r="K10" s="31">
        <f>SumBold(K5:K9)</f>
        <v>0</v>
      </c>
      <c r="L10" s="33">
        <f>SumBold(L5:L9)</f>
        <v>0</v>
      </c>
    </row>
    <row r="11" spans="1:12" x14ac:dyDescent="0.2">
      <c r="L11" s="19"/>
    </row>
    <row r="12" spans="1:12" ht="15" customHeight="1" x14ac:dyDescent="0.2">
      <c r="A12" s="97" t="s">
        <v>41</v>
      </c>
      <c r="B12" s="61"/>
      <c r="C12" s="70"/>
      <c r="D12" s="61"/>
      <c r="E12" s="70"/>
      <c r="F12" s="14"/>
      <c r="G12" s="15"/>
      <c r="H12" s="14"/>
      <c r="I12" s="14"/>
      <c r="J12" s="14"/>
      <c r="K12" s="14"/>
      <c r="L12" s="16"/>
    </row>
    <row r="13" spans="1:12" x14ac:dyDescent="0.2">
      <c r="A13" s="77" t="s">
        <v>392</v>
      </c>
      <c r="L13" s="19"/>
    </row>
    <row r="14" spans="1:12" x14ac:dyDescent="0.2">
      <c r="B14" s="48">
        <v>75100</v>
      </c>
      <c r="C14" s="68" t="s">
        <v>393</v>
      </c>
      <c r="D14" s="48">
        <v>16</v>
      </c>
      <c r="E14" s="68" t="s">
        <v>394</v>
      </c>
      <c r="F14" s="8">
        <v>50</v>
      </c>
      <c r="G14" s="9">
        <v>12</v>
      </c>
      <c r="H14" s="8">
        <f t="shared" ref="H14" si="0">F14*G14</f>
        <v>600</v>
      </c>
      <c r="I14" s="8">
        <f t="shared" ref="I14" si="1">H14*1.13</f>
        <v>677.99999999999989</v>
      </c>
      <c r="J14" s="8">
        <f t="shared" ref="J14" si="2">I14*1.25</f>
        <v>847.49999999999989</v>
      </c>
      <c r="L14" s="19"/>
    </row>
    <row r="15" spans="1:12" x14ac:dyDescent="0.2">
      <c r="L15" s="19"/>
    </row>
    <row r="16" spans="1:12" s="26" customFormat="1" x14ac:dyDescent="0.2">
      <c r="A16" s="77"/>
      <c r="B16" s="87" t="s">
        <v>395</v>
      </c>
      <c r="C16" s="73"/>
      <c r="D16" s="62"/>
      <c r="E16" s="73"/>
      <c r="F16" s="23"/>
      <c r="G16" s="24"/>
      <c r="H16" s="23"/>
      <c r="I16" s="23">
        <f>SUM(I14:I14)</f>
        <v>677.99999999999989</v>
      </c>
      <c r="J16" s="23">
        <f>SUM(J14:J14)</f>
        <v>847.49999999999989</v>
      </c>
      <c r="K16" s="23">
        <f>SUM(K14:K15)</f>
        <v>0</v>
      </c>
      <c r="L16" s="25">
        <f>SUM(L14:L15)</f>
        <v>0</v>
      </c>
    </row>
    <row r="17" spans="1:12" x14ac:dyDescent="0.2">
      <c r="A17" s="77" t="s">
        <v>396</v>
      </c>
      <c r="L17" s="19"/>
    </row>
    <row r="18" spans="1:12" customFormat="1" x14ac:dyDescent="0.2">
      <c r="A18" s="203" t="s">
        <v>397</v>
      </c>
      <c r="B18" s="135">
        <v>75200</v>
      </c>
      <c r="C18" s="143" t="s">
        <v>398</v>
      </c>
      <c r="D18" s="135">
        <v>15</v>
      </c>
      <c r="E18" s="143" t="s">
        <v>399</v>
      </c>
      <c r="F18" s="106">
        <v>70</v>
      </c>
      <c r="G18" s="137">
        <v>3</v>
      </c>
      <c r="H18" s="106">
        <f t="shared" ref="H18:H22" si="3">F18*G18</f>
        <v>210</v>
      </c>
      <c r="I18" s="106">
        <f t="shared" ref="I18:I22" si="4">H18*1.13</f>
        <v>237.29999999999998</v>
      </c>
      <c r="J18" s="106">
        <f t="shared" ref="J18:J22" si="5">I18*1.25</f>
        <v>296.625</v>
      </c>
      <c r="K18" s="106"/>
      <c r="L18" s="138"/>
    </row>
    <row r="19" spans="1:12" customFormat="1" x14ac:dyDescent="0.2">
      <c r="A19" s="107"/>
      <c r="B19" s="48">
        <v>75201</v>
      </c>
      <c r="C19" s="68" t="s">
        <v>400</v>
      </c>
      <c r="D19" s="48">
        <v>15</v>
      </c>
      <c r="E19" s="68" t="s">
        <v>399</v>
      </c>
      <c r="F19" s="50">
        <v>50</v>
      </c>
      <c r="G19" s="9">
        <v>6</v>
      </c>
      <c r="H19" s="50">
        <f t="shared" si="3"/>
        <v>300</v>
      </c>
      <c r="I19" s="50">
        <f t="shared" si="4"/>
        <v>338.99999999999994</v>
      </c>
      <c r="J19" s="50">
        <f t="shared" si="5"/>
        <v>423.74999999999994</v>
      </c>
      <c r="K19" s="50"/>
      <c r="L19" s="125"/>
    </row>
    <row r="20" spans="1:12" customFormat="1" x14ac:dyDescent="0.2">
      <c r="A20" s="107"/>
      <c r="B20" s="48">
        <v>75202</v>
      </c>
      <c r="C20" s="68" t="s">
        <v>401</v>
      </c>
      <c r="D20" s="48">
        <v>14</v>
      </c>
      <c r="E20" s="68" t="s">
        <v>402</v>
      </c>
      <c r="F20" s="50">
        <v>60</v>
      </c>
      <c r="G20" s="9">
        <v>1</v>
      </c>
      <c r="H20" s="50">
        <f t="shared" si="3"/>
        <v>60</v>
      </c>
      <c r="I20" s="50">
        <f t="shared" si="4"/>
        <v>67.8</v>
      </c>
      <c r="J20" s="50">
        <f t="shared" si="5"/>
        <v>84.75</v>
      </c>
      <c r="K20" s="50"/>
      <c r="L20" s="125"/>
    </row>
    <row r="21" spans="1:12" customFormat="1" x14ac:dyDescent="0.2">
      <c r="A21" s="107"/>
      <c r="B21" s="48">
        <v>75203</v>
      </c>
      <c r="C21" s="68" t="s">
        <v>403</v>
      </c>
      <c r="D21" s="48">
        <v>3</v>
      </c>
      <c r="E21" s="68" t="s">
        <v>404</v>
      </c>
      <c r="F21" s="50">
        <v>300</v>
      </c>
      <c r="G21" s="9">
        <v>1</v>
      </c>
      <c r="H21" s="50">
        <f t="shared" si="3"/>
        <v>300</v>
      </c>
      <c r="I21" s="50">
        <f t="shared" si="4"/>
        <v>338.99999999999994</v>
      </c>
      <c r="J21" s="50">
        <f t="shared" si="5"/>
        <v>423.74999999999994</v>
      </c>
      <c r="K21" s="50"/>
      <c r="L21" s="125"/>
    </row>
    <row r="22" spans="1:12" customFormat="1" x14ac:dyDescent="0.2">
      <c r="A22" s="204" t="s">
        <v>405</v>
      </c>
      <c r="B22" s="48">
        <v>75304</v>
      </c>
      <c r="C22" s="68" t="s">
        <v>406</v>
      </c>
      <c r="D22" s="48">
        <v>6</v>
      </c>
      <c r="E22" s="68" t="s">
        <v>407</v>
      </c>
      <c r="F22" s="50">
        <v>30</v>
      </c>
      <c r="G22" s="9">
        <v>6</v>
      </c>
      <c r="H22" s="50">
        <f t="shared" si="3"/>
        <v>180</v>
      </c>
      <c r="I22" s="50">
        <f t="shared" si="4"/>
        <v>203.39999999999998</v>
      </c>
      <c r="J22" s="50">
        <f t="shared" si="5"/>
        <v>254.24999999999997</v>
      </c>
      <c r="K22" s="50"/>
      <c r="L22" s="125"/>
    </row>
    <row r="23" spans="1:12" x14ac:dyDescent="0.2">
      <c r="L23" s="19"/>
    </row>
    <row r="24" spans="1:12" s="26" customFormat="1" x14ac:dyDescent="0.2">
      <c r="A24" s="77"/>
      <c r="B24" s="87" t="s">
        <v>408</v>
      </c>
      <c r="C24" s="73"/>
      <c r="D24" s="62"/>
      <c r="E24" s="73"/>
      <c r="F24" s="23"/>
      <c r="G24" s="24"/>
      <c r="H24" s="23"/>
      <c r="I24" s="23">
        <f>SUM(I18:I22)</f>
        <v>1186.5</v>
      </c>
      <c r="J24" s="23">
        <f>SUM(J18:J22)</f>
        <v>1483.125</v>
      </c>
      <c r="K24" s="23">
        <f>SUM(K18:K22)</f>
        <v>0</v>
      </c>
      <c r="L24" s="25">
        <f>SUM(L18:L23)</f>
        <v>0</v>
      </c>
    </row>
    <row r="25" spans="1:12" x14ac:dyDescent="0.2">
      <c r="A25" s="77" t="s">
        <v>409</v>
      </c>
      <c r="L25" s="19"/>
    </row>
    <row r="26" spans="1:12" s="172" customFormat="1" x14ac:dyDescent="0.2">
      <c r="A26" s="169"/>
      <c r="B26" s="174" t="s">
        <v>117</v>
      </c>
      <c r="C26" s="169"/>
      <c r="D26" s="174"/>
      <c r="E26" s="169"/>
      <c r="F26" s="170"/>
      <c r="G26" s="140"/>
      <c r="H26" s="170"/>
      <c r="I26" s="170"/>
      <c r="J26" s="170"/>
      <c r="K26" s="170"/>
      <c r="L26" s="171"/>
    </row>
    <row r="27" spans="1:12" x14ac:dyDescent="0.2">
      <c r="L27" s="19"/>
    </row>
    <row r="28" spans="1:12" s="26" customFormat="1" x14ac:dyDescent="0.2">
      <c r="A28" s="77"/>
      <c r="B28" s="87" t="s">
        <v>410</v>
      </c>
      <c r="C28" s="73"/>
      <c r="D28" s="62"/>
      <c r="E28" s="73"/>
      <c r="F28" s="23"/>
      <c r="G28" s="24"/>
      <c r="H28" s="23"/>
      <c r="I28" s="23">
        <f>SUM(I26:I26)</f>
        <v>0</v>
      </c>
      <c r="J28" s="23">
        <f>SUM(J26:J26)</f>
        <v>0</v>
      </c>
      <c r="K28" s="23">
        <f>SUM(K26:K26)</f>
        <v>0</v>
      </c>
      <c r="L28" s="25">
        <f>SUM(L26:L26)</f>
        <v>0</v>
      </c>
    </row>
    <row r="29" spans="1:12" x14ac:dyDescent="0.2">
      <c r="L29" s="19"/>
    </row>
    <row r="30" spans="1:12" s="34" customFormat="1" x14ac:dyDescent="0.2">
      <c r="A30" s="98"/>
      <c r="B30" s="88" t="s">
        <v>108</v>
      </c>
      <c r="C30" s="75"/>
      <c r="D30" s="63"/>
      <c r="E30" s="75"/>
      <c r="F30" s="31"/>
      <c r="G30" s="32"/>
      <c r="H30" s="31"/>
      <c r="I30" s="31">
        <f>SumBold(I13:I29)</f>
        <v>1864.5</v>
      </c>
      <c r="J30" s="31">
        <f>SumBold(J13:J29)</f>
        <v>2330.625</v>
      </c>
      <c r="K30" s="31">
        <f>SumBold(K13:K29)</f>
        <v>0</v>
      </c>
      <c r="L30" s="33">
        <f>SumBold(L13:L29)</f>
        <v>0</v>
      </c>
    </row>
    <row r="31" spans="1:12" x14ac:dyDescent="0.2">
      <c r="L31" s="19"/>
    </row>
    <row r="32" spans="1:12" ht="15" customHeight="1" x14ac:dyDescent="0.2">
      <c r="A32" s="97" t="s">
        <v>109</v>
      </c>
      <c r="B32" s="61"/>
      <c r="C32" s="70"/>
      <c r="D32" s="61"/>
      <c r="E32" s="70"/>
      <c r="F32" s="14"/>
      <c r="G32" s="15"/>
      <c r="H32" s="14"/>
      <c r="I32" s="14"/>
      <c r="J32" s="14"/>
      <c r="K32" s="14"/>
      <c r="L32" s="16"/>
    </row>
    <row r="33" spans="1:12" s="26" customFormat="1" x14ac:dyDescent="0.2">
      <c r="A33" s="77"/>
      <c r="B33" s="64" t="s">
        <v>110</v>
      </c>
      <c r="C33" s="77"/>
      <c r="D33" s="64"/>
      <c r="E33" s="77"/>
      <c r="F33" s="37"/>
      <c r="G33" s="38"/>
      <c r="H33" s="37"/>
      <c r="I33" s="37">
        <f>I10</f>
        <v>0</v>
      </c>
      <c r="J33" s="37">
        <f>J10</f>
        <v>0</v>
      </c>
      <c r="K33" s="37">
        <f>K10</f>
        <v>0</v>
      </c>
      <c r="L33" s="39">
        <f>L10</f>
        <v>0</v>
      </c>
    </row>
    <row r="34" spans="1:12" s="26" customFormat="1" x14ac:dyDescent="0.2">
      <c r="A34" s="77"/>
      <c r="B34" s="64" t="s">
        <v>111</v>
      </c>
      <c r="C34" s="77"/>
      <c r="D34" s="64"/>
      <c r="E34" s="77"/>
      <c r="F34" s="37"/>
      <c r="G34" s="38"/>
      <c r="H34" s="37"/>
      <c r="I34" s="37">
        <f>I30</f>
        <v>1864.5</v>
      </c>
      <c r="J34" s="37">
        <f>J30</f>
        <v>2330.625</v>
      </c>
      <c r="K34" s="37">
        <f>K30</f>
        <v>0</v>
      </c>
      <c r="L34" s="40">
        <f>L30</f>
        <v>0</v>
      </c>
    </row>
    <row r="35" spans="1:12" s="26" customFormat="1" x14ac:dyDescent="0.2">
      <c r="A35" s="79"/>
      <c r="B35" s="65" t="s">
        <v>112</v>
      </c>
      <c r="C35" s="79"/>
      <c r="D35" s="65"/>
      <c r="E35" s="79"/>
      <c r="F35" s="43"/>
      <c r="G35" s="44"/>
      <c r="H35" s="43"/>
      <c r="I35" s="43">
        <f>SUM(I33,I34*-1)</f>
        <v>-1864.5</v>
      </c>
      <c r="J35" s="43">
        <f>SUM(J33,J34*-1)</f>
        <v>-2330.625</v>
      </c>
      <c r="K35" s="43">
        <f>SUM(K33,K34*-1)</f>
        <v>0</v>
      </c>
      <c r="L35" s="45">
        <f>SUM(L33,L34*-1)</f>
        <v>0</v>
      </c>
    </row>
  </sheetData>
  <mergeCells count="1">
    <mergeCell ref="B1:K1"/>
  </mergeCells>
  <conditionalFormatting sqref="B6:L8 B14:L35">
    <cfRule type="expression" dxfId="52" priority="3">
      <formula>MOD($B6,2)=1</formula>
    </cfRule>
  </conditionalFormatting>
  <conditionalFormatting sqref="B9:L11">
    <cfRule type="expression" dxfId="51" priority="2">
      <formula>MOD($B9,2)=1</formula>
    </cfRule>
  </conditionalFormatting>
  <pageMargins left="0.7" right="0.7" top="0.75" bottom="0.75" header="0.3" footer="0.3"/>
  <pageSetup scale="26" fitToWidth="0" fitToHeight="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C23954-B327-49D6-80A5-C301D316B38F}">
  <sheetPr codeName="Sheet14"/>
  <dimension ref="A1:M60"/>
  <sheetViews>
    <sheetView showGridLines="0" zoomScale="80" zoomScaleNormal="80" workbookViewId="0">
      <pane ySplit="2" topLeftCell="A3" activePane="bottomLeft" state="frozen"/>
      <selection pane="bottomLeft" activeCell="K67" sqref="K67"/>
    </sheetView>
  </sheetViews>
  <sheetFormatPr baseColWidth="10" defaultColWidth="9.5" defaultRowHeight="15" x14ac:dyDescent="0.2"/>
  <cols>
    <col min="1" max="1" width="23.5" customWidth="1"/>
    <col min="2" max="2" width="23.1640625" style="58" customWidth="1"/>
    <col min="3" max="3" width="35.33203125" style="68" customWidth="1"/>
    <col min="4" max="4" width="18.83203125" style="7" customWidth="1"/>
    <col min="5" max="5" width="59.5" customWidth="1"/>
    <col min="6" max="6" width="15" style="8" customWidth="1"/>
    <col min="7" max="7" width="15.1640625" style="9" customWidth="1"/>
    <col min="8" max="8" width="19.1640625" style="8" customWidth="1"/>
    <col min="9" max="9" width="18" style="8" customWidth="1"/>
    <col min="10" max="11" width="20.5" style="8" customWidth="1"/>
    <col min="12" max="12" width="20.83203125" style="1" customWidth="1"/>
    <col min="13" max="13" width="10" style="2" bestFit="1" customWidth="1"/>
    <col min="14" max="16384" width="9.5" style="2"/>
  </cols>
  <sheetData>
    <row r="1" spans="1:13" ht="148.5" customHeight="1" x14ac:dyDescent="0.2">
      <c r="B1" s="242" t="s">
        <v>411</v>
      </c>
      <c r="C1" s="242"/>
      <c r="D1" s="242"/>
      <c r="E1" s="242"/>
      <c r="F1" s="242"/>
      <c r="G1" s="242"/>
      <c r="H1" s="242"/>
      <c r="I1" s="242"/>
      <c r="J1" s="242"/>
      <c r="K1" s="242"/>
    </row>
    <row r="2" spans="1:13" s="6" customFormat="1" ht="15" customHeight="1" x14ac:dyDescent="0.25">
      <c r="A2" s="3" t="s">
        <v>1</v>
      </c>
      <c r="B2" s="149" t="s">
        <v>2</v>
      </c>
      <c r="C2" s="60" t="s">
        <v>3</v>
      </c>
      <c r="D2" s="3" t="s">
        <v>114</v>
      </c>
      <c r="E2" s="3" t="s">
        <v>4</v>
      </c>
      <c r="F2" s="4" t="s">
        <v>5</v>
      </c>
      <c r="G2" s="3" t="s">
        <v>6</v>
      </c>
      <c r="H2" s="4" t="s">
        <v>7</v>
      </c>
      <c r="I2" s="4" t="s">
        <v>8</v>
      </c>
      <c r="J2" s="4" t="s">
        <v>115</v>
      </c>
      <c r="K2" s="4" t="s">
        <v>9</v>
      </c>
      <c r="L2" s="5" t="s">
        <v>10</v>
      </c>
    </row>
    <row r="3" spans="1:13" x14ac:dyDescent="0.2">
      <c r="L3" s="10"/>
    </row>
    <row r="4" spans="1:13" x14ac:dyDescent="0.2">
      <c r="A4" s="11" t="s">
        <v>12</v>
      </c>
      <c r="B4" s="150"/>
      <c r="C4" s="70"/>
      <c r="D4" s="12"/>
      <c r="E4" s="13"/>
      <c r="F4" s="14"/>
      <c r="G4" s="15"/>
      <c r="H4" s="14"/>
      <c r="I4" s="14"/>
      <c r="J4" s="14"/>
      <c r="K4" s="14"/>
      <c r="L4" s="16"/>
    </row>
    <row r="5" spans="1:13" x14ac:dyDescent="0.2">
      <c r="A5" s="17" t="s">
        <v>412</v>
      </c>
      <c r="L5" s="18"/>
    </row>
    <row r="6" spans="1:13" x14ac:dyDescent="0.2">
      <c r="B6" s="58" t="s">
        <v>117</v>
      </c>
      <c r="H6" s="8">
        <f t="shared" ref="H6" si="0">F6*G6</f>
        <v>0</v>
      </c>
      <c r="I6" s="8">
        <f t="shared" ref="I6" si="1">H6*1.13</f>
        <v>0</v>
      </c>
      <c r="J6" s="8">
        <f>I6*0.75</f>
        <v>0</v>
      </c>
      <c r="L6" s="19"/>
    </row>
    <row r="7" spans="1:13" x14ac:dyDescent="0.2">
      <c r="L7" s="19"/>
    </row>
    <row r="8" spans="1:13" s="26" customFormat="1" x14ac:dyDescent="0.2">
      <c r="A8" s="17"/>
      <c r="B8" s="151" t="str">
        <f>"Total "&amp;A5</f>
        <v>Total DoIT Revenue (0)</v>
      </c>
      <c r="C8" s="73"/>
      <c r="D8" s="21"/>
      <c r="E8" s="22"/>
      <c r="F8" s="23"/>
      <c r="G8" s="24"/>
      <c r="H8" s="23"/>
      <c r="I8" s="23">
        <f>SUM(I6:I6)</f>
        <v>0</v>
      </c>
      <c r="J8" s="23">
        <f>SUM(J6:J6)</f>
        <v>0</v>
      </c>
      <c r="K8" s="23">
        <f>SUM(K6:K6)</f>
        <v>0</v>
      </c>
      <c r="L8" s="25">
        <f>SUM(L6:L6)</f>
        <v>0</v>
      </c>
    </row>
    <row r="9" spans="1:13" x14ac:dyDescent="0.2">
      <c r="L9" s="19"/>
    </row>
    <row r="10" spans="1:13" s="34" customFormat="1" x14ac:dyDescent="0.2">
      <c r="A10" s="27"/>
      <c r="B10" s="152" t="s">
        <v>38</v>
      </c>
      <c r="C10" s="75"/>
      <c r="D10" s="29"/>
      <c r="E10" s="30"/>
      <c r="F10" s="31"/>
      <c r="G10" s="32"/>
      <c r="H10" s="31"/>
      <c r="I10" s="31">
        <f>SumBold(I5:I9)</f>
        <v>0</v>
      </c>
      <c r="J10" s="31">
        <f>SumBold(J5:J9)</f>
        <v>0</v>
      </c>
      <c r="K10" s="31">
        <f>SumBold(K5:K9)</f>
        <v>0</v>
      </c>
      <c r="L10" s="33">
        <f>SumBold(L5:L9)</f>
        <v>0</v>
      </c>
    </row>
    <row r="11" spans="1:13" x14ac:dyDescent="0.2">
      <c r="L11" s="19"/>
    </row>
    <row r="12" spans="1:13" x14ac:dyDescent="0.2">
      <c r="A12" s="11" t="s">
        <v>41</v>
      </c>
      <c r="B12" s="150"/>
      <c r="C12" s="70"/>
      <c r="D12" s="12"/>
      <c r="E12" s="13"/>
      <c r="F12" s="14"/>
      <c r="G12" s="15"/>
      <c r="H12" s="14"/>
      <c r="I12" s="14"/>
      <c r="J12" s="14"/>
      <c r="K12" s="14"/>
      <c r="L12" s="16"/>
    </row>
    <row r="13" spans="1:13" x14ac:dyDescent="0.2">
      <c r="A13" s="17" t="s">
        <v>413</v>
      </c>
      <c r="L13" s="19"/>
    </row>
    <row r="14" spans="1:13" x14ac:dyDescent="0.2">
      <c r="B14" s="58">
        <v>60100</v>
      </c>
      <c r="C14" s="68" t="s">
        <v>414</v>
      </c>
      <c r="D14" s="7">
        <v>10</v>
      </c>
      <c r="E14" t="s">
        <v>415</v>
      </c>
      <c r="F14" s="8">
        <v>1590.05</v>
      </c>
      <c r="G14" s="9">
        <v>1</v>
      </c>
      <c r="H14" s="8">
        <f>F14*G14</f>
        <v>1590.05</v>
      </c>
      <c r="I14" s="8">
        <f>H14*1.13</f>
        <v>1796.7564999999997</v>
      </c>
      <c r="J14" s="8">
        <f>I14*1.25</f>
        <v>2245.9456249999998</v>
      </c>
      <c r="L14" s="19"/>
      <c r="M14" s="207"/>
    </row>
    <row r="15" spans="1:13" x14ac:dyDescent="0.2">
      <c r="B15" s="58">
        <v>60101</v>
      </c>
      <c r="C15" s="68" t="s">
        <v>416</v>
      </c>
      <c r="D15" s="7">
        <v>10</v>
      </c>
      <c r="E15" t="s">
        <v>417</v>
      </c>
      <c r="F15" s="8">
        <v>16</v>
      </c>
      <c r="G15" s="9">
        <v>5</v>
      </c>
      <c r="H15" s="8">
        <f t="shared" ref="H15:H17" si="2">F15*G15</f>
        <v>80</v>
      </c>
      <c r="I15" s="8">
        <f t="shared" ref="I15:I17" si="3">H15*1.13</f>
        <v>90.399999999999991</v>
      </c>
      <c r="J15" s="8">
        <f t="shared" ref="J15:J17" si="4">I15*1.25</f>
        <v>112.99999999999999</v>
      </c>
      <c r="L15" s="19"/>
    </row>
    <row r="16" spans="1:13" x14ac:dyDescent="0.2">
      <c r="B16" s="58">
        <v>60102</v>
      </c>
      <c r="C16" s="68" t="s">
        <v>418</v>
      </c>
      <c r="D16" s="7">
        <v>9</v>
      </c>
      <c r="E16" t="s">
        <v>419</v>
      </c>
      <c r="F16" s="8">
        <v>16</v>
      </c>
      <c r="G16" s="9">
        <v>25</v>
      </c>
      <c r="H16" s="8">
        <f t="shared" si="2"/>
        <v>400</v>
      </c>
      <c r="I16" s="8">
        <f t="shared" si="3"/>
        <v>451.99999999999994</v>
      </c>
      <c r="J16" s="8">
        <f t="shared" si="4"/>
        <v>564.99999999999989</v>
      </c>
      <c r="L16" s="19"/>
    </row>
    <row r="17" spans="1:12" x14ac:dyDescent="0.2">
      <c r="B17" s="58">
        <v>60103</v>
      </c>
      <c r="C17" s="68" t="s">
        <v>420</v>
      </c>
      <c r="D17" s="7">
        <v>8</v>
      </c>
      <c r="E17" t="s">
        <v>421</v>
      </c>
      <c r="F17" s="8">
        <v>20</v>
      </c>
      <c r="G17" s="9">
        <v>3</v>
      </c>
      <c r="H17" s="8">
        <f t="shared" si="2"/>
        <v>60</v>
      </c>
      <c r="I17" s="8">
        <f t="shared" si="3"/>
        <v>67.8</v>
      </c>
      <c r="J17" s="8">
        <f t="shared" si="4"/>
        <v>84.75</v>
      </c>
      <c r="L17" s="19"/>
    </row>
    <row r="18" spans="1:12" x14ac:dyDescent="0.2">
      <c r="L18" s="19"/>
    </row>
    <row r="19" spans="1:12" s="26" customFormat="1" x14ac:dyDescent="0.2">
      <c r="A19" s="17"/>
      <c r="B19" s="151" t="str">
        <f>"Total "&amp;A13</f>
        <v>Total Email &amp; Domains (1)</v>
      </c>
      <c r="C19" s="73"/>
      <c r="D19" s="21"/>
      <c r="E19" s="22"/>
      <c r="F19" s="23"/>
      <c r="G19" s="24"/>
      <c r="H19" s="23"/>
      <c r="I19" s="23">
        <f>SUM(I14:I17)</f>
        <v>2406.9564999999998</v>
      </c>
      <c r="J19" s="23">
        <f>SUM(J14:J17)</f>
        <v>3008.6956249999998</v>
      </c>
      <c r="K19" s="23">
        <f>SUM(K14:K15)</f>
        <v>0</v>
      </c>
      <c r="L19" s="25">
        <f>SUM(L14:L15)</f>
        <v>0</v>
      </c>
    </row>
    <row r="20" spans="1:12" x14ac:dyDescent="0.2">
      <c r="A20" s="17" t="s">
        <v>422</v>
      </c>
      <c r="L20" s="19"/>
    </row>
    <row r="21" spans="1:12" x14ac:dyDescent="0.2">
      <c r="B21" s="58">
        <v>60200</v>
      </c>
      <c r="C21" s="68" t="s">
        <v>423</v>
      </c>
      <c r="D21" s="7">
        <v>10</v>
      </c>
      <c r="E21" t="s">
        <v>424</v>
      </c>
      <c r="F21" s="8">
        <v>345</v>
      </c>
      <c r="G21" s="9">
        <v>12</v>
      </c>
      <c r="H21" s="8">
        <f>F21*G21</f>
        <v>4140</v>
      </c>
      <c r="I21" s="8">
        <f>H21*1.13</f>
        <v>4678.2</v>
      </c>
      <c r="J21" s="8">
        <f>I21*1.25</f>
        <v>5847.75</v>
      </c>
      <c r="L21" s="19"/>
    </row>
    <row r="22" spans="1:12" x14ac:dyDescent="0.2">
      <c r="B22" s="58">
        <v>60201</v>
      </c>
      <c r="C22" s="68" t="s">
        <v>425</v>
      </c>
      <c r="D22" s="7">
        <v>10</v>
      </c>
      <c r="E22" t="s">
        <v>426</v>
      </c>
      <c r="F22" s="8">
        <v>14.95</v>
      </c>
      <c r="G22" s="9">
        <v>12</v>
      </c>
      <c r="H22" s="8">
        <f t="shared" ref="H22" si="5">F22*G22</f>
        <v>179.39999999999998</v>
      </c>
      <c r="I22" s="8">
        <f t="shared" ref="I22" si="6">H22*1.13</f>
        <v>202.72199999999995</v>
      </c>
      <c r="J22" s="8">
        <f t="shared" ref="J22" si="7">I22*1.25</f>
        <v>253.40249999999995</v>
      </c>
      <c r="L22" s="19"/>
    </row>
    <row r="23" spans="1:12" x14ac:dyDescent="0.2">
      <c r="B23" s="58">
        <v>60203</v>
      </c>
      <c r="C23" s="68" t="s">
        <v>427</v>
      </c>
      <c r="D23" s="7">
        <v>10</v>
      </c>
      <c r="E23" t="s">
        <v>428</v>
      </c>
      <c r="F23" s="8">
        <v>40</v>
      </c>
      <c r="G23" s="9">
        <v>12</v>
      </c>
      <c r="H23" s="8">
        <f>F23*G23</f>
        <v>480</v>
      </c>
      <c r="I23" s="8">
        <f>H23*1.13</f>
        <v>542.4</v>
      </c>
      <c r="J23" s="8">
        <f>I23*1.25</f>
        <v>678</v>
      </c>
      <c r="L23" s="19"/>
    </row>
    <row r="24" spans="1:12" x14ac:dyDescent="0.2">
      <c r="B24" s="58">
        <v>60204</v>
      </c>
      <c r="C24" s="68" t="s">
        <v>429</v>
      </c>
      <c r="D24" s="7">
        <v>5</v>
      </c>
      <c r="E24" t="s">
        <v>430</v>
      </c>
      <c r="F24" s="8">
        <v>16</v>
      </c>
      <c r="G24" s="9">
        <v>12</v>
      </c>
      <c r="H24" s="8">
        <f t="shared" ref="H24" si="8">F24*G24</f>
        <v>192</v>
      </c>
      <c r="I24" s="8">
        <f t="shared" ref="I24" si="9">H24*1.13</f>
        <v>216.95999999999998</v>
      </c>
      <c r="J24" s="8">
        <f t="shared" ref="J24" si="10">I24*1.25</f>
        <v>271.2</v>
      </c>
      <c r="L24" s="19"/>
    </row>
    <row r="25" spans="1:12" x14ac:dyDescent="0.2">
      <c r="B25" s="58">
        <v>60205</v>
      </c>
      <c r="C25" s="68" t="s">
        <v>431</v>
      </c>
      <c r="D25" s="7">
        <v>10</v>
      </c>
      <c r="E25" t="s">
        <v>432</v>
      </c>
      <c r="F25" s="8">
        <v>85</v>
      </c>
      <c r="G25" s="9">
        <v>1</v>
      </c>
      <c r="H25" s="8">
        <f>F25*G25</f>
        <v>85</v>
      </c>
      <c r="I25" s="8">
        <f>H25*1.13</f>
        <v>96.05</v>
      </c>
      <c r="J25" s="8">
        <f>I25*1.25</f>
        <v>120.0625</v>
      </c>
      <c r="L25" s="19"/>
    </row>
    <row r="26" spans="1:12" x14ac:dyDescent="0.2">
      <c r="B26" s="7">
        <v>60206</v>
      </c>
      <c r="C26" s="51" t="s">
        <v>433</v>
      </c>
      <c r="D26" s="7">
        <v>10</v>
      </c>
      <c r="E26" t="s">
        <v>434</v>
      </c>
      <c r="F26" s="8">
        <v>19</v>
      </c>
      <c r="G26" s="9">
        <f>35*9</f>
        <v>315</v>
      </c>
      <c r="H26" s="8">
        <f t="shared" ref="H26" si="11">F26*G26</f>
        <v>5985</v>
      </c>
      <c r="I26" s="8">
        <f t="shared" ref="I26" si="12">H26*1.13</f>
        <v>6763.0499999999993</v>
      </c>
      <c r="J26" s="8">
        <f t="shared" ref="J26" si="13">I26*1.25</f>
        <v>8453.8125</v>
      </c>
      <c r="L26" s="19"/>
    </row>
    <row r="27" spans="1:12" x14ac:dyDescent="0.2">
      <c r="B27" s="58">
        <v>60207</v>
      </c>
      <c r="C27" s="68" t="s">
        <v>435</v>
      </c>
      <c r="D27" s="7">
        <v>8</v>
      </c>
      <c r="E27" t="s">
        <v>436</v>
      </c>
      <c r="F27" s="8">
        <v>20</v>
      </c>
      <c r="G27" s="9">
        <v>12</v>
      </c>
      <c r="H27" s="8">
        <f t="shared" ref="H27" si="14">F27*G27</f>
        <v>240</v>
      </c>
      <c r="I27" s="8">
        <f t="shared" ref="I27" si="15">H27*1.13</f>
        <v>271.2</v>
      </c>
      <c r="J27" s="8">
        <f t="shared" ref="J27" si="16">I27*1.25</f>
        <v>339</v>
      </c>
      <c r="L27" s="19"/>
    </row>
    <row r="28" spans="1:12" x14ac:dyDescent="0.2">
      <c r="B28" s="58">
        <v>60208</v>
      </c>
      <c r="C28" s="68" t="s">
        <v>437</v>
      </c>
      <c r="D28" s="7">
        <v>10</v>
      </c>
      <c r="E28" t="s">
        <v>438</v>
      </c>
      <c r="F28" s="8">
        <v>40</v>
      </c>
      <c r="G28" s="9">
        <v>12</v>
      </c>
      <c r="H28" s="8">
        <f>F28*G28</f>
        <v>480</v>
      </c>
      <c r="I28" s="8">
        <f>H28*1.13</f>
        <v>542.4</v>
      </c>
      <c r="J28" s="8">
        <f>I28*1.25</f>
        <v>678</v>
      </c>
      <c r="L28" s="19"/>
    </row>
    <row r="29" spans="1:12" s="34" customFormat="1" x14ac:dyDescent="0.2">
      <c r="A29"/>
      <c r="B29" s="58"/>
      <c r="C29" s="68"/>
      <c r="D29" s="7"/>
      <c r="E29"/>
      <c r="F29" s="8"/>
      <c r="G29" s="9"/>
      <c r="H29" s="8"/>
      <c r="I29" s="8"/>
      <c r="J29" s="8"/>
      <c r="K29" s="8"/>
      <c r="L29" s="19"/>
    </row>
    <row r="30" spans="1:12" x14ac:dyDescent="0.2">
      <c r="A30" s="34"/>
      <c r="B30" s="151" t="str">
        <f>"Total "&amp;A20</f>
        <v>Total Infrastructure (2)</v>
      </c>
      <c r="C30" s="73"/>
      <c r="D30" s="21"/>
      <c r="E30" s="22"/>
      <c r="F30" s="23"/>
      <c r="G30" s="24"/>
      <c r="H30" s="23"/>
      <c r="I30" s="23">
        <f>SUM(I21:I28)</f>
        <v>13312.981999999998</v>
      </c>
      <c r="J30" s="23">
        <f>SUM(J21:J28)</f>
        <v>16641.227500000001</v>
      </c>
      <c r="K30" s="23">
        <f>SUM(K21:K24)</f>
        <v>0</v>
      </c>
      <c r="L30" s="25">
        <f>SUM(L21:L24)</f>
        <v>0</v>
      </c>
    </row>
    <row r="31" spans="1:12" x14ac:dyDescent="0.2">
      <c r="A31" s="17" t="s">
        <v>439</v>
      </c>
      <c r="L31" s="19"/>
    </row>
    <row r="32" spans="1:12" s="26" customFormat="1" x14ac:dyDescent="0.2">
      <c r="A32"/>
      <c r="B32" s="58">
        <v>60300</v>
      </c>
      <c r="C32" s="68" t="s">
        <v>440</v>
      </c>
      <c r="D32" s="7">
        <v>4</v>
      </c>
      <c r="E32" t="s">
        <v>441</v>
      </c>
      <c r="F32" s="8">
        <v>100</v>
      </c>
      <c r="G32" s="9">
        <v>1</v>
      </c>
      <c r="H32" s="8">
        <f>F32*G32</f>
        <v>100</v>
      </c>
      <c r="I32" s="8">
        <f>H32*1.13</f>
        <v>112.99999999999999</v>
      </c>
      <c r="J32" s="8">
        <f>I32*1.25</f>
        <v>141.24999999999997</v>
      </c>
      <c r="K32" s="8"/>
      <c r="L32" s="19"/>
    </row>
    <row r="33" spans="1:12" s="26" customFormat="1" x14ac:dyDescent="0.2">
      <c r="A33"/>
      <c r="B33" s="58">
        <v>60301</v>
      </c>
      <c r="C33" s="68" t="s">
        <v>442</v>
      </c>
      <c r="D33" s="7">
        <v>5</v>
      </c>
      <c r="E33" t="s">
        <v>443</v>
      </c>
      <c r="F33" s="8">
        <v>30</v>
      </c>
      <c r="G33" s="9">
        <v>7</v>
      </c>
      <c r="H33" s="8">
        <f t="shared" ref="H33:H37" si="17">F33*G33</f>
        <v>210</v>
      </c>
      <c r="I33" s="8">
        <f t="shared" ref="I33:I37" si="18">H33*1.13</f>
        <v>237.29999999999998</v>
      </c>
      <c r="J33" s="8">
        <f t="shared" ref="J33:J37" si="19">I33*1.25</f>
        <v>296.625</v>
      </c>
      <c r="K33" s="8"/>
      <c r="L33" s="19"/>
    </row>
    <row r="34" spans="1:12" x14ac:dyDescent="0.2">
      <c r="B34" s="58">
        <v>60302</v>
      </c>
      <c r="C34" s="68" t="s">
        <v>444</v>
      </c>
      <c r="D34" s="7">
        <v>2</v>
      </c>
      <c r="E34" t="s">
        <v>445</v>
      </c>
      <c r="F34" s="8">
        <v>30</v>
      </c>
      <c r="G34" s="9">
        <v>30</v>
      </c>
      <c r="H34" s="8">
        <f t="shared" si="17"/>
        <v>900</v>
      </c>
      <c r="I34" s="8">
        <f t="shared" si="18"/>
        <v>1016.9999999999999</v>
      </c>
      <c r="J34" s="8">
        <f t="shared" si="19"/>
        <v>1271.2499999999998</v>
      </c>
      <c r="L34" s="19"/>
    </row>
    <row r="35" spans="1:12" x14ac:dyDescent="0.2">
      <c r="B35" s="58">
        <v>60303</v>
      </c>
      <c r="C35" s="68" t="s">
        <v>340</v>
      </c>
      <c r="D35" s="7">
        <v>5</v>
      </c>
      <c r="E35" t="s">
        <v>446</v>
      </c>
      <c r="F35" s="8">
        <v>8</v>
      </c>
      <c r="G35" s="9">
        <v>30</v>
      </c>
      <c r="H35" s="8">
        <f t="shared" si="17"/>
        <v>240</v>
      </c>
      <c r="I35" s="8">
        <f t="shared" si="18"/>
        <v>271.2</v>
      </c>
      <c r="J35" s="8">
        <f t="shared" si="19"/>
        <v>339</v>
      </c>
      <c r="L35" s="19"/>
    </row>
    <row r="36" spans="1:12" x14ac:dyDescent="0.2">
      <c r="B36" s="58">
        <v>60304</v>
      </c>
      <c r="C36" s="68" t="s">
        <v>447</v>
      </c>
      <c r="D36" s="7">
        <v>1</v>
      </c>
      <c r="E36" t="s">
        <v>448</v>
      </c>
      <c r="F36" s="8">
        <v>30</v>
      </c>
      <c r="G36" s="9">
        <v>3</v>
      </c>
      <c r="H36" s="8">
        <f t="shared" si="17"/>
        <v>90</v>
      </c>
      <c r="I36" s="8">
        <f t="shared" si="18"/>
        <v>101.69999999999999</v>
      </c>
      <c r="J36" s="8">
        <f t="shared" si="19"/>
        <v>127.12499999999999</v>
      </c>
      <c r="L36" s="19"/>
    </row>
    <row r="37" spans="1:12" x14ac:dyDescent="0.2">
      <c r="B37" s="58">
        <v>60305</v>
      </c>
      <c r="C37" s="68" t="s">
        <v>449</v>
      </c>
      <c r="D37" s="7">
        <v>1</v>
      </c>
      <c r="E37" t="s">
        <v>450</v>
      </c>
      <c r="F37" s="8">
        <v>40</v>
      </c>
      <c r="G37" s="9">
        <v>1</v>
      </c>
      <c r="H37" s="8">
        <f t="shared" si="17"/>
        <v>40</v>
      </c>
      <c r="I37" s="8">
        <f t="shared" si="18"/>
        <v>45.199999999999996</v>
      </c>
      <c r="J37" s="8">
        <f t="shared" si="19"/>
        <v>56.499999999999993</v>
      </c>
      <c r="L37" s="19"/>
    </row>
    <row r="38" spans="1:12" x14ac:dyDescent="0.2">
      <c r="A38" s="17"/>
      <c r="L38" s="19"/>
    </row>
    <row r="39" spans="1:12" x14ac:dyDescent="0.2">
      <c r="B39" s="151" t="str">
        <f>"Total "&amp;A31</f>
        <v>Total General Team (3)</v>
      </c>
      <c r="C39" s="73"/>
      <c r="D39" s="21"/>
      <c r="E39" s="22"/>
      <c r="F39" s="23"/>
      <c r="G39" s="24"/>
      <c r="H39" s="23"/>
      <c r="I39" s="23">
        <f>SUM(I32:I37)</f>
        <v>1785.3999999999999</v>
      </c>
      <c r="J39" s="23">
        <f>SUM(J32:J37)</f>
        <v>2231.75</v>
      </c>
      <c r="K39" s="23">
        <f>SUM(K32:K34)</f>
        <v>0</v>
      </c>
      <c r="L39" s="25">
        <f>SUM(L32:L34)</f>
        <v>0</v>
      </c>
    </row>
    <row r="40" spans="1:12" x14ac:dyDescent="0.2">
      <c r="A40" s="17" t="s">
        <v>451</v>
      </c>
      <c r="L40" s="19"/>
    </row>
    <row r="41" spans="1:12" x14ac:dyDescent="0.2">
      <c r="B41" s="58">
        <v>60400</v>
      </c>
      <c r="C41" s="68" t="s">
        <v>452</v>
      </c>
      <c r="D41" s="7">
        <v>5</v>
      </c>
      <c r="E41" t="s">
        <v>453</v>
      </c>
      <c r="F41" s="8">
        <v>60</v>
      </c>
      <c r="G41" s="9">
        <v>4</v>
      </c>
      <c r="H41" s="8">
        <f>F41*G41</f>
        <v>240</v>
      </c>
      <c r="I41" s="8">
        <f>H41*1.13</f>
        <v>271.2</v>
      </c>
      <c r="J41" s="8">
        <f>I41*1.25</f>
        <v>339</v>
      </c>
      <c r="L41" s="19"/>
    </row>
    <row r="42" spans="1:12" x14ac:dyDescent="0.2">
      <c r="B42" s="58">
        <v>60401</v>
      </c>
      <c r="C42" s="68" t="s">
        <v>454</v>
      </c>
      <c r="D42" s="7">
        <v>3</v>
      </c>
      <c r="E42" t="s">
        <v>455</v>
      </c>
      <c r="F42" s="8">
        <v>50</v>
      </c>
      <c r="G42" s="9">
        <v>1</v>
      </c>
      <c r="H42" s="8">
        <f>F42*G42</f>
        <v>50</v>
      </c>
      <c r="I42" s="8">
        <f t="shared" ref="I42:I44" si="20">H42*1.13</f>
        <v>56.499999999999993</v>
      </c>
      <c r="J42" s="8">
        <f t="shared" ref="J42:J44" si="21">I42*1.25</f>
        <v>70.624999999999986</v>
      </c>
      <c r="L42" s="19"/>
    </row>
    <row r="43" spans="1:12" x14ac:dyDescent="0.2">
      <c r="B43" s="58">
        <v>60402</v>
      </c>
      <c r="C43" s="68" t="s">
        <v>456</v>
      </c>
      <c r="D43" s="7">
        <v>1</v>
      </c>
      <c r="E43" t="s">
        <v>457</v>
      </c>
      <c r="F43" s="8">
        <v>100</v>
      </c>
      <c r="G43" s="9">
        <v>1</v>
      </c>
      <c r="H43" s="8">
        <f>F43*G43</f>
        <v>100</v>
      </c>
      <c r="I43" s="8">
        <f t="shared" si="20"/>
        <v>112.99999999999999</v>
      </c>
      <c r="J43" s="8">
        <f t="shared" si="21"/>
        <v>141.24999999999997</v>
      </c>
      <c r="L43" s="19"/>
    </row>
    <row r="44" spans="1:12" x14ac:dyDescent="0.2">
      <c r="B44" s="58">
        <v>60403</v>
      </c>
      <c r="C44" s="68" t="s">
        <v>458</v>
      </c>
      <c r="D44" s="7">
        <v>8</v>
      </c>
      <c r="E44" t="s">
        <v>459</v>
      </c>
      <c r="F44" s="8">
        <v>15</v>
      </c>
      <c r="G44" s="9">
        <v>1</v>
      </c>
      <c r="H44" s="8">
        <f t="shared" ref="H44" si="22">F44*G44</f>
        <v>15</v>
      </c>
      <c r="I44" s="8">
        <f t="shared" si="20"/>
        <v>16.95</v>
      </c>
      <c r="J44" s="8">
        <f t="shared" si="21"/>
        <v>21.1875</v>
      </c>
      <c r="L44" s="19"/>
    </row>
    <row r="45" spans="1:12" x14ac:dyDescent="0.2">
      <c r="A45" s="17"/>
      <c r="B45" s="58">
        <v>60404</v>
      </c>
      <c r="C45" s="68" t="s">
        <v>460</v>
      </c>
      <c r="D45" s="7">
        <v>1</v>
      </c>
      <c r="E45" t="s">
        <v>461</v>
      </c>
      <c r="F45" s="8">
        <v>140</v>
      </c>
      <c r="G45" s="9">
        <v>4</v>
      </c>
      <c r="H45" s="8">
        <f>F45*G45</f>
        <v>560</v>
      </c>
      <c r="I45" s="8">
        <f>H45*1.13</f>
        <v>632.79999999999995</v>
      </c>
      <c r="J45" s="8">
        <f>I45*1.25</f>
        <v>791</v>
      </c>
      <c r="L45" s="19"/>
    </row>
    <row r="46" spans="1:12" x14ac:dyDescent="0.2">
      <c r="L46" s="19"/>
    </row>
    <row r="47" spans="1:12" x14ac:dyDescent="0.2">
      <c r="B47" s="153" t="str">
        <f>"Total "&amp;A40</f>
        <v>Total ESSDev Team (4)</v>
      </c>
      <c r="C47" s="73"/>
      <c r="D47" s="21"/>
      <c r="E47" s="22"/>
      <c r="F47" s="23"/>
      <c r="G47" s="24"/>
      <c r="H47" s="23"/>
      <c r="I47" s="23">
        <f>SUM(I41:I45)</f>
        <v>1090.4499999999998</v>
      </c>
      <c r="J47" s="23">
        <f>SUM(J41:J45)</f>
        <v>1363.0625</v>
      </c>
      <c r="K47" s="23">
        <f>SUM(K41:K44)</f>
        <v>0</v>
      </c>
      <c r="L47" s="25">
        <f>SUM(L41:L44)</f>
        <v>0</v>
      </c>
    </row>
    <row r="48" spans="1:12" x14ac:dyDescent="0.2">
      <c r="A48" s="17" t="s">
        <v>462</v>
      </c>
      <c r="L48" s="19"/>
    </row>
    <row r="49" spans="1:12" x14ac:dyDescent="0.2">
      <c r="B49" s="58">
        <v>60500</v>
      </c>
      <c r="C49" s="68" t="s">
        <v>463</v>
      </c>
      <c r="D49" s="7">
        <v>7</v>
      </c>
      <c r="E49" t="s">
        <v>464</v>
      </c>
      <c r="F49" s="8">
        <v>100</v>
      </c>
      <c r="G49" s="9">
        <v>3</v>
      </c>
      <c r="H49" s="8">
        <f>F49*G49</f>
        <v>300</v>
      </c>
      <c r="I49" s="8">
        <f>H49*1.13</f>
        <v>338.99999999999994</v>
      </c>
      <c r="J49" s="8">
        <f>I49*1.25</f>
        <v>423.74999999999994</v>
      </c>
      <c r="L49" s="19"/>
    </row>
    <row r="50" spans="1:12" x14ac:dyDescent="0.2">
      <c r="B50" s="58">
        <v>60501</v>
      </c>
      <c r="C50" s="68" t="s">
        <v>452</v>
      </c>
      <c r="D50" s="7">
        <v>8</v>
      </c>
      <c r="E50" t="s">
        <v>465</v>
      </c>
      <c r="F50" s="8">
        <v>130</v>
      </c>
      <c r="G50" s="9">
        <v>1</v>
      </c>
      <c r="H50" s="8">
        <f t="shared" ref="H50" si="23">F50*G50</f>
        <v>130</v>
      </c>
      <c r="I50" s="8">
        <f t="shared" ref="I50" si="24">H50*1.13</f>
        <v>146.89999999999998</v>
      </c>
      <c r="J50" s="8">
        <f t="shared" ref="J50" si="25">I50*1.25</f>
        <v>183.62499999999997</v>
      </c>
      <c r="L50" s="19"/>
    </row>
    <row r="51" spans="1:12" x14ac:dyDescent="0.2">
      <c r="B51" s="58">
        <v>60502</v>
      </c>
      <c r="C51" s="68" t="s">
        <v>466</v>
      </c>
      <c r="D51" s="7">
        <v>1</v>
      </c>
      <c r="E51" t="s">
        <v>467</v>
      </c>
      <c r="F51" s="206">
        <v>30</v>
      </c>
      <c r="G51" s="9">
        <v>10</v>
      </c>
      <c r="H51" s="8">
        <f>F51*G51</f>
        <v>300</v>
      </c>
      <c r="I51" s="8">
        <f>H51*1.13</f>
        <v>338.99999999999994</v>
      </c>
      <c r="J51" s="8">
        <f>I51*1.25</f>
        <v>423.74999999999994</v>
      </c>
      <c r="L51" s="19"/>
    </row>
    <row r="52" spans="1:12" x14ac:dyDescent="0.2">
      <c r="A52" s="27"/>
      <c r="L52" s="19"/>
    </row>
    <row r="53" spans="1:12" x14ac:dyDescent="0.2">
      <c r="A53" s="17"/>
      <c r="B53" s="153" t="str">
        <f>"Total "&amp;A48</f>
        <v>Total IT Operations (5)</v>
      </c>
      <c r="C53" s="73"/>
      <c r="D53" s="21"/>
      <c r="E53" s="22"/>
      <c r="F53" s="23"/>
      <c r="G53" s="24"/>
      <c r="H53" s="23"/>
      <c r="I53" s="23">
        <f>SUM(I49:I51)</f>
        <v>824.89999999999986</v>
      </c>
      <c r="J53" s="23">
        <f>SUM(J49:J51)</f>
        <v>1031.1249999999998</v>
      </c>
      <c r="K53" s="23">
        <f>SUM(K49:K50)</f>
        <v>0</v>
      </c>
      <c r="L53" s="25">
        <f>SUM(L49:L50)</f>
        <v>0</v>
      </c>
    </row>
    <row r="54" spans="1:12" x14ac:dyDescent="0.2">
      <c r="L54" s="19"/>
    </row>
    <row r="55" spans="1:12" x14ac:dyDescent="0.2">
      <c r="B55" s="152" t="s">
        <v>108</v>
      </c>
      <c r="C55" s="75"/>
      <c r="D55" s="29"/>
      <c r="E55" s="30"/>
      <c r="F55" s="31"/>
      <c r="G55" s="32"/>
      <c r="H55" s="31"/>
      <c r="I55" s="31">
        <f>SumBold(I13:I54)</f>
        <v>19420.6885</v>
      </c>
      <c r="J55" s="31">
        <f>SumBold(J13:J54)</f>
        <v>24275.8606</v>
      </c>
      <c r="K55" s="31">
        <f>SumBold(K13:K54)</f>
        <v>0</v>
      </c>
      <c r="L55" s="33">
        <f>SumBold(L13:L54)</f>
        <v>0</v>
      </c>
    </row>
    <row r="56" spans="1:12" x14ac:dyDescent="0.2">
      <c r="L56" s="19"/>
    </row>
    <row r="57" spans="1:12" x14ac:dyDescent="0.2">
      <c r="A57" s="11" t="s">
        <v>109</v>
      </c>
      <c r="B57" s="150"/>
      <c r="C57" s="70"/>
      <c r="D57" s="12"/>
      <c r="E57" s="13"/>
      <c r="F57" s="14"/>
      <c r="G57" s="15"/>
      <c r="H57" s="14"/>
      <c r="I57" s="14"/>
      <c r="J57" s="14"/>
      <c r="K57" s="14"/>
      <c r="L57" s="16"/>
    </row>
    <row r="58" spans="1:12" x14ac:dyDescent="0.2">
      <c r="A58" s="17"/>
      <c r="B58" s="154" t="s">
        <v>110</v>
      </c>
      <c r="C58" s="77"/>
      <c r="D58" s="166"/>
      <c r="E58" s="17"/>
      <c r="F58" s="37"/>
      <c r="G58" s="38"/>
      <c r="H58" s="37"/>
      <c r="I58" s="37">
        <f>I10</f>
        <v>0</v>
      </c>
      <c r="J58" s="37">
        <f>J10</f>
        <v>0</v>
      </c>
      <c r="K58" s="37">
        <f>K10</f>
        <v>0</v>
      </c>
      <c r="L58" s="39">
        <f>L10</f>
        <v>0</v>
      </c>
    </row>
    <row r="59" spans="1:12" x14ac:dyDescent="0.2">
      <c r="A59" s="17"/>
      <c r="B59" s="154" t="s">
        <v>111</v>
      </c>
      <c r="C59" s="77"/>
      <c r="D59" s="166"/>
      <c r="E59" s="17"/>
      <c r="F59" s="37"/>
      <c r="G59" s="38"/>
      <c r="H59" s="37"/>
      <c r="I59" s="37">
        <f>I55</f>
        <v>19420.6885</v>
      </c>
      <c r="J59" s="37">
        <f>J55</f>
        <v>24275.8606</v>
      </c>
      <c r="K59" s="37">
        <f>K55</f>
        <v>0</v>
      </c>
      <c r="L59" s="40">
        <f>L55</f>
        <v>0</v>
      </c>
    </row>
    <row r="60" spans="1:12" x14ac:dyDescent="0.2">
      <c r="A60" s="41"/>
      <c r="B60" s="155" t="s">
        <v>112</v>
      </c>
      <c r="C60" s="79"/>
      <c r="D60" s="42"/>
      <c r="E60" s="41"/>
      <c r="F60" s="43"/>
      <c r="G60" s="44"/>
      <c r="H60" s="43"/>
      <c r="I60" s="43">
        <f>SUM(I58,I59*-1)</f>
        <v>-19420.6885</v>
      </c>
      <c r="J60" s="43">
        <f t="shared" ref="J60:L60" si="26">SUM(J58,J59*-1)</f>
        <v>-24275.8606</v>
      </c>
      <c r="K60" s="43">
        <f t="shared" si="26"/>
        <v>0</v>
      </c>
      <c r="L60" s="45">
        <f t="shared" si="26"/>
        <v>0</v>
      </c>
    </row>
  </sheetData>
  <mergeCells count="1">
    <mergeCell ref="B1:K1"/>
  </mergeCells>
  <conditionalFormatting sqref="B6:L8 B14:L53">
    <cfRule type="expression" dxfId="50" priority="41">
      <formula>MOD($B6,2)=1</formula>
    </cfRule>
  </conditionalFormatting>
  <conditionalFormatting sqref="B9:L11">
    <cfRule type="expression" dxfId="49" priority="40">
      <formula>MOD($B9,2)=1</formula>
    </cfRule>
  </conditionalFormatting>
  <conditionalFormatting sqref="C30:L30">
    <cfRule type="expression" dxfId="48" priority="39">
      <formula>MOD($B30,2)=1</formula>
    </cfRule>
  </conditionalFormatting>
  <conditionalFormatting sqref="C47:L47">
    <cfRule type="expression" dxfId="47" priority="38">
      <formula>MOD($B47,2)=1</formula>
    </cfRule>
  </conditionalFormatting>
  <conditionalFormatting sqref="B30">
    <cfRule type="expression" dxfId="46" priority="37">
      <formula>MOD($B30,2)=1</formula>
    </cfRule>
  </conditionalFormatting>
  <conditionalFormatting sqref="B19">
    <cfRule type="expression" dxfId="45" priority="36">
      <formula>MOD($B19,2)=1</formula>
    </cfRule>
  </conditionalFormatting>
  <conditionalFormatting sqref="C53:L53 B48:L48 B52:L52">
    <cfRule type="expression" dxfId="44" priority="35">
      <formula>MOD($B48,2)=1</formula>
    </cfRule>
  </conditionalFormatting>
  <conditionalFormatting sqref="B54:L54">
    <cfRule type="expression" dxfId="43" priority="34">
      <formula>MOD($B54,2)=1</formula>
    </cfRule>
  </conditionalFormatting>
  <conditionalFormatting sqref="C39:L39 B31:L31 B38:L38">
    <cfRule type="expression" dxfId="42" priority="33">
      <formula>MOD($B31,2)=1</formula>
    </cfRule>
  </conditionalFormatting>
  <conditionalFormatting sqref="B39">
    <cfRule type="expression" dxfId="41" priority="32">
      <formula>MOD($B39,2)=1</formula>
    </cfRule>
  </conditionalFormatting>
  <conditionalFormatting sqref="B17 H17:L17">
    <cfRule type="expression" dxfId="40" priority="28">
      <formula>MOD($B17,2)=1</formula>
    </cfRule>
  </conditionalFormatting>
  <conditionalFormatting sqref="C15:G17">
    <cfRule type="expression" dxfId="39" priority="26">
      <formula>MOD($B15,2)=1</formula>
    </cfRule>
  </conditionalFormatting>
  <conditionalFormatting sqref="B16 H16:L16">
    <cfRule type="expression" dxfId="38" priority="27">
      <formula>MOD($B16,2)=1</formula>
    </cfRule>
  </conditionalFormatting>
  <conditionalFormatting sqref="B35 H35:L35">
    <cfRule type="expression" dxfId="37" priority="25">
      <formula>MOD($B35,2)=1</formula>
    </cfRule>
  </conditionalFormatting>
  <conditionalFormatting sqref="B36 H36:L36">
    <cfRule type="expression" dxfId="36" priority="24">
      <formula>MOD($B36,2)=1</formula>
    </cfRule>
  </conditionalFormatting>
  <conditionalFormatting sqref="C35:G35">
    <cfRule type="expression" dxfId="35" priority="23">
      <formula>MOD($B35,2)=1</formula>
    </cfRule>
  </conditionalFormatting>
  <conditionalFormatting sqref="C36:G36">
    <cfRule type="expression" dxfId="34" priority="22">
      <formula>MOD($B36,2)=1</formula>
    </cfRule>
  </conditionalFormatting>
  <conditionalFormatting sqref="B37 H37:L37">
    <cfRule type="expression" dxfId="33" priority="21">
      <formula>MOD($B37,2)=1</formula>
    </cfRule>
  </conditionalFormatting>
  <conditionalFormatting sqref="C37:G37">
    <cfRule type="expression" dxfId="32" priority="20">
      <formula>MOD($B37,2)=1</formula>
    </cfRule>
  </conditionalFormatting>
  <conditionalFormatting sqref="B27:L27">
    <cfRule type="expression" dxfId="31" priority="2">
      <formula>MOD($B27,2)=1</formula>
    </cfRule>
  </conditionalFormatting>
  <conditionalFormatting sqref="B23:L23">
    <cfRule type="expression" dxfId="30" priority="6">
      <formula>MOD($B23,2)=1</formula>
    </cfRule>
  </conditionalFormatting>
  <conditionalFormatting sqref="B25:L25">
    <cfRule type="expression" dxfId="29" priority="5">
      <formula>MOD($B25,2)=1</formula>
    </cfRule>
  </conditionalFormatting>
  <conditionalFormatting sqref="B28:L28">
    <cfRule type="expression" dxfId="28" priority="4">
      <formula>MOD($B28,2)=1</formula>
    </cfRule>
  </conditionalFormatting>
  <conditionalFormatting sqref="B26:L26">
    <cfRule type="expression" dxfId="27" priority="1">
      <formula>MOD($B26,2)=1</formula>
    </cfRule>
  </conditionalFormatting>
  <pageMargins left="0.7" right="0.7" top="0.75" bottom="0.75" header="0.3" footer="0.3"/>
  <pageSetup scale="26" fitToWidth="0" fitToHeight="0"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EE080-F711-4809-BA90-E3DB49049865}">
  <sheetPr codeName="Sheet8"/>
  <dimension ref="A1:P49"/>
  <sheetViews>
    <sheetView showGridLines="0" tabSelected="1" zoomScale="44" zoomScaleNormal="40" workbookViewId="0">
      <pane ySplit="2" topLeftCell="A3" activePane="bottomLeft" state="frozen"/>
      <selection pane="bottomLeft" activeCell="H30" sqref="H30"/>
    </sheetView>
  </sheetViews>
  <sheetFormatPr baseColWidth="10" defaultColWidth="9.83203125" defaultRowHeight="15" x14ac:dyDescent="0.2"/>
  <cols>
    <col min="1" max="1" width="33.83203125" customWidth="1"/>
    <col min="2" max="2" width="33.5" style="7" customWidth="1"/>
    <col min="3" max="3" width="23.5" style="67" customWidth="1"/>
    <col min="4" max="4" width="26.33203125" style="7" customWidth="1"/>
    <col min="5" max="5" width="44.5" style="68" customWidth="1"/>
    <col min="6" max="6" width="15.5" style="8" customWidth="1"/>
    <col min="7" max="7" width="15.5" style="9" customWidth="1"/>
    <col min="8" max="8" width="19.5" style="8" customWidth="1"/>
    <col min="9" max="9" width="18.5" style="8" customWidth="1"/>
    <col min="10" max="11" width="21" style="8" customWidth="1"/>
    <col min="12" max="12" width="21.33203125" style="1" customWidth="1"/>
    <col min="13" max="15" width="9.83203125" style="2"/>
    <col min="16" max="16" width="29.1640625" style="2" customWidth="1"/>
    <col min="17" max="16384" width="9.83203125" style="2"/>
  </cols>
  <sheetData>
    <row r="1" spans="1:16" ht="148.5" customHeight="1" x14ac:dyDescent="0.2">
      <c r="B1" s="242" t="s">
        <v>468</v>
      </c>
      <c r="C1" s="242"/>
      <c r="D1" s="242"/>
      <c r="E1" s="242"/>
      <c r="F1" s="242"/>
      <c r="G1" s="242"/>
      <c r="H1" s="242"/>
      <c r="I1" s="242"/>
      <c r="J1" s="242"/>
      <c r="K1" s="242"/>
    </row>
    <row r="2" spans="1:16" s="6" customFormat="1" ht="15" customHeight="1" x14ac:dyDescent="0.25">
      <c r="A2" s="3" t="s">
        <v>1</v>
      </c>
      <c r="B2" s="3" t="s">
        <v>2</v>
      </c>
      <c r="C2" s="60" t="s">
        <v>3</v>
      </c>
      <c r="D2" s="3" t="s">
        <v>114</v>
      </c>
      <c r="E2" s="60" t="s">
        <v>4</v>
      </c>
      <c r="F2" s="4" t="s">
        <v>5</v>
      </c>
      <c r="G2" s="3" t="s">
        <v>6</v>
      </c>
      <c r="H2" s="4" t="s">
        <v>7</v>
      </c>
      <c r="I2" s="4" t="s">
        <v>8</v>
      </c>
      <c r="J2" s="4" t="s">
        <v>115</v>
      </c>
      <c r="K2" s="4" t="s">
        <v>9</v>
      </c>
      <c r="L2" s="232" t="s">
        <v>10</v>
      </c>
    </row>
    <row r="3" spans="1:16" ht="14.25" customHeight="1" x14ac:dyDescent="0.2">
      <c r="L3" s="10"/>
    </row>
    <row r="4" spans="1:16" ht="15" customHeight="1" x14ac:dyDescent="0.2">
      <c r="A4" s="11" t="s">
        <v>12</v>
      </c>
      <c r="B4" s="12"/>
      <c r="C4" s="69"/>
      <c r="D4" s="12"/>
      <c r="E4" s="70"/>
      <c r="F4" s="14"/>
      <c r="G4" s="15"/>
      <c r="H4" s="14"/>
      <c r="I4" s="14"/>
      <c r="J4" s="14"/>
      <c r="K4" s="14"/>
      <c r="L4" s="16"/>
    </row>
    <row r="5" spans="1:16" x14ac:dyDescent="0.2">
      <c r="A5" s="17" t="s">
        <v>469</v>
      </c>
      <c r="L5" s="18"/>
    </row>
    <row r="6" spans="1:16" x14ac:dyDescent="0.2">
      <c r="A6" s="66" t="s">
        <v>470</v>
      </c>
      <c r="B6" s="7">
        <v>20000</v>
      </c>
      <c r="C6" s="67" t="s">
        <v>471</v>
      </c>
      <c r="E6" s="68" t="s">
        <v>472</v>
      </c>
      <c r="F6" s="8">
        <v>10</v>
      </c>
      <c r="G6" s="9">
        <v>30</v>
      </c>
      <c r="H6" s="8">
        <f t="shared" ref="H6" si="0">F6*G6</f>
        <v>300</v>
      </c>
      <c r="I6" s="8">
        <f t="shared" ref="I6" si="1">H6*1.13</f>
        <v>338.99999999999994</v>
      </c>
      <c r="J6" s="8">
        <f t="shared" ref="J6" si="2">I6*0.75</f>
        <v>254.24999999999994</v>
      </c>
      <c r="K6" s="8">
        <v>483.54</v>
      </c>
      <c r="L6" s="52">
        <v>483.54</v>
      </c>
    </row>
    <row r="7" spans="1:16" x14ac:dyDescent="0.2">
      <c r="A7" s="9"/>
      <c r="B7" s="7">
        <v>20001</v>
      </c>
      <c r="C7" s="67" t="s">
        <v>473</v>
      </c>
      <c r="E7" s="68" t="s">
        <v>474</v>
      </c>
      <c r="F7" s="8">
        <v>20</v>
      </c>
      <c r="G7" s="9">
        <v>15</v>
      </c>
      <c r="H7" s="8">
        <f t="shared" ref="H7:H10" si="3">F7*G7</f>
        <v>300</v>
      </c>
      <c r="I7" s="8">
        <f t="shared" ref="I7:I10" si="4">H7*1.13</f>
        <v>338.99999999999994</v>
      </c>
      <c r="J7" s="8">
        <f t="shared" ref="J7:J10" si="5">I7*0.75</f>
        <v>254.24999999999994</v>
      </c>
      <c r="K7" s="8">
        <v>725.32</v>
      </c>
      <c r="L7" s="52">
        <v>725.32</v>
      </c>
    </row>
    <row r="8" spans="1:16" x14ac:dyDescent="0.2">
      <c r="A8" s="9"/>
      <c r="B8" s="7">
        <v>20002</v>
      </c>
      <c r="C8" s="67" t="s">
        <v>475</v>
      </c>
      <c r="E8" s="68" t="s">
        <v>472</v>
      </c>
      <c r="F8" s="8">
        <v>25</v>
      </c>
      <c r="G8" s="9">
        <v>45</v>
      </c>
      <c r="H8" s="8">
        <f t="shared" si="3"/>
        <v>1125</v>
      </c>
      <c r="I8" s="8">
        <f t="shared" si="4"/>
        <v>1271.2499999999998</v>
      </c>
      <c r="J8" s="8">
        <f t="shared" si="5"/>
        <v>953.43749999999977</v>
      </c>
      <c r="K8" s="8">
        <v>0</v>
      </c>
      <c r="L8" s="52">
        <v>0</v>
      </c>
    </row>
    <row r="9" spans="1:16" x14ac:dyDescent="0.2">
      <c r="A9" s="66" t="s">
        <v>476</v>
      </c>
      <c r="B9" s="7">
        <v>20003</v>
      </c>
      <c r="C9" s="67" t="s">
        <v>268</v>
      </c>
      <c r="E9" s="68" t="s">
        <v>474</v>
      </c>
      <c r="F9" s="8">
        <v>1000</v>
      </c>
      <c r="G9" s="9">
        <v>1</v>
      </c>
      <c r="H9" s="8">
        <f t="shared" si="3"/>
        <v>1000</v>
      </c>
      <c r="I9" s="8">
        <f t="shared" si="4"/>
        <v>1130</v>
      </c>
      <c r="J9" s="8">
        <f t="shared" si="5"/>
        <v>847.5</v>
      </c>
      <c r="K9" s="8">
        <v>500</v>
      </c>
      <c r="L9" s="52">
        <v>500</v>
      </c>
    </row>
    <row r="10" spans="1:16" x14ac:dyDescent="0.2">
      <c r="A10" s="9"/>
      <c r="B10" s="7">
        <v>20004</v>
      </c>
      <c r="C10" s="67" t="s">
        <v>477</v>
      </c>
      <c r="E10" s="68" t="s">
        <v>478</v>
      </c>
      <c r="F10" s="8">
        <v>1000</v>
      </c>
      <c r="G10" s="9">
        <v>1</v>
      </c>
      <c r="H10" s="8">
        <f t="shared" si="3"/>
        <v>1000</v>
      </c>
      <c r="I10" s="8">
        <f t="shared" si="4"/>
        <v>1130</v>
      </c>
      <c r="J10" s="8">
        <f t="shared" si="5"/>
        <v>847.5</v>
      </c>
      <c r="K10" s="8">
        <v>0</v>
      </c>
      <c r="L10" s="52">
        <v>0</v>
      </c>
    </row>
    <row r="11" spans="1:16" x14ac:dyDescent="0.2">
      <c r="L11" s="19"/>
      <c r="M11" s="251"/>
      <c r="N11" s="251"/>
      <c r="O11" s="251"/>
      <c r="P11" s="251"/>
    </row>
    <row r="12" spans="1:16" s="26" customFormat="1" x14ac:dyDescent="0.2">
      <c r="A12" s="17"/>
      <c r="B12" s="20" t="s">
        <v>479</v>
      </c>
      <c r="C12" s="72"/>
      <c r="D12" s="21"/>
      <c r="E12" s="73"/>
      <c r="F12" s="23"/>
      <c r="G12" s="24"/>
      <c r="H12" s="23"/>
      <c r="I12" s="23">
        <f>SUM(I6:I10)</f>
        <v>4209.25</v>
      </c>
      <c r="J12" s="23">
        <f>SUM(J6:J10)</f>
        <v>3156.9374999999995</v>
      </c>
      <c r="K12" s="23">
        <f>SUM(K6:K10)</f>
        <v>1708.8600000000001</v>
      </c>
      <c r="L12" s="25">
        <f>SUM(L6:L10)</f>
        <v>1708.8600000000001</v>
      </c>
    </row>
    <row r="13" spans="1:16" x14ac:dyDescent="0.2">
      <c r="A13" s="17" t="s">
        <v>480</v>
      </c>
      <c r="L13" s="18"/>
    </row>
    <row r="14" spans="1:16" s="172" customFormat="1" x14ac:dyDescent="0.2">
      <c r="A14" s="202" t="s">
        <v>481</v>
      </c>
      <c r="B14" s="168">
        <v>20100</v>
      </c>
      <c r="C14" s="205" t="s">
        <v>470</v>
      </c>
      <c r="D14" s="168"/>
      <c r="E14" s="169" t="s">
        <v>482</v>
      </c>
      <c r="F14" s="170">
        <v>15</v>
      </c>
      <c r="G14" s="140">
        <v>40</v>
      </c>
      <c r="H14" s="170">
        <f>F14*G14</f>
        <v>600</v>
      </c>
      <c r="I14" s="170">
        <f>H14*1.13</f>
        <v>677.99999999999989</v>
      </c>
      <c r="J14" s="170">
        <f>I14*0.75</f>
        <v>508.49999999999989</v>
      </c>
      <c r="K14" s="170">
        <v>0</v>
      </c>
      <c r="L14" s="171">
        <v>0</v>
      </c>
    </row>
    <row r="15" spans="1:16" x14ac:dyDescent="0.2">
      <c r="L15" s="19"/>
    </row>
    <row r="16" spans="1:16" s="26" customFormat="1" x14ac:dyDescent="0.2">
      <c r="A16" s="17"/>
      <c r="B16" s="20" t="s">
        <v>483</v>
      </c>
      <c r="C16" s="72"/>
      <c r="D16" s="21"/>
      <c r="E16" s="73"/>
      <c r="F16" s="23"/>
      <c r="G16" s="24"/>
      <c r="H16" s="23"/>
      <c r="I16" s="23">
        <f>SUM(I14:I14)</f>
        <v>677.99999999999989</v>
      </c>
      <c r="J16" s="23">
        <f>SUM(J14:J14)</f>
        <v>508.49999999999989</v>
      </c>
      <c r="K16" s="23">
        <f>SUM(K14:K14)</f>
        <v>0</v>
      </c>
      <c r="L16" s="25">
        <f>SUM(L14:L14)</f>
        <v>0</v>
      </c>
    </row>
    <row r="17" spans="1:12" x14ac:dyDescent="0.2">
      <c r="L17" s="19"/>
    </row>
    <row r="18" spans="1:12" s="34" customFormat="1" x14ac:dyDescent="0.2">
      <c r="A18" s="27"/>
      <c r="B18" s="28" t="s">
        <v>38</v>
      </c>
      <c r="C18" s="74"/>
      <c r="D18" s="29"/>
      <c r="E18" s="75"/>
      <c r="F18" s="31"/>
      <c r="G18" s="32"/>
      <c r="H18" s="31"/>
      <c r="I18" s="31">
        <f>I12+I16</f>
        <v>4887.25</v>
      </c>
      <c r="J18" s="31">
        <f t="shared" ref="J18:L18" si="6">J12+J16</f>
        <v>3665.4374999999995</v>
      </c>
      <c r="K18" s="31">
        <f t="shared" si="6"/>
        <v>1708.8600000000001</v>
      </c>
      <c r="L18" s="33">
        <f t="shared" si="6"/>
        <v>1708.8600000000001</v>
      </c>
    </row>
    <row r="19" spans="1:12" x14ac:dyDescent="0.2">
      <c r="L19" s="19"/>
    </row>
    <row r="20" spans="1:12" ht="15" customHeight="1" x14ac:dyDescent="0.2">
      <c r="A20" s="11" t="s">
        <v>41</v>
      </c>
      <c r="B20" s="12"/>
      <c r="C20" s="69"/>
      <c r="D20" s="12"/>
      <c r="E20" s="70"/>
      <c r="F20" s="14"/>
      <c r="G20" s="15"/>
      <c r="H20" s="14"/>
      <c r="I20" s="14"/>
      <c r="J20" s="14"/>
      <c r="K20" s="14"/>
      <c r="L20" s="16"/>
    </row>
    <row r="21" spans="1:12" x14ac:dyDescent="0.2">
      <c r="A21" s="17" t="s">
        <v>484</v>
      </c>
      <c r="L21" s="19"/>
    </row>
    <row r="22" spans="1:12" x14ac:dyDescent="0.2">
      <c r="A22" s="66" t="s">
        <v>485</v>
      </c>
      <c r="B22" s="7">
        <v>20200</v>
      </c>
      <c r="C22" s="67" t="s">
        <v>486</v>
      </c>
      <c r="D22" s="7">
        <v>10</v>
      </c>
      <c r="E22" s="68" t="s">
        <v>487</v>
      </c>
      <c r="F22" s="8">
        <v>50</v>
      </c>
      <c r="G22" s="9">
        <v>7</v>
      </c>
      <c r="H22" s="8">
        <f>F22*G22</f>
        <v>350</v>
      </c>
      <c r="I22" s="8">
        <f t="shared" ref="I22:I27" si="7">H22*1.13</f>
        <v>395.49999999999994</v>
      </c>
      <c r="J22" s="8">
        <f t="shared" ref="J22:J27" si="8">I22*1.25</f>
        <v>494.37499999999994</v>
      </c>
      <c r="K22" s="8">
        <f>160 + 225</f>
        <v>385</v>
      </c>
      <c r="L22" s="19">
        <f>385</f>
        <v>385</v>
      </c>
    </row>
    <row r="23" spans="1:12" s="172" customFormat="1" x14ac:dyDescent="0.2">
      <c r="A23" s="202" t="s">
        <v>488</v>
      </c>
      <c r="B23" s="168">
        <v>20201</v>
      </c>
      <c r="C23" s="205" t="s">
        <v>489</v>
      </c>
      <c r="D23" s="168">
        <v>1</v>
      </c>
      <c r="E23" s="169" t="s">
        <v>490</v>
      </c>
      <c r="F23" s="170">
        <v>5</v>
      </c>
      <c r="G23" s="140">
        <v>60</v>
      </c>
      <c r="H23" s="8">
        <f t="shared" ref="H23:H27" si="9">F23*G23</f>
        <v>300</v>
      </c>
      <c r="I23" s="8">
        <f t="shared" si="7"/>
        <v>338.99999999999994</v>
      </c>
      <c r="J23" s="8">
        <f t="shared" si="8"/>
        <v>423.74999999999994</v>
      </c>
      <c r="K23" s="170">
        <v>0</v>
      </c>
      <c r="L23" s="171">
        <v>0</v>
      </c>
    </row>
    <row r="24" spans="1:12" x14ac:dyDescent="0.2">
      <c r="A24" s="66" t="s">
        <v>35</v>
      </c>
      <c r="B24" s="7">
        <v>20202</v>
      </c>
      <c r="C24" s="67" t="s">
        <v>491</v>
      </c>
      <c r="D24" s="7">
        <v>1</v>
      </c>
      <c r="E24" s="68" t="s">
        <v>492</v>
      </c>
      <c r="F24" s="8">
        <v>10</v>
      </c>
      <c r="G24" s="9">
        <v>60</v>
      </c>
      <c r="H24" s="8">
        <f t="shared" si="9"/>
        <v>600</v>
      </c>
      <c r="I24" s="8">
        <f t="shared" si="7"/>
        <v>677.99999999999989</v>
      </c>
      <c r="J24" s="8">
        <f t="shared" si="8"/>
        <v>847.49999999999989</v>
      </c>
      <c r="K24" s="8">
        <f>1606.8 + 25</f>
        <v>1631.8</v>
      </c>
      <c r="L24" s="19">
        <f>1606.8 + 25</f>
        <v>1631.8</v>
      </c>
    </row>
    <row r="25" spans="1:12" s="172" customFormat="1" x14ac:dyDescent="0.2">
      <c r="A25" s="202"/>
      <c r="B25" s="233">
        <v>20203</v>
      </c>
      <c r="C25" s="234" t="s">
        <v>493</v>
      </c>
      <c r="D25" s="233">
        <v>10</v>
      </c>
      <c r="E25" s="235" t="s">
        <v>494</v>
      </c>
      <c r="F25" s="236">
        <v>200</v>
      </c>
      <c r="G25" s="237">
        <v>1</v>
      </c>
      <c r="H25" s="211">
        <f t="shared" si="9"/>
        <v>200</v>
      </c>
      <c r="I25" s="211">
        <f t="shared" si="7"/>
        <v>225.99999999999997</v>
      </c>
      <c r="J25" s="211">
        <f t="shared" si="8"/>
        <v>282.49999999999994</v>
      </c>
      <c r="K25" s="236">
        <v>0</v>
      </c>
      <c r="L25" s="238">
        <v>0</v>
      </c>
    </row>
    <row r="26" spans="1:12" x14ac:dyDescent="0.2">
      <c r="A26" s="66" t="s">
        <v>495</v>
      </c>
      <c r="B26" s="7">
        <v>20204</v>
      </c>
      <c r="C26" s="67" t="s">
        <v>496</v>
      </c>
      <c r="D26" s="7">
        <v>4</v>
      </c>
      <c r="E26" s="68" t="s">
        <v>497</v>
      </c>
      <c r="F26" s="8">
        <v>10</v>
      </c>
      <c r="G26" s="9">
        <v>60</v>
      </c>
      <c r="H26" s="8">
        <f t="shared" si="9"/>
        <v>600</v>
      </c>
      <c r="I26" s="8">
        <f t="shared" si="7"/>
        <v>677.99999999999989</v>
      </c>
      <c r="J26" s="8">
        <f t="shared" si="8"/>
        <v>847.49999999999989</v>
      </c>
      <c r="K26" s="8">
        <v>0</v>
      </c>
      <c r="L26" s="19">
        <v>0</v>
      </c>
    </row>
    <row r="27" spans="1:12" x14ac:dyDescent="0.2">
      <c r="A27" s="66"/>
      <c r="B27" s="226">
        <v>20205</v>
      </c>
      <c r="C27" s="227" t="s">
        <v>498</v>
      </c>
      <c r="D27" s="226">
        <v>1</v>
      </c>
      <c r="E27" s="228" t="s">
        <v>499</v>
      </c>
      <c r="F27" s="229">
        <v>590</v>
      </c>
      <c r="G27" s="230">
        <v>1</v>
      </c>
      <c r="H27" s="8">
        <f t="shared" si="9"/>
        <v>590</v>
      </c>
      <c r="I27" s="8">
        <f t="shared" si="7"/>
        <v>666.69999999999993</v>
      </c>
      <c r="J27" s="8">
        <f t="shared" si="8"/>
        <v>833.37499999999989</v>
      </c>
      <c r="K27" s="229">
        <v>587.86</v>
      </c>
      <c r="L27" s="231">
        <v>587.86</v>
      </c>
    </row>
    <row r="28" spans="1:12" x14ac:dyDescent="0.2">
      <c r="K28" s="2"/>
      <c r="L28" s="114"/>
    </row>
    <row r="29" spans="1:12" s="26" customFormat="1" x14ac:dyDescent="0.2">
      <c r="A29" s="17"/>
      <c r="B29" s="20" t="s">
        <v>479</v>
      </c>
      <c r="C29" s="72"/>
      <c r="D29" s="21"/>
      <c r="E29" s="73"/>
      <c r="F29" s="23"/>
      <c r="G29" s="24"/>
      <c r="H29" s="23"/>
      <c r="I29" s="23">
        <f>SUM(I22:I24,I26:I27)</f>
        <v>2757.1999999999994</v>
      </c>
      <c r="J29" s="23">
        <f t="shared" ref="J29:L29" si="10">SUM(J22:J24,J26:J27)</f>
        <v>3446.4999999999995</v>
      </c>
      <c r="K29" s="23">
        <f t="shared" si="10"/>
        <v>2604.66</v>
      </c>
      <c r="L29" s="25">
        <f t="shared" si="10"/>
        <v>2604.66</v>
      </c>
    </row>
    <row r="30" spans="1:12" x14ac:dyDescent="0.2">
      <c r="A30" s="17" t="s">
        <v>500</v>
      </c>
      <c r="L30" s="19"/>
    </row>
    <row r="31" spans="1:12" s="172" customFormat="1" x14ac:dyDescent="0.2">
      <c r="A31" s="202" t="s">
        <v>481</v>
      </c>
      <c r="B31" s="168">
        <v>20302</v>
      </c>
      <c r="C31" s="205" t="s">
        <v>501</v>
      </c>
      <c r="D31" s="168">
        <v>1</v>
      </c>
      <c r="E31" s="169" t="s">
        <v>502</v>
      </c>
      <c r="F31" s="170">
        <v>10</v>
      </c>
      <c r="G31" s="167">
        <v>50</v>
      </c>
      <c r="H31" s="8">
        <f t="shared" ref="H31" si="11">F31*G31</f>
        <v>500</v>
      </c>
      <c r="I31" s="8">
        <f t="shared" ref="I31" si="12">H31*1.13</f>
        <v>565</v>
      </c>
      <c r="J31" s="8">
        <f t="shared" ref="J31" si="13">I31*1.25</f>
        <v>706.25</v>
      </c>
      <c r="K31" s="170">
        <v>0</v>
      </c>
      <c r="L31" s="171">
        <v>0</v>
      </c>
    </row>
    <row r="32" spans="1:12" x14ac:dyDescent="0.2">
      <c r="L32" s="19"/>
    </row>
    <row r="33" spans="1:12" s="26" customFormat="1" x14ac:dyDescent="0.2">
      <c r="A33" s="17"/>
      <c r="B33" s="20" t="s">
        <v>483</v>
      </c>
      <c r="C33" s="72"/>
      <c r="D33" s="21"/>
      <c r="E33" s="73"/>
      <c r="F33" s="23"/>
      <c r="G33" s="24"/>
      <c r="H33" s="23"/>
      <c r="I33" s="23">
        <f>SUM(I31:I31)</f>
        <v>565</v>
      </c>
      <c r="J33" s="23">
        <f t="shared" ref="J33:L33" si="14">SUM(J31:J31)</f>
        <v>706.25</v>
      </c>
      <c r="K33" s="23">
        <f t="shared" si="14"/>
        <v>0</v>
      </c>
      <c r="L33" s="25">
        <f t="shared" si="14"/>
        <v>0</v>
      </c>
    </row>
    <row r="34" spans="1:12" x14ac:dyDescent="0.2">
      <c r="A34" s="219" t="s">
        <v>503</v>
      </c>
      <c r="B34" s="221"/>
      <c r="L34" s="19"/>
    </row>
    <row r="35" spans="1:12" s="172" customFormat="1" x14ac:dyDescent="0.2">
      <c r="A35" s="167"/>
      <c r="B35" s="168">
        <v>20400</v>
      </c>
      <c r="C35" s="205" t="s">
        <v>376</v>
      </c>
      <c r="D35" s="168">
        <v>2</v>
      </c>
      <c r="E35" s="169" t="s">
        <v>504</v>
      </c>
      <c r="F35" s="170">
        <v>10</v>
      </c>
      <c r="G35" s="140">
        <v>10</v>
      </c>
      <c r="H35" s="8">
        <f t="shared" ref="H35" si="15">F35*G35</f>
        <v>100</v>
      </c>
      <c r="I35" s="8">
        <f t="shared" ref="I35" si="16">H35*1.13</f>
        <v>112.99999999999999</v>
      </c>
      <c r="J35" s="8">
        <f t="shared" ref="J35" si="17">I35*1.25</f>
        <v>141.24999999999997</v>
      </c>
      <c r="K35" s="170">
        <v>10</v>
      </c>
      <c r="L35" s="171">
        <v>10</v>
      </c>
    </row>
    <row r="36" spans="1:12" x14ac:dyDescent="0.2">
      <c r="A36" s="220"/>
      <c r="B36" s="221"/>
      <c r="L36" s="19"/>
    </row>
    <row r="37" spans="1:12" s="26" customFormat="1" x14ac:dyDescent="0.2">
      <c r="A37" s="219"/>
      <c r="B37" s="222" t="s">
        <v>505</v>
      </c>
      <c r="C37" s="72"/>
      <c r="D37" s="21"/>
      <c r="E37" s="73"/>
      <c r="F37" s="23"/>
      <c r="G37" s="24"/>
      <c r="H37" s="23"/>
      <c r="I37" s="23">
        <f>SUM(I35:I35)</f>
        <v>112.99999999999999</v>
      </c>
      <c r="J37" s="23">
        <f t="shared" ref="J37:L37" si="18">SUM(J35:J35)</f>
        <v>141.24999999999997</v>
      </c>
      <c r="K37" s="23">
        <f t="shared" si="18"/>
        <v>10</v>
      </c>
      <c r="L37" s="25">
        <f t="shared" si="18"/>
        <v>10</v>
      </c>
    </row>
    <row r="38" spans="1:12" x14ac:dyDescent="0.2">
      <c r="A38" s="219" t="s">
        <v>506</v>
      </c>
      <c r="B38" s="221"/>
      <c r="L38" s="19"/>
    </row>
    <row r="39" spans="1:12" x14ac:dyDescent="0.2">
      <c r="A39" s="223" t="s">
        <v>507</v>
      </c>
      <c r="B39" s="221">
        <v>20500</v>
      </c>
      <c r="C39" s="67" t="s">
        <v>508</v>
      </c>
      <c r="D39" s="7">
        <v>9</v>
      </c>
      <c r="E39" s="71" t="s">
        <v>509</v>
      </c>
      <c r="F39" s="8">
        <v>45</v>
      </c>
      <c r="G39" s="9">
        <v>20</v>
      </c>
      <c r="H39" s="8">
        <f>F39*G39</f>
        <v>900</v>
      </c>
      <c r="I39" s="8">
        <f>H39*1.13</f>
        <v>1016.9999999999999</v>
      </c>
      <c r="J39" s="8">
        <f>I39*1.25</f>
        <v>1271.2499999999998</v>
      </c>
      <c r="K39" s="8">
        <f>656.64 + 33.43</f>
        <v>690.06999999999994</v>
      </c>
      <c r="L39" s="52">
        <f>656.64 + 33.43</f>
        <v>690.06999999999994</v>
      </c>
    </row>
    <row r="40" spans="1:12" x14ac:dyDescent="0.2">
      <c r="A40" s="224"/>
      <c r="B40" s="225">
        <v>20501</v>
      </c>
      <c r="C40" s="67" t="s">
        <v>510</v>
      </c>
      <c r="D40" s="7">
        <v>10</v>
      </c>
      <c r="E40" s="68" t="s">
        <v>511</v>
      </c>
      <c r="F40" s="8">
        <v>30</v>
      </c>
      <c r="G40" s="9">
        <v>6</v>
      </c>
      <c r="H40" s="8">
        <f t="shared" ref="H40" si="19">F40*G40</f>
        <v>180</v>
      </c>
      <c r="I40" s="8">
        <f t="shared" ref="I40" si="20">H40*1.13</f>
        <v>203.39999999999998</v>
      </c>
      <c r="J40" s="8">
        <f t="shared" ref="J40" si="21">I40*1.25</f>
        <v>254.24999999999997</v>
      </c>
      <c r="K40" s="8">
        <f>175+198.86</f>
        <v>373.86</v>
      </c>
      <c r="L40" s="52">
        <f>175+198.86</f>
        <v>373.86</v>
      </c>
    </row>
    <row r="41" spans="1:12" x14ac:dyDescent="0.2">
      <c r="L41" s="19"/>
    </row>
    <row r="42" spans="1:12" s="26" customFormat="1" x14ac:dyDescent="0.2">
      <c r="A42" s="17"/>
      <c r="B42" s="20" t="s">
        <v>156</v>
      </c>
      <c r="C42" s="72"/>
      <c r="D42" s="21"/>
      <c r="E42" s="73"/>
      <c r="F42" s="23"/>
      <c r="G42" s="24"/>
      <c r="H42" s="23"/>
      <c r="I42" s="23">
        <f>SUM(I39:I40)</f>
        <v>1220.3999999999999</v>
      </c>
      <c r="J42" s="23">
        <f t="shared" ref="J42:L42" si="22">SUM(J39:J40)</f>
        <v>1525.4999999999998</v>
      </c>
      <c r="K42" s="23">
        <f t="shared" si="22"/>
        <v>1063.9299999999998</v>
      </c>
      <c r="L42" s="25">
        <f t="shared" si="22"/>
        <v>1063.9299999999998</v>
      </c>
    </row>
    <row r="43" spans="1:12" x14ac:dyDescent="0.2">
      <c r="L43" s="19"/>
    </row>
    <row r="44" spans="1:12" s="34" customFormat="1" x14ac:dyDescent="0.2">
      <c r="A44" s="27"/>
      <c r="B44" s="28" t="s">
        <v>108</v>
      </c>
      <c r="C44" s="74"/>
      <c r="D44" s="29"/>
      <c r="E44" s="75"/>
      <c r="F44" s="31"/>
      <c r="G44" s="32"/>
      <c r="H44" s="31"/>
      <c r="I44" s="31">
        <f>SUM(I29,I33,I37,I42)</f>
        <v>4655.5999999999995</v>
      </c>
      <c r="J44" s="31">
        <f t="shared" ref="J44:L44" si="23">SUM(J29,J33,J37,J42)</f>
        <v>5819.5</v>
      </c>
      <c r="K44" s="31">
        <f t="shared" si="23"/>
        <v>3678.5899999999997</v>
      </c>
      <c r="L44" s="33">
        <f t="shared" si="23"/>
        <v>3678.5899999999997</v>
      </c>
    </row>
    <row r="45" spans="1:12" x14ac:dyDescent="0.2">
      <c r="L45" s="19"/>
    </row>
    <row r="46" spans="1:12" ht="15" customHeight="1" x14ac:dyDescent="0.2">
      <c r="A46" s="11" t="s">
        <v>109</v>
      </c>
      <c r="B46" s="12"/>
      <c r="C46" s="69"/>
      <c r="D46" s="12"/>
      <c r="E46" s="70"/>
      <c r="F46" s="14"/>
      <c r="G46" s="15"/>
      <c r="H46" s="14"/>
      <c r="I46" s="14"/>
      <c r="J46" s="14"/>
      <c r="K46" s="14"/>
      <c r="L46" s="16"/>
    </row>
    <row r="47" spans="1:12" s="26" customFormat="1" x14ac:dyDescent="0.2">
      <c r="A47" s="17"/>
      <c r="B47" s="166" t="s">
        <v>110</v>
      </c>
      <c r="C47" s="76"/>
      <c r="D47" s="166"/>
      <c r="E47" s="77"/>
      <c r="F47" s="37"/>
      <c r="G47" s="38"/>
      <c r="H47" s="37"/>
      <c r="I47" s="37">
        <f>I18</f>
        <v>4887.25</v>
      </c>
      <c r="J47" s="37">
        <f t="shared" ref="J47:L47" si="24">J18</f>
        <v>3665.4374999999995</v>
      </c>
      <c r="K47" s="37">
        <f t="shared" si="24"/>
        <v>1708.8600000000001</v>
      </c>
      <c r="L47" s="40">
        <f t="shared" si="24"/>
        <v>1708.8600000000001</v>
      </c>
    </row>
    <row r="48" spans="1:12" s="26" customFormat="1" x14ac:dyDescent="0.2">
      <c r="A48" s="17"/>
      <c r="B48" s="166" t="s">
        <v>111</v>
      </c>
      <c r="C48" s="76"/>
      <c r="D48" s="166"/>
      <c r="E48" s="77"/>
      <c r="F48" s="37"/>
      <c r="G48" s="38"/>
      <c r="H48" s="37"/>
      <c r="I48" s="37">
        <f>I44</f>
        <v>4655.5999999999995</v>
      </c>
      <c r="J48" s="37">
        <f t="shared" ref="J48:L48" si="25">J44</f>
        <v>5819.5</v>
      </c>
      <c r="K48" s="37">
        <f t="shared" si="25"/>
        <v>3678.5899999999997</v>
      </c>
      <c r="L48" s="40">
        <f t="shared" si="25"/>
        <v>3678.5899999999997</v>
      </c>
    </row>
    <row r="49" spans="1:12" s="26" customFormat="1" x14ac:dyDescent="0.2">
      <c r="A49" s="41"/>
      <c r="B49" s="42" t="s">
        <v>112</v>
      </c>
      <c r="C49" s="78"/>
      <c r="D49" s="42"/>
      <c r="E49" s="79"/>
      <c r="F49" s="43"/>
      <c r="G49" s="44"/>
      <c r="H49" s="43"/>
      <c r="I49" s="43">
        <f>SUM(I47,I48*-1)</f>
        <v>231.65000000000055</v>
      </c>
      <c r="J49" s="43">
        <f t="shared" ref="J49:L49" si="26">SUM(J47,J48*-1)</f>
        <v>-2154.0625000000005</v>
      </c>
      <c r="K49" s="43">
        <f t="shared" si="26"/>
        <v>-1969.7299999999996</v>
      </c>
      <c r="L49" s="45">
        <f t="shared" si="26"/>
        <v>-1969.7299999999996</v>
      </c>
    </row>
  </sheetData>
  <mergeCells count="2">
    <mergeCell ref="B1:K1"/>
    <mergeCell ref="M11:P11"/>
  </mergeCells>
  <conditionalFormatting sqref="C34:L34 C35:G35 E26:E27 B14:D14 F14:L14 B6 B31:D31 B9:G10 B26:C27 K35:L35 K9:L10 B28:J28 C40:L40 C36:L37 B43:L49 B29:L29">
    <cfRule type="expression" dxfId="26" priority="58">
      <formula>MOD($B6,2)=1</formula>
    </cfRule>
  </conditionalFormatting>
  <conditionalFormatting sqref="B11:L12 C6:L6">
    <cfRule type="expression" dxfId="25" priority="57">
      <formula>MOD($B6,2)=1</formula>
    </cfRule>
  </conditionalFormatting>
  <conditionalFormatting sqref="B17:L19">
    <cfRule type="expression" dxfId="24" priority="56">
      <formula>MOD($B17,2)=1</formula>
    </cfRule>
  </conditionalFormatting>
  <conditionalFormatting sqref="C38:L38 C39:D39 F39:L39 B42:L42">
    <cfRule type="expression" dxfId="23" priority="51">
      <formula>MOD($B38,2)=1</formula>
    </cfRule>
  </conditionalFormatting>
  <conditionalFormatting sqref="B41:L41">
    <cfRule type="expression" dxfId="22" priority="50">
      <formula>MOD($B41,2)=1</formula>
    </cfRule>
  </conditionalFormatting>
  <conditionalFormatting sqref="D26:D27 F26:G27 K26:L27">
    <cfRule type="expression" dxfId="21" priority="47">
      <formula>MOD($B26,2)=1</formula>
    </cfRule>
  </conditionalFormatting>
  <conditionalFormatting sqref="B30:L30 K31:L31 B32:L33">
    <cfRule type="expression" dxfId="20" priority="32">
      <formula>MOD($B30,2)=1</formula>
    </cfRule>
  </conditionalFormatting>
  <conditionalFormatting sqref="E31:F31">
    <cfRule type="expression" dxfId="19" priority="31">
      <formula>MOD($B31,2)=1</formula>
    </cfRule>
  </conditionalFormatting>
  <conditionalFormatting sqref="G31">
    <cfRule type="expression" dxfId="18" priority="30">
      <formula>MOD($B31,2)=1</formula>
    </cfRule>
  </conditionalFormatting>
  <conditionalFormatting sqref="B15:L16">
    <cfRule type="expression" dxfId="17" priority="23">
      <formula>MOD($B15,2)=1</formula>
    </cfRule>
  </conditionalFormatting>
  <conditionalFormatting sqref="B8">
    <cfRule type="expression" dxfId="16" priority="10">
      <formula>MOD($B8,2)=1</formula>
    </cfRule>
  </conditionalFormatting>
  <conditionalFormatting sqref="H9:J10 C8:L8">
    <cfRule type="expression" dxfId="15" priority="9">
      <formula>MOD($B8,2)=1</formula>
    </cfRule>
  </conditionalFormatting>
  <conditionalFormatting sqref="B7">
    <cfRule type="expression" dxfId="14" priority="14">
      <formula>MOD($B7,2)=1</formula>
    </cfRule>
  </conditionalFormatting>
  <conditionalFormatting sqref="C7:L7">
    <cfRule type="expression" dxfId="13" priority="13">
      <formula>MOD($B7,2)=1</formula>
    </cfRule>
  </conditionalFormatting>
  <conditionalFormatting sqref="C22 E22 B22:B23">
    <cfRule type="expression" dxfId="12" priority="8">
      <formula>MOD($B22,2)=1</formula>
    </cfRule>
  </conditionalFormatting>
  <conditionalFormatting sqref="D22 F22:L22 H23:J24 H26:J27">
    <cfRule type="expression" dxfId="11" priority="7">
      <formula>MOD($B22,2)=1</formula>
    </cfRule>
  </conditionalFormatting>
  <conditionalFormatting sqref="C23:G23 K23:L23">
    <cfRule type="expression" dxfId="10" priority="6">
      <formula>MOD($B23,2)=1</formula>
    </cfRule>
  </conditionalFormatting>
  <conditionalFormatting sqref="E24 B24:C24">
    <cfRule type="expression" dxfId="9" priority="5">
      <formula>MOD($B24,2)=1</formula>
    </cfRule>
  </conditionalFormatting>
  <conditionalFormatting sqref="D24 F24:G24 K24:L24">
    <cfRule type="expression" dxfId="8" priority="4">
      <formula>MOD($B24,2)=1</formula>
    </cfRule>
  </conditionalFormatting>
  <conditionalFormatting sqref="H31:J31">
    <cfRule type="expression" dxfId="7" priority="2">
      <formula>MOD($B31,2)=1</formula>
    </cfRule>
  </conditionalFormatting>
  <conditionalFormatting sqref="H35:J35">
    <cfRule type="expression" dxfId="6" priority="1">
      <formula>MOD($B35,2)=1</formula>
    </cfRule>
  </conditionalFormatting>
  <conditionalFormatting sqref="K27:L27">
    <cfRule type="expression" dxfId="5" priority="60">
      <formula>MOD($B28,2)=1</formula>
    </cfRule>
  </conditionalFormatting>
  <pageMargins left="0.7" right="0.7" top="0.75" bottom="0.75" header="0.3" footer="0.3"/>
  <pageSetup scale="26" fitToWidth="0" fitToHeight="0"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C956D-9A37-4736-A830-60741F499ED5}">
  <sheetPr codeName="Sheet10"/>
  <dimension ref="A1:L23"/>
  <sheetViews>
    <sheetView showGridLines="0" zoomScale="75" zoomScaleNormal="75" workbookViewId="0">
      <pane ySplit="2" topLeftCell="A3" activePane="bottomLeft" state="frozen"/>
      <selection pane="bottomLeft" activeCell="A14" sqref="A14"/>
    </sheetView>
  </sheetViews>
  <sheetFormatPr baseColWidth="10" defaultColWidth="9.5" defaultRowHeight="15" x14ac:dyDescent="0.2"/>
  <cols>
    <col min="1" max="1" width="29.5" customWidth="1"/>
    <col min="2" max="3" width="23" style="7" customWidth="1"/>
    <col min="4" max="4" width="27.1640625" style="48" customWidth="1"/>
    <col min="5" max="5" width="49" customWidth="1"/>
    <col min="6" max="6" width="15.1640625" style="8" customWidth="1"/>
    <col min="7" max="7" width="15.1640625" style="9" customWidth="1"/>
    <col min="8" max="8" width="19.1640625" style="8" customWidth="1"/>
    <col min="9" max="9" width="18.1640625" style="8" customWidth="1"/>
    <col min="10" max="11" width="20.5" style="8" customWidth="1"/>
    <col min="12" max="12" width="20.83203125" style="1" customWidth="1"/>
    <col min="13" max="16384" width="9.5" style="2"/>
  </cols>
  <sheetData>
    <row r="1" spans="1:12" ht="149" customHeight="1" x14ac:dyDescent="0.2">
      <c r="B1" s="242" t="s">
        <v>512</v>
      </c>
      <c r="C1" s="242"/>
      <c r="D1" s="242"/>
      <c r="E1" s="242"/>
      <c r="F1" s="242"/>
      <c r="G1" s="242"/>
      <c r="H1" s="242"/>
      <c r="I1" s="242"/>
      <c r="J1" s="242"/>
      <c r="K1" s="242"/>
    </row>
    <row r="2" spans="1:12" s="6" customFormat="1" ht="15" customHeight="1" x14ac:dyDescent="0.25">
      <c r="A2" s="3" t="s">
        <v>1</v>
      </c>
      <c r="B2" s="3" t="s">
        <v>2</v>
      </c>
      <c r="C2" s="3" t="s">
        <v>3</v>
      </c>
      <c r="D2" s="60" t="s">
        <v>114</v>
      </c>
      <c r="E2" s="3" t="s">
        <v>4</v>
      </c>
      <c r="F2" s="4" t="s">
        <v>5</v>
      </c>
      <c r="G2" s="3" t="s">
        <v>6</v>
      </c>
      <c r="H2" s="4" t="s">
        <v>7</v>
      </c>
      <c r="I2" s="4" t="s">
        <v>8</v>
      </c>
      <c r="J2" s="4" t="s">
        <v>115</v>
      </c>
      <c r="K2" s="4" t="s">
        <v>9</v>
      </c>
      <c r="L2" s="5" t="s">
        <v>10</v>
      </c>
    </row>
    <row r="3" spans="1:12" x14ac:dyDescent="0.2">
      <c r="L3" s="10"/>
    </row>
    <row r="4" spans="1:12" x14ac:dyDescent="0.2">
      <c r="A4" s="11" t="s">
        <v>12</v>
      </c>
      <c r="B4" s="12"/>
      <c r="C4" s="12"/>
      <c r="D4" s="61"/>
      <c r="E4" s="13"/>
      <c r="F4" s="14"/>
      <c r="G4" s="15"/>
      <c r="H4" s="14"/>
      <c r="I4" s="14"/>
      <c r="J4" s="14"/>
      <c r="K4" s="14"/>
      <c r="L4" s="16"/>
    </row>
    <row r="5" spans="1:12" x14ac:dyDescent="0.2">
      <c r="A5" s="17" t="s">
        <v>513</v>
      </c>
      <c r="L5" s="18"/>
    </row>
    <row r="6" spans="1:12" x14ac:dyDescent="0.2">
      <c r="B6" s="7" t="s">
        <v>117</v>
      </c>
      <c r="H6" s="8">
        <f t="shared" ref="H6" si="0">F6*G6</f>
        <v>0</v>
      </c>
      <c r="I6" s="8">
        <f t="shared" ref="I6" si="1">H6*1.13</f>
        <v>0</v>
      </c>
      <c r="J6" s="8">
        <f>I6*0.75</f>
        <v>0</v>
      </c>
      <c r="L6" s="19"/>
    </row>
    <row r="7" spans="1:12" x14ac:dyDescent="0.2">
      <c r="L7" s="19"/>
    </row>
    <row r="8" spans="1:12" s="26" customFormat="1" x14ac:dyDescent="0.2">
      <c r="A8" s="17"/>
      <c r="B8" s="20" t="s">
        <v>146</v>
      </c>
      <c r="C8" s="21"/>
      <c r="D8" s="62"/>
      <c r="E8" s="22"/>
      <c r="F8" s="23"/>
      <c r="G8" s="24"/>
      <c r="H8" s="23"/>
      <c r="I8" s="23">
        <f>SUM(I6:I6)</f>
        <v>0</v>
      </c>
      <c r="J8" s="23">
        <f>SUM(J6:J6)</f>
        <v>0</v>
      </c>
      <c r="K8" s="23">
        <f>SUM(K6:K6)</f>
        <v>0</v>
      </c>
      <c r="L8" s="25">
        <f>SUM(L6:L6)</f>
        <v>0</v>
      </c>
    </row>
    <row r="9" spans="1:12" x14ac:dyDescent="0.2">
      <c r="L9" s="19"/>
    </row>
    <row r="10" spans="1:12" s="34" customFormat="1" x14ac:dyDescent="0.2">
      <c r="A10" s="27"/>
      <c r="B10" s="28" t="s">
        <v>38</v>
      </c>
      <c r="C10" s="29"/>
      <c r="D10" s="63"/>
      <c r="E10" s="30"/>
      <c r="F10" s="31"/>
      <c r="G10" s="32"/>
      <c r="H10" s="31"/>
      <c r="I10" s="31">
        <f>SumBold(I5:I9)</f>
        <v>0</v>
      </c>
      <c r="J10" s="31">
        <f>SumBold(J5:J9)</f>
        <v>0</v>
      </c>
      <c r="K10" s="31">
        <f>SumBold(K5:K9)</f>
        <v>0</v>
      </c>
      <c r="L10" s="33">
        <f>SumBold(L5:L9)</f>
        <v>0</v>
      </c>
    </row>
    <row r="11" spans="1:12" x14ac:dyDescent="0.2">
      <c r="L11" s="19"/>
    </row>
    <row r="12" spans="1:12" x14ac:dyDescent="0.2">
      <c r="A12" s="11" t="s">
        <v>41</v>
      </c>
      <c r="B12" s="12"/>
      <c r="C12" s="12"/>
      <c r="D12" s="61"/>
      <c r="E12" s="13"/>
      <c r="F12" s="14"/>
      <c r="G12" s="15"/>
      <c r="H12" s="14"/>
      <c r="I12" s="14"/>
      <c r="J12" s="14"/>
      <c r="K12" s="14"/>
      <c r="L12" s="16"/>
    </row>
    <row r="13" spans="1:12" x14ac:dyDescent="0.2">
      <c r="A13" s="17" t="s">
        <v>514</v>
      </c>
      <c r="L13" s="19"/>
    </row>
    <row r="14" spans="1:12" s="172" customFormat="1" x14ac:dyDescent="0.2">
      <c r="A14" s="167"/>
      <c r="B14" s="168" t="s">
        <v>117</v>
      </c>
      <c r="C14" s="169"/>
      <c r="D14" s="174"/>
      <c r="E14" s="167"/>
      <c r="F14" s="194"/>
      <c r="G14" s="140"/>
      <c r="H14" s="170"/>
      <c r="I14" s="170"/>
      <c r="J14" s="170"/>
      <c r="K14" s="170"/>
      <c r="L14" s="171"/>
    </row>
    <row r="15" spans="1:12" x14ac:dyDescent="0.2">
      <c r="L15" s="19"/>
    </row>
    <row r="16" spans="1:12" s="26" customFormat="1" x14ac:dyDescent="0.2">
      <c r="A16" s="17"/>
      <c r="B16" s="20" t="s">
        <v>148</v>
      </c>
      <c r="C16" s="21"/>
      <c r="D16" s="62"/>
      <c r="E16" s="22"/>
      <c r="F16" s="23"/>
      <c r="G16" s="24"/>
      <c r="H16" s="23"/>
      <c r="I16" s="23">
        <f>SUM(I14:I14)</f>
        <v>0</v>
      </c>
      <c r="J16" s="23">
        <f>SUM(J14:J14)</f>
        <v>0</v>
      </c>
      <c r="K16" s="23">
        <f>SUM(K14:K14)</f>
        <v>0</v>
      </c>
      <c r="L16" s="25">
        <f>SUM(L14:L14)</f>
        <v>0</v>
      </c>
    </row>
    <row r="17" spans="1:12" x14ac:dyDescent="0.2">
      <c r="L17" s="19"/>
    </row>
    <row r="18" spans="1:12" s="34" customFormat="1" x14ac:dyDescent="0.2">
      <c r="A18" s="27"/>
      <c r="B18" s="28" t="s">
        <v>108</v>
      </c>
      <c r="C18" s="29"/>
      <c r="D18" s="63"/>
      <c r="E18" s="30"/>
      <c r="F18" s="31"/>
      <c r="G18" s="32"/>
      <c r="H18" s="31"/>
      <c r="I18" s="31">
        <f>SumBold(I13:I17)</f>
        <v>0</v>
      </c>
      <c r="J18" s="31">
        <f>SumBold(J13:J17)</f>
        <v>0</v>
      </c>
      <c r="K18" s="31">
        <f>SumBold(K13:K17)</f>
        <v>0</v>
      </c>
      <c r="L18" s="33">
        <f>SumBold(L13:L17)</f>
        <v>0</v>
      </c>
    </row>
    <row r="19" spans="1:12" x14ac:dyDescent="0.2">
      <c r="L19" s="19"/>
    </row>
    <row r="20" spans="1:12" x14ac:dyDescent="0.2">
      <c r="A20" s="11" t="s">
        <v>109</v>
      </c>
      <c r="B20" s="12"/>
      <c r="C20" s="12"/>
      <c r="D20" s="61"/>
      <c r="E20" s="13"/>
      <c r="F20" s="14"/>
      <c r="G20" s="15"/>
      <c r="H20" s="14"/>
      <c r="I20" s="14"/>
      <c r="J20" s="14"/>
      <c r="K20" s="14"/>
      <c r="L20" s="16"/>
    </row>
    <row r="21" spans="1:12" s="26" customFormat="1" x14ac:dyDescent="0.2">
      <c r="A21" s="17"/>
      <c r="B21" s="166" t="s">
        <v>110</v>
      </c>
      <c r="C21" s="166"/>
      <c r="D21" s="64"/>
      <c r="E21" s="17"/>
      <c r="F21" s="37"/>
      <c r="G21" s="38"/>
      <c r="H21" s="37"/>
      <c r="I21" s="37">
        <f>I10</f>
        <v>0</v>
      </c>
      <c r="J21" s="37">
        <f>J10</f>
        <v>0</v>
      </c>
      <c r="K21" s="37">
        <f>K10</f>
        <v>0</v>
      </c>
      <c r="L21" s="39">
        <f>L10</f>
        <v>0</v>
      </c>
    </row>
    <row r="22" spans="1:12" s="26" customFormat="1" x14ac:dyDescent="0.2">
      <c r="A22" s="17"/>
      <c r="B22" s="166" t="s">
        <v>111</v>
      </c>
      <c r="C22" s="166"/>
      <c r="D22" s="64"/>
      <c r="E22" s="17"/>
      <c r="F22" s="37"/>
      <c r="G22" s="38"/>
      <c r="H22" s="37"/>
      <c r="I22" s="37">
        <f>I18</f>
        <v>0</v>
      </c>
      <c r="J22" s="37">
        <f>J18</f>
        <v>0</v>
      </c>
      <c r="K22" s="37">
        <f>K18</f>
        <v>0</v>
      </c>
      <c r="L22" s="40">
        <f>L18</f>
        <v>0</v>
      </c>
    </row>
    <row r="23" spans="1:12" s="26" customFormat="1" x14ac:dyDescent="0.2">
      <c r="A23" s="41"/>
      <c r="B23" s="42" t="s">
        <v>112</v>
      </c>
      <c r="C23" s="42"/>
      <c r="D23" s="65"/>
      <c r="E23" s="41"/>
      <c r="F23" s="43"/>
      <c r="G23" s="44"/>
      <c r="H23" s="43"/>
      <c r="I23" s="43">
        <f>SUM(I21,I22*-1)</f>
        <v>0</v>
      </c>
      <c r="J23" s="43">
        <f t="shared" ref="J23:L23" si="2">SUM(J21,J22*-1)</f>
        <v>0</v>
      </c>
      <c r="K23" s="43">
        <f t="shared" si="2"/>
        <v>0</v>
      </c>
      <c r="L23" s="45">
        <f t="shared" si="2"/>
        <v>0</v>
      </c>
    </row>
  </sheetData>
  <mergeCells count="1">
    <mergeCell ref="B1:K1"/>
  </mergeCells>
  <conditionalFormatting sqref="B6:L8 B14:L23">
    <cfRule type="expression" dxfId="4" priority="5">
      <formula>MOD($B6,2)=1</formula>
    </cfRule>
  </conditionalFormatting>
  <conditionalFormatting sqref="B9:L11">
    <cfRule type="expression" dxfId="3" priority="3">
      <formula>MOD($B9,2)=1</formula>
    </cfRule>
  </conditionalFormatting>
  <pageMargins left="0.7" right="0.7" top="0.75" bottom="0.75" header="0.3" footer="0.3"/>
  <pageSetup scale="26" fitToWidth="0" fitToHeight="0"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E6EEF-336B-44E3-AFF3-3880B1CA7C15}">
  <sheetPr codeName="Sheet13"/>
  <dimension ref="A1:L52"/>
  <sheetViews>
    <sheetView showGridLines="0" zoomScale="66" zoomScaleNormal="100" workbookViewId="0">
      <pane ySplit="2" topLeftCell="A3" activePane="bottomLeft" state="frozen"/>
      <selection pane="bottomLeft" activeCell="F15" sqref="F15"/>
    </sheetView>
  </sheetViews>
  <sheetFormatPr baseColWidth="10" defaultColWidth="9.5" defaultRowHeight="15" x14ac:dyDescent="0.2"/>
  <cols>
    <col min="1" max="1" width="29.5" customWidth="1"/>
    <col min="2" max="2" width="23" style="7" customWidth="1"/>
    <col min="3" max="3" width="26" style="68" customWidth="1"/>
    <col min="4" max="4" width="26.33203125" customWidth="1"/>
    <col min="5" max="5" width="36.1640625" customWidth="1"/>
    <col min="6" max="6" width="15.1640625" style="8" customWidth="1"/>
    <col min="7" max="7" width="15.1640625" style="9" customWidth="1"/>
    <col min="8" max="8" width="19.1640625" style="8" customWidth="1"/>
    <col min="9" max="9" width="18.1640625" style="8" customWidth="1"/>
    <col min="10" max="11" width="20.5" style="8" customWidth="1"/>
    <col min="12" max="12" width="20.83203125" style="1" customWidth="1"/>
    <col min="13" max="16384" width="9.5" style="2"/>
  </cols>
  <sheetData>
    <row r="1" spans="1:12" ht="153" customHeight="1" x14ac:dyDescent="0.2">
      <c r="B1" s="242" t="s">
        <v>515</v>
      </c>
      <c r="C1" s="242"/>
      <c r="D1" s="242"/>
      <c r="E1" s="242"/>
      <c r="F1" s="242"/>
      <c r="G1" s="242"/>
      <c r="H1" s="242"/>
      <c r="I1" s="242"/>
      <c r="J1" s="242"/>
      <c r="K1" s="242"/>
    </row>
    <row r="2" spans="1:12" s="6" customFormat="1" ht="15" customHeight="1" x14ac:dyDescent="0.25">
      <c r="A2" s="3" t="s">
        <v>1</v>
      </c>
      <c r="B2" s="3" t="s">
        <v>2</v>
      </c>
      <c r="C2" s="60" t="s">
        <v>3</v>
      </c>
      <c r="D2" s="3" t="s">
        <v>114</v>
      </c>
      <c r="E2" s="3" t="s">
        <v>4</v>
      </c>
      <c r="F2" s="4" t="s">
        <v>5</v>
      </c>
      <c r="G2" s="3" t="s">
        <v>6</v>
      </c>
      <c r="H2" s="4" t="s">
        <v>7</v>
      </c>
      <c r="I2" s="4" t="s">
        <v>8</v>
      </c>
      <c r="J2" s="4" t="s">
        <v>115</v>
      </c>
      <c r="K2" s="4" t="s">
        <v>9</v>
      </c>
      <c r="L2" s="5" t="s">
        <v>10</v>
      </c>
    </row>
    <row r="3" spans="1:12" ht="14.25" customHeight="1" x14ac:dyDescent="0.2">
      <c r="L3" s="10"/>
    </row>
    <row r="4" spans="1:12" ht="15" customHeight="1" x14ac:dyDescent="0.2">
      <c r="A4" s="11" t="s">
        <v>12</v>
      </c>
      <c r="B4" s="12"/>
      <c r="C4" s="70"/>
      <c r="D4" s="13"/>
      <c r="E4" s="13"/>
      <c r="F4" s="14"/>
      <c r="G4" s="15"/>
      <c r="H4" s="14"/>
      <c r="I4" s="14"/>
      <c r="J4" s="14"/>
      <c r="K4" s="14"/>
      <c r="L4" s="16"/>
    </row>
    <row r="5" spans="1:12" x14ac:dyDescent="0.2">
      <c r="A5" s="17" t="s">
        <v>516</v>
      </c>
      <c r="L5" s="18"/>
    </row>
    <row r="6" spans="1:12" x14ac:dyDescent="0.2">
      <c r="B6" s="7" t="s">
        <v>117</v>
      </c>
      <c r="H6" s="8">
        <f t="shared" ref="H6" si="0">F6*G6</f>
        <v>0</v>
      </c>
      <c r="I6" s="8">
        <f t="shared" ref="I6" si="1">H6*1.13</f>
        <v>0</v>
      </c>
      <c r="J6" s="8">
        <f>I6*0.75</f>
        <v>0</v>
      </c>
      <c r="L6" s="19"/>
    </row>
    <row r="7" spans="1:12" x14ac:dyDescent="0.2">
      <c r="L7" s="19"/>
    </row>
    <row r="8" spans="1:12" s="26" customFormat="1" x14ac:dyDescent="0.2">
      <c r="A8" s="17"/>
      <c r="B8" s="20" t="s">
        <v>146</v>
      </c>
      <c r="C8" s="73"/>
      <c r="D8" s="22"/>
      <c r="E8" s="22"/>
      <c r="F8" s="23"/>
      <c r="G8" s="24"/>
      <c r="H8" s="23"/>
      <c r="I8" s="23">
        <f>SUM(I6:I6)</f>
        <v>0</v>
      </c>
      <c r="J8" s="23">
        <f>SUM(J6:J6)</f>
        <v>0</v>
      </c>
      <c r="K8" s="23">
        <f>SUM(K6:K6)</f>
        <v>0</v>
      </c>
      <c r="L8" s="25">
        <f>SUM(L6:L6)</f>
        <v>0</v>
      </c>
    </row>
    <row r="9" spans="1:12" x14ac:dyDescent="0.2">
      <c r="L9" s="19"/>
    </row>
    <row r="10" spans="1:12" s="34" customFormat="1" x14ac:dyDescent="0.2">
      <c r="A10" s="27"/>
      <c r="B10" s="28" t="s">
        <v>38</v>
      </c>
      <c r="C10" s="75"/>
      <c r="D10" s="30"/>
      <c r="E10" s="30"/>
      <c r="F10" s="31"/>
      <c r="G10" s="32"/>
      <c r="H10" s="31"/>
      <c r="I10" s="31">
        <f>SumBold(I5:I9)</f>
        <v>0</v>
      </c>
      <c r="J10" s="31">
        <f>SumBold(J5:J9)</f>
        <v>0</v>
      </c>
      <c r="K10" s="31">
        <f>SumBold(K5:K9)</f>
        <v>0</v>
      </c>
      <c r="L10" s="33">
        <f>SumBold(L5:L9)</f>
        <v>0</v>
      </c>
    </row>
    <row r="11" spans="1:12" x14ac:dyDescent="0.2">
      <c r="L11" s="19"/>
    </row>
    <row r="12" spans="1:12" ht="15" customHeight="1" x14ac:dyDescent="0.2">
      <c r="A12" s="11" t="s">
        <v>41</v>
      </c>
      <c r="B12" s="12"/>
      <c r="C12" s="70"/>
      <c r="D12" s="13"/>
      <c r="E12" s="13"/>
      <c r="F12" s="14"/>
      <c r="G12" s="15"/>
      <c r="H12" s="14"/>
      <c r="I12" s="14"/>
      <c r="J12" s="14"/>
      <c r="K12" s="14"/>
      <c r="L12" s="16"/>
    </row>
    <row r="13" spans="1:12" x14ac:dyDescent="0.2">
      <c r="A13" s="17" t="s">
        <v>517</v>
      </c>
      <c r="L13" s="19"/>
    </row>
    <row r="14" spans="1:12" x14ac:dyDescent="0.2">
      <c r="B14" s="7">
        <v>85100</v>
      </c>
      <c r="C14" s="68" t="s">
        <v>518</v>
      </c>
      <c r="D14" s="148">
        <v>10</v>
      </c>
      <c r="F14" s="8">
        <v>6000</v>
      </c>
      <c r="G14" s="9">
        <v>1</v>
      </c>
      <c r="H14" s="8">
        <f>F14*G14</f>
        <v>6000</v>
      </c>
      <c r="I14" s="8">
        <f>H14*1.13</f>
        <v>6779.9999999999991</v>
      </c>
      <c r="J14" s="8">
        <f>I14*1.25</f>
        <v>8474.9999999999982</v>
      </c>
      <c r="L14" s="19"/>
    </row>
    <row r="15" spans="1:12" s="172" customFormat="1" x14ac:dyDescent="0.2">
      <c r="A15" s="167"/>
      <c r="B15" s="168">
        <v>85101</v>
      </c>
      <c r="C15" s="169" t="s">
        <v>376</v>
      </c>
      <c r="D15" s="168">
        <v>1</v>
      </c>
      <c r="E15" s="167"/>
      <c r="F15" s="170">
        <v>20</v>
      </c>
      <c r="G15" s="140">
        <v>6</v>
      </c>
      <c r="H15" s="8">
        <f>F15*G15</f>
        <v>120</v>
      </c>
      <c r="I15" s="8">
        <f>H15*1.13</f>
        <v>135.6</v>
      </c>
      <c r="J15" s="8">
        <f>I15*1.25</f>
        <v>169.5</v>
      </c>
      <c r="K15" s="170"/>
      <c r="L15" s="171"/>
    </row>
    <row r="16" spans="1:12" x14ac:dyDescent="0.2">
      <c r="B16" s="7">
        <v>85102</v>
      </c>
      <c r="C16" s="68" t="s">
        <v>519</v>
      </c>
      <c r="D16" s="7">
        <v>2</v>
      </c>
      <c r="F16" s="8">
        <v>20</v>
      </c>
      <c r="G16" s="9">
        <v>15</v>
      </c>
      <c r="H16" s="8">
        <f t="shared" ref="H16" si="2">F16*G16</f>
        <v>300</v>
      </c>
      <c r="I16" s="8">
        <f t="shared" ref="I16" si="3">H16*1.13</f>
        <v>338.99999999999994</v>
      </c>
      <c r="J16" s="8">
        <f t="shared" ref="J16" si="4">I16*1.25</f>
        <v>423.74999999999994</v>
      </c>
      <c r="L16" s="19"/>
    </row>
    <row r="17" spans="1:12" x14ac:dyDescent="0.2">
      <c r="L17" s="19"/>
    </row>
    <row r="18" spans="1:12" s="26" customFormat="1" x14ac:dyDescent="0.2">
      <c r="A18" s="17"/>
      <c r="B18" s="20" t="s">
        <v>148</v>
      </c>
      <c r="C18" s="73"/>
      <c r="D18" s="22"/>
      <c r="E18" s="22"/>
      <c r="F18" s="23"/>
      <c r="G18" s="24"/>
      <c r="H18" s="23"/>
      <c r="I18" s="23">
        <f>SUM(I14:I16)</f>
        <v>7254.5999999999995</v>
      </c>
      <c r="J18" s="23">
        <f>SUM(J14:J16)</f>
        <v>9068.2499999999982</v>
      </c>
      <c r="K18" s="23">
        <f>SUM(K14:K16)</f>
        <v>0</v>
      </c>
      <c r="L18" s="25">
        <f>SUM(L14:L16)</f>
        <v>0</v>
      </c>
    </row>
    <row r="19" spans="1:12" x14ac:dyDescent="0.2">
      <c r="A19" s="17" t="s">
        <v>520</v>
      </c>
      <c r="L19" s="19"/>
    </row>
    <row r="20" spans="1:12" x14ac:dyDescent="0.2">
      <c r="B20" s="7">
        <v>85200</v>
      </c>
      <c r="C20" s="68" t="s">
        <v>521</v>
      </c>
      <c r="D20" s="7">
        <v>6</v>
      </c>
      <c r="F20" s="8">
        <v>40</v>
      </c>
      <c r="G20" s="9">
        <v>1</v>
      </c>
      <c r="H20" s="8">
        <f>F20*G20</f>
        <v>40</v>
      </c>
      <c r="I20" s="8">
        <f>H20*1.13</f>
        <v>45.199999999999996</v>
      </c>
      <c r="J20" s="8">
        <f>I20*1.25</f>
        <v>56.499999999999993</v>
      </c>
      <c r="L20" s="19"/>
    </row>
    <row r="21" spans="1:12" x14ac:dyDescent="0.2">
      <c r="B21" s="7">
        <v>85201</v>
      </c>
      <c r="C21" s="68" t="s">
        <v>522</v>
      </c>
      <c r="D21" s="7">
        <v>1</v>
      </c>
      <c r="F21" s="8">
        <v>11</v>
      </c>
      <c r="G21" s="9">
        <v>14</v>
      </c>
      <c r="H21" s="8">
        <f t="shared" ref="H21:H25" si="5">F21*G21</f>
        <v>154</v>
      </c>
      <c r="I21" s="8">
        <f t="shared" ref="I21:I25" si="6">H21*1.13</f>
        <v>174.01999999999998</v>
      </c>
      <c r="J21" s="8">
        <f t="shared" ref="J21:J25" si="7">I21*1.25</f>
        <v>217.52499999999998</v>
      </c>
      <c r="L21" s="19"/>
    </row>
    <row r="22" spans="1:12" x14ac:dyDescent="0.2">
      <c r="B22" s="7">
        <v>85202</v>
      </c>
      <c r="C22" s="68" t="s">
        <v>523</v>
      </c>
      <c r="D22" s="7">
        <v>7</v>
      </c>
      <c r="F22" s="8">
        <v>36</v>
      </c>
      <c r="G22" s="9">
        <v>13</v>
      </c>
      <c r="H22" s="8">
        <f t="shared" si="5"/>
        <v>468</v>
      </c>
      <c r="I22" s="8">
        <f t="shared" si="6"/>
        <v>528.83999999999992</v>
      </c>
      <c r="J22" s="8">
        <f t="shared" si="7"/>
        <v>661.05</v>
      </c>
      <c r="L22" s="19"/>
    </row>
    <row r="23" spans="1:12" x14ac:dyDescent="0.2">
      <c r="B23" s="7">
        <v>85203</v>
      </c>
      <c r="C23" s="68" t="s">
        <v>524</v>
      </c>
      <c r="D23" s="7">
        <v>2</v>
      </c>
      <c r="F23" s="8">
        <v>50</v>
      </c>
      <c r="G23" s="9">
        <v>2</v>
      </c>
      <c r="H23" s="8">
        <f t="shared" si="5"/>
        <v>100</v>
      </c>
      <c r="I23" s="8">
        <f t="shared" si="6"/>
        <v>112.99999999999999</v>
      </c>
      <c r="J23" s="8">
        <f t="shared" si="7"/>
        <v>141.24999999999997</v>
      </c>
      <c r="L23" s="19"/>
    </row>
    <row r="24" spans="1:12" x14ac:dyDescent="0.2">
      <c r="B24" s="7">
        <v>85204</v>
      </c>
      <c r="C24" s="68" t="s">
        <v>525</v>
      </c>
      <c r="D24" s="7">
        <v>10</v>
      </c>
      <c r="F24" s="8">
        <v>200</v>
      </c>
      <c r="G24" s="9">
        <v>1</v>
      </c>
      <c r="H24" s="8">
        <f t="shared" si="5"/>
        <v>200</v>
      </c>
      <c r="I24" s="8">
        <f t="shared" si="6"/>
        <v>225.99999999999997</v>
      </c>
      <c r="J24" s="8">
        <f t="shared" si="7"/>
        <v>282.49999999999994</v>
      </c>
      <c r="L24" s="19"/>
    </row>
    <row r="25" spans="1:12" x14ac:dyDescent="0.2">
      <c r="B25" s="7">
        <v>85205</v>
      </c>
      <c r="C25" s="68" t="s">
        <v>487</v>
      </c>
      <c r="D25" s="7">
        <v>8</v>
      </c>
      <c r="E25" t="s">
        <v>526</v>
      </c>
      <c r="F25" s="8">
        <v>20</v>
      </c>
      <c r="G25" s="9">
        <v>5</v>
      </c>
      <c r="H25" s="8">
        <f t="shared" si="5"/>
        <v>100</v>
      </c>
      <c r="I25" s="8">
        <f t="shared" si="6"/>
        <v>112.99999999999999</v>
      </c>
      <c r="J25" s="8">
        <f t="shared" si="7"/>
        <v>141.24999999999997</v>
      </c>
      <c r="L25" s="19"/>
    </row>
    <row r="26" spans="1:12" x14ac:dyDescent="0.2">
      <c r="L26" s="19"/>
    </row>
    <row r="27" spans="1:12" s="26" customFormat="1" x14ac:dyDescent="0.2">
      <c r="A27" s="17"/>
      <c r="B27" s="20" t="s">
        <v>238</v>
      </c>
      <c r="C27" s="73"/>
      <c r="D27" s="22"/>
      <c r="E27" s="22"/>
      <c r="F27" s="23"/>
      <c r="G27" s="24"/>
      <c r="H27" s="23"/>
      <c r="I27" s="23">
        <f>SUM(I20:I25)</f>
        <v>1200.06</v>
      </c>
      <c r="J27" s="23">
        <f>SUM(J20:J25)</f>
        <v>1500.0749999999998</v>
      </c>
      <c r="K27" s="23">
        <f>SUM(K20:K22)</f>
        <v>0</v>
      </c>
      <c r="L27" s="25">
        <f>SUM(L20:L22)</f>
        <v>0</v>
      </c>
    </row>
    <row r="28" spans="1:12" x14ac:dyDescent="0.2">
      <c r="A28" s="17" t="s">
        <v>527</v>
      </c>
      <c r="L28" s="19"/>
    </row>
    <row r="29" spans="1:12" x14ac:dyDescent="0.2">
      <c r="B29" s="7">
        <v>85300</v>
      </c>
      <c r="C29" s="68" t="s">
        <v>487</v>
      </c>
      <c r="D29" s="7">
        <v>4</v>
      </c>
      <c r="F29" s="8">
        <v>25</v>
      </c>
      <c r="G29" s="9">
        <v>2</v>
      </c>
      <c r="H29" s="8">
        <f>F29*G29</f>
        <v>50</v>
      </c>
      <c r="I29" s="8">
        <f>H29*1.13</f>
        <v>56.499999999999993</v>
      </c>
      <c r="J29" s="8">
        <f>I29*1.25</f>
        <v>70.624999999999986</v>
      </c>
      <c r="L29" s="19"/>
    </row>
    <row r="30" spans="1:12" x14ac:dyDescent="0.2">
      <c r="B30" s="7">
        <v>85301</v>
      </c>
      <c r="C30" s="68" t="s">
        <v>528</v>
      </c>
      <c r="D30" s="7">
        <v>10</v>
      </c>
      <c r="E30" t="s">
        <v>529</v>
      </c>
      <c r="F30" s="8">
        <v>5</v>
      </c>
      <c r="G30" s="9">
        <v>14</v>
      </c>
      <c r="H30" s="8">
        <f t="shared" ref="H30:H31" si="8">F30*G30</f>
        <v>70</v>
      </c>
      <c r="I30" s="8">
        <f t="shared" ref="I30:I31" si="9">H30*1.13</f>
        <v>79.099999999999994</v>
      </c>
      <c r="J30" s="8">
        <f t="shared" ref="J30:J31" si="10">I30*1.25</f>
        <v>98.875</v>
      </c>
      <c r="L30" s="19"/>
    </row>
    <row r="31" spans="1:12" x14ac:dyDescent="0.2">
      <c r="B31" s="7">
        <v>85302</v>
      </c>
      <c r="C31" s="68" t="s">
        <v>530</v>
      </c>
      <c r="D31" s="7">
        <v>5</v>
      </c>
      <c r="F31" s="8">
        <v>20</v>
      </c>
      <c r="G31" s="9">
        <v>1</v>
      </c>
      <c r="H31" s="8">
        <f t="shared" si="8"/>
        <v>20</v>
      </c>
      <c r="I31" s="8">
        <f t="shared" si="9"/>
        <v>22.599999999999998</v>
      </c>
      <c r="J31" s="8">
        <f t="shared" si="10"/>
        <v>28.249999999999996</v>
      </c>
      <c r="L31" s="19"/>
    </row>
    <row r="32" spans="1:12" x14ac:dyDescent="0.2">
      <c r="L32" s="19"/>
    </row>
    <row r="33" spans="1:12" s="26" customFormat="1" x14ac:dyDescent="0.2">
      <c r="A33" s="17"/>
      <c r="B33" s="20" t="s">
        <v>138</v>
      </c>
      <c r="C33" s="73"/>
      <c r="D33" s="22"/>
      <c r="E33" s="22"/>
      <c r="F33" s="23"/>
      <c r="G33" s="24"/>
      <c r="H33" s="23"/>
      <c r="I33" s="23">
        <f>SUM(I29:I31)</f>
        <v>158.19999999999999</v>
      </c>
      <c r="J33" s="23">
        <f>SUM(J29:J31)</f>
        <v>197.75</v>
      </c>
      <c r="K33" s="23">
        <f>SUM(K29:K31)</f>
        <v>0</v>
      </c>
      <c r="L33" s="25">
        <f>SUM(L29:L31)</f>
        <v>0</v>
      </c>
    </row>
    <row r="34" spans="1:12" x14ac:dyDescent="0.2">
      <c r="A34" s="17" t="s">
        <v>531</v>
      </c>
      <c r="L34" s="19"/>
    </row>
    <row r="35" spans="1:12" x14ac:dyDescent="0.2">
      <c r="B35" s="7">
        <v>85400</v>
      </c>
      <c r="C35" s="68" t="s">
        <v>532</v>
      </c>
      <c r="D35" s="7">
        <v>7</v>
      </c>
      <c r="F35" s="8">
        <v>10</v>
      </c>
      <c r="G35" s="9">
        <v>3</v>
      </c>
      <c r="H35" s="8">
        <f>F35*G35</f>
        <v>30</v>
      </c>
      <c r="I35" s="8">
        <f>H35*1.13</f>
        <v>33.9</v>
      </c>
      <c r="J35" s="8">
        <f>I35*1.25</f>
        <v>42.375</v>
      </c>
      <c r="L35" s="19"/>
    </row>
    <row r="36" spans="1:12" x14ac:dyDescent="0.2">
      <c r="B36" s="7">
        <v>85401</v>
      </c>
      <c r="C36" s="68" t="s">
        <v>533</v>
      </c>
      <c r="D36" s="7">
        <v>7</v>
      </c>
      <c r="F36" s="8">
        <v>10</v>
      </c>
      <c r="G36" s="9">
        <v>3</v>
      </c>
      <c r="H36" s="8">
        <f>F36*G36</f>
        <v>30</v>
      </c>
      <c r="I36" s="8">
        <f>H36*1.13</f>
        <v>33.9</v>
      </c>
      <c r="J36" s="8">
        <f>I36*1.25</f>
        <v>42.375</v>
      </c>
      <c r="L36" s="19"/>
    </row>
    <row r="37" spans="1:12" x14ac:dyDescent="0.2">
      <c r="B37" s="7">
        <v>85402</v>
      </c>
      <c r="C37" s="68" t="s">
        <v>534</v>
      </c>
      <c r="D37" s="7">
        <v>7</v>
      </c>
      <c r="E37" t="s">
        <v>535</v>
      </c>
      <c r="F37" s="8">
        <v>10</v>
      </c>
      <c r="G37" s="9">
        <v>1</v>
      </c>
      <c r="H37" s="8">
        <f>F37*G37</f>
        <v>10</v>
      </c>
      <c r="I37" s="8">
        <f>H37*1.13</f>
        <v>11.299999999999999</v>
      </c>
      <c r="J37" s="8">
        <f>I37*1.25</f>
        <v>14.124999999999998</v>
      </c>
      <c r="L37" s="19"/>
    </row>
    <row r="38" spans="1:12" x14ac:dyDescent="0.2">
      <c r="B38" s="7">
        <v>85403</v>
      </c>
      <c r="C38" s="68" t="s">
        <v>536</v>
      </c>
      <c r="D38" s="7">
        <v>7</v>
      </c>
      <c r="E38" t="s">
        <v>537</v>
      </c>
      <c r="F38" s="8">
        <v>5</v>
      </c>
      <c r="G38" s="9">
        <v>1</v>
      </c>
      <c r="H38" s="8">
        <f>F38*G38</f>
        <v>5</v>
      </c>
      <c r="I38" s="8">
        <f>H38*1.13</f>
        <v>5.6499999999999995</v>
      </c>
      <c r="J38" s="8">
        <f>I38*1.25</f>
        <v>7.0624999999999991</v>
      </c>
      <c r="L38" s="19"/>
    </row>
    <row r="39" spans="1:12" x14ac:dyDescent="0.2">
      <c r="L39" s="19"/>
    </row>
    <row r="40" spans="1:12" s="26" customFormat="1" x14ac:dyDescent="0.2">
      <c r="A40" s="17"/>
      <c r="B40" s="20" t="s">
        <v>245</v>
      </c>
      <c r="C40" s="73"/>
      <c r="D40" s="22"/>
      <c r="E40" s="22"/>
      <c r="F40" s="23"/>
      <c r="G40" s="24"/>
      <c r="H40" s="23"/>
      <c r="I40" s="23">
        <f>SUM(I35:I38)</f>
        <v>84.75</v>
      </c>
      <c r="J40" s="23">
        <f>SUM(J35:J38)</f>
        <v>105.9375</v>
      </c>
      <c r="K40" s="23">
        <f>SUM(K35:K38)</f>
        <v>0</v>
      </c>
      <c r="L40" s="25">
        <f>SUM(L35:L38)</f>
        <v>0</v>
      </c>
    </row>
    <row r="41" spans="1:12" x14ac:dyDescent="0.2">
      <c r="A41" s="17" t="s">
        <v>538</v>
      </c>
      <c r="L41" s="19"/>
    </row>
    <row r="42" spans="1:12" x14ac:dyDescent="0.2">
      <c r="B42" s="7">
        <v>85500</v>
      </c>
      <c r="C42" s="68" t="s">
        <v>539</v>
      </c>
      <c r="D42" s="7">
        <v>8</v>
      </c>
      <c r="E42" t="s">
        <v>540</v>
      </c>
      <c r="F42" s="8">
        <v>350</v>
      </c>
      <c r="G42" s="9">
        <v>1</v>
      </c>
      <c r="H42" s="8">
        <f>F42*G42</f>
        <v>350</v>
      </c>
      <c r="I42" s="8">
        <f>H42*1.13</f>
        <v>395.49999999999994</v>
      </c>
      <c r="J42" s="8">
        <f>I42*1.25</f>
        <v>494.37499999999994</v>
      </c>
      <c r="L42" s="19"/>
    </row>
    <row r="43" spans="1:12" x14ac:dyDescent="0.2">
      <c r="B43" s="7">
        <v>85501</v>
      </c>
      <c r="C43" s="68" t="s">
        <v>541</v>
      </c>
      <c r="D43" s="48">
        <v>1</v>
      </c>
      <c r="F43" s="8">
        <v>50</v>
      </c>
      <c r="G43" s="9">
        <v>1</v>
      </c>
      <c r="H43" s="8">
        <f>F43*G43</f>
        <v>50</v>
      </c>
      <c r="I43" s="8">
        <f>H43*1.13</f>
        <v>56.499999999999993</v>
      </c>
      <c r="J43" s="8">
        <f>I43*1.25</f>
        <v>70.624999999999986</v>
      </c>
      <c r="L43" s="19"/>
    </row>
    <row r="44" spans="1:12" x14ac:dyDescent="0.2">
      <c r="L44" s="19"/>
    </row>
    <row r="45" spans="1:12" s="26" customFormat="1" x14ac:dyDescent="0.2">
      <c r="A45" s="17"/>
      <c r="B45" s="20" t="s">
        <v>542</v>
      </c>
      <c r="C45" s="73"/>
      <c r="D45" s="22"/>
      <c r="E45" s="22"/>
      <c r="F45" s="23"/>
      <c r="G45" s="24"/>
      <c r="H45" s="23"/>
      <c r="I45" s="23">
        <f>SUM(I42:I43)</f>
        <v>451.99999999999994</v>
      </c>
      <c r="J45" s="23">
        <f>SUM(J42:J43)</f>
        <v>564.99999999999989</v>
      </c>
      <c r="K45" s="23">
        <f>SUM(K42:K43)</f>
        <v>0</v>
      </c>
      <c r="L45" s="25">
        <f>SUM(L42:L43)</f>
        <v>0</v>
      </c>
    </row>
    <row r="46" spans="1:12" s="26" customFormat="1" x14ac:dyDescent="0.2">
      <c r="A46" s="17"/>
      <c r="B46" s="166"/>
      <c r="C46" s="77"/>
      <c r="D46" s="17"/>
      <c r="E46" s="17"/>
      <c r="F46" s="59"/>
      <c r="G46" s="38"/>
      <c r="H46" s="59"/>
      <c r="I46" s="59"/>
      <c r="J46" s="59"/>
      <c r="K46" s="59"/>
      <c r="L46" s="40"/>
    </row>
    <row r="47" spans="1:12" s="34" customFormat="1" x14ac:dyDescent="0.2">
      <c r="A47" s="27"/>
      <c r="B47" s="28" t="s">
        <v>108</v>
      </c>
      <c r="C47" s="75"/>
      <c r="D47" s="30"/>
      <c r="E47" s="30"/>
      <c r="F47" s="31"/>
      <c r="G47" s="32"/>
      <c r="H47" s="31"/>
      <c r="I47" s="31">
        <f>SumBold(I13:I46)</f>
        <v>9149.61</v>
      </c>
      <c r="J47" s="31">
        <f>SumBold(J13:J46)</f>
        <v>11437.012500000001</v>
      </c>
      <c r="K47" s="31">
        <f>SumBold(K13:K46)</f>
        <v>0</v>
      </c>
      <c r="L47" s="33">
        <f>SumBold(L13:L46)</f>
        <v>0</v>
      </c>
    </row>
    <row r="48" spans="1:12" x14ac:dyDescent="0.2">
      <c r="L48" s="19"/>
    </row>
    <row r="49" spans="1:12" ht="15" customHeight="1" x14ac:dyDescent="0.2">
      <c r="A49" s="11" t="s">
        <v>109</v>
      </c>
      <c r="B49" s="12"/>
      <c r="C49" s="70"/>
      <c r="D49" s="13"/>
      <c r="E49" s="13"/>
      <c r="F49" s="14"/>
      <c r="G49" s="15"/>
      <c r="H49" s="14"/>
      <c r="I49" s="14"/>
      <c r="J49" s="14"/>
      <c r="K49" s="14"/>
      <c r="L49" s="16"/>
    </row>
    <row r="50" spans="1:12" s="26" customFormat="1" x14ac:dyDescent="0.2">
      <c r="A50" s="17"/>
      <c r="B50" s="166" t="s">
        <v>110</v>
      </c>
      <c r="C50" s="77"/>
      <c r="D50" s="17"/>
      <c r="E50" s="17"/>
      <c r="F50" s="37"/>
      <c r="G50" s="38"/>
      <c r="H50" s="37"/>
      <c r="I50" s="37">
        <f>I10</f>
        <v>0</v>
      </c>
      <c r="J50" s="37">
        <f>J10</f>
        <v>0</v>
      </c>
      <c r="K50" s="37">
        <f>K10</f>
        <v>0</v>
      </c>
      <c r="L50" s="39">
        <f>L10</f>
        <v>0</v>
      </c>
    </row>
    <row r="51" spans="1:12" s="26" customFormat="1" x14ac:dyDescent="0.2">
      <c r="A51" s="17"/>
      <c r="B51" s="166" t="s">
        <v>111</v>
      </c>
      <c r="C51" s="77"/>
      <c r="D51" s="17"/>
      <c r="E51" s="17"/>
      <c r="F51" s="37"/>
      <c r="G51" s="38"/>
      <c r="H51" s="37"/>
      <c r="I51" s="37">
        <f>I47</f>
        <v>9149.61</v>
      </c>
      <c r="J51" s="37">
        <f>J47</f>
        <v>11437.012500000001</v>
      </c>
      <c r="K51" s="37">
        <f>K47</f>
        <v>0</v>
      </c>
      <c r="L51" s="40">
        <f>L47</f>
        <v>0</v>
      </c>
    </row>
    <row r="52" spans="1:12" s="26" customFormat="1" x14ac:dyDescent="0.2">
      <c r="A52" s="41"/>
      <c r="B52" s="42" t="s">
        <v>112</v>
      </c>
      <c r="C52" s="79"/>
      <c r="D52" s="41"/>
      <c r="E52" s="41"/>
      <c r="F52" s="43"/>
      <c r="G52" s="44"/>
      <c r="H52" s="43"/>
      <c r="I52" s="43">
        <f>SUM(I50,I51*-1)</f>
        <v>-9149.61</v>
      </c>
      <c r="J52" s="43">
        <f t="shared" ref="J52:L52" si="11">SUM(J50,J51*-1)</f>
        <v>-11437.012500000001</v>
      </c>
      <c r="K52" s="43">
        <f>SUM(K50,K51*-1)</f>
        <v>0</v>
      </c>
      <c r="L52" s="45">
        <f t="shared" si="11"/>
        <v>0</v>
      </c>
    </row>
  </sheetData>
  <mergeCells count="1">
    <mergeCell ref="B1:K1"/>
  </mergeCells>
  <conditionalFormatting sqref="B41:L52 B6:L8 B14:L33">
    <cfRule type="expression" dxfId="2" priority="4">
      <formula>MOD($B6,2)=1</formula>
    </cfRule>
  </conditionalFormatting>
  <conditionalFormatting sqref="B9:L11">
    <cfRule type="expression" dxfId="1" priority="3">
      <formula>MOD($B9,2)=1</formula>
    </cfRule>
  </conditionalFormatting>
  <conditionalFormatting sqref="B34:L40">
    <cfRule type="expression" dxfId="0" priority="1">
      <formula>MOD($B34,2)=1</formula>
    </cfRule>
  </conditionalFormatting>
  <pageMargins left="0.7" right="0.7" top="0.75" bottom="0.75" header="0.3" footer="0.3"/>
  <pageSetup scale="26" fitToWidth="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7267B-44F5-4147-9CE9-F8DB3A1BFC2D}">
  <sheetPr codeName="Sheet1"/>
  <dimension ref="A1:L40"/>
  <sheetViews>
    <sheetView showGridLines="0" zoomScale="70" zoomScaleNormal="70" workbookViewId="0">
      <pane ySplit="2" topLeftCell="A3" activePane="bottomLeft" state="frozen"/>
      <selection pane="bottomLeft" activeCell="L32" sqref="L32"/>
    </sheetView>
  </sheetViews>
  <sheetFormatPr baseColWidth="10" defaultColWidth="9.83203125" defaultRowHeight="15" x14ac:dyDescent="0.2"/>
  <cols>
    <col min="1" max="1" width="29.5" style="68" customWidth="1"/>
    <col min="2" max="2" width="26.5" style="48" customWidth="1"/>
    <col min="3" max="3" width="27.83203125" style="68" customWidth="1"/>
    <col min="4" max="4" width="17.33203125" style="48" customWidth="1"/>
    <col min="5" max="5" width="61.5" style="68" customWidth="1"/>
    <col min="6" max="6" width="15.5" style="8" customWidth="1"/>
    <col min="7" max="7" width="15.5" style="9" customWidth="1"/>
    <col min="8" max="8" width="19.5" style="8" customWidth="1"/>
    <col min="9" max="9" width="18.5" style="8" customWidth="1"/>
    <col min="10" max="11" width="21" style="8" customWidth="1"/>
    <col min="12" max="12" width="21.33203125" style="108" customWidth="1"/>
    <col min="13" max="16384" width="9.83203125" style="2"/>
  </cols>
  <sheetData>
    <row r="1" spans="1:12" ht="148.5" customHeight="1" x14ac:dyDescent="0.2">
      <c r="B1" s="242" t="s">
        <v>113</v>
      </c>
      <c r="C1" s="249"/>
      <c r="D1" s="249"/>
      <c r="E1" s="249"/>
      <c r="F1" s="249"/>
      <c r="G1" s="249"/>
      <c r="H1" s="249"/>
      <c r="I1" s="249"/>
      <c r="J1" s="249"/>
      <c r="K1" s="249"/>
    </row>
    <row r="2" spans="1:12" s="91" customFormat="1" ht="15" customHeight="1" x14ac:dyDescent="0.2">
      <c r="A2" s="60" t="s">
        <v>1</v>
      </c>
      <c r="B2" s="60" t="s">
        <v>2</v>
      </c>
      <c r="C2" s="60" t="s">
        <v>3</v>
      </c>
      <c r="D2" s="60" t="s">
        <v>114</v>
      </c>
      <c r="E2" s="60" t="s">
        <v>4</v>
      </c>
      <c r="F2" s="89" t="s">
        <v>5</v>
      </c>
      <c r="G2" s="60" t="s">
        <v>6</v>
      </c>
      <c r="H2" s="89" t="s">
        <v>7</v>
      </c>
      <c r="I2" s="89" t="s">
        <v>8</v>
      </c>
      <c r="J2" s="89" t="s">
        <v>115</v>
      </c>
      <c r="K2" s="89" t="s">
        <v>9</v>
      </c>
      <c r="L2" s="90" t="s">
        <v>10</v>
      </c>
    </row>
    <row r="3" spans="1:12" ht="14.25" customHeight="1" x14ac:dyDescent="0.2">
      <c r="L3" s="109"/>
    </row>
    <row r="4" spans="1:12" x14ac:dyDescent="0.2">
      <c r="A4" s="97" t="s">
        <v>12</v>
      </c>
      <c r="B4" s="61"/>
      <c r="C4" s="70"/>
      <c r="D4" s="61"/>
      <c r="E4" s="70"/>
      <c r="F4" s="14"/>
      <c r="G4" s="15"/>
      <c r="H4" s="14"/>
      <c r="I4" s="14"/>
      <c r="J4" s="14"/>
      <c r="K4" s="14"/>
      <c r="L4" s="110"/>
    </row>
    <row r="5" spans="1:12" x14ac:dyDescent="0.2">
      <c r="A5" s="77" t="s">
        <v>116</v>
      </c>
      <c r="L5" s="111"/>
    </row>
    <row r="6" spans="1:12" x14ac:dyDescent="0.2">
      <c r="B6" s="48" t="s">
        <v>117</v>
      </c>
      <c r="H6" s="8">
        <f>F6*G6</f>
        <v>0</v>
      </c>
      <c r="I6" s="8">
        <f>H6*1.13</f>
        <v>0</v>
      </c>
      <c r="J6" s="8">
        <f>I6*0.75</f>
        <v>0</v>
      </c>
      <c r="L6" s="112"/>
    </row>
    <row r="7" spans="1:12" x14ac:dyDescent="0.2">
      <c r="L7" s="112"/>
    </row>
    <row r="8" spans="1:12" s="26" customFormat="1" x14ac:dyDescent="0.2">
      <c r="A8" s="77"/>
      <c r="B8" s="87" t="s">
        <v>118</v>
      </c>
      <c r="C8" s="73"/>
      <c r="D8" s="62"/>
      <c r="E8" s="73"/>
      <c r="F8" s="23"/>
      <c r="G8" s="24"/>
      <c r="H8" s="23"/>
      <c r="I8" s="23">
        <f>SUM(I6:I6)</f>
        <v>0</v>
      </c>
      <c r="J8" s="23">
        <f>SUM(J6:J6)</f>
        <v>0</v>
      </c>
      <c r="K8" s="23">
        <f>SUM(K6:K6)</f>
        <v>0</v>
      </c>
      <c r="L8" s="25">
        <f>SUM(L6:L6)</f>
        <v>0</v>
      </c>
    </row>
    <row r="9" spans="1:12" x14ac:dyDescent="0.2">
      <c r="L9" s="112"/>
    </row>
    <row r="10" spans="1:12" s="34" customFormat="1" x14ac:dyDescent="0.2">
      <c r="A10" s="98"/>
      <c r="B10" s="88" t="s">
        <v>38</v>
      </c>
      <c r="C10" s="75"/>
      <c r="D10" s="63"/>
      <c r="E10" s="75"/>
      <c r="F10" s="31"/>
      <c r="G10" s="32"/>
      <c r="H10" s="31"/>
      <c r="I10" s="31">
        <f>I8</f>
        <v>0</v>
      </c>
      <c r="J10" s="31">
        <f>J8</f>
        <v>0</v>
      </c>
      <c r="K10" s="31">
        <f>K8</f>
        <v>0</v>
      </c>
      <c r="L10" s="33">
        <f>L8</f>
        <v>0</v>
      </c>
    </row>
    <row r="11" spans="1:12" x14ac:dyDescent="0.2">
      <c r="L11" s="112"/>
    </row>
    <row r="12" spans="1:12" x14ac:dyDescent="0.2">
      <c r="A12" s="97" t="s">
        <v>41</v>
      </c>
      <c r="B12" s="61"/>
      <c r="C12" s="70"/>
      <c r="D12" s="61"/>
      <c r="E12" s="70"/>
      <c r="F12" s="14"/>
      <c r="G12" s="15"/>
      <c r="H12" s="14"/>
      <c r="I12" s="14"/>
      <c r="J12" s="14"/>
      <c r="K12" s="14"/>
      <c r="L12" s="110"/>
    </row>
    <row r="13" spans="1:12" x14ac:dyDescent="0.2">
      <c r="A13" s="77" t="s">
        <v>119</v>
      </c>
      <c r="L13" s="112"/>
    </row>
    <row r="14" spans="1:12" customFormat="1" x14ac:dyDescent="0.2">
      <c r="A14" s="68"/>
      <c r="B14" s="142">
        <v>5100</v>
      </c>
      <c r="C14" s="143" t="s">
        <v>120</v>
      </c>
      <c r="D14" s="135">
        <v>3</v>
      </c>
      <c r="E14" s="143" t="s">
        <v>121</v>
      </c>
      <c r="F14" s="106">
        <v>10</v>
      </c>
      <c r="G14" s="137">
        <v>17</v>
      </c>
      <c r="H14" s="106">
        <f t="shared" ref="H14:H16" si="0">F14*G14</f>
        <v>170</v>
      </c>
      <c r="I14" s="106">
        <f t="shared" ref="I14:I16" si="1">H14*1.13</f>
        <v>192.1</v>
      </c>
      <c r="J14" s="106">
        <f t="shared" ref="J14:J16" si="2">I14*1.25</f>
        <v>240.125</v>
      </c>
      <c r="K14" s="106">
        <v>178.8</v>
      </c>
      <c r="L14" s="144">
        <v>178.8</v>
      </c>
    </row>
    <row r="15" spans="1:12" customFormat="1" x14ac:dyDescent="0.2">
      <c r="A15" s="68"/>
      <c r="B15" s="142">
        <v>5101</v>
      </c>
      <c r="C15" s="143" t="s">
        <v>122</v>
      </c>
      <c r="D15" s="135">
        <v>6</v>
      </c>
      <c r="E15" s="143" t="s">
        <v>123</v>
      </c>
      <c r="F15" s="106">
        <f>35*1.18</f>
        <v>41.3</v>
      </c>
      <c r="G15" s="137">
        <v>6</v>
      </c>
      <c r="H15" s="106">
        <f t="shared" si="0"/>
        <v>247.79999999999998</v>
      </c>
      <c r="I15" s="106">
        <f t="shared" si="1"/>
        <v>280.01399999999995</v>
      </c>
      <c r="J15" s="106">
        <f t="shared" si="2"/>
        <v>350.01749999999993</v>
      </c>
      <c r="K15" s="106"/>
      <c r="L15" s="144"/>
    </row>
    <row r="16" spans="1:12" s="167" customFormat="1" x14ac:dyDescent="0.2">
      <c r="A16" s="169"/>
      <c r="B16" s="173">
        <v>5102</v>
      </c>
      <c r="C16" s="169" t="s">
        <v>124</v>
      </c>
      <c r="D16" s="174">
        <v>7</v>
      </c>
      <c r="E16" s="169" t="s">
        <v>125</v>
      </c>
      <c r="F16" s="175">
        <f>30</f>
        <v>30</v>
      </c>
      <c r="G16" s="140">
        <f>17*8</f>
        <v>136</v>
      </c>
      <c r="H16" s="175">
        <f t="shared" si="0"/>
        <v>4080</v>
      </c>
      <c r="I16" s="175">
        <f t="shared" si="1"/>
        <v>4610.3999999999996</v>
      </c>
      <c r="J16" s="175">
        <f t="shared" si="2"/>
        <v>5763</v>
      </c>
      <c r="K16" s="175">
        <v>2478</v>
      </c>
      <c r="L16" s="176"/>
    </row>
    <row r="17" spans="1:12" customFormat="1" x14ac:dyDescent="0.2">
      <c r="A17" s="68"/>
      <c r="B17" s="48"/>
      <c r="C17" s="68"/>
      <c r="D17" s="48"/>
      <c r="E17" s="68"/>
      <c r="F17" s="50"/>
      <c r="G17" s="9"/>
      <c r="H17" s="50"/>
      <c r="I17" s="50"/>
      <c r="J17" s="50"/>
      <c r="K17" s="50"/>
      <c r="L17" s="145"/>
    </row>
    <row r="18" spans="1:12" s="26" customFormat="1" x14ac:dyDescent="0.2">
      <c r="A18" s="77"/>
      <c r="B18" s="87" t="s">
        <v>126</v>
      </c>
      <c r="C18" s="73"/>
      <c r="D18" s="62"/>
      <c r="E18" s="73"/>
      <c r="F18" s="23"/>
      <c r="G18" s="24"/>
      <c r="H18" s="23"/>
      <c r="I18" s="23">
        <f>SUM(I14:I16)</f>
        <v>5082.5139999999992</v>
      </c>
      <c r="J18" s="23">
        <f>SUM(J14:J16)</f>
        <v>6353.1424999999999</v>
      </c>
      <c r="K18" s="23">
        <f>SUM(K14:K16)</f>
        <v>2656.8</v>
      </c>
      <c r="L18" s="25">
        <f>SUM(L14:L16)</f>
        <v>178.8</v>
      </c>
    </row>
    <row r="19" spans="1:12" x14ac:dyDescent="0.2">
      <c r="A19" s="77" t="s">
        <v>127</v>
      </c>
      <c r="L19" s="112"/>
    </row>
    <row r="20" spans="1:12" s="167" customFormat="1" x14ac:dyDescent="0.2">
      <c r="A20" s="169"/>
      <c r="B20" s="177">
        <v>5200</v>
      </c>
      <c r="C20" s="178" t="s">
        <v>128</v>
      </c>
      <c r="D20" s="179">
        <v>4</v>
      </c>
      <c r="E20" s="178" t="s">
        <v>129</v>
      </c>
      <c r="F20" s="106">
        <v>30</v>
      </c>
      <c r="G20" s="137">
        <f>8+4</f>
        <v>12</v>
      </c>
      <c r="H20" s="180">
        <f>F20*G20</f>
        <v>360</v>
      </c>
      <c r="I20" s="180">
        <f>H20*1.13</f>
        <v>406.79999999999995</v>
      </c>
      <c r="J20" s="180">
        <f>I20*1.25</f>
        <v>508.49999999999994</v>
      </c>
      <c r="K20" s="180"/>
      <c r="L20" s="182"/>
    </row>
    <row r="21" spans="1:12" s="167" customFormat="1" x14ac:dyDescent="0.2">
      <c r="A21" s="169"/>
      <c r="B21" s="173">
        <v>5201</v>
      </c>
      <c r="C21" s="169" t="s">
        <v>130</v>
      </c>
      <c r="D21" s="174">
        <v>4</v>
      </c>
      <c r="E21" s="169" t="s">
        <v>131</v>
      </c>
      <c r="F21" s="8">
        <v>15</v>
      </c>
      <c r="G21" s="9">
        <f>14*8 + 14*4</f>
        <v>168</v>
      </c>
      <c r="H21" s="175">
        <f>F21*G21</f>
        <v>2520</v>
      </c>
      <c r="I21" s="175">
        <f>H21*1.13</f>
        <v>2847.6</v>
      </c>
      <c r="J21" s="175">
        <f>I21*1.25</f>
        <v>3559.5</v>
      </c>
      <c r="K21" s="175"/>
      <c r="L21" s="176"/>
    </row>
    <row r="22" spans="1:12" x14ac:dyDescent="0.2">
      <c r="L22" s="112"/>
    </row>
    <row r="23" spans="1:12" s="26" customFormat="1" x14ac:dyDescent="0.2">
      <c r="A23" s="77"/>
      <c r="B23" s="87" t="s">
        <v>132</v>
      </c>
      <c r="C23" s="73"/>
      <c r="D23" s="62"/>
      <c r="E23" s="73"/>
      <c r="F23" s="23"/>
      <c r="G23" s="24"/>
      <c r="H23" s="23"/>
      <c r="I23" s="23">
        <f>SUM(I20:I21)</f>
        <v>3254.3999999999996</v>
      </c>
      <c r="J23" s="23">
        <f>SUM(J20:J21)</f>
        <v>4068</v>
      </c>
      <c r="K23" s="23">
        <f>SUM(K20:K21)</f>
        <v>0</v>
      </c>
      <c r="L23" s="25">
        <f>SUM(L20:L21)</f>
        <v>0</v>
      </c>
    </row>
    <row r="24" spans="1:12" x14ac:dyDescent="0.2">
      <c r="A24" s="77" t="s">
        <v>133</v>
      </c>
      <c r="L24" s="112"/>
    </row>
    <row r="25" spans="1:12" customFormat="1" x14ac:dyDescent="0.2">
      <c r="A25" s="68"/>
      <c r="B25" s="183">
        <v>5300</v>
      </c>
      <c r="C25" s="184" t="s">
        <v>134</v>
      </c>
      <c r="D25" s="185">
        <v>4</v>
      </c>
      <c r="E25" s="184" t="s">
        <v>135</v>
      </c>
      <c r="F25" s="186">
        <v>30</v>
      </c>
      <c r="G25" s="187">
        <f>2*8</f>
        <v>16</v>
      </c>
      <c r="H25" s="186">
        <f>F25*G25</f>
        <v>480</v>
      </c>
      <c r="I25" s="186">
        <f>H25*1.13</f>
        <v>542.4</v>
      </c>
      <c r="J25" s="186">
        <f>I25*1.25</f>
        <v>678</v>
      </c>
      <c r="K25" s="186"/>
      <c r="L25" s="188"/>
    </row>
    <row r="26" spans="1:12" customFormat="1" x14ac:dyDescent="0.2">
      <c r="A26" s="68"/>
      <c r="B26" s="189">
        <v>50301</v>
      </c>
      <c r="C26" s="68" t="s">
        <v>136</v>
      </c>
      <c r="D26" s="48">
        <v>4</v>
      </c>
      <c r="E26" s="68" t="s">
        <v>137</v>
      </c>
      <c r="F26" s="50">
        <v>15</v>
      </c>
      <c r="G26" s="9">
        <f>4*4</f>
        <v>16</v>
      </c>
      <c r="H26" s="50">
        <f>F26*G26</f>
        <v>240</v>
      </c>
      <c r="I26" s="50">
        <f>H26*1.13</f>
        <v>271.2</v>
      </c>
      <c r="J26" s="50">
        <f>I26*1.25</f>
        <v>339</v>
      </c>
      <c r="K26" s="50"/>
      <c r="L26" s="145"/>
    </row>
    <row r="27" spans="1:12" customFormat="1" x14ac:dyDescent="0.2">
      <c r="A27" s="68"/>
      <c r="B27" s="48"/>
      <c r="C27" s="68"/>
      <c r="D27" s="48"/>
      <c r="E27" s="68"/>
      <c r="F27" s="50"/>
      <c r="G27" s="9"/>
      <c r="H27" s="50"/>
      <c r="I27" s="50"/>
      <c r="J27" s="50"/>
      <c r="K27" s="50"/>
      <c r="L27" s="145"/>
    </row>
    <row r="28" spans="1:12" s="26" customFormat="1" x14ac:dyDescent="0.2">
      <c r="A28" s="77"/>
      <c r="B28" s="87" t="s">
        <v>138</v>
      </c>
      <c r="C28" s="73"/>
      <c r="D28" s="62"/>
      <c r="E28" s="73"/>
      <c r="F28" s="23"/>
      <c r="G28" s="24"/>
      <c r="H28" s="23"/>
      <c r="I28" s="23">
        <f>SUM(I25:I26)</f>
        <v>813.59999999999991</v>
      </c>
      <c r="J28" s="23">
        <f>SUM(J25:J26)</f>
        <v>1017</v>
      </c>
      <c r="K28" s="23">
        <f>SUM(K25:K26)</f>
        <v>0</v>
      </c>
      <c r="L28" s="25">
        <f>SUM(L25:L26)</f>
        <v>0</v>
      </c>
    </row>
    <row r="29" spans="1:12" x14ac:dyDescent="0.2">
      <c r="A29" s="77" t="s">
        <v>139</v>
      </c>
      <c r="L29" s="112"/>
    </row>
    <row r="30" spans="1:12" s="27" customFormat="1" x14ac:dyDescent="0.2">
      <c r="A30" s="68"/>
      <c r="B30" s="142">
        <v>5400</v>
      </c>
      <c r="C30" s="143" t="s">
        <v>140</v>
      </c>
      <c r="D30" s="135">
        <v>8</v>
      </c>
      <c r="E30" s="143" t="s">
        <v>141</v>
      </c>
      <c r="F30" s="106">
        <v>300</v>
      </c>
      <c r="G30" s="137">
        <v>1</v>
      </c>
      <c r="H30" s="106">
        <f>F30*G30</f>
        <v>300</v>
      </c>
      <c r="I30" s="106">
        <f>H30*1.13</f>
        <v>338.99999999999994</v>
      </c>
      <c r="J30" s="106">
        <f>I30*1.25</f>
        <v>423.74999999999994</v>
      </c>
      <c r="K30" s="106">
        <v>341.7</v>
      </c>
      <c r="L30" s="144">
        <v>341.7</v>
      </c>
    </row>
    <row r="31" spans="1:12" customFormat="1" x14ac:dyDescent="0.2">
      <c r="A31" s="68"/>
      <c r="B31" s="142">
        <v>5401</v>
      </c>
      <c r="C31" s="143" t="s">
        <v>142</v>
      </c>
      <c r="D31" s="135">
        <v>8</v>
      </c>
      <c r="E31" s="143" t="s">
        <v>143</v>
      </c>
      <c r="F31" s="106">
        <v>2000</v>
      </c>
      <c r="G31" s="137">
        <v>1</v>
      </c>
      <c r="H31" s="50">
        <f>F31*G31</f>
        <v>2000</v>
      </c>
      <c r="I31" s="50">
        <f>H31*1.13</f>
        <v>2260</v>
      </c>
      <c r="J31" s="50">
        <f>I31*1.25</f>
        <v>2825</v>
      </c>
      <c r="K31" s="50">
        <v>2000.82</v>
      </c>
      <c r="L31" s="145">
        <v>2000.82</v>
      </c>
    </row>
    <row r="32" spans="1:12" s="165" customFormat="1" x14ac:dyDescent="0.2">
      <c r="A32" s="160"/>
      <c r="B32" s="161"/>
      <c r="C32" s="160"/>
      <c r="D32" s="161"/>
      <c r="E32" s="160"/>
      <c r="F32" s="162"/>
      <c r="G32" s="163"/>
      <c r="H32" s="162"/>
      <c r="I32" s="162"/>
      <c r="J32" s="162"/>
      <c r="K32" s="162"/>
      <c r="L32" s="164"/>
    </row>
    <row r="33" spans="1:12" s="26" customFormat="1" x14ac:dyDescent="0.2">
      <c r="A33" s="77"/>
      <c r="B33" s="87" t="s">
        <v>138</v>
      </c>
      <c r="C33" s="73"/>
      <c r="D33" s="62"/>
      <c r="E33" s="73"/>
      <c r="F33" s="23"/>
      <c r="G33" s="24"/>
      <c r="H33" s="23"/>
      <c r="I33" s="23">
        <f>SUM(I30:I31)</f>
        <v>2599</v>
      </c>
      <c r="J33" s="23">
        <f>SUM(J30:J31)</f>
        <v>3248.75</v>
      </c>
      <c r="K33" s="23">
        <f>SUM(K30:K31)</f>
        <v>2342.52</v>
      </c>
      <c r="L33" s="25">
        <f>SUM(L30:L31)</f>
        <v>2342.52</v>
      </c>
    </row>
    <row r="34" spans="1:12" x14ac:dyDescent="0.2">
      <c r="L34" s="112"/>
    </row>
    <row r="35" spans="1:12" x14ac:dyDescent="0.2">
      <c r="A35" s="98"/>
      <c r="B35" s="88" t="s">
        <v>108</v>
      </c>
      <c r="C35" s="75"/>
      <c r="D35" s="63"/>
      <c r="E35" s="75"/>
      <c r="F35" s="31"/>
      <c r="G35" s="32"/>
      <c r="H35" s="31"/>
      <c r="I35" s="31">
        <f>I33+I28+I23+I18</f>
        <v>11749.513999999999</v>
      </c>
      <c r="J35" s="31">
        <f>J33+J28+J23+J18</f>
        <v>14686.8925</v>
      </c>
      <c r="K35" s="31">
        <f>K33+K28+K23+K18</f>
        <v>4999.32</v>
      </c>
      <c r="L35" s="33">
        <f>L33+L28+L23+L18</f>
        <v>2521.3200000000002</v>
      </c>
    </row>
    <row r="36" spans="1:12" x14ac:dyDescent="0.2">
      <c r="L36" s="112"/>
    </row>
    <row r="37" spans="1:12" x14ac:dyDescent="0.2">
      <c r="A37" s="97" t="s">
        <v>109</v>
      </c>
      <c r="B37" s="61"/>
      <c r="C37" s="70"/>
      <c r="D37" s="61"/>
      <c r="E37" s="70"/>
      <c r="F37" s="14"/>
      <c r="G37" s="15"/>
      <c r="H37" s="14"/>
      <c r="I37" s="14"/>
      <c r="J37" s="14"/>
      <c r="K37" s="14"/>
      <c r="L37" s="110"/>
    </row>
    <row r="38" spans="1:12" x14ac:dyDescent="0.2">
      <c r="A38" s="77"/>
      <c r="B38" s="64" t="s">
        <v>110</v>
      </c>
      <c r="C38" s="77"/>
      <c r="D38" s="64"/>
      <c r="E38" s="77"/>
      <c r="F38" s="37"/>
      <c r="G38" s="38"/>
      <c r="H38" s="37"/>
      <c r="I38" s="37">
        <f>I10</f>
        <v>0</v>
      </c>
      <c r="J38" s="37">
        <f>J10</f>
        <v>0</v>
      </c>
      <c r="K38" s="37">
        <f>K10</f>
        <v>0</v>
      </c>
      <c r="L38" s="39">
        <f>L10</f>
        <v>0</v>
      </c>
    </row>
    <row r="39" spans="1:12" x14ac:dyDescent="0.2">
      <c r="A39" s="77"/>
      <c r="B39" s="64" t="s">
        <v>111</v>
      </c>
      <c r="C39" s="77"/>
      <c r="D39" s="64"/>
      <c r="E39" s="77"/>
      <c r="F39" s="37"/>
      <c r="G39" s="38"/>
      <c r="H39" s="37"/>
      <c r="I39" s="37">
        <f>I35</f>
        <v>11749.513999999999</v>
      </c>
      <c r="J39" s="37">
        <f>J35</f>
        <v>14686.8925</v>
      </c>
      <c r="K39" s="37">
        <f>K35</f>
        <v>4999.32</v>
      </c>
      <c r="L39" s="40">
        <f>L35</f>
        <v>2521.3200000000002</v>
      </c>
    </row>
    <row r="40" spans="1:12" x14ac:dyDescent="0.2">
      <c r="A40" s="79"/>
      <c r="B40" s="65" t="s">
        <v>112</v>
      </c>
      <c r="C40" s="79"/>
      <c r="D40" s="65"/>
      <c r="E40" s="79"/>
      <c r="F40" s="43"/>
      <c r="G40" s="44"/>
      <c r="H40" s="43"/>
      <c r="I40" s="43">
        <f>SUM(I38,I39*-1)</f>
        <v>-11749.513999999999</v>
      </c>
      <c r="J40" s="43">
        <f>SUM(J38,J39*-1)</f>
        <v>-14686.8925</v>
      </c>
      <c r="K40" s="43">
        <f>SUM(K38,K39*-1)</f>
        <v>-4999.32</v>
      </c>
      <c r="L40" s="45">
        <f>SUM(L38,L39*-1)</f>
        <v>-2521.3200000000002</v>
      </c>
    </row>
  </sheetData>
  <mergeCells count="1">
    <mergeCell ref="B1:K1"/>
  </mergeCells>
  <conditionalFormatting sqref="B6:L8 B20:E21 H20:L21 B24:L28 B32:L40 B14:L15 B17:L19">
    <cfRule type="expression" dxfId="133" priority="10">
      <formula>MOD($B6,2)=1</formula>
    </cfRule>
  </conditionalFormatting>
  <conditionalFormatting sqref="B9:L11">
    <cfRule type="expression" dxfId="132" priority="9">
      <formula>MOD($B9,2)=1</formula>
    </cfRule>
  </conditionalFormatting>
  <conditionalFormatting sqref="B22:L23">
    <cfRule type="expression" dxfId="131" priority="8">
      <formula>MOD($B22,2)=1</formula>
    </cfRule>
  </conditionalFormatting>
  <conditionalFormatting sqref="B29:L29 B30 F30:L30 H31:L31">
    <cfRule type="expression" dxfId="130" priority="7">
      <formula>MOD($B29,2)=1</formula>
    </cfRule>
  </conditionalFormatting>
  <conditionalFormatting sqref="B16:L16">
    <cfRule type="expression" dxfId="129" priority="6">
      <formula>MOD($B16,2)=1</formula>
    </cfRule>
  </conditionalFormatting>
  <conditionalFormatting sqref="B31:G31">
    <cfRule type="expression" dxfId="128" priority="4">
      <formula>MOD($B31,2)=1</formula>
    </cfRule>
  </conditionalFormatting>
  <conditionalFormatting sqref="F20:G21">
    <cfRule type="expression" dxfId="127" priority="1">
      <formula>MOD($B20,2)=1</formula>
    </cfRule>
  </conditionalFormatting>
  <pageMargins left="0.7" right="0.7" top="0.75" bottom="0.75" header="0.3" footer="0.3"/>
  <pageSetup scale="26" fitToWidth="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EA5F7-CCFB-4C1F-9D5C-6BD44D7A4B60}">
  <sheetPr codeName="Sheet17"/>
  <dimension ref="A1:L23"/>
  <sheetViews>
    <sheetView showGridLines="0" zoomScale="75" zoomScaleNormal="75" workbookViewId="0">
      <pane ySplit="2" topLeftCell="A3" activePane="bottomLeft" state="frozen"/>
      <selection pane="bottomLeft" activeCell="H14" sqref="H14"/>
    </sheetView>
  </sheetViews>
  <sheetFormatPr baseColWidth="10" defaultColWidth="9.5" defaultRowHeight="15" x14ac:dyDescent="0.2"/>
  <cols>
    <col min="1" max="1" width="29.5" customWidth="1"/>
    <col min="2" max="2" width="23" style="7" customWidth="1"/>
    <col min="3" max="3" width="32.33203125" style="7" customWidth="1"/>
    <col min="4" max="4" width="27.1640625" style="48" customWidth="1"/>
    <col min="5" max="5" width="49" customWidth="1"/>
    <col min="6" max="6" width="15.1640625" style="8" customWidth="1"/>
    <col min="7" max="7" width="15.1640625" style="9" customWidth="1"/>
    <col min="8" max="8" width="19.1640625" style="8" customWidth="1"/>
    <col min="9" max="9" width="18.1640625" style="8" customWidth="1"/>
    <col min="10" max="11" width="20.5" style="8" customWidth="1"/>
    <col min="12" max="12" width="20.83203125" style="1" customWidth="1"/>
    <col min="13" max="16384" width="9.5" style="2"/>
  </cols>
  <sheetData>
    <row r="1" spans="1:12" ht="149" customHeight="1" x14ac:dyDescent="0.2">
      <c r="B1" s="242" t="s">
        <v>144</v>
      </c>
      <c r="C1" s="242"/>
      <c r="D1" s="242"/>
      <c r="E1" s="242"/>
      <c r="F1" s="242"/>
      <c r="G1" s="242"/>
      <c r="H1" s="242"/>
      <c r="I1" s="242"/>
      <c r="J1" s="242"/>
      <c r="K1" s="242"/>
    </row>
    <row r="2" spans="1:12" s="6" customFormat="1" ht="15" customHeight="1" x14ac:dyDescent="0.25">
      <c r="A2" s="3" t="s">
        <v>1</v>
      </c>
      <c r="B2" s="3" t="s">
        <v>2</v>
      </c>
      <c r="C2" s="3" t="s">
        <v>3</v>
      </c>
      <c r="D2" s="60" t="s">
        <v>114</v>
      </c>
      <c r="E2" s="3" t="s">
        <v>4</v>
      </c>
      <c r="F2" s="4" t="s">
        <v>5</v>
      </c>
      <c r="G2" s="3" t="s">
        <v>6</v>
      </c>
      <c r="H2" s="4" t="s">
        <v>7</v>
      </c>
      <c r="I2" s="4" t="s">
        <v>8</v>
      </c>
      <c r="J2" s="4" t="s">
        <v>115</v>
      </c>
      <c r="K2" s="4" t="s">
        <v>9</v>
      </c>
      <c r="L2" s="5" t="s">
        <v>10</v>
      </c>
    </row>
    <row r="3" spans="1:12" x14ac:dyDescent="0.2">
      <c r="L3" s="10"/>
    </row>
    <row r="4" spans="1:12" x14ac:dyDescent="0.2">
      <c r="A4" s="11" t="s">
        <v>12</v>
      </c>
      <c r="B4" s="12"/>
      <c r="C4" s="12"/>
      <c r="D4" s="61"/>
      <c r="E4" s="13"/>
      <c r="F4" s="14"/>
      <c r="G4" s="15"/>
      <c r="H4" s="14"/>
      <c r="I4" s="14"/>
      <c r="J4" s="14"/>
      <c r="K4" s="14"/>
      <c r="L4" s="16"/>
    </row>
    <row r="5" spans="1:12" x14ac:dyDescent="0.2">
      <c r="A5" s="17" t="s">
        <v>145</v>
      </c>
      <c r="L5" s="18"/>
    </row>
    <row r="6" spans="1:12" x14ac:dyDescent="0.2">
      <c r="B6" s="7" t="s">
        <v>117</v>
      </c>
      <c r="H6" s="8">
        <f t="shared" ref="H6" si="0">F6*G6</f>
        <v>0</v>
      </c>
      <c r="I6" s="8">
        <f t="shared" ref="I6" si="1">H6*1.13</f>
        <v>0</v>
      </c>
      <c r="J6" s="8">
        <f>I6*0.75</f>
        <v>0</v>
      </c>
      <c r="L6" s="19"/>
    </row>
    <row r="7" spans="1:12" x14ac:dyDescent="0.2">
      <c r="L7" s="19"/>
    </row>
    <row r="8" spans="1:12" s="26" customFormat="1" x14ac:dyDescent="0.2">
      <c r="A8" s="17"/>
      <c r="B8" s="20" t="s">
        <v>146</v>
      </c>
      <c r="C8" s="21"/>
      <c r="D8" s="62"/>
      <c r="E8" s="22"/>
      <c r="F8" s="23"/>
      <c r="G8" s="24"/>
      <c r="H8" s="23"/>
      <c r="I8" s="23">
        <f>SUM(I6:I6)</f>
        <v>0</v>
      </c>
      <c r="J8" s="23">
        <f>SUM(J6:J6)</f>
        <v>0</v>
      </c>
      <c r="K8" s="23">
        <f>SUM(K6:K6)</f>
        <v>0</v>
      </c>
      <c r="L8" s="25">
        <f>SUM(L6:L6)</f>
        <v>0</v>
      </c>
    </row>
    <row r="9" spans="1:12" x14ac:dyDescent="0.2">
      <c r="L9" s="19"/>
    </row>
    <row r="10" spans="1:12" s="34" customFormat="1" x14ac:dyDescent="0.2">
      <c r="A10" s="27"/>
      <c r="B10" s="28" t="s">
        <v>38</v>
      </c>
      <c r="C10" s="29"/>
      <c r="D10" s="63"/>
      <c r="E10" s="30"/>
      <c r="F10" s="31"/>
      <c r="G10" s="32"/>
      <c r="H10" s="31"/>
      <c r="I10" s="31">
        <f>SumBold(I5:I9)</f>
        <v>0</v>
      </c>
      <c r="J10" s="31">
        <f>SumBold(J5:J9)</f>
        <v>0</v>
      </c>
      <c r="K10" s="31">
        <f>SumBold(K5:K9)</f>
        <v>0</v>
      </c>
      <c r="L10" s="33">
        <f>SumBold(L5:L9)</f>
        <v>0</v>
      </c>
    </row>
    <row r="11" spans="1:12" x14ac:dyDescent="0.2">
      <c r="L11" s="19"/>
    </row>
    <row r="12" spans="1:12" x14ac:dyDescent="0.2">
      <c r="A12" s="11" t="s">
        <v>41</v>
      </c>
      <c r="B12" s="12"/>
      <c r="C12" s="12"/>
      <c r="D12" s="61"/>
      <c r="E12" s="13"/>
      <c r="F12" s="14"/>
      <c r="G12" s="15"/>
      <c r="H12" s="14"/>
      <c r="I12" s="14"/>
      <c r="J12" s="14"/>
      <c r="K12" s="14"/>
      <c r="L12" s="16"/>
    </row>
    <row r="13" spans="1:12" x14ac:dyDescent="0.2">
      <c r="A13" s="17" t="s">
        <v>147</v>
      </c>
      <c r="L13" s="19"/>
    </row>
    <row r="14" spans="1:12" s="172" customFormat="1" x14ac:dyDescent="0.2">
      <c r="A14" s="167"/>
      <c r="B14" s="193" t="s">
        <v>117</v>
      </c>
      <c r="C14" s="169"/>
      <c r="D14" s="174"/>
      <c r="E14" s="167"/>
      <c r="F14" s="194"/>
      <c r="G14" s="140"/>
      <c r="H14" s="170">
        <f>F14*G14</f>
        <v>0</v>
      </c>
      <c r="I14" s="170">
        <f>H14*1.13</f>
        <v>0</v>
      </c>
      <c r="J14" s="170">
        <f>I14*1.25</f>
        <v>0</v>
      </c>
      <c r="K14" s="170"/>
      <c r="L14" s="171"/>
    </row>
    <row r="15" spans="1:12" x14ac:dyDescent="0.2">
      <c r="L15" s="19"/>
    </row>
    <row r="16" spans="1:12" s="26" customFormat="1" x14ac:dyDescent="0.2">
      <c r="A16" s="17"/>
      <c r="B16" s="20" t="s">
        <v>148</v>
      </c>
      <c r="C16" s="21"/>
      <c r="D16" s="62"/>
      <c r="E16" s="22"/>
      <c r="F16" s="23"/>
      <c r="G16" s="24"/>
      <c r="H16" s="23"/>
      <c r="I16" s="23">
        <f>SUM(I14:I14)</f>
        <v>0</v>
      </c>
      <c r="J16" s="23">
        <f>SUM(J14:J14)</f>
        <v>0</v>
      </c>
      <c r="K16" s="23">
        <f>SUM(K14:K14)</f>
        <v>0</v>
      </c>
      <c r="L16" s="25">
        <f>SUM(L14:L14)</f>
        <v>0</v>
      </c>
    </row>
    <row r="17" spans="1:12" x14ac:dyDescent="0.2">
      <c r="L17" s="19"/>
    </row>
    <row r="18" spans="1:12" s="34" customFormat="1" x14ac:dyDescent="0.2">
      <c r="A18" s="27"/>
      <c r="B18" s="28" t="s">
        <v>108</v>
      </c>
      <c r="C18" s="29"/>
      <c r="D18" s="63"/>
      <c r="E18" s="30"/>
      <c r="F18" s="31"/>
      <c r="G18" s="32"/>
      <c r="H18" s="31"/>
      <c r="I18" s="31">
        <f>SumBold(I13:I17)</f>
        <v>0</v>
      </c>
      <c r="J18" s="31">
        <f>SumBold(J13:J17)</f>
        <v>0</v>
      </c>
      <c r="K18" s="31">
        <f>SumBold(K13:K17)</f>
        <v>0</v>
      </c>
      <c r="L18" s="33">
        <f>SumBold(L13:L17)</f>
        <v>0</v>
      </c>
    </row>
    <row r="19" spans="1:12" x14ac:dyDescent="0.2">
      <c r="L19" s="19"/>
    </row>
    <row r="20" spans="1:12" x14ac:dyDescent="0.2">
      <c r="A20" s="11" t="s">
        <v>109</v>
      </c>
      <c r="B20" s="12"/>
      <c r="C20" s="12"/>
      <c r="D20" s="61"/>
      <c r="E20" s="13"/>
      <c r="F20" s="14"/>
      <c r="G20" s="15"/>
      <c r="H20" s="14"/>
      <c r="I20" s="14"/>
      <c r="J20" s="14"/>
      <c r="K20" s="14"/>
      <c r="L20" s="16"/>
    </row>
    <row r="21" spans="1:12" s="26" customFormat="1" x14ac:dyDescent="0.2">
      <c r="A21" s="17"/>
      <c r="B21" s="166" t="s">
        <v>110</v>
      </c>
      <c r="C21" s="166"/>
      <c r="D21" s="64"/>
      <c r="E21" s="17"/>
      <c r="F21" s="37"/>
      <c r="G21" s="38"/>
      <c r="H21" s="37"/>
      <c r="I21" s="37">
        <f>I10</f>
        <v>0</v>
      </c>
      <c r="J21" s="37">
        <f>J10</f>
        <v>0</v>
      </c>
      <c r="K21" s="37">
        <f>K10</f>
        <v>0</v>
      </c>
      <c r="L21" s="39">
        <f>L10</f>
        <v>0</v>
      </c>
    </row>
    <row r="22" spans="1:12" s="26" customFormat="1" x14ac:dyDescent="0.2">
      <c r="A22" s="17"/>
      <c r="B22" s="166" t="s">
        <v>111</v>
      </c>
      <c r="C22" s="166"/>
      <c r="D22" s="64"/>
      <c r="E22" s="17"/>
      <c r="F22" s="37"/>
      <c r="G22" s="38"/>
      <c r="H22" s="37"/>
      <c r="I22" s="37">
        <f>I18</f>
        <v>0</v>
      </c>
      <c r="J22" s="37">
        <f>J18</f>
        <v>0</v>
      </c>
      <c r="K22" s="37">
        <f>K18</f>
        <v>0</v>
      </c>
      <c r="L22" s="40">
        <f>L18</f>
        <v>0</v>
      </c>
    </row>
    <row r="23" spans="1:12" s="26" customFormat="1" x14ac:dyDescent="0.2">
      <c r="A23" s="41"/>
      <c r="B23" s="42" t="s">
        <v>112</v>
      </c>
      <c r="C23" s="42"/>
      <c r="D23" s="65"/>
      <c r="E23" s="41"/>
      <c r="F23" s="43"/>
      <c r="G23" s="44"/>
      <c r="H23" s="43"/>
      <c r="I23" s="43">
        <f>SUM(I21,I22*-1)</f>
        <v>0</v>
      </c>
      <c r="J23" s="43">
        <f t="shared" ref="J23:L23" si="2">SUM(J21,J22*-1)</f>
        <v>0</v>
      </c>
      <c r="K23" s="43">
        <f t="shared" si="2"/>
        <v>0</v>
      </c>
      <c r="L23" s="45">
        <f t="shared" si="2"/>
        <v>0</v>
      </c>
    </row>
  </sheetData>
  <mergeCells count="1">
    <mergeCell ref="B1:K1"/>
  </mergeCells>
  <conditionalFormatting sqref="B6:L8 B14:L23">
    <cfRule type="expression" dxfId="126" priority="2">
      <formula>MOD($B6,2)=1</formula>
    </cfRule>
  </conditionalFormatting>
  <conditionalFormatting sqref="B9:L11">
    <cfRule type="expression" dxfId="125" priority="1">
      <formula>MOD($B9,2)=1</formula>
    </cfRule>
  </conditionalFormatting>
  <pageMargins left="0.7" right="0.7" top="0.75" bottom="0.75" header="0.3" footer="0.3"/>
  <pageSetup scale="26" fitToWidth="0"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E2592F-7544-4034-B4DC-3ECCA26C8612}">
  <sheetPr codeName="Sheet20"/>
  <dimension ref="A1:M35"/>
  <sheetViews>
    <sheetView showGridLines="0" topLeftCell="G1" zoomScale="70" zoomScaleNormal="70" workbookViewId="0">
      <pane ySplit="2" topLeftCell="A3" activePane="bottomLeft" state="frozen"/>
      <selection pane="bottomLeft" activeCell="K18" sqref="K18"/>
    </sheetView>
  </sheetViews>
  <sheetFormatPr baseColWidth="10" defaultColWidth="9.1640625" defaultRowHeight="15" x14ac:dyDescent="0.2"/>
  <cols>
    <col min="1" max="1" width="31.5" customWidth="1"/>
    <col min="2" max="2" width="24.6640625" style="7" customWidth="1"/>
    <col min="3" max="3" width="26.5" style="68" customWidth="1"/>
    <col min="4" max="4" width="19.83203125" customWidth="1"/>
    <col min="5" max="5" width="46" customWidth="1"/>
    <col min="6" max="6" width="16.33203125" style="8" customWidth="1"/>
    <col min="7" max="7" width="16.33203125" style="9" customWidth="1"/>
    <col min="8" max="8" width="20.5" style="8" customWidth="1"/>
    <col min="9" max="9" width="19.5" style="8" customWidth="1"/>
    <col min="10" max="11" width="22" style="8" customWidth="1"/>
    <col min="12" max="12" width="23.33203125" style="1" customWidth="1"/>
    <col min="13" max="16384" width="9.1640625" style="2"/>
  </cols>
  <sheetData>
    <row r="1" spans="1:13" ht="148.5" customHeight="1" x14ac:dyDescent="0.2">
      <c r="B1" s="242" t="s">
        <v>149</v>
      </c>
      <c r="C1" s="242"/>
      <c r="D1" s="242"/>
      <c r="E1" s="242"/>
      <c r="F1" s="242"/>
      <c r="G1" s="242"/>
      <c r="H1" s="242"/>
      <c r="I1" s="242"/>
      <c r="J1" s="242"/>
      <c r="K1" s="242"/>
    </row>
    <row r="2" spans="1:13" s="6" customFormat="1" ht="15" customHeight="1" x14ac:dyDescent="0.25">
      <c r="A2" s="3" t="s">
        <v>1</v>
      </c>
      <c r="B2" s="3" t="s">
        <v>2</v>
      </c>
      <c r="C2" s="60" t="s">
        <v>3</v>
      </c>
      <c r="D2" s="3" t="s">
        <v>114</v>
      </c>
      <c r="E2" s="3" t="s">
        <v>4</v>
      </c>
      <c r="F2" s="4" t="s">
        <v>5</v>
      </c>
      <c r="G2" s="3" t="s">
        <v>6</v>
      </c>
      <c r="H2" s="4" t="s">
        <v>7</v>
      </c>
      <c r="I2" s="4" t="s">
        <v>8</v>
      </c>
      <c r="J2" s="4" t="s">
        <v>115</v>
      </c>
      <c r="K2" s="4" t="s">
        <v>9</v>
      </c>
      <c r="L2" s="5" t="s">
        <v>10</v>
      </c>
    </row>
    <row r="3" spans="1:13" x14ac:dyDescent="0.2">
      <c r="L3" s="10"/>
    </row>
    <row r="4" spans="1:13" x14ac:dyDescent="0.2">
      <c r="A4" s="11" t="s">
        <v>12</v>
      </c>
      <c r="B4" s="12"/>
      <c r="C4" s="70"/>
      <c r="D4" s="13"/>
      <c r="E4" s="13"/>
      <c r="F4" s="14"/>
      <c r="G4" s="15"/>
      <c r="H4" s="14"/>
      <c r="I4" s="14"/>
      <c r="J4" s="14"/>
      <c r="K4" s="14"/>
      <c r="L4" s="16"/>
    </row>
    <row r="5" spans="1:13" x14ac:dyDescent="0.2">
      <c r="A5" s="17" t="s">
        <v>150</v>
      </c>
      <c r="L5" s="18"/>
    </row>
    <row r="6" spans="1:13" x14ac:dyDescent="0.2">
      <c r="B6" s="7" t="s">
        <v>117</v>
      </c>
      <c r="F6" s="8">
        <v>0</v>
      </c>
      <c r="H6" s="8">
        <v>0</v>
      </c>
      <c r="I6" s="8">
        <v>0</v>
      </c>
      <c r="J6" s="8">
        <f>I6*0.75</f>
        <v>0</v>
      </c>
      <c r="L6" s="19"/>
    </row>
    <row r="7" spans="1:13" x14ac:dyDescent="0.2">
      <c r="L7" s="19"/>
    </row>
    <row r="8" spans="1:13" s="26" customFormat="1" x14ac:dyDescent="0.2">
      <c r="A8" s="17"/>
      <c r="B8" s="20" t="s">
        <v>151</v>
      </c>
      <c r="C8" s="73"/>
      <c r="D8" s="22"/>
      <c r="E8" s="22"/>
      <c r="F8" s="23"/>
      <c r="G8" s="24"/>
      <c r="H8" s="23"/>
      <c r="I8" s="23">
        <v>0</v>
      </c>
      <c r="J8" s="23">
        <f>SUM(J6:J6)</f>
        <v>0</v>
      </c>
      <c r="K8" s="23">
        <f>SUM(K6:K6)</f>
        <v>0</v>
      </c>
      <c r="L8" s="25">
        <f>SUM(L6:L6)</f>
        <v>0</v>
      </c>
    </row>
    <row r="9" spans="1:13" x14ac:dyDescent="0.2">
      <c r="L9" s="18"/>
    </row>
    <row r="10" spans="1:13" s="34" customFormat="1" x14ac:dyDescent="0.2">
      <c r="A10" s="27"/>
      <c r="B10" s="28" t="s">
        <v>38</v>
      </c>
      <c r="C10" s="75"/>
      <c r="D10" s="30"/>
      <c r="E10" s="30"/>
      <c r="F10" s="31"/>
      <c r="G10" s="32"/>
      <c r="H10" s="31">
        <v>0</v>
      </c>
      <c r="I10" s="31">
        <v>0</v>
      </c>
      <c r="J10" s="31">
        <f>J8</f>
        <v>0</v>
      </c>
      <c r="K10" s="31">
        <f t="shared" ref="K10:L10" si="0">K8</f>
        <v>0</v>
      </c>
      <c r="L10" s="33">
        <f t="shared" si="0"/>
        <v>0</v>
      </c>
    </row>
    <row r="11" spans="1:13" x14ac:dyDescent="0.2">
      <c r="L11" s="19"/>
    </row>
    <row r="12" spans="1:13" x14ac:dyDescent="0.2">
      <c r="A12" s="11" t="s">
        <v>41</v>
      </c>
      <c r="B12" s="12"/>
      <c r="C12" s="70"/>
      <c r="D12" s="13"/>
      <c r="E12" s="13"/>
      <c r="F12" s="14"/>
      <c r="G12" s="15"/>
      <c r="H12" s="14"/>
      <c r="I12" s="14"/>
      <c r="J12" s="14"/>
      <c r="K12" s="14"/>
      <c r="L12" s="16"/>
    </row>
    <row r="13" spans="1:13" x14ac:dyDescent="0.2">
      <c r="A13" s="17" t="s">
        <v>152</v>
      </c>
      <c r="L13" s="19"/>
    </row>
    <row r="14" spans="1:13" customFormat="1" x14ac:dyDescent="0.2">
      <c r="B14" s="146">
        <v>15100</v>
      </c>
      <c r="C14" s="143" t="s">
        <v>153</v>
      </c>
      <c r="D14" s="134">
        <v>7</v>
      </c>
      <c r="E14" s="136" t="s">
        <v>154</v>
      </c>
      <c r="F14" s="106">
        <v>65</v>
      </c>
      <c r="G14" s="137">
        <v>17</v>
      </c>
      <c r="H14" s="106">
        <f t="shared" ref="H14" si="1">F14*G14</f>
        <v>1105</v>
      </c>
      <c r="I14" s="106">
        <f t="shared" ref="I14" si="2">H14*1.13</f>
        <v>1248.6499999999999</v>
      </c>
      <c r="J14" s="106">
        <f t="shared" ref="J14" si="3">I14*1.25</f>
        <v>1560.8124999999998</v>
      </c>
      <c r="K14" s="106">
        <v>1206.6600000000001</v>
      </c>
      <c r="L14" s="138">
        <v>1357.36</v>
      </c>
      <c r="M14" t="s">
        <v>155</v>
      </c>
    </row>
    <row r="15" spans="1:13" x14ac:dyDescent="0.2">
      <c r="L15" s="19"/>
    </row>
    <row r="16" spans="1:13" s="26" customFormat="1" x14ac:dyDescent="0.2">
      <c r="A16" s="17"/>
      <c r="B16" s="20" t="s">
        <v>156</v>
      </c>
      <c r="C16" s="73"/>
      <c r="D16" s="22"/>
      <c r="E16" s="22"/>
      <c r="F16" s="23"/>
      <c r="G16" s="24"/>
      <c r="H16" s="23"/>
      <c r="I16" s="23">
        <f>SUM(I14:I14)</f>
        <v>1248.6499999999999</v>
      </c>
      <c r="J16" s="23">
        <f>SUM(J14:J14)</f>
        <v>1560.8124999999998</v>
      </c>
      <c r="K16" s="23">
        <f>SUM(K14:K14)</f>
        <v>1206.6600000000001</v>
      </c>
      <c r="L16" s="25">
        <f>SUM(L14:L14)</f>
        <v>1357.36</v>
      </c>
    </row>
    <row r="17" spans="1:13" x14ac:dyDescent="0.2">
      <c r="A17" s="17" t="s">
        <v>157</v>
      </c>
      <c r="L17" s="19"/>
    </row>
    <row r="18" spans="1:13" customFormat="1" x14ac:dyDescent="0.2">
      <c r="B18" s="147">
        <v>15200</v>
      </c>
      <c r="C18" s="68" t="s">
        <v>158</v>
      </c>
      <c r="D18" s="7">
        <v>6</v>
      </c>
      <c r="E18" t="s">
        <v>159</v>
      </c>
      <c r="F18" s="50">
        <v>99.34</v>
      </c>
      <c r="G18" s="9">
        <v>8</v>
      </c>
      <c r="H18" s="50">
        <f t="shared" ref="H18" si="4">F18*G18</f>
        <v>794.72</v>
      </c>
      <c r="I18" s="50">
        <f t="shared" ref="I18" si="5">H18*1.13</f>
        <v>898.03359999999998</v>
      </c>
      <c r="J18" s="50">
        <f t="shared" ref="J18" si="6">I18*1.25</f>
        <v>1122.5419999999999</v>
      </c>
      <c r="K18" s="50">
        <f>259.63</f>
        <v>259.63</v>
      </c>
      <c r="L18" s="53">
        <v>278.18</v>
      </c>
      <c r="M18" t="s">
        <v>160</v>
      </c>
    </row>
    <row r="19" spans="1:13" customFormat="1" x14ac:dyDescent="0.2">
      <c r="B19" s="147">
        <v>15201</v>
      </c>
      <c r="C19" s="68" t="s">
        <v>161</v>
      </c>
      <c r="D19" s="7">
        <v>1</v>
      </c>
      <c r="E19" t="s">
        <v>162</v>
      </c>
      <c r="F19" s="50">
        <v>30</v>
      </c>
      <c r="G19" s="9">
        <v>6</v>
      </c>
      <c r="H19" s="50">
        <f t="shared" ref="H19" si="7">F19*G19</f>
        <v>180</v>
      </c>
      <c r="I19" s="50">
        <f t="shared" ref="I19" si="8">H19*1.13</f>
        <v>203.39999999999998</v>
      </c>
      <c r="J19" s="50">
        <f t="shared" ref="J19" si="9">I19*1.25</f>
        <v>254.24999999999997</v>
      </c>
      <c r="K19" s="50">
        <f>259.63</f>
        <v>259.63</v>
      </c>
      <c r="L19" s="53">
        <v>0</v>
      </c>
    </row>
    <row r="20" spans="1:13" x14ac:dyDescent="0.2">
      <c r="L20" s="19"/>
    </row>
    <row r="21" spans="1:13" s="26" customFormat="1" x14ac:dyDescent="0.2">
      <c r="A21" s="17"/>
      <c r="B21" s="20" t="s">
        <v>163</v>
      </c>
      <c r="C21" s="73"/>
      <c r="D21" s="22"/>
      <c r="E21" s="22"/>
      <c r="F21" s="23"/>
      <c r="G21" s="24"/>
      <c r="H21" s="23"/>
      <c r="I21" s="23">
        <f>SUM(I18:I18)</f>
        <v>898.03359999999998</v>
      </c>
      <c r="J21" s="23">
        <f>SUM(J18:J18)</f>
        <v>1122.5419999999999</v>
      </c>
      <c r="K21" s="23">
        <f>SUM(K18:K18)</f>
        <v>259.63</v>
      </c>
      <c r="L21" s="25">
        <f>SUM(L18:L18)</f>
        <v>278.18</v>
      </c>
    </row>
    <row r="22" spans="1:13" x14ac:dyDescent="0.2">
      <c r="A22" s="17"/>
      <c r="L22" s="19"/>
    </row>
    <row r="23" spans="1:13" x14ac:dyDescent="0.2">
      <c r="B23" s="28" t="s">
        <v>108</v>
      </c>
      <c r="C23" s="75"/>
      <c r="D23" s="30"/>
      <c r="E23" s="30"/>
      <c r="F23" s="31"/>
      <c r="G23" s="32"/>
      <c r="H23" s="31"/>
      <c r="I23" s="31">
        <f>I16+I21</f>
        <v>2146.6835999999998</v>
      </c>
      <c r="J23" s="31">
        <f>J16+J21</f>
        <v>2683.3544999999995</v>
      </c>
      <c r="K23" s="31">
        <f>K16+K21</f>
        <v>1466.29</v>
      </c>
      <c r="L23" s="33">
        <f>L16+L21</f>
        <v>1635.54</v>
      </c>
    </row>
    <row r="24" spans="1:13" x14ac:dyDescent="0.2">
      <c r="L24" s="156"/>
    </row>
    <row r="25" spans="1:13" x14ac:dyDescent="0.2">
      <c r="A25" s="11" t="s">
        <v>109</v>
      </c>
      <c r="B25" s="12"/>
      <c r="C25" s="70"/>
      <c r="D25" s="13"/>
      <c r="E25" s="13"/>
      <c r="F25" s="14"/>
      <c r="G25" s="15"/>
      <c r="H25" s="14"/>
      <c r="I25" s="14"/>
      <c r="J25" s="14"/>
      <c r="K25" s="14"/>
      <c r="L25" s="16"/>
    </row>
    <row r="26" spans="1:13" x14ac:dyDescent="0.2">
      <c r="B26" s="166" t="s">
        <v>110</v>
      </c>
      <c r="C26" s="77"/>
      <c r="D26" s="17"/>
      <c r="E26" s="17"/>
      <c r="F26" s="37"/>
      <c r="G26" s="38"/>
      <c r="H26" s="37"/>
      <c r="I26" s="37">
        <f>I10</f>
        <v>0</v>
      </c>
      <c r="J26" s="37">
        <f>J10</f>
        <v>0</v>
      </c>
      <c r="K26" s="37">
        <f>K10</f>
        <v>0</v>
      </c>
      <c r="L26" s="39">
        <f>L10</f>
        <v>0</v>
      </c>
    </row>
    <row r="27" spans="1:13" x14ac:dyDescent="0.2">
      <c r="B27" s="166" t="s">
        <v>111</v>
      </c>
      <c r="C27" s="77"/>
      <c r="D27" s="17"/>
      <c r="E27" s="17"/>
      <c r="F27" s="37"/>
      <c r="G27" s="38"/>
      <c r="H27" s="37"/>
      <c r="I27" s="37">
        <f>I23</f>
        <v>2146.6835999999998</v>
      </c>
      <c r="J27" s="37">
        <f>J23</f>
        <v>2683.3544999999995</v>
      </c>
      <c r="K27" s="37">
        <f>K23</f>
        <v>1466.29</v>
      </c>
      <c r="L27" s="40">
        <f>L23</f>
        <v>1635.54</v>
      </c>
    </row>
    <row r="28" spans="1:13" s="26" customFormat="1" x14ac:dyDescent="0.2">
      <c r="A28" s="41"/>
      <c r="B28" s="42" t="s">
        <v>112</v>
      </c>
      <c r="C28" s="79"/>
      <c r="D28" s="41"/>
      <c r="E28" s="41"/>
      <c r="F28" s="43"/>
      <c r="G28" s="44"/>
      <c r="H28" s="43"/>
      <c r="I28" s="43">
        <f>SUM(I26,I27*-1)</f>
        <v>-2146.6835999999998</v>
      </c>
      <c r="J28" s="43">
        <f t="shared" ref="J28:L28" si="10">SUM(J26,J27*-1)</f>
        <v>-2683.3544999999995</v>
      </c>
      <c r="K28" s="43">
        <f t="shared" si="10"/>
        <v>-1466.29</v>
      </c>
      <c r="L28" s="45">
        <f t="shared" si="10"/>
        <v>-1635.54</v>
      </c>
    </row>
    <row r="30" spans="1:13" s="34" customFormat="1" x14ac:dyDescent="0.2">
      <c r="A30" s="27"/>
      <c r="B30" s="7"/>
      <c r="C30" s="68"/>
      <c r="D30"/>
      <c r="E30"/>
      <c r="F30" s="8"/>
      <c r="G30" s="9"/>
      <c r="H30" s="8"/>
      <c r="I30" s="8"/>
      <c r="J30" s="8"/>
      <c r="K30" s="8"/>
      <c r="L30" s="1"/>
    </row>
    <row r="32" spans="1:13" ht="15" customHeight="1" x14ac:dyDescent="0.2">
      <c r="A32" s="17"/>
    </row>
    <row r="33" spans="1:12" s="26" customFormat="1" x14ac:dyDescent="0.2">
      <c r="A33" s="17"/>
      <c r="B33" s="7"/>
      <c r="C33" s="68"/>
      <c r="D33"/>
      <c r="E33"/>
      <c r="F33" s="8"/>
      <c r="G33" s="9"/>
      <c r="H33" s="8"/>
      <c r="I33" s="8"/>
      <c r="J33" s="8"/>
      <c r="K33" s="8"/>
      <c r="L33" s="1"/>
    </row>
    <row r="34" spans="1:12" s="26" customFormat="1" x14ac:dyDescent="0.2">
      <c r="A34" s="7"/>
      <c r="B34" s="7"/>
      <c r="C34" s="68"/>
      <c r="D34"/>
      <c r="E34" s="8"/>
      <c r="F34" s="9"/>
      <c r="G34" s="8"/>
      <c r="H34" s="8"/>
      <c r="I34" s="8"/>
      <c r="J34" s="8"/>
      <c r="K34" s="1"/>
    </row>
    <row r="35" spans="1:12" s="26" customFormat="1" x14ac:dyDescent="0.2">
      <c r="A35"/>
      <c r="B35" s="7"/>
      <c r="C35" s="68"/>
      <c r="D35"/>
      <c r="E35"/>
      <c r="F35" s="8"/>
      <c r="G35" s="9"/>
      <c r="H35" s="8"/>
      <c r="I35" s="8"/>
      <c r="J35" s="8"/>
      <c r="K35" s="8"/>
      <c r="L35" s="1"/>
    </row>
  </sheetData>
  <mergeCells count="1">
    <mergeCell ref="B1:K1"/>
  </mergeCells>
  <conditionalFormatting sqref="B6:L8 B14:L18 B20:L28">
    <cfRule type="expression" dxfId="124" priority="4">
      <formula>MOD($B6,2)=1</formula>
    </cfRule>
  </conditionalFormatting>
  <conditionalFormatting sqref="B9:L11">
    <cfRule type="expression" dxfId="123" priority="3">
      <formula>MOD($B9,2)=1</formula>
    </cfRule>
  </conditionalFormatting>
  <conditionalFormatting sqref="B19:L19">
    <cfRule type="expression" dxfId="122" priority="1">
      <formula>MOD($B19,2)=1</formula>
    </cfRule>
  </conditionalFormatting>
  <pageMargins left="0.7" right="0.7" top="0.75" bottom="0.75" header="0.3" footer="0.3"/>
  <pageSetup scale="26" fitToWidth="0" fitToHeight="0"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49B1D-D7B4-4665-ADD1-DB02B8499849}">
  <sheetPr codeName="Sheet2"/>
  <dimension ref="A1:L39"/>
  <sheetViews>
    <sheetView showGridLines="0" topLeftCell="B1" zoomScale="61" zoomScaleNormal="75" workbookViewId="0">
      <pane ySplit="2" topLeftCell="A3" activePane="bottomLeft" state="frozen"/>
      <selection pane="bottomLeft" activeCell="E31" sqref="E31"/>
    </sheetView>
  </sheetViews>
  <sheetFormatPr baseColWidth="10" defaultColWidth="9.83203125" defaultRowHeight="15" x14ac:dyDescent="0.2"/>
  <cols>
    <col min="1" max="1" width="23.33203125" customWidth="1"/>
    <col min="2" max="2" width="23.5" style="7" customWidth="1"/>
    <col min="3" max="3" width="39.33203125" style="7" customWidth="1"/>
    <col min="4" max="4" width="22.1640625" customWidth="1"/>
    <col min="5" max="5" width="84.5" customWidth="1"/>
    <col min="6" max="6" width="15.5" style="8" customWidth="1"/>
    <col min="7" max="7" width="15.5" style="9" customWidth="1"/>
    <col min="8" max="8" width="19.5" style="8" customWidth="1"/>
    <col min="9" max="9" width="18.5" style="8" customWidth="1"/>
    <col min="10" max="11" width="20.83203125" style="8" customWidth="1"/>
    <col min="12" max="12" width="21.33203125" style="1" customWidth="1"/>
    <col min="13" max="16384" width="9.83203125" style="2"/>
  </cols>
  <sheetData>
    <row r="1" spans="1:12" ht="148.5" customHeight="1" x14ac:dyDescent="0.2">
      <c r="B1" s="242" t="s">
        <v>164</v>
      </c>
      <c r="C1" s="242"/>
      <c r="D1" s="242"/>
      <c r="E1" s="242"/>
      <c r="F1" s="242"/>
      <c r="G1" s="242"/>
      <c r="H1" s="242"/>
      <c r="I1" s="242"/>
      <c r="J1" s="242"/>
      <c r="K1" s="242"/>
    </row>
    <row r="2" spans="1:12" s="6" customFormat="1" ht="15" customHeight="1" x14ac:dyDescent="0.25">
      <c r="A2" s="3" t="s">
        <v>1</v>
      </c>
      <c r="B2" s="3" t="s">
        <v>2</v>
      </c>
      <c r="C2" s="3" t="s">
        <v>3</v>
      </c>
      <c r="D2" s="3" t="s">
        <v>114</v>
      </c>
      <c r="E2" s="3" t="s">
        <v>4</v>
      </c>
      <c r="F2" s="4" t="s">
        <v>5</v>
      </c>
      <c r="G2" s="3" t="s">
        <v>6</v>
      </c>
      <c r="H2" s="4" t="s">
        <v>7</v>
      </c>
      <c r="I2" s="4" t="s">
        <v>8</v>
      </c>
      <c r="J2" s="4" t="s">
        <v>115</v>
      </c>
      <c r="K2" s="4" t="s">
        <v>9</v>
      </c>
      <c r="L2" s="5" t="s">
        <v>10</v>
      </c>
    </row>
    <row r="3" spans="1:12" ht="14.25" customHeight="1" x14ac:dyDescent="0.2">
      <c r="L3" s="10"/>
    </row>
    <row r="4" spans="1:12" x14ac:dyDescent="0.2">
      <c r="A4" s="11" t="s">
        <v>12</v>
      </c>
      <c r="B4" s="12"/>
      <c r="C4" s="12"/>
      <c r="D4" s="13"/>
      <c r="E4" s="13"/>
      <c r="F4" s="14"/>
      <c r="G4" s="15"/>
      <c r="H4" s="14"/>
      <c r="I4" s="14"/>
      <c r="J4" s="14"/>
      <c r="K4" s="14"/>
      <c r="L4" s="16"/>
    </row>
    <row r="5" spans="1:12" x14ac:dyDescent="0.2">
      <c r="A5" s="17" t="s">
        <v>165</v>
      </c>
      <c r="L5" s="18"/>
    </row>
    <row r="6" spans="1:12" x14ac:dyDescent="0.2">
      <c r="B6" s="58" t="s">
        <v>117</v>
      </c>
      <c r="H6" s="8">
        <f t="shared" ref="H6" si="0">F6*G6</f>
        <v>0</v>
      </c>
      <c r="I6" s="8">
        <f t="shared" ref="I6" si="1">H6*1.13</f>
        <v>0</v>
      </c>
      <c r="J6" s="8">
        <f>I6*0.75</f>
        <v>0</v>
      </c>
      <c r="L6" s="19"/>
    </row>
    <row r="7" spans="1:12" x14ac:dyDescent="0.2">
      <c r="L7" s="19"/>
    </row>
    <row r="8" spans="1:12" s="26" customFormat="1" x14ac:dyDescent="0.2">
      <c r="A8" s="17"/>
      <c r="B8" s="20" t="s">
        <v>146</v>
      </c>
      <c r="C8" s="21"/>
      <c r="D8" s="22"/>
      <c r="E8" s="22"/>
      <c r="F8" s="23"/>
      <c r="G8" s="24"/>
      <c r="H8" s="23"/>
      <c r="I8" s="23">
        <f>SUM(I6:I6)</f>
        <v>0</v>
      </c>
      <c r="J8" s="23">
        <f>SUM(J6:J6)</f>
        <v>0</v>
      </c>
      <c r="K8" s="23">
        <f>SUM(K6:K6)</f>
        <v>0</v>
      </c>
      <c r="L8" s="25">
        <f>SUM(L6:L6)</f>
        <v>0</v>
      </c>
    </row>
    <row r="9" spans="1:12" x14ac:dyDescent="0.2">
      <c r="L9" s="19"/>
    </row>
    <row r="10" spans="1:12" s="34" customFormat="1" x14ac:dyDescent="0.2">
      <c r="A10" s="27"/>
      <c r="B10" s="28" t="s">
        <v>38</v>
      </c>
      <c r="C10" s="29"/>
      <c r="D10" s="30"/>
      <c r="E10" s="30"/>
      <c r="F10" s="31"/>
      <c r="G10" s="32"/>
      <c r="H10" s="31"/>
      <c r="I10" s="31">
        <f>I8</f>
        <v>0</v>
      </c>
      <c r="J10" s="31">
        <f t="shared" ref="J10:L10" si="2">J8</f>
        <v>0</v>
      </c>
      <c r="K10" s="31">
        <f t="shared" si="2"/>
        <v>0</v>
      </c>
      <c r="L10" s="33">
        <f t="shared" si="2"/>
        <v>0</v>
      </c>
    </row>
    <row r="11" spans="1:12" x14ac:dyDescent="0.2">
      <c r="L11" s="19"/>
    </row>
    <row r="12" spans="1:12" x14ac:dyDescent="0.2">
      <c r="A12" s="11" t="s">
        <v>41</v>
      </c>
      <c r="B12" s="12"/>
      <c r="C12" s="12"/>
      <c r="D12" s="13"/>
      <c r="E12" s="13"/>
      <c r="F12" s="14"/>
      <c r="G12" s="15"/>
      <c r="H12" s="14"/>
      <c r="I12" s="14"/>
      <c r="J12" s="14"/>
      <c r="K12" s="14"/>
      <c r="L12" s="16"/>
    </row>
    <row r="13" spans="1:12" x14ac:dyDescent="0.2">
      <c r="A13" s="17" t="s">
        <v>166</v>
      </c>
      <c r="L13" s="19"/>
    </row>
    <row r="14" spans="1:12" ht="16" x14ac:dyDescent="0.2">
      <c r="B14" s="58">
        <v>7100</v>
      </c>
      <c r="C14" s="51" t="s">
        <v>167</v>
      </c>
      <c r="D14" s="7">
        <v>4</v>
      </c>
      <c r="E14" s="49" t="s">
        <v>168</v>
      </c>
      <c r="F14" s="8">
        <v>25</v>
      </c>
      <c r="G14" s="9">
        <v>8</v>
      </c>
      <c r="H14" s="8">
        <f>F14*G14</f>
        <v>200</v>
      </c>
      <c r="I14" s="8">
        <f>H14*1.13</f>
        <v>225.99999999999997</v>
      </c>
      <c r="J14" s="8">
        <f>I14*1.25</f>
        <v>282.49999999999994</v>
      </c>
      <c r="L14" s="19">
        <v>225</v>
      </c>
    </row>
    <row r="15" spans="1:12" x14ac:dyDescent="0.2">
      <c r="B15" s="58">
        <v>7101</v>
      </c>
      <c r="C15" s="51" t="s">
        <v>169</v>
      </c>
      <c r="D15" s="7">
        <v>4</v>
      </c>
      <c r="E15" s="51" t="s">
        <v>170</v>
      </c>
      <c r="F15" s="8">
        <v>25</v>
      </c>
      <c r="G15" s="9">
        <v>6</v>
      </c>
      <c r="H15" s="8">
        <f t="shared" ref="H15:H16" si="3">F15*G15</f>
        <v>150</v>
      </c>
      <c r="I15" s="8">
        <f t="shared" ref="I15:I16" si="4">H15*1.13</f>
        <v>169.49999999999997</v>
      </c>
      <c r="J15" s="8">
        <f t="shared" ref="J15:J17" si="5">I15*1.25</f>
        <v>211.87499999999997</v>
      </c>
      <c r="L15" s="19">
        <v>150</v>
      </c>
    </row>
    <row r="16" spans="1:12" ht="16" x14ac:dyDescent="0.2">
      <c r="B16" s="58">
        <v>7102</v>
      </c>
      <c r="C16" s="51" t="s">
        <v>171</v>
      </c>
      <c r="D16" s="7">
        <v>2</v>
      </c>
      <c r="E16" s="35" t="s">
        <v>172</v>
      </c>
      <c r="F16" s="8">
        <v>5</v>
      </c>
      <c r="G16" s="9">
        <v>30</v>
      </c>
      <c r="H16" s="8">
        <f t="shared" si="3"/>
        <v>150</v>
      </c>
      <c r="I16" s="8">
        <f t="shared" si="4"/>
        <v>169.49999999999997</v>
      </c>
      <c r="J16" s="8">
        <f t="shared" si="5"/>
        <v>211.87499999999997</v>
      </c>
      <c r="L16" s="19">
        <v>0</v>
      </c>
    </row>
    <row r="17" spans="1:12" ht="16" x14ac:dyDescent="0.2">
      <c r="B17" s="58">
        <v>7103</v>
      </c>
      <c r="C17" s="51" t="s">
        <v>173</v>
      </c>
      <c r="D17" s="7">
        <v>1</v>
      </c>
      <c r="E17" s="49" t="s">
        <v>174</v>
      </c>
      <c r="F17" s="8">
        <v>30</v>
      </c>
      <c r="G17" s="9">
        <v>4</v>
      </c>
      <c r="H17" s="8">
        <f>F17*G17</f>
        <v>120</v>
      </c>
      <c r="I17" s="8">
        <f>H17*1.13*1.18</f>
        <v>160.00799999999998</v>
      </c>
      <c r="J17" s="8">
        <f t="shared" si="5"/>
        <v>200.01</v>
      </c>
      <c r="L17" s="19">
        <v>100</v>
      </c>
    </row>
    <row r="18" spans="1:12" x14ac:dyDescent="0.2">
      <c r="C18" s="51"/>
      <c r="D18" s="7"/>
      <c r="E18" s="35"/>
      <c r="L18" s="19"/>
    </row>
    <row r="19" spans="1:12" s="26" customFormat="1" x14ac:dyDescent="0.2">
      <c r="A19" s="17"/>
      <c r="B19" s="20" t="s">
        <v>175</v>
      </c>
      <c r="C19" s="57"/>
      <c r="D19" s="21"/>
      <c r="E19" s="36"/>
      <c r="F19" s="23"/>
      <c r="G19" s="24"/>
      <c r="H19" s="23"/>
      <c r="I19" s="23">
        <f>SUM(I14:I17)</f>
        <v>725.00799999999981</v>
      </c>
      <c r="J19" s="23">
        <f>SUM(J14:J17)</f>
        <v>906.25999999999988</v>
      </c>
      <c r="K19" s="23">
        <f>SUM(K14:K17)</f>
        <v>0</v>
      </c>
      <c r="L19" s="25">
        <f>SUM(L14:L17)</f>
        <v>475</v>
      </c>
    </row>
    <row r="20" spans="1:12" x14ac:dyDescent="0.2">
      <c r="A20" s="17" t="s">
        <v>176</v>
      </c>
      <c r="C20" s="51"/>
      <c r="D20" s="7"/>
      <c r="E20" s="35"/>
      <c r="L20" s="19"/>
    </row>
    <row r="21" spans="1:12" ht="16" x14ac:dyDescent="0.2">
      <c r="B21" s="58">
        <v>7200</v>
      </c>
      <c r="C21" s="51" t="s">
        <v>177</v>
      </c>
      <c r="D21" s="7">
        <v>3</v>
      </c>
      <c r="E21" s="35" t="s">
        <v>178</v>
      </c>
      <c r="F21" s="8">
        <v>25</v>
      </c>
      <c r="G21" s="9">
        <v>4</v>
      </c>
      <c r="H21" s="8">
        <f>F21*G21</f>
        <v>100</v>
      </c>
      <c r="I21" s="8">
        <f>H21*1.13</f>
        <v>112.99999999999999</v>
      </c>
      <c r="J21" s="8">
        <f>I21*1.25</f>
        <v>141.24999999999997</v>
      </c>
      <c r="L21" s="19">
        <v>75</v>
      </c>
    </row>
    <row r="22" spans="1:12" x14ac:dyDescent="0.2">
      <c r="B22" s="208">
        <v>7201</v>
      </c>
      <c r="C22" s="214" t="s">
        <v>179</v>
      </c>
      <c r="D22" s="215">
        <v>4</v>
      </c>
      <c r="E22" s="216" t="s">
        <v>180</v>
      </c>
      <c r="F22" s="211">
        <v>25</v>
      </c>
      <c r="G22" s="212">
        <v>4</v>
      </c>
      <c r="H22" s="211">
        <f t="shared" ref="H22:H23" si="6">F22*G22</f>
        <v>100</v>
      </c>
      <c r="I22" s="211">
        <f t="shared" ref="I22" si="7">H22*1.13</f>
        <v>112.99999999999999</v>
      </c>
      <c r="J22" s="211">
        <f t="shared" ref="J22:J23" si="8">I22*1.25</f>
        <v>141.24999999999997</v>
      </c>
      <c r="K22" s="211"/>
      <c r="L22" s="213">
        <v>0</v>
      </c>
    </row>
    <row r="23" spans="1:12" ht="16" x14ac:dyDescent="0.2">
      <c r="B23" s="58">
        <v>7202</v>
      </c>
      <c r="C23" s="51" t="s">
        <v>181</v>
      </c>
      <c r="D23" s="7">
        <v>2</v>
      </c>
      <c r="E23" s="35" t="s">
        <v>182</v>
      </c>
      <c r="F23" s="8">
        <v>20</v>
      </c>
      <c r="G23" s="9">
        <v>11</v>
      </c>
      <c r="H23" s="8">
        <f t="shared" si="6"/>
        <v>220</v>
      </c>
      <c r="I23" s="8">
        <f>H23*1.13</f>
        <v>248.59999999999997</v>
      </c>
      <c r="J23" s="8">
        <f t="shared" si="8"/>
        <v>310.74999999999994</v>
      </c>
      <c r="L23" s="19">
        <v>0</v>
      </c>
    </row>
    <row r="24" spans="1:12" x14ac:dyDescent="0.2">
      <c r="C24" s="51"/>
      <c r="D24" s="7"/>
      <c r="E24" s="35"/>
      <c r="L24" s="19"/>
    </row>
    <row r="25" spans="1:12" s="26" customFormat="1" x14ac:dyDescent="0.2">
      <c r="A25" s="17"/>
      <c r="B25" s="56" t="s">
        <v>183</v>
      </c>
      <c r="C25" s="57"/>
      <c r="D25" s="21"/>
      <c r="E25" s="36"/>
      <c r="F25" s="23"/>
      <c r="G25" s="24"/>
      <c r="H25" s="23"/>
      <c r="I25" s="23">
        <f>SUM(I21,I23)</f>
        <v>361.59999999999997</v>
      </c>
      <c r="J25" s="23">
        <f t="shared" ref="J25:L25" si="9">SUM(J21,J23)</f>
        <v>451.99999999999989</v>
      </c>
      <c r="K25" s="23">
        <f t="shared" si="9"/>
        <v>0</v>
      </c>
      <c r="L25" s="25">
        <f t="shared" si="9"/>
        <v>75</v>
      </c>
    </row>
    <row r="26" spans="1:12" x14ac:dyDescent="0.2">
      <c r="A26" s="17" t="s">
        <v>184</v>
      </c>
      <c r="C26" s="51"/>
      <c r="D26" s="7"/>
      <c r="E26" s="35"/>
      <c r="L26" s="19"/>
    </row>
    <row r="27" spans="1:12" x14ac:dyDescent="0.2">
      <c r="B27" s="58">
        <v>7300</v>
      </c>
      <c r="C27" s="51" t="s">
        <v>185</v>
      </c>
      <c r="D27" s="7">
        <v>1</v>
      </c>
      <c r="E27" t="s">
        <v>186</v>
      </c>
      <c r="F27" s="8">
        <v>30</v>
      </c>
      <c r="G27" s="9">
        <v>14</v>
      </c>
      <c r="H27" s="8">
        <f>F27*G27</f>
        <v>420</v>
      </c>
      <c r="I27" s="8">
        <f>H27*1.13*1.18</f>
        <v>560.02799999999991</v>
      </c>
      <c r="J27" s="8">
        <f>I27*1.25</f>
        <v>700.03499999999985</v>
      </c>
      <c r="L27" s="19">
        <f>300+75</f>
        <v>375</v>
      </c>
    </row>
    <row r="28" spans="1:12" x14ac:dyDescent="0.2">
      <c r="C28" s="51"/>
      <c r="L28" s="19"/>
    </row>
    <row r="29" spans="1:12" s="26" customFormat="1" x14ac:dyDescent="0.2">
      <c r="A29" s="17"/>
      <c r="B29" s="20" t="s">
        <v>187</v>
      </c>
      <c r="C29" s="21"/>
      <c r="D29" s="22"/>
      <c r="E29" s="22"/>
      <c r="F29" s="23"/>
      <c r="G29" s="24"/>
      <c r="H29" s="23"/>
      <c r="I29" s="23">
        <f>SUM(I27:I27)</f>
        <v>560.02799999999991</v>
      </c>
      <c r="J29" s="23">
        <f>SUM(J27:J27)</f>
        <v>700.03499999999985</v>
      </c>
      <c r="K29" s="23">
        <f>SUM(K27:K27)</f>
        <v>0</v>
      </c>
      <c r="L29" s="25">
        <f>SUM(L27:L27)</f>
        <v>375</v>
      </c>
    </row>
    <row r="30" spans="1:12" x14ac:dyDescent="0.2">
      <c r="L30" s="19"/>
    </row>
    <row r="31" spans="1:12" s="34" customFormat="1" x14ac:dyDescent="0.2">
      <c r="A31" s="27"/>
      <c r="B31" s="28" t="s">
        <v>108</v>
      </c>
      <c r="C31" s="29"/>
      <c r="D31" s="30"/>
      <c r="E31" s="30"/>
      <c r="F31" s="31"/>
      <c r="G31" s="32"/>
      <c r="H31" s="31"/>
      <c r="I31" s="31">
        <f>SUM(I19,I25,I29)</f>
        <v>1646.6359999999995</v>
      </c>
      <c r="J31" s="31">
        <f>SUM(J19,J25,J29)</f>
        <v>2058.2949999999996</v>
      </c>
      <c r="K31" s="31">
        <f>SUM(K19,K25,K29)</f>
        <v>0</v>
      </c>
      <c r="L31" s="33">
        <f>SUM(L19,L25,L29)</f>
        <v>925</v>
      </c>
    </row>
    <row r="32" spans="1:12" x14ac:dyDescent="0.2">
      <c r="L32" s="19"/>
    </row>
    <row r="33" spans="1:12" x14ac:dyDescent="0.2">
      <c r="A33" s="11" t="s">
        <v>109</v>
      </c>
      <c r="B33" s="12"/>
      <c r="C33" s="12"/>
      <c r="D33" s="13"/>
      <c r="E33" s="13"/>
      <c r="F33" s="14"/>
      <c r="G33" s="15"/>
      <c r="H33" s="14"/>
      <c r="I33" s="14"/>
      <c r="J33" s="14"/>
      <c r="K33" s="14"/>
      <c r="L33" s="16"/>
    </row>
    <row r="34" spans="1:12" s="26" customFormat="1" x14ac:dyDescent="0.2">
      <c r="A34" s="17"/>
      <c r="B34" s="166" t="s">
        <v>110</v>
      </c>
      <c r="C34" s="166"/>
      <c r="D34" s="17"/>
      <c r="E34" s="17"/>
      <c r="F34" s="37"/>
      <c r="G34" s="38"/>
      <c r="H34" s="37"/>
      <c r="I34" s="37">
        <f>I10</f>
        <v>0</v>
      </c>
      <c r="J34" s="37">
        <f>J10</f>
        <v>0</v>
      </c>
      <c r="K34" s="37">
        <f>K10</f>
        <v>0</v>
      </c>
      <c r="L34" s="39">
        <f>L10</f>
        <v>0</v>
      </c>
    </row>
    <row r="35" spans="1:12" s="26" customFormat="1" x14ac:dyDescent="0.2">
      <c r="A35" s="17"/>
      <c r="B35" s="166" t="s">
        <v>111</v>
      </c>
      <c r="C35" s="166"/>
      <c r="D35" s="17"/>
      <c r="E35" s="17"/>
      <c r="F35" s="37"/>
      <c r="G35" s="38"/>
      <c r="H35" s="37"/>
      <c r="I35" s="37">
        <f>I31</f>
        <v>1646.6359999999995</v>
      </c>
      <c r="J35" s="37">
        <f>J31</f>
        <v>2058.2949999999996</v>
      </c>
      <c r="K35" s="37">
        <f>K31</f>
        <v>0</v>
      </c>
      <c r="L35" s="40">
        <f>L31</f>
        <v>925</v>
      </c>
    </row>
    <row r="36" spans="1:12" s="26" customFormat="1" x14ac:dyDescent="0.2">
      <c r="A36" s="41"/>
      <c r="B36" s="42" t="s">
        <v>112</v>
      </c>
      <c r="C36" s="42"/>
      <c r="D36" s="41"/>
      <c r="E36" s="41"/>
      <c r="F36" s="43"/>
      <c r="G36" s="44"/>
      <c r="H36" s="43"/>
      <c r="I36" s="43">
        <f>SUM(I34,I35*-1)</f>
        <v>-1646.6359999999995</v>
      </c>
      <c r="J36" s="43">
        <f t="shared" ref="J36:L36" si="10">SUM(J34,J35*-1)</f>
        <v>-2058.2949999999996</v>
      </c>
      <c r="K36" s="43">
        <f t="shared" si="10"/>
        <v>0</v>
      </c>
      <c r="L36" s="45">
        <f t="shared" si="10"/>
        <v>-925</v>
      </c>
    </row>
    <row r="39" spans="1:12" x14ac:dyDescent="0.2">
      <c r="B39" s="51"/>
    </row>
  </sheetData>
  <mergeCells count="1">
    <mergeCell ref="B1:K1"/>
  </mergeCells>
  <conditionalFormatting sqref="B18:L19 D14:D16 F14:L16 B26:D27 F26:L27 B6:L8 H17:L17 B14:B17 B28:L36 B23:L25">
    <cfRule type="expression" dxfId="121" priority="14">
      <formula>MOD($B6,2)=1</formula>
    </cfRule>
  </conditionalFormatting>
  <conditionalFormatting sqref="B9:L11">
    <cfRule type="expression" dxfId="120" priority="13">
      <formula>MOD($B9,2)=1</formula>
    </cfRule>
  </conditionalFormatting>
  <conditionalFormatting sqref="B20:L21">
    <cfRule type="expression" dxfId="119" priority="12">
      <formula>MOD($B20,2)=1</formula>
    </cfRule>
  </conditionalFormatting>
  <conditionalFormatting sqref="E26">
    <cfRule type="expression" dxfId="118" priority="15">
      <formula>MOD($B27,2)=1</formula>
    </cfRule>
  </conditionalFormatting>
  <conditionalFormatting sqref="C14:C16">
    <cfRule type="expression" dxfId="117" priority="11">
      <formula>MOD($B14,2)=1</formula>
    </cfRule>
  </conditionalFormatting>
  <conditionalFormatting sqref="E15">
    <cfRule type="expression" dxfId="116" priority="10">
      <formula>MOD($B15,2)=1</formula>
    </cfRule>
  </conditionalFormatting>
  <conditionalFormatting sqref="D17:G17">
    <cfRule type="expression" dxfId="115" priority="9">
      <formula>MOD($B17,2)=1</formula>
    </cfRule>
  </conditionalFormatting>
  <conditionalFormatting sqref="C17">
    <cfRule type="expression" dxfId="114" priority="8">
      <formula>MOD($B17,2)=1</formula>
    </cfRule>
  </conditionalFormatting>
  <pageMargins left="0.7" right="0.7" top="0.75" bottom="0.75" header="0.3" footer="0.3"/>
  <pageSetup scale="26" fitToWidth="0" fitToHeight="0"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F25D1D-71C6-4915-AEE7-441A72D82422}">
  <sheetPr codeName="Sheet16"/>
  <dimension ref="A1:P39"/>
  <sheetViews>
    <sheetView showGridLines="0" zoomScale="56" zoomScaleNormal="56" workbookViewId="0">
      <pane ySplit="2" topLeftCell="A3" activePane="bottomLeft" state="frozen"/>
      <selection pane="bottomLeft" activeCell="I38" sqref="I38"/>
    </sheetView>
  </sheetViews>
  <sheetFormatPr baseColWidth="10" defaultColWidth="9.5" defaultRowHeight="15" x14ac:dyDescent="0.2"/>
  <cols>
    <col min="1" max="1" width="29.5" customWidth="1"/>
    <col min="2" max="2" width="25.5" style="7" customWidth="1"/>
    <col min="3" max="3" width="23.1640625" style="7" customWidth="1"/>
    <col min="4" max="4" width="25" style="48" customWidth="1"/>
    <col min="5" max="5" width="47.5" customWidth="1"/>
    <col min="6" max="6" width="15.1640625" style="8" customWidth="1"/>
    <col min="7" max="7" width="15.1640625" style="9" customWidth="1"/>
    <col min="8" max="8" width="19.1640625" style="8" customWidth="1"/>
    <col min="9" max="9" width="18.1640625" style="8" customWidth="1"/>
    <col min="10" max="11" width="20.5" style="8" customWidth="1"/>
    <col min="12" max="12" width="20.83203125" style="1" customWidth="1"/>
    <col min="13" max="16384" width="9.5" style="2"/>
  </cols>
  <sheetData>
    <row r="1" spans="1:12" ht="148.5" customHeight="1" x14ac:dyDescent="0.2">
      <c r="B1" s="242" t="s">
        <v>188</v>
      </c>
      <c r="C1" s="242"/>
      <c r="D1" s="242"/>
      <c r="E1" s="242"/>
      <c r="F1" s="242"/>
      <c r="G1" s="242"/>
      <c r="H1" s="242"/>
      <c r="I1" s="242"/>
      <c r="J1" s="242"/>
      <c r="K1" s="242"/>
    </row>
    <row r="2" spans="1:12" s="6" customFormat="1" ht="15" customHeight="1" x14ac:dyDescent="0.25">
      <c r="A2" s="3" t="s">
        <v>1</v>
      </c>
      <c r="B2" s="3" t="s">
        <v>2</v>
      </c>
      <c r="C2" s="3" t="s">
        <v>3</v>
      </c>
      <c r="D2" s="60" t="s">
        <v>114</v>
      </c>
      <c r="E2" s="3" t="s">
        <v>4</v>
      </c>
      <c r="F2" s="4" t="s">
        <v>5</v>
      </c>
      <c r="G2" s="3" t="s">
        <v>6</v>
      </c>
      <c r="H2" s="4" t="s">
        <v>7</v>
      </c>
      <c r="I2" s="4" t="s">
        <v>8</v>
      </c>
      <c r="J2" s="4" t="s">
        <v>115</v>
      </c>
      <c r="K2" s="4" t="s">
        <v>9</v>
      </c>
      <c r="L2" s="5" t="s">
        <v>10</v>
      </c>
    </row>
    <row r="3" spans="1:12" ht="14.25" customHeight="1" x14ac:dyDescent="0.2">
      <c r="L3" s="10"/>
    </row>
    <row r="4" spans="1:12" ht="15" customHeight="1" x14ac:dyDescent="0.2">
      <c r="A4" s="11" t="s">
        <v>12</v>
      </c>
      <c r="B4" s="12"/>
      <c r="C4" s="12"/>
      <c r="D4" s="61"/>
      <c r="E4" s="13"/>
      <c r="F4" s="14"/>
      <c r="G4" s="15"/>
      <c r="H4" s="14"/>
      <c r="I4" s="14"/>
      <c r="J4" s="14"/>
      <c r="K4" s="14"/>
      <c r="L4" s="16"/>
    </row>
    <row r="5" spans="1:12" x14ac:dyDescent="0.2">
      <c r="A5" s="17" t="s">
        <v>189</v>
      </c>
      <c r="L5" s="18"/>
    </row>
    <row r="6" spans="1:12" x14ac:dyDescent="0.2">
      <c r="B6" s="7" t="s">
        <v>117</v>
      </c>
      <c r="H6" s="8">
        <f>F6*G6</f>
        <v>0</v>
      </c>
      <c r="I6" s="8">
        <f>H6*1.13</f>
        <v>0</v>
      </c>
      <c r="J6" s="8">
        <f>I6*0.75</f>
        <v>0</v>
      </c>
      <c r="L6" s="19"/>
    </row>
    <row r="7" spans="1:12" x14ac:dyDescent="0.2">
      <c r="L7" s="19"/>
    </row>
    <row r="8" spans="1:12" s="26" customFormat="1" x14ac:dyDescent="0.2">
      <c r="A8" s="17"/>
      <c r="B8" s="20" t="s">
        <v>146</v>
      </c>
      <c r="C8" s="21"/>
      <c r="D8" s="62"/>
      <c r="E8" s="22"/>
      <c r="F8" s="23"/>
      <c r="G8" s="24"/>
      <c r="H8" s="23"/>
      <c r="I8" s="23">
        <f>SUM(I6:I6)</f>
        <v>0</v>
      </c>
      <c r="J8" s="23">
        <f>SUM(J6:J6)</f>
        <v>0</v>
      </c>
      <c r="K8" s="23">
        <f>SUM(K6:K6)</f>
        <v>0</v>
      </c>
      <c r="L8" s="25">
        <f>SUM(L6:L6)</f>
        <v>0</v>
      </c>
    </row>
    <row r="9" spans="1:12" x14ac:dyDescent="0.2">
      <c r="L9" s="19"/>
    </row>
    <row r="10" spans="1:12" s="34" customFormat="1" x14ac:dyDescent="0.2">
      <c r="A10" s="27"/>
      <c r="B10" s="28" t="s">
        <v>38</v>
      </c>
      <c r="C10" s="29"/>
      <c r="D10" s="63"/>
      <c r="E10" s="30"/>
      <c r="F10" s="31"/>
      <c r="G10" s="32"/>
      <c r="H10" s="31"/>
      <c r="I10" s="31">
        <f>SumBold(I5:I9)</f>
        <v>0</v>
      </c>
      <c r="J10" s="31">
        <f>SumBold(J5:J9)</f>
        <v>0</v>
      </c>
      <c r="K10" s="31">
        <f>SumBold(K5:K9)</f>
        <v>0</v>
      </c>
      <c r="L10" s="33">
        <f>SumBold(L5:L9)</f>
        <v>0</v>
      </c>
    </row>
    <row r="11" spans="1:12" x14ac:dyDescent="0.2">
      <c r="L11" s="19"/>
    </row>
    <row r="12" spans="1:12" ht="15" customHeight="1" x14ac:dyDescent="0.2">
      <c r="A12" s="11" t="s">
        <v>41</v>
      </c>
      <c r="B12" s="12"/>
      <c r="C12" s="12"/>
      <c r="D12" s="61"/>
      <c r="E12" s="13"/>
      <c r="F12" s="14"/>
      <c r="G12" s="15"/>
      <c r="H12" s="14"/>
      <c r="I12" s="14"/>
      <c r="J12" s="14"/>
      <c r="K12" s="14"/>
      <c r="L12" s="16"/>
    </row>
    <row r="13" spans="1:12" x14ac:dyDescent="0.2">
      <c r="A13" s="17" t="s">
        <v>190</v>
      </c>
      <c r="L13" s="19"/>
    </row>
    <row r="14" spans="1:12" x14ac:dyDescent="0.2">
      <c r="B14" s="7">
        <v>70100</v>
      </c>
      <c r="C14" s="68" t="s">
        <v>191</v>
      </c>
      <c r="D14" s="48">
        <v>17</v>
      </c>
      <c r="E14" s="7" t="s">
        <v>192</v>
      </c>
      <c r="F14" s="8">
        <v>45</v>
      </c>
      <c r="G14" s="9">
        <v>25</v>
      </c>
      <c r="H14" s="8">
        <f>F14*G14</f>
        <v>1125</v>
      </c>
      <c r="I14" s="8">
        <f>H14*1.13</f>
        <v>1271.2499999999998</v>
      </c>
      <c r="J14" s="8">
        <f>I14*1.25</f>
        <v>1589.0624999999998</v>
      </c>
      <c r="L14" s="19"/>
    </row>
    <row r="15" spans="1:12" x14ac:dyDescent="0.2">
      <c r="B15" s="7">
        <v>70101</v>
      </c>
      <c r="C15" s="68" t="s">
        <v>193</v>
      </c>
      <c r="D15" s="48">
        <v>16</v>
      </c>
      <c r="E15" t="s">
        <v>194</v>
      </c>
      <c r="F15" s="8">
        <v>30</v>
      </c>
      <c r="G15" s="9">
        <v>4</v>
      </c>
      <c r="H15" s="8">
        <f>F15*G15</f>
        <v>120</v>
      </c>
      <c r="I15" s="8">
        <f>H15*1.13</f>
        <v>135.6</v>
      </c>
      <c r="J15" s="8">
        <f>I15*1.25</f>
        <v>169.5</v>
      </c>
      <c r="L15" s="19"/>
    </row>
    <row r="16" spans="1:12" x14ac:dyDescent="0.2">
      <c r="C16" s="68"/>
      <c r="L16" s="19"/>
    </row>
    <row r="17" spans="1:16" s="26" customFormat="1" x14ac:dyDescent="0.2">
      <c r="A17" s="17"/>
      <c r="B17" s="20" t="s">
        <v>195</v>
      </c>
      <c r="C17" s="73"/>
      <c r="D17" s="62"/>
      <c r="E17" s="22"/>
      <c r="F17" s="23"/>
      <c r="G17" s="24"/>
      <c r="H17" s="23"/>
      <c r="I17" s="23">
        <f>SUM(I14:I15)</f>
        <v>1406.8499999999997</v>
      </c>
      <c r="J17" s="23">
        <f>SUM(J14:J15)</f>
        <v>1758.5624999999998</v>
      </c>
      <c r="K17" s="23">
        <f>SUM(K14:K15)</f>
        <v>0</v>
      </c>
      <c r="L17" s="25">
        <f>SUM(L14:L15)</f>
        <v>0</v>
      </c>
    </row>
    <row r="18" spans="1:16" x14ac:dyDescent="0.2">
      <c r="A18" s="17" t="s">
        <v>196</v>
      </c>
      <c r="C18" s="68"/>
      <c r="L18" s="19"/>
      <c r="M18" s="250"/>
      <c r="N18" s="250"/>
      <c r="O18" s="250"/>
      <c r="P18" s="250"/>
    </row>
    <row r="19" spans="1:16" x14ac:dyDescent="0.2">
      <c r="B19" s="7">
        <v>70200</v>
      </c>
      <c r="C19" s="68" t="s">
        <v>197</v>
      </c>
      <c r="D19" s="48">
        <v>12</v>
      </c>
      <c r="E19" t="s">
        <v>198</v>
      </c>
      <c r="F19" s="8">
        <v>10.25</v>
      </c>
      <c r="G19" s="9">
        <v>4</v>
      </c>
      <c r="H19" s="8">
        <f t="shared" ref="H19:H22" si="0">F19*G19</f>
        <v>41</v>
      </c>
      <c r="I19" s="8">
        <f t="shared" ref="I19:I22" si="1">H19*1.13</f>
        <v>46.33</v>
      </c>
      <c r="J19" s="8">
        <f t="shared" ref="J19:J22" si="2">I19*1.25</f>
        <v>57.912499999999994</v>
      </c>
      <c r="L19" s="19"/>
      <c r="M19" s="250"/>
      <c r="N19" s="250"/>
      <c r="O19" s="250"/>
      <c r="P19" s="250"/>
    </row>
    <row r="20" spans="1:16" x14ac:dyDescent="0.2">
      <c r="B20" s="158">
        <v>70201</v>
      </c>
      <c r="C20" s="68" t="s">
        <v>199</v>
      </c>
      <c r="D20" s="159">
        <v>13</v>
      </c>
      <c r="E20" t="s">
        <v>200</v>
      </c>
      <c r="F20" s="8">
        <v>23.99</v>
      </c>
      <c r="G20" s="9">
        <v>1</v>
      </c>
      <c r="H20" s="8">
        <f t="shared" si="0"/>
        <v>23.99</v>
      </c>
      <c r="I20" s="8">
        <f t="shared" si="1"/>
        <v>27.108699999999995</v>
      </c>
      <c r="J20" s="8">
        <f t="shared" si="2"/>
        <v>33.885874999999992</v>
      </c>
      <c r="L20" s="19"/>
      <c r="M20" s="250"/>
      <c r="N20" s="250"/>
      <c r="O20" s="250"/>
      <c r="P20" s="250"/>
    </row>
    <row r="21" spans="1:16" x14ac:dyDescent="0.2">
      <c r="B21" s="7">
        <v>70202</v>
      </c>
      <c r="C21" s="68" t="s">
        <v>201</v>
      </c>
      <c r="D21" s="104">
        <v>7</v>
      </c>
      <c r="E21" t="s">
        <v>202</v>
      </c>
      <c r="F21" s="8">
        <v>10</v>
      </c>
      <c r="G21" s="9">
        <v>1</v>
      </c>
      <c r="H21" s="8">
        <f t="shared" si="0"/>
        <v>10</v>
      </c>
      <c r="I21" s="8">
        <f t="shared" si="1"/>
        <v>11.299999999999999</v>
      </c>
      <c r="J21" s="8">
        <f t="shared" si="2"/>
        <v>14.124999999999998</v>
      </c>
      <c r="L21" s="19"/>
      <c r="M21" s="250"/>
      <c r="N21" s="250"/>
      <c r="O21" s="250"/>
      <c r="P21" s="250"/>
    </row>
    <row r="22" spans="1:16" x14ac:dyDescent="0.2">
      <c r="B22" s="158">
        <v>70203</v>
      </c>
      <c r="C22" s="68" t="s">
        <v>203</v>
      </c>
      <c r="D22" s="159">
        <v>8</v>
      </c>
      <c r="E22" t="s">
        <v>204</v>
      </c>
      <c r="F22" s="8">
        <v>50</v>
      </c>
      <c r="G22" s="9">
        <v>1</v>
      </c>
      <c r="H22" s="8">
        <f t="shared" si="0"/>
        <v>50</v>
      </c>
      <c r="I22" s="8">
        <f t="shared" si="1"/>
        <v>56.499999999999993</v>
      </c>
      <c r="J22" s="8">
        <f t="shared" si="2"/>
        <v>70.624999999999986</v>
      </c>
      <c r="L22" s="19"/>
      <c r="M22" s="250"/>
      <c r="N22" s="250"/>
      <c r="O22" s="250"/>
      <c r="P22" s="250"/>
    </row>
    <row r="23" spans="1:16" x14ac:dyDescent="0.2">
      <c r="C23" s="68"/>
      <c r="D23" s="104"/>
      <c r="L23" s="19"/>
      <c r="M23" s="250"/>
      <c r="N23" s="250"/>
      <c r="O23" s="250"/>
      <c r="P23" s="250"/>
    </row>
    <row r="24" spans="1:16" s="26" customFormat="1" x14ac:dyDescent="0.2">
      <c r="A24" s="17"/>
      <c r="B24" s="20" t="s">
        <v>205</v>
      </c>
      <c r="C24" s="73"/>
      <c r="D24" s="62"/>
      <c r="E24" s="22"/>
      <c r="F24" s="23"/>
      <c r="G24" s="24"/>
      <c r="H24" s="23"/>
      <c r="I24" s="23">
        <f>SUM(I19:I22)</f>
        <v>141.23869999999999</v>
      </c>
      <c r="J24" s="23">
        <f>SUM(J19:J22)</f>
        <v>176.54837499999996</v>
      </c>
      <c r="K24" s="23">
        <f>SUM(K19:K20)</f>
        <v>0</v>
      </c>
      <c r="L24" s="25">
        <f>SUM(L19:L20)</f>
        <v>0</v>
      </c>
    </row>
    <row r="25" spans="1:16" x14ac:dyDescent="0.2">
      <c r="A25" s="17" t="s">
        <v>206</v>
      </c>
      <c r="C25" s="68"/>
      <c r="L25" s="19"/>
    </row>
    <row r="26" spans="1:16" x14ac:dyDescent="0.2">
      <c r="B26" s="7">
        <v>70300</v>
      </c>
      <c r="C26" s="68" t="s">
        <v>207</v>
      </c>
      <c r="D26" s="48">
        <v>4</v>
      </c>
      <c r="E26" t="s">
        <v>208</v>
      </c>
      <c r="F26" s="8">
        <v>50</v>
      </c>
      <c r="G26" s="9">
        <v>1</v>
      </c>
      <c r="H26" s="8">
        <f t="shared" ref="H26:H30" si="3">F26*G26</f>
        <v>50</v>
      </c>
      <c r="I26" s="8">
        <f>H26*1.13</f>
        <v>56.499999999999993</v>
      </c>
      <c r="J26" s="8">
        <f t="shared" ref="J26:J30" si="4">I26*1.25</f>
        <v>70.624999999999986</v>
      </c>
      <c r="L26" s="19"/>
    </row>
    <row r="27" spans="1:16" x14ac:dyDescent="0.2">
      <c r="B27" s="7">
        <v>70301</v>
      </c>
      <c r="C27" s="68" t="s">
        <v>209</v>
      </c>
      <c r="D27" s="48">
        <v>3</v>
      </c>
      <c r="E27" t="s">
        <v>210</v>
      </c>
      <c r="F27" s="8">
        <v>200</v>
      </c>
      <c r="G27" s="9">
        <v>1</v>
      </c>
      <c r="H27" s="8">
        <f t="shared" si="3"/>
        <v>200</v>
      </c>
      <c r="I27" s="8">
        <f>H27*1.13</f>
        <v>225.99999999999997</v>
      </c>
      <c r="J27" s="8">
        <f t="shared" si="4"/>
        <v>282.49999999999994</v>
      </c>
      <c r="L27" s="19"/>
    </row>
    <row r="28" spans="1:16" x14ac:dyDescent="0.2">
      <c r="B28" s="7">
        <v>70302</v>
      </c>
      <c r="C28" s="68" t="s">
        <v>211</v>
      </c>
      <c r="D28" s="48">
        <v>5</v>
      </c>
      <c r="E28" t="s">
        <v>212</v>
      </c>
      <c r="F28" s="8">
        <v>50</v>
      </c>
      <c r="G28" s="9">
        <v>1</v>
      </c>
      <c r="H28" s="8">
        <f t="shared" si="3"/>
        <v>50</v>
      </c>
      <c r="I28" s="8">
        <f>H28+1.13</f>
        <v>51.13</v>
      </c>
      <c r="J28" s="8">
        <f t="shared" si="4"/>
        <v>63.912500000000001</v>
      </c>
      <c r="L28" s="19"/>
    </row>
    <row r="29" spans="1:16" x14ac:dyDescent="0.2">
      <c r="B29" s="7">
        <v>70303</v>
      </c>
      <c r="C29" s="68" t="s">
        <v>213</v>
      </c>
      <c r="D29" s="48">
        <v>11</v>
      </c>
      <c r="E29" t="s">
        <v>214</v>
      </c>
      <c r="F29" s="8">
        <v>454.59</v>
      </c>
      <c r="G29" s="9">
        <v>10</v>
      </c>
      <c r="H29" s="8">
        <f t="shared" si="3"/>
        <v>4545.8999999999996</v>
      </c>
      <c r="I29" s="8">
        <f>H29*1.13</f>
        <v>5136.8669999999993</v>
      </c>
      <c r="J29" s="8">
        <f t="shared" si="4"/>
        <v>6421.0837499999989</v>
      </c>
      <c r="L29" s="19"/>
    </row>
    <row r="30" spans="1:16" x14ac:dyDescent="0.2">
      <c r="B30" s="7">
        <v>70304</v>
      </c>
      <c r="C30" s="68" t="s">
        <v>215</v>
      </c>
      <c r="D30" s="48">
        <v>9</v>
      </c>
      <c r="E30" t="s">
        <v>216</v>
      </c>
      <c r="F30" s="8">
        <v>16.989999999999998</v>
      </c>
      <c r="G30" s="9">
        <v>7</v>
      </c>
      <c r="H30" s="8">
        <f t="shared" si="3"/>
        <v>118.92999999999999</v>
      </c>
      <c r="I30" s="8">
        <f>H30*1.13</f>
        <v>134.39089999999999</v>
      </c>
      <c r="J30" s="8">
        <f t="shared" si="4"/>
        <v>167.98862499999998</v>
      </c>
      <c r="L30" s="19"/>
    </row>
    <row r="31" spans="1:16" x14ac:dyDescent="0.2">
      <c r="C31"/>
      <c r="L31" s="19"/>
    </row>
    <row r="32" spans="1:16" s="26" customFormat="1" x14ac:dyDescent="0.2">
      <c r="A32" s="17"/>
      <c r="B32" s="20" t="s">
        <v>217</v>
      </c>
      <c r="C32" s="21"/>
      <c r="D32" s="62"/>
      <c r="E32" s="22"/>
      <c r="F32" s="23"/>
      <c r="G32" s="24"/>
      <c r="H32" s="23"/>
      <c r="I32" s="23">
        <f>SUM(I26:I30)</f>
        <v>5604.8878999999997</v>
      </c>
      <c r="J32" s="23">
        <f>SUM(J26:J30)</f>
        <v>7006.1098749999992</v>
      </c>
      <c r="K32" s="23">
        <f>SUM(K26:K28)</f>
        <v>0</v>
      </c>
      <c r="L32" s="25">
        <f>SUM(L26:L28)</f>
        <v>0</v>
      </c>
    </row>
    <row r="33" spans="1:12" x14ac:dyDescent="0.2">
      <c r="L33" s="19"/>
    </row>
    <row r="34" spans="1:12" s="34" customFormat="1" x14ac:dyDescent="0.2">
      <c r="A34" s="27"/>
      <c r="B34" s="28" t="s">
        <v>108</v>
      </c>
      <c r="C34" s="29"/>
      <c r="D34" s="63"/>
      <c r="E34" s="30"/>
      <c r="F34" s="31"/>
      <c r="G34" s="32"/>
      <c r="H34" s="31"/>
      <c r="I34" s="31">
        <f>SumBold(I13:I33)</f>
        <v>7152.9766</v>
      </c>
      <c r="J34" s="31">
        <f>SumBold(J13:J33)</f>
        <v>8941.2207999999991</v>
      </c>
      <c r="K34" s="31">
        <f>SumBold(K13:K33)</f>
        <v>0</v>
      </c>
      <c r="L34" s="33">
        <f>SumBold(L13:L33)</f>
        <v>0</v>
      </c>
    </row>
    <row r="35" spans="1:12" x14ac:dyDescent="0.2">
      <c r="L35" s="19"/>
    </row>
    <row r="36" spans="1:12" ht="15" customHeight="1" x14ac:dyDescent="0.2">
      <c r="A36" s="11" t="s">
        <v>109</v>
      </c>
      <c r="B36" s="12"/>
      <c r="C36" s="12"/>
      <c r="D36" s="61"/>
      <c r="E36" s="13"/>
      <c r="F36" s="14"/>
      <c r="G36" s="15"/>
      <c r="H36" s="14"/>
      <c r="I36" s="14"/>
      <c r="J36" s="14"/>
      <c r="K36" s="14"/>
      <c r="L36" s="16"/>
    </row>
    <row r="37" spans="1:12" s="26" customFormat="1" x14ac:dyDescent="0.2">
      <c r="A37" s="17"/>
      <c r="B37" s="166" t="s">
        <v>110</v>
      </c>
      <c r="C37" s="166"/>
      <c r="D37" s="64"/>
      <c r="E37" s="17"/>
      <c r="F37" s="37"/>
      <c r="G37" s="38"/>
      <c r="H37" s="37"/>
      <c r="I37" s="37">
        <f>I10</f>
        <v>0</v>
      </c>
      <c r="J37" s="37">
        <f>J10</f>
        <v>0</v>
      </c>
      <c r="K37" s="37">
        <f>K10</f>
        <v>0</v>
      </c>
      <c r="L37" s="39">
        <f>L10</f>
        <v>0</v>
      </c>
    </row>
    <row r="38" spans="1:12" s="26" customFormat="1" x14ac:dyDescent="0.2">
      <c r="A38" s="17"/>
      <c r="B38" s="166" t="s">
        <v>111</v>
      </c>
      <c r="C38" s="166"/>
      <c r="D38" s="64"/>
      <c r="E38" s="17"/>
      <c r="F38" s="37"/>
      <c r="G38" s="38"/>
      <c r="H38" s="37"/>
      <c r="I38" s="37">
        <f>I34</f>
        <v>7152.9766</v>
      </c>
      <c r="J38" s="37">
        <f t="shared" ref="J38:L38" si="5">J34</f>
        <v>8941.2207999999991</v>
      </c>
      <c r="K38" s="37">
        <f t="shared" si="5"/>
        <v>0</v>
      </c>
      <c r="L38" s="37">
        <f t="shared" si="5"/>
        <v>0</v>
      </c>
    </row>
    <row r="39" spans="1:12" s="26" customFormat="1" x14ac:dyDescent="0.2">
      <c r="A39" s="41"/>
      <c r="B39" s="42" t="s">
        <v>112</v>
      </c>
      <c r="C39" s="42"/>
      <c r="D39" s="65"/>
      <c r="E39" s="41"/>
      <c r="F39" s="43"/>
      <c r="G39" s="44"/>
      <c r="H39" s="43"/>
      <c r="I39" s="43">
        <f>SUM(I37,I38*-1)</f>
        <v>-7152.9766</v>
      </c>
      <c r="J39" s="43">
        <f>SUM(J37,J38*-1)</f>
        <v>-8941.2207999999991</v>
      </c>
      <c r="K39" s="43">
        <f>SUM(K37,K38*-1)</f>
        <v>0</v>
      </c>
      <c r="L39" s="45">
        <f>SUM(L37,L38*-1)</f>
        <v>0</v>
      </c>
    </row>
  </sheetData>
  <mergeCells count="2">
    <mergeCell ref="B1:K1"/>
    <mergeCell ref="M18:P23"/>
  </mergeCells>
  <conditionalFormatting sqref="B14:D14 F14:L14 B21 B24:L26 D31:L31 B31 B27:D27 F27:L27 F21:J21 B23:C23 E23:L23 B6:L8 B32:L39 B28:L28 B15:L20">
    <cfRule type="expression" dxfId="113" priority="10">
      <formula>MOD($B6,2)=1</formula>
    </cfRule>
  </conditionalFormatting>
  <conditionalFormatting sqref="B9:L11">
    <cfRule type="expression" dxfId="112" priority="8">
      <formula>MOD($B9,2)=1</formula>
    </cfRule>
  </conditionalFormatting>
  <conditionalFormatting sqref="E14">
    <cfRule type="expression" dxfId="111" priority="7">
      <formula>MOD($B14,2)=1</formula>
    </cfRule>
  </conditionalFormatting>
  <conditionalFormatting sqref="C21 E21 D20 K21:L21">
    <cfRule type="expression" dxfId="110" priority="11">
      <formula>MOD(#REF!,2)=1</formula>
    </cfRule>
  </conditionalFormatting>
  <conditionalFormatting sqref="B22:L22">
    <cfRule type="expression" dxfId="109" priority="5">
      <formula>MOD($B22,2)=1</formula>
    </cfRule>
  </conditionalFormatting>
  <conditionalFormatting sqref="D22">
    <cfRule type="expression" dxfId="108" priority="6">
      <formula>MOD(#REF!,2)=1</formula>
    </cfRule>
  </conditionalFormatting>
  <conditionalFormatting sqref="E27">
    <cfRule type="expression" dxfId="107" priority="4">
      <formula>MOD($B27,2)=1</formula>
    </cfRule>
  </conditionalFormatting>
  <conditionalFormatting sqref="C31">
    <cfRule type="expression" dxfId="106" priority="3">
      <formula>MOD($B31,2)=1</formula>
    </cfRule>
  </conditionalFormatting>
  <conditionalFormatting sqref="B29:D30 F29:L30">
    <cfRule type="expression" dxfId="105" priority="2">
      <formula>MOD($B29,2)=1</formula>
    </cfRule>
  </conditionalFormatting>
  <conditionalFormatting sqref="E29:E30">
    <cfRule type="expression" dxfId="104" priority="1">
      <formula>MOD($B29,2)=1</formula>
    </cfRule>
  </conditionalFormatting>
  <pageMargins left="0.7" right="0.7" top="0.75" bottom="0.75" header="0.3" footer="0.3"/>
  <pageSetup scale="26" fitToWidth="0" fitToHeight="0"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832F0-7740-4AC7-8830-0CC9C4AADA27}">
  <sheetPr codeName="Sheet4"/>
  <dimension ref="A1:Q48"/>
  <sheetViews>
    <sheetView showGridLines="0" topLeftCell="E1" zoomScale="63" zoomScaleNormal="60" workbookViewId="0">
      <pane ySplit="2" topLeftCell="A6" activePane="bottomLeft" state="frozen"/>
      <selection pane="bottomLeft" activeCell="J18" sqref="J18"/>
    </sheetView>
  </sheetViews>
  <sheetFormatPr baseColWidth="10" defaultColWidth="9.83203125" defaultRowHeight="15" x14ac:dyDescent="0.2"/>
  <cols>
    <col min="1" max="1" width="37" customWidth="1"/>
    <col min="2" max="2" width="23.5" style="58" customWidth="1"/>
    <col min="3" max="3" width="28.6640625" style="68" customWidth="1"/>
    <col min="4" max="4" width="20.5" customWidth="1"/>
    <col min="5" max="5" width="57.1640625" style="68" customWidth="1"/>
    <col min="6" max="6" width="15.5" style="8" customWidth="1"/>
    <col min="7" max="7" width="15.5" style="9" customWidth="1"/>
    <col min="8" max="8" width="19.5" style="8" customWidth="1"/>
    <col min="9" max="9" width="18.5" style="8" customWidth="1"/>
    <col min="10" max="11" width="21" style="8" customWidth="1"/>
    <col min="12" max="12" width="21.33203125" style="1" customWidth="1"/>
    <col min="13" max="16" width="9.83203125" style="2"/>
    <col min="17" max="17" width="18.33203125" style="2" customWidth="1"/>
    <col min="18" max="16384" width="9.83203125" style="2"/>
  </cols>
  <sheetData>
    <row r="1" spans="1:12" ht="148.5" customHeight="1" x14ac:dyDescent="0.2">
      <c r="B1" s="242" t="s">
        <v>218</v>
      </c>
      <c r="C1" s="242"/>
      <c r="D1" s="242"/>
      <c r="E1" s="242"/>
      <c r="F1" s="242"/>
      <c r="G1" s="242"/>
      <c r="H1" s="242"/>
      <c r="I1" s="242"/>
      <c r="J1" s="242"/>
      <c r="K1" s="242"/>
    </row>
    <row r="2" spans="1:12" s="6" customFormat="1" ht="15" customHeight="1" x14ac:dyDescent="0.25">
      <c r="A2" s="3" t="s">
        <v>1</v>
      </c>
      <c r="B2" s="149" t="s">
        <v>2</v>
      </c>
      <c r="C2" s="60" t="s">
        <v>3</v>
      </c>
      <c r="D2" s="3" t="s">
        <v>114</v>
      </c>
      <c r="E2" s="60" t="s">
        <v>4</v>
      </c>
      <c r="F2" s="4" t="s">
        <v>5</v>
      </c>
      <c r="G2" s="3" t="s">
        <v>6</v>
      </c>
      <c r="H2" s="4" t="s">
        <v>7</v>
      </c>
      <c r="I2" s="4" t="s">
        <v>8</v>
      </c>
      <c r="J2" s="4" t="s">
        <v>115</v>
      </c>
      <c r="K2" s="4" t="s">
        <v>9</v>
      </c>
      <c r="L2" s="5" t="s">
        <v>10</v>
      </c>
    </row>
    <row r="3" spans="1:12" ht="14.25" customHeight="1" x14ac:dyDescent="0.2">
      <c r="L3" s="10"/>
    </row>
    <row r="4" spans="1:12" ht="15" customHeight="1" x14ac:dyDescent="0.2">
      <c r="A4" s="11" t="s">
        <v>12</v>
      </c>
      <c r="B4" s="150"/>
      <c r="C4" s="70"/>
      <c r="D4" s="13"/>
      <c r="E4" s="70"/>
      <c r="F4" s="14"/>
      <c r="G4" s="15"/>
      <c r="H4" s="14"/>
      <c r="I4" s="14"/>
      <c r="J4" s="14"/>
      <c r="K4" s="14"/>
      <c r="L4" s="16"/>
    </row>
    <row r="5" spans="1:12" x14ac:dyDescent="0.2">
      <c r="A5" s="17" t="s">
        <v>219</v>
      </c>
      <c r="L5" s="18"/>
    </row>
    <row r="6" spans="1:12" x14ac:dyDescent="0.2">
      <c r="B6" s="58" t="s">
        <v>117</v>
      </c>
      <c r="H6" s="8">
        <f t="shared" ref="H6" si="0">F6*G6</f>
        <v>0</v>
      </c>
      <c r="I6" s="8">
        <f t="shared" ref="I6" si="1">H6*1.13</f>
        <v>0</v>
      </c>
      <c r="J6" s="8">
        <f>I6*0.75</f>
        <v>0</v>
      </c>
      <c r="L6" s="19"/>
    </row>
    <row r="7" spans="1:12" x14ac:dyDescent="0.2">
      <c r="L7" s="19"/>
    </row>
    <row r="8" spans="1:12" s="26" customFormat="1" x14ac:dyDescent="0.2">
      <c r="A8" s="17"/>
      <c r="B8" s="151" t="s">
        <v>146</v>
      </c>
      <c r="C8" s="73"/>
      <c r="D8" s="22"/>
      <c r="E8" s="73"/>
      <c r="F8" s="23"/>
      <c r="G8" s="24"/>
      <c r="H8" s="23"/>
      <c r="I8" s="23">
        <f>SUM(I6:I6)</f>
        <v>0</v>
      </c>
      <c r="J8" s="23">
        <f>SUM(J6:J6)</f>
        <v>0</v>
      </c>
      <c r="K8" s="23">
        <f>SUM(K6:K6)</f>
        <v>0</v>
      </c>
      <c r="L8" s="25">
        <f>SUM(L6:L6)</f>
        <v>0</v>
      </c>
    </row>
    <row r="9" spans="1:12" x14ac:dyDescent="0.2">
      <c r="L9" s="19"/>
    </row>
    <row r="10" spans="1:12" s="34" customFormat="1" x14ac:dyDescent="0.2">
      <c r="A10" s="27"/>
      <c r="B10" s="152" t="s">
        <v>38</v>
      </c>
      <c r="C10" s="75"/>
      <c r="D10" s="30"/>
      <c r="E10" s="75"/>
      <c r="F10" s="31"/>
      <c r="G10" s="32"/>
      <c r="H10" s="31">
        <v>0</v>
      </c>
      <c r="I10" s="31">
        <f>SumBold(I5:I9)</f>
        <v>0</v>
      </c>
      <c r="J10" s="31">
        <f>SumBold(J5:J9)</f>
        <v>0</v>
      </c>
      <c r="K10" s="31">
        <f>SumBold(K5:K9)</f>
        <v>0</v>
      </c>
      <c r="L10" s="33">
        <f>SumBold(L5:L9)</f>
        <v>0</v>
      </c>
    </row>
    <row r="11" spans="1:12" x14ac:dyDescent="0.2">
      <c r="L11" s="19"/>
    </row>
    <row r="12" spans="1:12" ht="15" customHeight="1" x14ac:dyDescent="0.2">
      <c r="A12" s="11" t="s">
        <v>41</v>
      </c>
      <c r="B12" s="150"/>
      <c r="C12" s="70"/>
      <c r="D12" s="13"/>
      <c r="E12" s="70"/>
      <c r="F12" s="14"/>
      <c r="G12" s="15"/>
      <c r="H12" s="14"/>
      <c r="I12" s="14"/>
      <c r="J12" s="14"/>
      <c r="K12" s="14"/>
      <c r="L12" s="16"/>
    </row>
    <row r="13" spans="1:12" x14ac:dyDescent="0.2">
      <c r="A13" s="17" t="s">
        <v>220</v>
      </c>
      <c r="L13" s="19"/>
    </row>
    <row r="14" spans="1:12" customFormat="1" x14ac:dyDescent="0.2">
      <c r="B14" s="157">
        <v>6100</v>
      </c>
      <c r="C14" s="143" t="s">
        <v>221</v>
      </c>
      <c r="D14" s="135">
        <v>1</v>
      </c>
      <c r="E14" s="143" t="s">
        <v>222</v>
      </c>
      <c r="F14" s="106">
        <v>400</v>
      </c>
      <c r="G14" s="137">
        <v>1</v>
      </c>
      <c r="H14" s="106">
        <f>F14*G14</f>
        <v>400</v>
      </c>
      <c r="I14" s="106">
        <f>H14*1.13</f>
        <v>451.99999999999994</v>
      </c>
      <c r="J14" s="106">
        <f>I14*1.25</f>
        <v>564.99999999999989</v>
      </c>
      <c r="K14" s="106"/>
      <c r="L14" s="138"/>
    </row>
    <row r="15" spans="1:12" customFormat="1" x14ac:dyDescent="0.2">
      <c r="B15" s="58">
        <v>6101</v>
      </c>
      <c r="C15" s="68" t="s">
        <v>223</v>
      </c>
      <c r="D15" s="48">
        <v>1</v>
      </c>
      <c r="E15" s="68" t="s">
        <v>224</v>
      </c>
      <c r="F15" s="50">
        <v>100</v>
      </c>
      <c r="G15" s="9">
        <v>4</v>
      </c>
      <c r="H15" s="50">
        <f t="shared" ref="H15:H16" si="2">F15*G15</f>
        <v>400</v>
      </c>
      <c r="I15" s="50">
        <f t="shared" ref="I15:I16" si="3">H15*1.13</f>
        <v>451.99999999999994</v>
      </c>
      <c r="J15" s="50">
        <f t="shared" ref="J15:J16" si="4">I15*1.25</f>
        <v>564.99999999999989</v>
      </c>
      <c r="K15" s="50"/>
      <c r="L15" s="125"/>
    </row>
    <row r="16" spans="1:12" s="17" customFormat="1" x14ac:dyDescent="0.2">
      <c r="B16" s="208">
        <v>6102</v>
      </c>
      <c r="C16" s="209" t="s">
        <v>225</v>
      </c>
      <c r="D16" s="210">
        <v>2</v>
      </c>
      <c r="E16" s="209" t="s">
        <v>226</v>
      </c>
      <c r="F16" s="211">
        <v>20</v>
      </c>
      <c r="G16" s="212">
        <v>19</v>
      </c>
      <c r="H16" s="211">
        <f t="shared" si="2"/>
        <v>380</v>
      </c>
      <c r="I16" s="211">
        <f t="shared" si="3"/>
        <v>429.4</v>
      </c>
      <c r="J16" s="211">
        <f t="shared" si="4"/>
        <v>536.75</v>
      </c>
      <c r="K16" s="211"/>
      <c r="L16" s="213"/>
    </row>
    <row r="17" spans="1:17" x14ac:dyDescent="0.2">
      <c r="A17" s="17"/>
      <c r="L17" s="19"/>
    </row>
    <row r="18" spans="1:17" x14ac:dyDescent="0.2">
      <c r="B18" s="151" t="s">
        <v>148</v>
      </c>
      <c r="C18" s="73"/>
      <c r="D18" s="22"/>
      <c r="E18" s="73"/>
      <c r="F18" s="23"/>
      <c r="G18" s="24"/>
      <c r="H18" s="23"/>
      <c r="I18" s="23">
        <f>SUM(I14:I15)</f>
        <v>903.99999999999989</v>
      </c>
      <c r="J18" s="23">
        <f>SUM(J14:J15)</f>
        <v>1129.9999999999998</v>
      </c>
      <c r="K18" s="23">
        <f>SUM(K14:K16)</f>
        <v>0</v>
      </c>
      <c r="L18" s="25">
        <f>SUM(L14:L16)</f>
        <v>0</v>
      </c>
    </row>
    <row r="19" spans="1:17" x14ac:dyDescent="0.2">
      <c r="B19" s="154"/>
      <c r="C19" s="77"/>
      <c r="D19" s="17"/>
      <c r="E19" s="77"/>
      <c r="F19" s="59"/>
      <c r="G19" s="38"/>
      <c r="H19" s="59"/>
      <c r="I19" s="59"/>
      <c r="J19" s="59"/>
      <c r="K19" s="59"/>
      <c r="L19" s="40"/>
    </row>
    <row r="20" spans="1:17" x14ac:dyDescent="0.2">
      <c r="A20" s="17" t="s">
        <v>227</v>
      </c>
      <c r="L20" s="19"/>
    </row>
    <row r="21" spans="1:17" customFormat="1" x14ac:dyDescent="0.2">
      <c r="B21" s="157">
        <v>6200</v>
      </c>
      <c r="C21" s="143" t="s">
        <v>228</v>
      </c>
      <c r="D21" s="134">
        <v>1</v>
      </c>
      <c r="E21" s="143" t="s">
        <v>229</v>
      </c>
      <c r="F21" s="106">
        <v>75</v>
      </c>
      <c r="G21" s="137">
        <v>2</v>
      </c>
      <c r="H21" s="106">
        <f>F21*G21</f>
        <v>150</v>
      </c>
      <c r="I21" s="106">
        <f>H21*1.13</f>
        <v>169.49999999999997</v>
      </c>
      <c r="J21" s="106">
        <f>I21*1.25</f>
        <v>211.87499999999997</v>
      </c>
      <c r="K21" s="106"/>
      <c r="L21" s="138"/>
      <c r="M21" s="250"/>
      <c r="N21" s="250"/>
      <c r="O21" s="250"/>
      <c r="P21" s="250"/>
      <c r="Q21" s="250"/>
    </row>
    <row r="22" spans="1:17" customFormat="1" x14ac:dyDescent="0.2">
      <c r="B22" s="58">
        <v>6201</v>
      </c>
      <c r="C22" s="68" t="s">
        <v>228</v>
      </c>
      <c r="D22" s="7">
        <v>1</v>
      </c>
      <c r="E22" s="68" t="s">
        <v>230</v>
      </c>
      <c r="F22" s="50">
        <v>75</v>
      </c>
      <c r="G22" s="9">
        <v>2</v>
      </c>
      <c r="H22" s="50">
        <f t="shared" ref="H22:H29" si="5">F22*G22</f>
        <v>150</v>
      </c>
      <c r="I22" s="50">
        <f t="shared" ref="I22:I29" si="6">H22*1.13</f>
        <v>169.49999999999997</v>
      </c>
      <c r="J22" s="50">
        <f t="shared" ref="J22:J29" si="7">I22*1.25</f>
        <v>211.87499999999997</v>
      </c>
      <c r="K22" s="50"/>
      <c r="L22" s="125"/>
      <c r="M22" s="250"/>
      <c r="N22" s="250"/>
      <c r="O22" s="250"/>
      <c r="P22" s="250"/>
      <c r="Q22" s="250"/>
    </row>
    <row r="23" spans="1:17" customFormat="1" x14ac:dyDescent="0.2">
      <c r="B23" s="157">
        <v>6202</v>
      </c>
      <c r="C23" s="143" t="s">
        <v>228</v>
      </c>
      <c r="D23" s="134">
        <v>1</v>
      </c>
      <c r="E23" s="143" t="s">
        <v>231</v>
      </c>
      <c r="F23" s="106">
        <v>75</v>
      </c>
      <c r="G23" s="137">
        <v>2</v>
      </c>
      <c r="H23" s="106">
        <f t="shared" si="5"/>
        <v>150</v>
      </c>
      <c r="I23" s="106">
        <f t="shared" si="6"/>
        <v>169.49999999999997</v>
      </c>
      <c r="J23" s="106">
        <f t="shared" si="7"/>
        <v>211.87499999999997</v>
      </c>
      <c r="K23" s="106"/>
      <c r="L23" s="138"/>
      <c r="M23" s="250"/>
      <c r="N23" s="250"/>
      <c r="O23" s="250"/>
      <c r="P23" s="250"/>
      <c r="Q23" s="250"/>
    </row>
    <row r="24" spans="1:17" customFormat="1" x14ac:dyDescent="0.2">
      <c r="B24" s="58">
        <v>6203</v>
      </c>
      <c r="C24" s="68" t="s">
        <v>228</v>
      </c>
      <c r="D24" s="7">
        <v>1</v>
      </c>
      <c r="E24" s="68" t="s">
        <v>232</v>
      </c>
      <c r="F24" s="50">
        <v>75</v>
      </c>
      <c r="G24" s="9">
        <v>2</v>
      </c>
      <c r="H24" s="50">
        <f t="shared" si="5"/>
        <v>150</v>
      </c>
      <c r="I24" s="50">
        <f t="shared" si="6"/>
        <v>169.49999999999997</v>
      </c>
      <c r="J24" s="50">
        <f t="shared" si="7"/>
        <v>211.87499999999997</v>
      </c>
      <c r="K24" s="50"/>
      <c r="L24" s="125"/>
      <c r="M24" s="250"/>
      <c r="N24" s="250"/>
      <c r="O24" s="250"/>
      <c r="P24" s="250"/>
      <c r="Q24" s="250"/>
    </row>
    <row r="25" spans="1:17" customFormat="1" x14ac:dyDescent="0.2">
      <c r="B25" s="157">
        <v>6204</v>
      </c>
      <c r="C25" s="143" t="s">
        <v>228</v>
      </c>
      <c r="D25" s="134">
        <v>1</v>
      </c>
      <c r="E25" s="143" t="s">
        <v>233</v>
      </c>
      <c r="F25" s="106">
        <v>75</v>
      </c>
      <c r="G25" s="137">
        <v>2</v>
      </c>
      <c r="H25" s="106">
        <f t="shared" si="5"/>
        <v>150</v>
      </c>
      <c r="I25" s="106">
        <f t="shared" si="6"/>
        <v>169.49999999999997</v>
      </c>
      <c r="J25" s="106">
        <f t="shared" si="7"/>
        <v>211.87499999999997</v>
      </c>
      <c r="K25" s="106"/>
      <c r="L25" s="138"/>
      <c r="M25" s="250"/>
      <c r="N25" s="250"/>
      <c r="O25" s="250"/>
      <c r="P25" s="250"/>
      <c r="Q25" s="250"/>
    </row>
    <row r="26" spans="1:17" customFormat="1" x14ac:dyDescent="0.2">
      <c r="B26" s="58">
        <v>6205</v>
      </c>
      <c r="C26" s="68" t="s">
        <v>228</v>
      </c>
      <c r="D26" s="7">
        <v>1</v>
      </c>
      <c r="E26" s="68" t="s">
        <v>234</v>
      </c>
      <c r="F26" s="50">
        <v>75</v>
      </c>
      <c r="G26" s="9">
        <v>2</v>
      </c>
      <c r="H26" s="50">
        <f t="shared" si="5"/>
        <v>150</v>
      </c>
      <c r="I26" s="50">
        <f t="shared" si="6"/>
        <v>169.49999999999997</v>
      </c>
      <c r="J26" s="50">
        <f t="shared" si="7"/>
        <v>211.87499999999997</v>
      </c>
      <c r="K26" s="50"/>
      <c r="L26" s="125"/>
      <c r="M26" s="250"/>
      <c r="N26" s="250"/>
      <c r="O26" s="250"/>
      <c r="P26" s="250"/>
      <c r="Q26" s="250"/>
    </row>
    <row r="27" spans="1:17" customFormat="1" x14ac:dyDescent="0.2">
      <c r="B27" s="157">
        <v>6206</v>
      </c>
      <c r="C27" s="143" t="s">
        <v>228</v>
      </c>
      <c r="D27" s="134">
        <v>1</v>
      </c>
      <c r="E27" s="143" t="s">
        <v>235</v>
      </c>
      <c r="F27" s="106">
        <v>75</v>
      </c>
      <c r="G27" s="137">
        <v>2</v>
      </c>
      <c r="H27" s="106">
        <f t="shared" si="5"/>
        <v>150</v>
      </c>
      <c r="I27" s="106">
        <f t="shared" si="6"/>
        <v>169.49999999999997</v>
      </c>
      <c r="J27" s="106">
        <f t="shared" si="7"/>
        <v>211.87499999999997</v>
      </c>
      <c r="K27" s="106"/>
      <c r="L27" s="138"/>
      <c r="M27" s="250"/>
      <c r="N27" s="250"/>
      <c r="O27" s="250"/>
      <c r="P27" s="250"/>
      <c r="Q27" s="250"/>
    </row>
    <row r="28" spans="1:17" customFormat="1" x14ac:dyDescent="0.2">
      <c r="B28" s="58">
        <v>6207</v>
      </c>
      <c r="C28" s="68" t="s">
        <v>228</v>
      </c>
      <c r="D28" s="7">
        <v>1</v>
      </c>
      <c r="E28" s="68" t="s">
        <v>236</v>
      </c>
      <c r="F28" s="50">
        <v>75</v>
      </c>
      <c r="G28" s="9">
        <v>2</v>
      </c>
      <c r="H28" s="50">
        <f t="shared" si="5"/>
        <v>150</v>
      </c>
      <c r="I28" s="50">
        <f t="shared" si="6"/>
        <v>169.49999999999997</v>
      </c>
      <c r="J28" s="50">
        <f t="shared" si="7"/>
        <v>211.87499999999997</v>
      </c>
      <c r="K28" s="50"/>
      <c r="L28" s="125"/>
      <c r="M28" s="250"/>
      <c r="N28" s="250"/>
      <c r="O28" s="250"/>
      <c r="P28" s="250"/>
      <c r="Q28" s="250"/>
    </row>
    <row r="29" spans="1:17" customFormat="1" x14ac:dyDescent="0.2">
      <c r="B29" s="157">
        <v>6208</v>
      </c>
      <c r="C29" s="143" t="s">
        <v>228</v>
      </c>
      <c r="D29" s="134">
        <v>1</v>
      </c>
      <c r="E29" s="143" t="s">
        <v>237</v>
      </c>
      <c r="F29" s="106">
        <v>75</v>
      </c>
      <c r="G29" s="137">
        <v>5</v>
      </c>
      <c r="H29" s="106">
        <f t="shared" si="5"/>
        <v>375</v>
      </c>
      <c r="I29" s="106">
        <f t="shared" si="6"/>
        <v>423.74999999999994</v>
      </c>
      <c r="J29" s="106">
        <f t="shared" si="7"/>
        <v>529.68749999999989</v>
      </c>
      <c r="K29" s="106"/>
      <c r="L29" s="138"/>
      <c r="M29" s="250"/>
      <c r="N29" s="250"/>
      <c r="O29" s="250"/>
      <c r="P29" s="250"/>
      <c r="Q29" s="250"/>
    </row>
    <row r="30" spans="1:17" x14ac:dyDescent="0.2">
      <c r="A30" s="17"/>
      <c r="L30" s="19"/>
    </row>
    <row r="31" spans="1:17" x14ac:dyDescent="0.2">
      <c r="B31" s="151" t="s">
        <v>238</v>
      </c>
      <c r="C31" s="73"/>
      <c r="D31" s="22"/>
      <c r="E31" s="73"/>
      <c r="F31" s="23"/>
      <c r="G31" s="24"/>
      <c r="H31" s="23"/>
      <c r="I31" s="23">
        <f>SUM(I21:I29)</f>
        <v>1779.7499999999998</v>
      </c>
      <c r="J31" s="23">
        <f>SUM(J21:J29)</f>
        <v>2224.6874999999995</v>
      </c>
      <c r="K31" s="23">
        <f>SUM(K21:K29)</f>
        <v>0</v>
      </c>
      <c r="L31" s="25">
        <f>SUM(L21:L29)</f>
        <v>0</v>
      </c>
    </row>
    <row r="32" spans="1:17" x14ac:dyDescent="0.2">
      <c r="B32" s="154"/>
      <c r="C32" s="77"/>
      <c r="D32" s="17"/>
      <c r="E32" s="77"/>
      <c r="F32" s="59"/>
      <c r="G32" s="38"/>
      <c r="H32" s="59"/>
      <c r="I32" s="59"/>
      <c r="J32" s="59"/>
      <c r="K32" s="59"/>
      <c r="L32" s="40"/>
    </row>
    <row r="33" spans="1:12" x14ac:dyDescent="0.2">
      <c r="A33" s="17" t="s">
        <v>239</v>
      </c>
      <c r="B33" s="154"/>
      <c r="C33" s="77"/>
      <c r="D33" s="17"/>
      <c r="E33" s="77"/>
      <c r="F33" s="59"/>
      <c r="G33" s="38"/>
      <c r="H33" s="59"/>
      <c r="I33" s="59"/>
      <c r="J33" s="59"/>
      <c r="K33" s="59"/>
      <c r="L33" s="40"/>
    </row>
    <row r="34" spans="1:12" customFormat="1" x14ac:dyDescent="0.2">
      <c r="B34" s="58">
        <v>6300</v>
      </c>
      <c r="C34" s="68" t="s">
        <v>240</v>
      </c>
      <c r="D34" s="7">
        <v>1</v>
      </c>
      <c r="E34" s="68" t="s">
        <v>241</v>
      </c>
      <c r="F34" s="50">
        <v>200</v>
      </c>
      <c r="G34" s="9">
        <v>16</v>
      </c>
      <c r="H34" s="50">
        <f>F34*G34</f>
        <v>3200</v>
      </c>
      <c r="I34" s="50">
        <f>H34*1.13</f>
        <v>3615.9999999999995</v>
      </c>
      <c r="J34" s="50">
        <f>I34*1.25</f>
        <v>4519.9999999999991</v>
      </c>
      <c r="K34" s="50"/>
      <c r="L34" s="125"/>
    </row>
    <row r="35" spans="1:12" x14ac:dyDescent="0.2">
      <c r="L35" s="19"/>
    </row>
    <row r="36" spans="1:12" s="34" customFormat="1" x14ac:dyDescent="0.2">
      <c r="A36" s="27"/>
      <c r="B36" s="151" t="s">
        <v>138</v>
      </c>
      <c r="C36" s="73"/>
      <c r="D36" s="22"/>
      <c r="E36" s="73"/>
      <c r="F36" s="23"/>
      <c r="G36" s="24"/>
      <c r="H36" s="23"/>
      <c r="I36" s="23">
        <f>SUM(I34:I34)</f>
        <v>3615.9999999999995</v>
      </c>
      <c r="J36" s="23">
        <f>SUM(J34:J34)</f>
        <v>4519.9999999999991</v>
      </c>
      <c r="K36" s="23">
        <f>SUM(K34:K34)</f>
        <v>0</v>
      </c>
      <c r="L36" s="25">
        <f>SUM(L34:L34)</f>
        <v>0</v>
      </c>
    </row>
    <row r="37" spans="1:12" s="34" customFormat="1" x14ac:dyDescent="0.2">
      <c r="A37" s="27"/>
      <c r="B37" s="154"/>
      <c r="C37" s="77"/>
      <c r="D37" s="17"/>
      <c r="E37" s="77"/>
      <c r="F37" s="59"/>
      <c r="G37" s="38"/>
      <c r="H37" s="59"/>
      <c r="I37" s="59"/>
      <c r="J37" s="59"/>
      <c r="K37" s="59"/>
      <c r="L37" s="40"/>
    </row>
    <row r="38" spans="1:12" x14ac:dyDescent="0.2">
      <c r="A38" s="17" t="s">
        <v>242</v>
      </c>
      <c r="B38" s="154"/>
      <c r="C38" s="77"/>
      <c r="D38" s="17"/>
      <c r="E38" s="77"/>
      <c r="F38" s="59"/>
      <c r="G38" s="38"/>
      <c r="H38" s="59"/>
      <c r="I38" s="59"/>
      <c r="J38" s="59"/>
      <c r="K38" s="59"/>
      <c r="L38" s="40"/>
    </row>
    <row r="39" spans="1:12" customFormat="1" x14ac:dyDescent="0.2">
      <c r="B39" s="58">
        <v>6400</v>
      </c>
      <c r="C39" s="68" t="s">
        <v>243</v>
      </c>
      <c r="D39" s="7">
        <v>3</v>
      </c>
      <c r="E39" s="68" t="s">
        <v>244</v>
      </c>
      <c r="F39" s="50">
        <v>60</v>
      </c>
      <c r="G39" s="9">
        <v>4</v>
      </c>
      <c r="H39" s="50">
        <f t="shared" ref="H39" si="8">F39*G39</f>
        <v>240</v>
      </c>
      <c r="I39" s="50">
        <f t="shared" ref="I39" si="9">H39*1.13</f>
        <v>271.2</v>
      </c>
      <c r="J39" s="50">
        <f t="shared" ref="J39" si="10">I39*1.25</f>
        <v>339</v>
      </c>
      <c r="K39" s="50"/>
      <c r="L39" s="125">
        <v>280.24</v>
      </c>
    </row>
    <row r="40" spans="1:12" x14ac:dyDescent="0.2">
      <c r="L40" s="19"/>
    </row>
    <row r="41" spans="1:12" s="34" customFormat="1" x14ac:dyDescent="0.2">
      <c r="A41" s="27"/>
      <c r="B41" s="151" t="s">
        <v>245</v>
      </c>
      <c r="C41" s="73"/>
      <c r="D41" s="22"/>
      <c r="E41" s="73"/>
      <c r="F41" s="23"/>
      <c r="G41" s="24"/>
      <c r="H41" s="23"/>
      <c r="I41" s="23">
        <f>SUM(I39:I39)</f>
        <v>271.2</v>
      </c>
      <c r="J41" s="23">
        <f>SUM(J39:J39)</f>
        <v>339</v>
      </c>
      <c r="K41" s="23">
        <f>SUM(K39:K39)</f>
        <v>0</v>
      </c>
      <c r="L41" s="25">
        <f>SUM(L39:L39)</f>
        <v>280.24</v>
      </c>
    </row>
    <row r="42" spans="1:12" x14ac:dyDescent="0.2">
      <c r="L42" s="19"/>
    </row>
    <row r="43" spans="1:12" ht="15" customHeight="1" x14ac:dyDescent="0.2">
      <c r="B43" s="152" t="s">
        <v>108</v>
      </c>
      <c r="C43" s="75"/>
      <c r="D43" s="30"/>
      <c r="E43" s="75"/>
      <c r="F43" s="31"/>
      <c r="G43" s="32"/>
      <c r="H43" s="31"/>
      <c r="I43" s="31">
        <f>SumBold(I13:I42)</f>
        <v>6570.95</v>
      </c>
      <c r="J43" s="31">
        <f>SumBold(J13:J42)</f>
        <v>8213.6875</v>
      </c>
      <c r="K43" s="31">
        <f>SumBold(K13:K42)</f>
        <v>0</v>
      </c>
      <c r="L43" s="33">
        <f>SumBold(L13:L42)</f>
        <v>280.24</v>
      </c>
    </row>
    <row r="44" spans="1:12" s="26" customFormat="1" x14ac:dyDescent="0.2">
      <c r="A44"/>
      <c r="B44" s="58"/>
      <c r="C44" s="68"/>
      <c r="D44"/>
      <c r="E44" s="68"/>
      <c r="F44" s="8"/>
      <c r="G44" s="9"/>
      <c r="H44" s="8"/>
      <c r="I44" s="8"/>
      <c r="J44" s="8"/>
      <c r="K44" s="8"/>
      <c r="L44" s="19"/>
    </row>
    <row r="45" spans="1:12" s="26" customFormat="1" x14ac:dyDescent="0.2">
      <c r="A45" s="11" t="s">
        <v>109</v>
      </c>
      <c r="B45" s="150"/>
      <c r="C45" s="70"/>
      <c r="D45" s="13"/>
      <c r="E45" s="70"/>
      <c r="F45" s="14"/>
      <c r="G45" s="15"/>
      <c r="H45" s="14"/>
      <c r="I45" s="14"/>
      <c r="J45" s="14"/>
      <c r="K45" s="14"/>
      <c r="L45" s="16"/>
    </row>
    <row r="46" spans="1:12" s="26" customFormat="1" x14ac:dyDescent="0.2">
      <c r="A46" s="17"/>
      <c r="B46" s="154" t="s">
        <v>110</v>
      </c>
      <c r="C46" s="77"/>
      <c r="D46" s="17"/>
      <c r="E46" s="77"/>
      <c r="F46" s="37"/>
      <c r="G46" s="38"/>
      <c r="H46" s="37"/>
      <c r="I46" s="37">
        <f>I10</f>
        <v>0</v>
      </c>
      <c r="J46" s="37">
        <f>J10</f>
        <v>0</v>
      </c>
      <c r="K46" s="37">
        <f>K10</f>
        <v>0</v>
      </c>
      <c r="L46" s="39">
        <f>L10</f>
        <v>0</v>
      </c>
    </row>
    <row r="47" spans="1:12" x14ac:dyDescent="0.2">
      <c r="A47" s="17"/>
      <c r="B47" s="154" t="s">
        <v>111</v>
      </c>
      <c r="C47" s="77"/>
      <c r="D47" s="17"/>
      <c r="E47" s="77"/>
      <c r="F47" s="37"/>
      <c r="G47" s="38"/>
      <c r="H47" s="37"/>
      <c r="I47" s="37">
        <f>I43</f>
        <v>6570.95</v>
      </c>
      <c r="J47" s="37">
        <f>J43</f>
        <v>8213.6875</v>
      </c>
      <c r="K47" s="37">
        <f>K43</f>
        <v>0</v>
      </c>
      <c r="L47" s="40">
        <f>L43</f>
        <v>280.24</v>
      </c>
    </row>
    <row r="48" spans="1:12" x14ac:dyDescent="0.2">
      <c r="A48" s="41"/>
      <c r="B48" s="155" t="s">
        <v>112</v>
      </c>
      <c r="C48" s="79"/>
      <c r="D48" s="41"/>
      <c r="E48" s="79"/>
      <c r="F48" s="43"/>
      <c r="G48" s="44"/>
      <c r="H48" s="43"/>
      <c r="I48" s="43">
        <f>SUM(I46,I47*-1)</f>
        <v>-6570.95</v>
      </c>
      <c r="J48" s="43">
        <f t="shared" ref="J48:L48" si="11">SUM(J46,J47*-1)</f>
        <v>-8213.6875</v>
      </c>
      <c r="K48" s="43">
        <f t="shared" si="11"/>
        <v>0</v>
      </c>
      <c r="L48" s="45">
        <f t="shared" si="11"/>
        <v>-280.24</v>
      </c>
    </row>
  </sheetData>
  <mergeCells count="2">
    <mergeCell ref="B1:K1"/>
    <mergeCell ref="M21:Q29"/>
  </mergeCells>
  <conditionalFormatting sqref="B6:L8 B30:L48 B14:L19">
    <cfRule type="expression" dxfId="103" priority="9">
      <formula>MOD($B6,2)=1</formula>
    </cfRule>
  </conditionalFormatting>
  <conditionalFormatting sqref="B9:L11">
    <cfRule type="expression" dxfId="102" priority="8">
      <formula>MOD($B9,2)=1</formula>
    </cfRule>
  </conditionalFormatting>
  <conditionalFormatting sqref="B20:L20 F21:L27 F29:L29 D21:D29 B21:B29">
    <cfRule type="expression" dxfId="101" priority="7">
      <formula>MOD($B20,2)=1</formula>
    </cfRule>
  </conditionalFormatting>
  <conditionalFormatting sqref="C21:C27 C29">
    <cfRule type="expression" dxfId="100" priority="6">
      <formula>MOD($B21,2)=1</formula>
    </cfRule>
  </conditionalFormatting>
  <conditionalFormatting sqref="E21:E27 E29">
    <cfRule type="expression" dxfId="99" priority="5">
      <formula>MOD($B21,2)=1</formula>
    </cfRule>
  </conditionalFormatting>
  <conditionalFormatting sqref="F28:L28">
    <cfRule type="expression" dxfId="98" priority="4">
      <formula>MOD($B28,2)=1</formula>
    </cfRule>
  </conditionalFormatting>
  <conditionalFormatting sqref="C28">
    <cfRule type="expression" dxfId="97" priority="3">
      <formula>MOD($B28,2)=1</formula>
    </cfRule>
  </conditionalFormatting>
  <conditionalFormatting sqref="E28">
    <cfRule type="expression" dxfId="96" priority="2">
      <formula>MOD($B28,2)=1</formula>
    </cfRule>
  </conditionalFormatting>
  <pageMargins left="0.7" right="0.7" top="0.75" bottom="0.75" header="0.3" footer="0.3"/>
  <pageSetup scale="26" fitToWidth="0" fitToHeight="0"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95E39-A18C-4A24-8F3E-33464CA239F4}">
  <sheetPr codeName="Sheet6"/>
  <dimension ref="A1:L38"/>
  <sheetViews>
    <sheetView showGridLines="0" topLeftCell="H1" zoomScale="71" zoomScaleNormal="10" workbookViewId="0">
      <pane ySplit="2" topLeftCell="A7" activePane="bottomLeft" state="frozen"/>
      <selection pane="bottomLeft" activeCell="L19" sqref="L19"/>
    </sheetView>
  </sheetViews>
  <sheetFormatPr baseColWidth="10" defaultColWidth="9.83203125" defaultRowHeight="15" x14ac:dyDescent="0.2"/>
  <cols>
    <col min="1" max="1" width="27" customWidth="1"/>
    <col min="2" max="2" width="23.5" style="48" customWidth="1"/>
    <col min="3" max="3" width="19.6640625" style="68" customWidth="1"/>
    <col min="4" max="4" width="18.6640625" style="48" customWidth="1"/>
    <col min="5" max="5" width="39.5" customWidth="1"/>
    <col min="6" max="6" width="15.5" style="127" customWidth="1"/>
    <col min="7" max="7" width="15" style="9" customWidth="1"/>
    <col min="8" max="8" width="19.5" style="8" customWidth="1"/>
    <col min="9" max="9" width="18.5" style="8" customWidth="1"/>
    <col min="10" max="11" width="21" style="8" customWidth="1"/>
    <col min="12" max="12" width="21.33203125" style="1" customWidth="1"/>
    <col min="13" max="16384" width="9.83203125" style="2"/>
  </cols>
  <sheetData>
    <row r="1" spans="1:12" ht="148.5" customHeight="1" x14ac:dyDescent="0.2">
      <c r="B1" s="242" t="s">
        <v>246</v>
      </c>
      <c r="C1" s="242"/>
      <c r="D1" s="242"/>
      <c r="E1" s="242"/>
      <c r="F1" s="242"/>
      <c r="G1" s="242"/>
      <c r="H1" s="242"/>
      <c r="I1" s="242"/>
      <c r="J1" s="242"/>
      <c r="K1" s="242"/>
    </row>
    <row r="2" spans="1:12" s="6" customFormat="1" ht="15" customHeight="1" x14ac:dyDescent="0.25">
      <c r="A2" s="3" t="s">
        <v>1</v>
      </c>
      <c r="B2" s="60" t="s">
        <v>2</v>
      </c>
      <c r="C2" s="60" t="s">
        <v>3</v>
      </c>
      <c r="D2" s="60" t="s">
        <v>114</v>
      </c>
      <c r="E2" s="3" t="s">
        <v>4</v>
      </c>
      <c r="F2" s="126" t="s">
        <v>5</v>
      </c>
      <c r="G2" s="3" t="s">
        <v>6</v>
      </c>
      <c r="H2" s="4" t="s">
        <v>7</v>
      </c>
      <c r="I2" s="4" t="s">
        <v>8</v>
      </c>
      <c r="J2" s="4" t="s">
        <v>115</v>
      </c>
      <c r="K2" s="4" t="s">
        <v>9</v>
      </c>
      <c r="L2" s="5" t="s">
        <v>10</v>
      </c>
    </row>
    <row r="3" spans="1:12" ht="14.25" customHeight="1" x14ac:dyDescent="0.2">
      <c r="L3" s="10"/>
    </row>
    <row r="4" spans="1:12" x14ac:dyDescent="0.2">
      <c r="A4" s="11" t="s">
        <v>12</v>
      </c>
      <c r="B4" s="61"/>
      <c r="C4" s="70"/>
      <c r="D4" s="61"/>
      <c r="E4" s="13"/>
      <c r="F4" s="128"/>
      <c r="G4" s="15"/>
      <c r="H4" s="14"/>
      <c r="I4" s="14"/>
      <c r="J4" s="14"/>
      <c r="K4" s="14"/>
      <c r="L4" s="16"/>
    </row>
    <row r="5" spans="1:12" x14ac:dyDescent="0.2">
      <c r="A5" s="17" t="s">
        <v>247</v>
      </c>
      <c r="L5" s="18"/>
    </row>
    <row r="6" spans="1:12" x14ac:dyDescent="0.2">
      <c r="B6" s="48" t="s">
        <v>117</v>
      </c>
      <c r="H6" s="8">
        <f t="shared" ref="H6" si="0">F6*G6</f>
        <v>0</v>
      </c>
      <c r="I6" s="8">
        <f t="shared" ref="I6" si="1">H6*1.13</f>
        <v>0</v>
      </c>
      <c r="J6" s="8">
        <f>I6*0.75</f>
        <v>0</v>
      </c>
      <c r="L6" s="19"/>
    </row>
    <row r="7" spans="1:12" x14ac:dyDescent="0.2">
      <c r="L7" s="19"/>
    </row>
    <row r="8" spans="1:12" s="26" customFormat="1" x14ac:dyDescent="0.2">
      <c r="A8" s="17"/>
      <c r="B8" s="87" t="s">
        <v>146</v>
      </c>
      <c r="C8" s="73"/>
      <c r="D8" s="62"/>
      <c r="E8" s="22"/>
      <c r="F8" s="129"/>
      <c r="G8" s="24"/>
      <c r="H8" s="23"/>
      <c r="I8" s="23">
        <f>SUM(I6:I6)</f>
        <v>0</v>
      </c>
      <c r="J8" s="23">
        <f>SUM(J6:J6)</f>
        <v>0</v>
      </c>
      <c r="K8" s="23">
        <f>SUM(K6:K6)</f>
        <v>0</v>
      </c>
      <c r="L8" s="25">
        <f>SUM(L6:L6)</f>
        <v>0</v>
      </c>
    </row>
    <row r="9" spans="1:12" x14ac:dyDescent="0.2">
      <c r="L9" s="19"/>
    </row>
    <row r="10" spans="1:12" s="34" customFormat="1" x14ac:dyDescent="0.2">
      <c r="A10" s="27"/>
      <c r="B10" s="88" t="s">
        <v>38</v>
      </c>
      <c r="C10" s="75"/>
      <c r="D10" s="63"/>
      <c r="E10" s="30"/>
      <c r="F10" s="130"/>
      <c r="G10" s="32"/>
      <c r="H10" s="31"/>
      <c r="I10" s="31">
        <f>SumBold(I5:I9)</f>
        <v>0</v>
      </c>
      <c r="J10" s="31">
        <f>SumBold(J5:J9)</f>
        <v>0</v>
      </c>
      <c r="K10" s="31">
        <f>SumBold(K5:K9)</f>
        <v>0</v>
      </c>
      <c r="L10" s="33">
        <f>SumBold(L5:L9)</f>
        <v>0</v>
      </c>
    </row>
    <row r="11" spans="1:12" x14ac:dyDescent="0.2">
      <c r="L11" s="19"/>
    </row>
    <row r="12" spans="1:12" x14ac:dyDescent="0.2">
      <c r="A12" s="11" t="s">
        <v>41</v>
      </c>
      <c r="B12" s="61"/>
      <c r="C12" s="70"/>
      <c r="D12" s="61"/>
      <c r="E12" s="13"/>
      <c r="F12" s="128"/>
      <c r="G12" s="15"/>
      <c r="H12" s="14"/>
      <c r="I12" s="14"/>
      <c r="J12" s="14"/>
      <c r="K12" s="14"/>
      <c r="L12" s="16"/>
    </row>
    <row r="13" spans="1:12" x14ac:dyDescent="0.2">
      <c r="A13" s="17" t="s">
        <v>248</v>
      </c>
      <c r="L13" s="19"/>
    </row>
    <row r="14" spans="1:12" x14ac:dyDescent="0.2">
      <c r="B14" s="217">
        <v>11100</v>
      </c>
      <c r="C14" t="s">
        <v>249</v>
      </c>
      <c r="D14" s="48">
        <v>10</v>
      </c>
      <c r="E14" t="s">
        <v>250</v>
      </c>
      <c r="F14" s="131">
        <v>1500</v>
      </c>
      <c r="G14">
        <v>1</v>
      </c>
      <c r="H14" s="1">
        <f>F14*G14</f>
        <v>1500</v>
      </c>
      <c r="I14" s="1">
        <f>H14*1.13</f>
        <v>1694.9999999999998</v>
      </c>
      <c r="J14" s="1">
        <f>I14*1.25</f>
        <v>2118.7499999999995</v>
      </c>
      <c r="K14" s="1"/>
      <c r="L14" s="19"/>
    </row>
    <row r="15" spans="1:12" x14ac:dyDescent="0.2">
      <c r="B15" s="218">
        <v>11101</v>
      </c>
      <c r="C15" t="s">
        <v>251</v>
      </c>
      <c r="D15" s="48">
        <v>10</v>
      </c>
      <c r="E15" t="s">
        <v>250</v>
      </c>
      <c r="F15" s="131">
        <v>96.58</v>
      </c>
      <c r="G15">
        <v>3</v>
      </c>
      <c r="H15" s="1">
        <f t="shared" ref="H15:H21" si="2">F15*G15</f>
        <v>289.74</v>
      </c>
      <c r="I15" s="1">
        <f t="shared" ref="I15:I21" si="3">H15*1.13</f>
        <v>327.40619999999996</v>
      </c>
      <c r="J15" s="1">
        <f t="shared" ref="J15:J21" si="4">I15*1.25</f>
        <v>409.25774999999993</v>
      </c>
      <c r="K15" s="1"/>
      <c r="L15" s="19"/>
    </row>
    <row r="16" spans="1:12" x14ac:dyDescent="0.2">
      <c r="B16" s="217">
        <v>11102</v>
      </c>
      <c r="C16" t="s">
        <v>252</v>
      </c>
      <c r="D16" s="48">
        <v>6</v>
      </c>
      <c r="E16" t="s">
        <v>253</v>
      </c>
      <c r="F16" s="131">
        <v>10</v>
      </c>
      <c r="G16">
        <v>1</v>
      </c>
      <c r="H16" s="1">
        <f t="shared" si="2"/>
        <v>10</v>
      </c>
      <c r="I16" s="1">
        <f t="shared" si="3"/>
        <v>11.299999999999999</v>
      </c>
      <c r="J16" s="1">
        <f t="shared" si="4"/>
        <v>14.124999999999998</v>
      </c>
      <c r="K16" s="1"/>
      <c r="L16" s="19"/>
    </row>
    <row r="17" spans="1:12" x14ac:dyDescent="0.2">
      <c r="B17" s="218">
        <v>11103</v>
      </c>
      <c r="C17" t="s">
        <v>254</v>
      </c>
      <c r="D17" s="48">
        <v>7</v>
      </c>
      <c r="E17" t="s">
        <v>253</v>
      </c>
      <c r="F17" s="131">
        <v>750</v>
      </c>
      <c r="G17">
        <v>1</v>
      </c>
      <c r="H17" s="1">
        <f t="shared" si="2"/>
        <v>750</v>
      </c>
      <c r="I17" s="1">
        <f t="shared" si="3"/>
        <v>847.49999999999989</v>
      </c>
      <c r="J17" s="1">
        <f t="shared" si="4"/>
        <v>1059.3749999999998</v>
      </c>
      <c r="K17" s="1"/>
      <c r="L17" s="19"/>
    </row>
    <row r="18" spans="1:12" x14ac:dyDescent="0.2">
      <c r="B18" s="217">
        <v>11104</v>
      </c>
      <c r="C18" t="s">
        <v>255</v>
      </c>
      <c r="D18" s="48">
        <v>3</v>
      </c>
      <c r="E18" t="s">
        <v>256</v>
      </c>
      <c r="F18" s="131">
        <v>40</v>
      </c>
      <c r="G18">
        <v>2</v>
      </c>
      <c r="H18" s="1">
        <f t="shared" si="2"/>
        <v>80</v>
      </c>
      <c r="I18" s="1">
        <f t="shared" si="3"/>
        <v>90.399999999999991</v>
      </c>
      <c r="J18" s="1">
        <f t="shared" si="4"/>
        <v>112.99999999999999</v>
      </c>
      <c r="K18" s="1"/>
      <c r="L18" s="19"/>
    </row>
    <row r="19" spans="1:12" x14ac:dyDescent="0.2">
      <c r="B19" s="218">
        <v>11105</v>
      </c>
      <c r="C19" t="s">
        <v>257</v>
      </c>
      <c r="D19" s="48">
        <v>5</v>
      </c>
      <c r="E19" t="s">
        <v>256</v>
      </c>
      <c r="F19" s="131">
        <v>20</v>
      </c>
      <c r="G19">
        <v>5</v>
      </c>
      <c r="H19" s="1">
        <f t="shared" si="2"/>
        <v>100</v>
      </c>
      <c r="I19" s="1">
        <f t="shared" si="3"/>
        <v>112.99999999999999</v>
      </c>
      <c r="J19" s="1">
        <f t="shared" si="4"/>
        <v>141.24999999999997</v>
      </c>
      <c r="K19" s="1"/>
      <c r="L19" s="19"/>
    </row>
    <row r="20" spans="1:12" x14ac:dyDescent="0.2">
      <c r="B20" s="217">
        <v>11106</v>
      </c>
      <c r="C20" t="s">
        <v>258</v>
      </c>
      <c r="D20" s="48">
        <v>5</v>
      </c>
      <c r="E20" t="s">
        <v>256</v>
      </c>
      <c r="F20" s="131">
        <v>15</v>
      </c>
      <c r="G20">
        <v>1</v>
      </c>
      <c r="H20" s="1">
        <f t="shared" si="2"/>
        <v>15</v>
      </c>
      <c r="I20" s="1">
        <f t="shared" si="3"/>
        <v>16.95</v>
      </c>
      <c r="J20" s="1">
        <f t="shared" si="4"/>
        <v>21.1875</v>
      </c>
      <c r="K20" s="1"/>
      <c r="L20" s="19"/>
    </row>
    <row r="21" spans="1:12" x14ac:dyDescent="0.2">
      <c r="B21" s="218">
        <v>11107</v>
      </c>
      <c r="C21" t="s">
        <v>259</v>
      </c>
      <c r="D21" s="48">
        <v>5</v>
      </c>
      <c r="E21" t="s">
        <v>253</v>
      </c>
      <c r="F21" s="131">
        <v>46.47</v>
      </c>
      <c r="G21">
        <v>2</v>
      </c>
      <c r="H21" s="1">
        <f t="shared" si="2"/>
        <v>92.94</v>
      </c>
      <c r="I21" s="1">
        <f t="shared" si="3"/>
        <v>105.02219999999998</v>
      </c>
      <c r="J21" s="1">
        <f t="shared" si="4"/>
        <v>131.27774999999997</v>
      </c>
      <c r="K21" s="1"/>
      <c r="L21" s="19"/>
    </row>
    <row r="22" spans="1:12" x14ac:dyDescent="0.2">
      <c r="L22" s="19"/>
    </row>
    <row r="23" spans="1:12" s="26" customFormat="1" x14ac:dyDescent="0.2">
      <c r="A23" s="17"/>
      <c r="B23" s="87" t="s">
        <v>148</v>
      </c>
      <c r="C23" s="73"/>
      <c r="D23" s="62"/>
      <c r="E23" s="22"/>
      <c r="F23" s="129"/>
      <c r="G23" s="24"/>
      <c r="H23" s="23"/>
      <c r="I23" s="23">
        <f>SUM(I14:I21)</f>
        <v>3206.5783999999994</v>
      </c>
      <c r="J23" s="23">
        <f>SUM(J14:J21)</f>
        <v>4008.222999999999</v>
      </c>
      <c r="K23" s="23">
        <f>SUM(K14:K21)</f>
        <v>0</v>
      </c>
      <c r="L23" s="25">
        <f>SUM(L14:L21)</f>
        <v>0</v>
      </c>
    </row>
    <row r="24" spans="1:12" x14ac:dyDescent="0.2">
      <c r="A24" s="17" t="s">
        <v>260</v>
      </c>
      <c r="L24" s="19"/>
    </row>
    <row r="25" spans="1:12" x14ac:dyDescent="0.2">
      <c r="B25" s="48">
        <v>11200</v>
      </c>
      <c r="C25" t="s">
        <v>261</v>
      </c>
      <c r="D25" s="48">
        <v>7</v>
      </c>
      <c r="E25" t="s">
        <v>262</v>
      </c>
      <c r="F25" s="131">
        <v>1500</v>
      </c>
      <c r="G25">
        <v>1</v>
      </c>
      <c r="H25" s="1">
        <f>F25*G25</f>
        <v>1500</v>
      </c>
      <c r="I25" s="1">
        <f>H25*1.13</f>
        <v>1694.9999999999998</v>
      </c>
      <c r="J25" s="1">
        <f>I25*1.25</f>
        <v>2118.7499999999995</v>
      </c>
      <c r="K25" s="1"/>
      <c r="L25" s="19"/>
    </row>
    <row r="26" spans="1:12" x14ac:dyDescent="0.2">
      <c r="L26" s="19"/>
    </row>
    <row r="27" spans="1:12" s="26" customFormat="1" x14ac:dyDescent="0.2">
      <c r="A27" s="17"/>
      <c r="B27" s="87" t="s">
        <v>238</v>
      </c>
      <c r="C27" s="73"/>
      <c r="D27" s="62"/>
      <c r="E27" s="22"/>
      <c r="F27" s="129"/>
      <c r="G27" s="24"/>
      <c r="H27" s="23"/>
      <c r="I27" s="23">
        <f>SUM(I25:I25)</f>
        <v>1694.9999999999998</v>
      </c>
      <c r="J27" s="23">
        <f>SUM(J25:J25)</f>
        <v>2118.7499999999995</v>
      </c>
      <c r="K27" s="23">
        <f>SUM(K25:K25)</f>
        <v>0</v>
      </c>
      <c r="L27" s="25">
        <f>SUM(L25:L25)</f>
        <v>0</v>
      </c>
    </row>
    <row r="28" spans="1:12" x14ac:dyDescent="0.2">
      <c r="A28" s="17" t="s">
        <v>263</v>
      </c>
      <c r="L28" s="19"/>
    </row>
    <row r="29" spans="1:12" s="172" customFormat="1" x14ac:dyDescent="0.2">
      <c r="A29" s="167"/>
      <c r="B29" s="174">
        <v>11300</v>
      </c>
      <c r="C29" s="167" t="s">
        <v>264</v>
      </c>
      <c r="D29" s="174">
        <v>10</v>
      </c>
      <c r="E29" s="167" t="s">
        <v>265</v>
      </c>
      <c r="F29" s="195">
        <v>1000</v>
      </c>
      <c r="G29" s="167">
        <v>1</v>
      </c>
      <c r="H29" s="196">
        <f>F29*G29</f>
        <v>1000</v>
      </c>
      <c r="I29" s="196">
        <f>1.13*H29</f>
        <v>1130</v>
      </c>
      <c r="J29" s="196">
        <f>1.25*I29</f>
        <v>1412.5</v>
      </c>
      <c r="K29" s="196">
        <v>1000</v>
      </c>
      <c r="L29" s="171">
        <v>1000</v>
      </c>
    </row>
    <row r="30" spans="1:12" x14ac:dyDescent="0.2">
      <c r="L30" s="19"/>
    </row>
    <row r="31" spans="1:12" s="26" customFormat="1" x14ac:dyDescent="0.2">
      <c r="A31" s="17"/>
      <c r="B31" s="87" t="s">
        <v>138</v>
      </c>
      <c r="C31" s="73"/>
      <c r="D31" s="62"/>
      <c r="E31" s="22"/>
      <c r="F31" s="129"/>
      <c r="G31" s="24"/>
      <c r="H31" s="23"/>
      <c r="I31" s="23">
        <f>SUM(I29:I29)</f>
        <v>1130</v>
      </c>
      <c r="J31" s="23">
        <f>SUM(J29:J29)</f>
        <v>1412.5</v>
      </c>
      <c r="K31" s="23">
        <f>SUM(K29:K29)</f>
        <v>1000</v>
      </c>
      <c r="L31" s="25">
        <f>SUM(L29:L29)</f>
        <v>1000</v>
      </c>
    </row>
    <row r="32" spans="1:12" x14ac:dyDescent="0.2">
      <c r="L32" s="19"/>
    </row>
    <row r="33" spans="1:12" s="34" customFormat="1" x14ac:dyDescent="0.2">
      <c r="A33" s="27"/>
      <c r="B33" s="88" t="s">
        <v>108</v>
      </c>
      <c r="C33" s="75"/>
      <c r="D33" s="63"/>
      <c r="E33" s="30"/>
      <c r="F33" s="130"/>
      <c r="G33" s="32"/>
      <c r="H33" s="31"/>
      <c r="I33" s="31">
        <f>SumBold(I13:I32)</f>
        <v>6031.5784000000003</v>
      </c>
      <c r="J33" s="31">
        <f>SumBold(J13:J32)</f>
        <v>7539.473</v>
      </c>
      <c r="K33" s="31">
        <f>SumBold(K13:K32)</f>
        <v>1000</v>
      </c>
      <c r="L33" s="33">
        <f>SumBold(L13:L32)</f>
        <v>1000</v>
      </c>
    </row>
    <row r="34" spans="1:12" x14ac:dyDescent="0.2">
      <c r="L34" s="19"/>
    </row>
    <row r="35" spans="1:12" x14ac:dyDescent="0.2">
      <c r="A35" s="11" t="s">
        <v>109</v>
      </c>
      <c r="B35" s="61"/>
      <c r="C35" s="70"/>
      <c r="D35" s="61"/>
      <c r="E35" s="13"/>
      <c r="F35" s="128"/>
      <c r="G35" s="15"/>
      <c r="H35" s="14"/>
      <c r="I35" s="14"/>
      <c r="J35" s="14"/>
      <c r="K35" s="14"/>
      <c r="L35" s="16"/>
    </row>
    <row r="36" spans="1:12" s="26" customFormat="1" x14ac:dyDescent="0.2">
      <c r="A36" s="17"/>
      <c r="B36" s="64" t="s">
        <v>110</v>
      </c>
      <c r="C36" s="77"/>
      <c r="D36" s="64"/>
      <c r="E36" s="17"/>
      <c r="F36" s="132"/>
      <c r="G36" s="38"/>
      <c r="H36" s="37"/>
      <c r="I36" s="37">
        <f>I10</f>
        <v>0</v>
      </c>
      <c r="J36" s="37">
        <f>J10</f>
        <v>0</v>
      </c>
      <c r="K36" s="37">
        <f>K10</f>
        <v>0</v>
      </c>
      <c r="L36" s="39">
        <f>L10</f>
        <v>0</v>
      </c>
    </row>
    <row r="37" spans="1:12" s="26" customFormat="1" x14ac:dyDescent="0.2">
      <c r="A37" s="17"/>
      <c r="B37" s="64" t="s">
        <v>111</v>
      </c>
      <c r="C37" s="77"/>
      <c r="D37" s="64"/>
      <c r="E37" s="17"/>
      <c r="F37" s="132"/>
      <c r="G37" s="38"/>
      <c r="H37" s="37"/>
      <c r="I37" s="37">
        <f>I33</f>
        <v>6031.5784000000003</v>
      </c>
      <c r="J37" s="37">
        <f>J33</f>
        <v>7539.473</v>
      </c>
      <c r="K37" s="37">
        <f>K33</f>
        <v>1000</v>
      </c>
      <c r="L37" s="40">
        <f>L33</f>
        <v>1000</v>
      </c>
    </row>
    <row r="38" spans="1:12" s="26" customFormat="1" x14ac:dyDescent="0.2">
      <c r="A38" s="41"/>
      <c r="B38" s="65" t="s">
        <v>112</v>
      </c>
      <c r="C38" s="79"/>
      <c r="D38" s="65"/>
      <c r="E38" s="41"/>
      <c r="F38" s="133"/>
      <c r="G38" s="44"/>
      <c r="H38" s="43"/>
      <c r="I38" s="43">
        <f>SUM(I36,I37*-1)</f>
        <v>-6031.5784000000003</v>
      </c>
      <c r="J38" s="43">
        <f t="shared" ref="J38:L38" si="5">SUM(J36,J37*-1)</f>
        <v>-7539.473</v>
      </c>
      <c r="K38" s="43">
        <f t="shared" si="5"/>
        <v>-1000</v>
      </c>
      <c r="L38" s="45">
        <f t="shared" si="5"/>
        <v>-1000</v>
      </c>
    </row>
  </sheetData>
  <mergeCells count="1">
    <mergeCell ref="B1:K1"/>
  </mergeCells>
  <conditionalFormatting sqref="B6:L8 B22:L23 B26:L27 H14:L21 B29:L38 B13:L13">
    <cfRule type="expression" dxfId="95" priority="24">
      <formula>MOD($B6,2)=1</formula>
    </cfRule>
  </conditionalFormatting>
  <conditionalFormatting sqref="B9:L11">
    <cfRule type="expression" dxfId="94" priority="23">
      <formula>MOD($B9,2)=1</formula>
    </cfRule>
  </conditionalFormatting>
  <conditionalFormatting sqref="B28:L28">
    <cfRule type="expression" dxfId="93" priority="22">
      <formula>MOD($B28,2)=1</formula>
    </cfRule>
  </conditionalFormatting>
  <conditionalFormatting sqref="C14:C21">
    <cfRule type="expression" dxfId="92" priority="20">
      <formula>MOD($B14,2)=1</formula>
    </cfRule>
  </conditionalFormatting>
  <conditionalFormatting sqref="D14:D21">
    <cfRule type="expression" dxfId="91" priority="19">
      <formula>MOD($B14,2)=1</formula>
    </cfRule>
  </conditionalFormatting>
  <conditionalFormatting sqref="E14:E21">
    <cfRule type="expression" dxfId="90" priority="18">
      <formula>MOD($B14,2)=1</formula>
    </cfRule>
  </conditionalFormatting>
  <conditionalFormatting sqref="B24:L24 B25 H25:L25">
    <cfRule type="expression" dxfId="89" priority="14">
      <formula>MOD($B24,2)=1</formula>
    </cfRule>
  </conditionalFormatting>
  <conditionalFormatting sqref="C25:E25">
    <cfRule type="expression" dxfId="88" priority="9">
      <formula>MOD($B25,2)=1</formula>
    </cfRule>
  </conditionalFormatting>
  <conditionalFormatting sqref="F14:G21">
    <cfRule type="expression" dxfId="87" priority="7">
      <formula>MOD($B14,2)=1</formula>
    </cfRule>
  </conditionalFormatting>
  <conditionalFormatting sqref="F25:G25">
    <cfRule type="expression" dxfId="86" priority="2">
      <formula>MOD($B25,2)=1</formula>
    </cfRule>
  </conditionalFormatting>
  <pageMargins left="0.7" right="0.7" top="0.75" bottom="0.75" header="0.3" footer="0.3"/>
  <pageSetup scale="26" fitToWidth="0"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B88A5-0315-476E-898F-657B0A6BE1EB}">
  <sheetPr codeName="Sheet5"/>
  <dimension ref="A1:L36"/>
  <sheetViews>
    <sheetView showGridLines="0" zoomScale="70" zoomScaleNormal="70" workbookViewId="0">
      <pane ySplit="2" topLeftCell="A3" activePane="bottomLeft" state="frozen"/>
      <selection pane="bottomLeft" activeCell="I31" sqref="I31"/>
    </sheetView>
  </sheetViews>
  <sheetFormatPr baseColWidth="10" defaultColWidth="9.83203125" defaultRowHeight="15" x14ac:dyDescent="0.2"/>
  <cols>
    <col min="1" max="1" width="42.5" style="68" customWidth="1"/>
    <col min="2" max="2" width="25.83203125" style="48" customWidth="1"/>
    <col min="3" max="3" width="31" style="68" customWidth="1"/>
    <col min="4" max="4" width="22.5" style="48" customWidth="1"/>
    <col min="5" max="5" width="52" customWidth="1"/>
    <col min="6" max="6" width="15.5" style="8" customWidth="1"/>
    <col min="7" max="7" width="15.5" style="9" customWidth="1"/>
    <col min="8" max="8" width="19.5" style="8" customWidth="1"/>
    <col min="9" max="9" width="18.5" style="8" customWidth="1"/>
    <col min="10" max="10" width="21" style="8" customWidth="1"/>
    <col min="11" max="11" width="18.5" style="8" customWidth="1"/>
    <col min="12" max="12" width="21.33203125" style="1" customWidth="1"/>
    <col min="13" max="16384" width="9.83203125" style="2"/>
  </cols>
  <sheetData>
    <row r="1" spans="1:12" ht="148.5" customHeight="1" x14ac:dyDescent="0.2">
      <c r="B1" s="242" t="s">
        <v>266</v>
      </c>
      <c r="C1" s="242"/>
      <c r="D1" s="242"/>
      <c r="E1" s="242"/>
      <c r="F1" s="242"/>
      <c r="G1" s="242"/>
      <c r="H1" s="242"/>
      <c r="I1" s="242"/>
      <c r="J1" s="242"/>
      <c r="K1" s="242"/>
    </row>
    <row r="2" spans="1:12" s="6" customFormat="1" ht="15" customHeight="1" x14ac:dyDescent="0.25">
      <c r="A2" s="96" t="s">
        <v>1</v>
      </c>
      <c r="B2" s="60" t="s">
        <v>2</v>
      </c>
      <c r="C2" s="60" t="s">
        <v>3</v>
      </c>
      <c r="D2" s="60" t="s">
        <v>114</v>
      </c>
      <c r="E2" s="3" t="s">
        <v>4</v>
      </c>
      <c r="F2" s="4" t="s">
        <v>5</v>
      </c>
      <c r="G2" s="3" t="s">
        <v>6</v>
      </c>
      <c r="H2" s="4" t="s">
        <v>7</v>
      </c>
      <c r="I2" s="4" t="s">
        <v>8</v>
      </c>
      <c r="J2" s="4" t="s">
        <v>115</v>
      </c>
      <c r="K2" s="4" t="s">
        <v>9</v>
      </c>
      <c r="L2" s="5" t="s">
        <v>10</v>
      </c>
    </row>
    <row r="3" spans="1:12" ht="14.25" customHeight="1" x14ac:dyDescent="0.2">
      <c r="L3" s="10"/>
    </row>
    <row r="4" spans="1:12" x14ac:dyDescent="0.2">
      <c r="A4" s="97" t="s">
        <v>12</v>
      </c>
      <c r="B4" s="61"/>
      <c r="C4" s="70"/>
      <c r="D4" s="61"/>
      <c r="E4" s="13"/>
      <c r="F4" s="14"/>
      <c r="G4" s="15"/>
      <c r="H4" s="14"/>
      <c r="I4" s="14"/>
      <c r="J4" s="14"/>
      <c r="K4" s="14"/>
      <c r="L4" s="16"/>
    </row>
    <row r="5" spans="1:12" x14ac:dyDescent="0.2">
      <c r="A5" s="77" t="s">
        <v>267</v>
      </c>
      <c r="L5" s="18"/>
    </row>
    <row r="6" spans="1:12" ht="32" x14ac:dyDescent="0.2">
      <c r="B6" s="48">
        <v>95000</v>
      </c>
      <c r="C6" s="68" t="s">
        <v>268</v>
      </c>
      <c r="E6" s="35" t="s">
        <v>269</v>
      </c>
      <c r="F6" s="8">
        <v>1200</v>
      </c>
      <c r="G6" s="9">
        <v>1</v>
      </c>
      <c r="H6" s="8">
        <f t="shared" ref="H6" si="0">F6*G6</f>
        <v>1200</v>
      </c>
      <c r="I6" s="8">
        <f t="shared" ref="I6" si="1">H6*1.13</f>
        <v>1355.9999999999998</v>
      </c>
      <c r="J6" s="8">
        <f>I6*0.75</f>
        <v>1016.9999999999998</v>
      </c>
      <c r="L6" s="19"/>
    </row>
    <row r="7" spans="1:12" x14ac:dyDescent="0.2">
      <c r="L7" s="19"/>
    </row>
    <row r="8" spans="1:12" s="26" customFormat="1" x14ac:dyDescent="0.2">
      <c r="A8" s="77"/>
      <c r="B8" s="87" t="s">
        <v>270</v>
      </c>
      <c r="C8" s="73"/>
      <c r="D8" s="62"/>
      <c r="E8" s="22"/>
      <c r="F8" s="23"/>
      <c r="G8" s="24"/>
      <c r="H8" s="23"/>
      <c r="I8" s="23">
        <f>SUM(I6:I6)</f>
        <v>1355.9999999999998</v>
      </c>
      <c r="J8" s="23">
        <f>SUM(J6:J6)</f>
        <v>1016.9999999999998</v>
      </c>
      <c r="K8" s="23">
        <f>SUM(K6:K6)</f>
        <v>0</v>
      </c>
      <c r="L8" s="25">
        <f>SUM(L6:L6)</f>
        <v>0</v>
      </c>
    </row>
    <row r="9" spans="1:12" x14ac:dyDescent="0.2">
      <c r="L9" s="19"/>
    </row>
    <row r="10" spans="1:12" s="34" customFormat="1" x14ac:dyDescent="0.2">
      <c r="A10" s="98"/>
      <c r="B10" s="88" t="s">
        <v>38</v>
      </c>
      <c r="C10" s="75"/>
      <c r="D10" s="63"/>
      <c r="E10" s="30"/>
      <c r="F10" s="31"/>
      <c r="G10" s="32"/>
      <c r="H10" s="31"/>
      <c r="I10" s="31">
        <f>SumBold(I5:I9)</f>
        <v>1356</v>
      </c>
      <c r="J10" s="31">
        <f>SumBold(J5:J9)</f>
        <v>1017</v>
      </c>
      <c r="K10" s="31">
        <f>SumBold(K5:K9)</f>
        <v>0</v>
      </c>
      <c r="L10" s="33">
        <f>SumBold(L5:L9)</f>
        <v>0</v>
      </c>
    </row>
    <row r="11" spans="1:12" x14ac:dyDescent="0.2">
      <c r="L11" s="19"/>
    </row>
    <row r="12" spans="1:12" x14ac:dyDescent="0.2">
      <c r="A12" s="97" t="s">
        <v>41</v>
      </c>
      <c r="B12" s="61"/>
      <c r="C12" s="70"/>
      <c r="D12" s="61"/>
      <c r="E12" s="13"/>
      <c r="F12" s="14"/>
      <c r="G12" s="15"/>
      <c r="H12" s="14"/>
      <c r="I12" s="14"/>
      <c r="J12" s="14"/>
      <c r="K12" s="14"/>
      <c r="L12" s="16"/>
    </row>
    <row r="13" spans="1:12" x14ac:dyDescent="0.2">
      <c r="A13" s="77" t="s">
        <v>271</v>
      </c>
      <c r="L13" s="19"/>
    </row>
    <row r="14" spans="1:12" s="167" customFormat="1" x14ac:dyDescent="0.2">
      <c r="A14" s="198"/>
      <c r="B14" s="168" t="s">
        <v>117</v>
      </c>
      <c r="D14" s="174"/>
      <c r="L14" s="197"/>
    </row>
    <row r="15" spans="1:12" x14ac:dyDescent="0.2">
      <c r="L15" s="19"/>
    </row>
    <row r="16" spans="1:12" x14ac:dyDescent="0.2">
      <c r="B16" s="87" t="s">
        <v>272</v>
      </c>
      <c r="C16" s="73"/>
      <c r="D16" s="62"/>
      <c r="E16" s="22"/>
      <c r="F16" s="23"/>
      <c r="G16" s="24"/>
      <c r="H16" s="23"/>
      <c r="I16" s="23">
        <f>SUM(I14:I14)</f>
        <v>0</v>
      </c>
      <c r="J16" s="23">
        <f>SUM(J14:J14)</f>
        <v>0</v>
      </c>
      <c r="K16" s="23">
        <f>SUM(K14:K14)</f>
        <v>0</v>
      </c>
      <c r="L16" s="25">
        <f>SUM(L14:L14)</f>
        <v>0</v>
      </c>
    </row>
    <row r="17" spans="1:12" x14ac:dyDescent="0.2">
      <c r="B17" s="64"/>
      <c r="C17" s="77"/>
      <c r="D17" s="64"/>
      <c r="E17" s="17"/>
      <c r="F17" s="59"/>
      <c r="G17" s="38"/>
      <c r="H17" s="59"/>
      <c r="I17" s="59"/>
      <c r="J17" s="59"/>
      <c r="K17" s="59"/>
      <c r="L17" s="40"/>
    </row>
    <row r="18" spans="1:12" x14ac:dyDescent="0.2">
      <c r="A18" s="77" t="s">
        <v>273</v>
      </c>
      <c r="L18" s="19"/>
    </row>
    <row r="19" spans="1:12" s="167" customFormat="1" x14ac:dyDescent="0.2">
      <c r="A19" s="198"/>
      <c r="B19" s="168" t="s">
        <v>117</v>
      </c>
      <c r="D19" s="174"/>
      <c r="L19" s="197"/>
    </row>
    <row r="20" spans="1:12" x14ac:dyDescent="0.2">
      <c r="C20" s="80"/>
      <c r="L20" s="19"/>
    </row>
    <row r="21" spans="1:12" s="26" customFormat="1" ht="16" x14ac:dyDescent="0.2">
      <c r="A21" s="68"/>
      <c r="B21" s="99" t="s">
        <v>238</v>
      </c>
      <c r="C21" s="73"/>
      <c r="D21" s="62"/>
      <c r="E21" s="22"/>
      <c r="F21" s="23"/>
      <c r="G21" s="24"/>
      <c r="H21" s="23"/>
      <c r="I21" s="23">
        <f>SUM(I19:I19)</f>
        <v>0</v>
      </c>
      <c r="J21" s="23">
        <f>SUM(J19:J19)</f>
        <v>0</v>
      </c>
      <c r="K21" s="23">
        <f>SUM(K19:K19)</f>
        <v>0</v>
      </c>
      <c r="L21" s="25">
        <f>SUM(L19:L19)</f>
        <v>0</v>
      </c>
    </row>
    <row r="22" spans="1:12" s="26" customFormat="1" x14ac:dyDescent="0.2">
      <c r="A22" s="68"/>
      <c r="B22" s="95"/>
      <c r="C22" s="77"/>
      <c r="D22" s="64"/>
      <c r="E22" s="17"/>
      <c r="F22" s="59"/>
      <c r="G22" s="38"/>
      <c r="H22" s="59"/>
      <c r="I22" s="59"/>
      <c r="J22" s="59"/>
      <c r="K22" s="59"/>
      <c r="L22" s="40"/>
    </row>
    <row r="23" spans="1:12" x14ac:dyDescent="0.2">
      <c r="A23" s="77" t="s">
        <v>274</v>
      </c>
      <c r="L23" s="19"/>
    </row>
    <row r="24" spans="1:12" customFormat="1" x14ac:dyDescent="0.2">
      <c r="A24" s="68"/>
      <c r="B24" s="7">
        <v>95300</v>
      </c>
      <c r="C24" t="s">
        <v>275</v>
      </c>
      <c r="D24" s="48">
        <v>2</v>
      </c>
      <c r="E24" t="s">
        <v>276</v>
      </c>
      <c r="F24">
        <v>250</v>
      </c>
      <c r="G24">
        <v>1</v>
      </c>
      <c r="H24" s="1">
        <f>F24*G24</f>
        <v>250</v>
      </c>
      <c r="I24" s="1">
        <f>H24*1.13</f>
        <v>282.5</v>
      </c>
      <c r="J24" s="1">
        <f>I24*1.25</f>
        <v>353.125</v>
      </c>
      <c r="K24" s="1"/>
      <c r="L24" s="19"/>
    </row>
    <row r="25" spans="1:12" customFormat="1" x14ac:dyDescent="0.2">
      <c r="A25" s="68"/>
      <c r="B25" s="7">
        <v>95301</v>
      </c>
      <c r="C25" t="s">
        <v>277</v>
      </c>
      <c r="D25" s="48">
        <v>2</v>
      </c>
      <c r="E25" t="s">
        <v>278</v>
      </c>
      <c r="F25">
        <v>500</v>
      </c>
      <c r="G25">
        <v>1</v>
      </c>
      <c r="H25" s="1">
        <f t="shared" ref="H25:H27" si="2">F25*G25</f>
        <v>500</v>
      </c>
      <c r="I25" s="1">
        <f t="shared" ref="I25:I27" si="3">H25*1.13</f>
        <v>565</v>
      </c>
      <c r="J25" s="1">
        <f t="shared" ref="J25:J27" si="4">I25*1.25</f>
        <v>706.25</v>
      </c>
      <c r="K25" s="1"/>
      <c r="L25" s="19"/>
    </row>
    <row r="26" spans="1:12" customFormat="1" x14ac:dyDescent="0.2">
      <c r="A26" s="68"/>
      <c r="B26" s="7">
        <v>95302</v>
      </c>
      <c r="C26" t="s">
        <v>279</v>
      </c>
      <c r="D26" s="48">
        <v>1</v>
      </c>
      <c r="E26" t="s">
        <v>280</v>
      </c>
      <c r="F26">
        <v>100</v>
      </c>
      <c r="G26">
        <v>1</v>
      </c>
      <c r="H26" s="1">
        <f t="shared" si="2"/>
        <v>100</v>
      </c>
      <c r="I26" s="1">
        <f t="shared" si="3"/>
        <v>112.99999999999999</v>
      </c>
      <c r="J26" s="1">
        <f t="shared" si="4"/>
        <v>141.24999999999997</v>
      </c>
      <c r="K26" s="1"/>
      <c r="L26" s="19"/>
    </row>
    <row r="27" spans="1:12" customFormat="1" x14ac:dyDescent="0.2">
      <c r="A27" s="68"/>
      <c r="B27" s="7">
        <v>95303</v>
      </c>
      <c r="C27" t="s">
        <v>281</v>
      </c>
      <c r="D27" s="48">
        <v>1</v>
      </c>
      <c r="E27" t="s">
        <v>282</v>
      </c>
      <c r="F27">
        <v>500</v>
      </c>
      <c r="G27">
        <v>1</v>
      </c>
      <c r="H27" s="1">
        <f t="shared" si="2"/>
        <v>500</v>
      </c>
      <c r="I27" s="1">
        <f t="shared" si="3"/>
        <v>565</v>
      </c>
      <c r="J27" s="1">
        <f t="shared" si="4"/>
        <v>706.25</v>
      </c>
      <c r="K27" s="1"/>
      <c r="L27" s="19"/>
    </row>
    <row r="28" spans="1:12" s="26" customFormat="1" x14ac:dyDescent="0.2">
      <c r="A28" s="98"/>
      <c r="B28" s="48"/>
      <c r="C28" s="68"/>
      <c r="D28" s="48"/>
      <c r="E28"/>
      <c r="F28" s="8"/>
      <c r="G28" s="9"/>
      <c r="H28" s="8"/>
      <c r="I28" s="8"/>
      <c r="J28" s="8"/>
      <c r="K28" s="8"/>
      <c r="L28" s="19"/>
    </row>
    <row r="29" spans="1:12" x14ac:dyDescent="0.2">
      <c r="B29" s="87" t="s">
        <v>138</v>
      </c>
      <c r="C29" s="73"/>
      <c r="D29" s="62"/>
      <c r="E29" s="22"/>
      <c r="F29" s="23"/>
      <c r="G29" s="24"/>
      <c r="H29" s="23"/>
      <c r="I29" s="23">
        <f>SUM(I24:I27)</f>
        <v>1525.5</v>
      </c>
      <c r="J29" s="23">
        <f>SUM(J24:J27)</f>
        <v>1906.875</v>
      </c>
      <c r="K29" s="23">
        <f>SUM(K24:K27)</f>
        <v>0</v>
      </c>
      <c r="L29" s="25">
        <f>SUM(L24:L27)</f>
        <v>0</v>
      </c>
    </row>
    <row r="30" spans="1:12" x14ac:dyDescent="0.2">
      <c r="L30" s="19"/>
    </row>
    <row r="31" spans="1:12" x14ac:dyDescent="0.2">
      <c r="A31" s="77"/>
      <c r="B31" s="88" t="s">
        <v>108</v>
      </c>
      <c r="C31" s="75"/>
      <c r="D31" s="63"/>
      <c r="E31" s="30"/>
      <c r="F31" s="31"/>
      <c r="G31" s="32"/>
      <c r="H31" s="31"/>
      <c r="I31" s="31">
        <f>SumBold(I13:I30)</f>
        <v>1525.5</v>
      </c>
      <c r="J31" s="31">
        <f>SumBold(J13:J30)</f>
        <v>1906.875</v>
      </c>
      <c r="K31" s="31">
        <f>SumBold(K13:K30)</f>
        <v>0</v>
      </c>
      <c r="L31" s="33">
        <f>SumBold(L13:L30)</f>
        <v>0</v>
      </c>
    </row>
    <row r="32" spans="1:12" x14ac:dyDescent="0.2">
      <c r="L32" s="19"/>
    </row>
    <row r="33" spans="1:12" x14ac:dyDescent="0.2">
      <c r="A33" s="97" t="s">
        <v>109</v>
      </c>
      <c r="B33" s="61"/>
      <c r="C33" s="70"/>
      <c r="D33" s="61"/>
      <c r="E33" s="13"/>
      <c r="F33" s="14"/>
      <c r="G33" s="15"/>
      <c r="H33" s="14"/>
      <c r="I33" s="14"/>
      <c r="J33" s="14"/>
      <c r="K33" s="14"/>
      <c r="L33" s="16"/>
    </row>
    <row r="34" spans="1:12" x14ac:dyDescent="0.2">
      <c r="B34" s="64" t="s">
        <v>110</v>
      </c>
      <c r="C34" s="77"/>
      <c r="D34" s="64"/>
      <c r="E34" s="17"/>
      <c r="F34" s="37"/>
      <c r="G34" s="38"/>
      <c r="H34" s="37"/>
      <c r="I34" s="37">
        <f>I10</f>
        <v>1356</v>
      </c>
      <c r="J34" s="37">
        <f>J10</f>
        <v>1017</v>
      </c>
      <c r="K34" s="37">
        <f>K10</f>
        <v>0</v>
      </c>
      <c r="L34" s="39">
        <f>L10</f>
        <v>0</v>
      </c>
    </row>
    <row r="35" spans="1:12" x14ac:dyDescent="0.2">
      <c r="B35" s="64" t="s">
        <v>111</v>
      </c>
      <c r="C35" s="77"/>
      <c r="D35" s="64"/>
      <c r="E35" s="17"/>
      <c r="F35" s="37"/>
      <c r="G35" s="38"/>
      <c r="H35" s="37"/>
      <c r="I35" s="37">
        <f>I31</f>
        <v>1525.5</v>
      </c>
      <c r="J35" s="37">
        <f>J31</f>
        <v>1906.875</v>
      </c>
      <c r="K35" s="37">
        <f>K31</f>
        <v>0</v>
      </c>
      <c r="L35" s="40">
        <f>L31</f>
        <v>0</v>
      </c>
    </row>
    <row r="36" spans="1:12" x14ac:dyDescent="0.2">
      <c r="A36" s="79"/>
      <c r="B36" s="65" t="s">
        <v>112</v>
      </c>
      <c r="C36" s="79"/>
      <c r="D36" s="65"/>
      <c r="E36" s="41"/>
      <c r="F36" s="43"/>
      <c r="G36" s="44"/>
      <c r="H36" s="43"/>
      <c r="I36" s="43">
        <f>SUM(I34,I35*-1)</f>
        <v>-169.5</v>
      </c>
      <c r="J36" s="43">
        <f t="shared" ref="J36:L36" si="5">SUM(J34,J35*-1)</f>
        <v>-889.875</v>
      </c>
      <c r="K36" s="43">
        <f t="shared" si="5"/>
        <v>0</v>
      </c>
      <c r="L36" s="45">
        <f t="shared" si="5"/>
        <v>0</v>
      </c>
    </row>
  </sheetData>
  <mergeCells count="1">
    <mergeCell ref="B1:K1"/>
  </mergeCells>
  <conditionalFormatting sqref="B6:L8 B14:L36">
    <cfRule type="expression" dxfId="85" priority="2">
      <formula>MOD($B6,2)=1</formula>
    </cfRule>
  </conditionalFormatting>
  <conditionalFormatting sqref="B9:L11">
    <cfRule type="expression" dxfId="84" priority="1">
      <formula>MOD($B9,2)=1</formula>
    </cfRule>
  </conditionalFormatting>
  <pageMargins left="0.7" right="0.7" top="0.75" bottom="0.75" header="0.3" footer="0.3"/>
  <pageSetup scale="26" fitToWidth="0"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D6940CC62F10E41954172B0BDC4BA43" ma:contentTypeVersion="9" ma:contentTypeDescription="Create a new document." ma:contentTypeScope="" ma:versionID="115fe68cde2d57258fda8ff1d174bc90">
  <xsd:schema xmlns:xsd="http://www.w3.org/2001/XMLSchema" xmlns:xs="http://www.w3.org/2001/XMLSchema" xmlns:p="http://schemas.microsoft.com/office/2006/metadata/properties" xmlns:ns2="86d9dbbc-587c-4178-a338-ba33d3f0a24e" xmlns:ns3="d3123d5e-b92f-4954-8283-58cdb926e546" targetNamespace="http://schemas.microsoft.com/office/2006/metadata/properties" ma:root="true" ma:fieldsID="2e2ca0cc260d865b3e0847ffc00f38e0" ns2:_="" ns3:_="">
    <xsd:import namespace="86d9dbbc-587c-4178-a338-ba33d3f0a24e"/>
    <xsd:import namespace="d3123d5e-b92f-4954-8283-58cdb926e54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d9dbbc-587c-4178-a338-ba33d3f0a2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3123d5e-b92f-4954-8283-58cdb926e546"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655CADC-719F-4602-898D-8A028C142071}">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AB873935-4430-44AC-BC37-F8271313CD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d9dbbc-587c-4178-a338-ba33d3f0a24e"/>
    <ds:schemaRef ds:uri="d3123d5e-b92f-4954-8283-58cdb926e5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E578092-2C3F-4FC0-BA78-0C79A591D7A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18</vt:i4>
      </vt:variant>
    </vt:vector>
  </HeadingPairs>
  <TitlesOfParts>
    <vt:vector size="18" baseType="lpstr">
      <vt:lpstr>Overall Summary</vt:lpstr>
      <vt:lpstr>1. President</vt:lpstr>
      <vt:lpstr>2. VPOPs</vt:lpstr>
      <vt:lpstr>3. VPSA</vt:lpstr>
      <vt:lpstr>4. DoA</vt:lpstr>
      <vt:lpstr>5. DoComm</vt:lpstr>
      <vt:lpstr>6. DoCC</vt:lpstr>
      <vt:lpstr>7. DoD</vt:lpstr>
      <vt:lpstr>8. DoIP</vt:lpstr>
      <vt:lpstr>9. DoER</vt:lpstr>
      <vt:lpstr>10. DoF</vt:lpstr>
      <vt:lpstr>11. DoFY</vt:lpstr>
      <vt:lpstr>12. DoHR</vt:lpstr>
      <vt:lpstr>13. DoG</vt:lpstr>
      <vt:lpstr>14. DoIT</vt:lpstr>
      <vt:lpstr>15. DoPD</vt:lpstr>
      <vt:lpstr>16. DoS</vt:lpstr>
      <vt:lpstr>17. DoSI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Liam</dc:creator>
  <cp:keywords/>
  <dc:description/>
  <cp:lastModifiedBy>Microsoft Office User</cp:lastModifiedBy>
  <cp:revision/>
  <dcterms:created xsi:type="dcterms:W3CDTF">2019-09-24T02:20:07Z</dcterms:created>
  <dcterms:modified xsi:type="dcterms:W3CDTF">2022-10-20T17:33:43Z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0x010100ED6940CC62F10E41954172B0BDC4BA43</vt:lpwstr>
  </property>
</Properties>
</file>