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https://engsoc.sharepoint.com/sites/ED-Team/Shared Documents/2021-2022/"/>
    </mc:Choice>
  </mc:AlternateContent>
  <xr:revisionPtr revIDLastSave="0" documentId="8_{F1695A34-1CB2-4B8F-8F65-6FD19AF8DDC8}" xr6:coauthVersionLast="47" xr6:coauthVersionMax="47" xr10:uidLastSave="{00000000-0000-0000-0000-000000000000}"/>
  <bookViews>
    <workbookView minimized="1" xWindow="1080" yWindow="1080" windowWidth="14400" windowHeight="7290" tabRatio="795" xr2:uid="{3D63D353-1DA2-46A4-95D7-5F65DF8F8BF5}"/>
  </bookViews>
  <sheets>
    <sheet name="Overall Summary" sheetId="20" r:id="rId1"/>
    <sheet name="1. President" sheetId="21" r:id="rId2"/>
    <sheet name="2. VPOPs" sheetId="22" r:id="rId3"/>
    <sheet name="3. VPSA" sheetId="24" r:id="rId4"/>
    <sheet name="4. DoA" sheetId="14" r:id="rId5"/>
    <sheet name="5. DoComm" sheetId="12" r:id="rId6"/>
    <sheet name="6. DoCC" sheetId="13" r:id="rId7"/>
    <sheet name="7. DoD" sheetId="27" r:id="rId8"/>
    <sheet name="8. DoIP" sheetId="7" r:id="rId9"/>
    <sheet name="9. DoER" sheetId="11" r:id="rId10"/>
    <sheet name="10. DoF" sheetId="10" r:id="rId11"/>
    <sheet name="11. DoFY" sheetId="18" r:id="rId12"/>
    <sheet name="12. DoHR" sheetId="17" r:id="rId13"/>
    <sheet name="13. DoG" sheetId="9" r:id="rId14"/>
    <sheet name="16. DoS" sheetId="5" r:id="rId15"/>
    <sheet name="14.DoIT" sheetId="26" r:id="rId16"/>
    <sheet name="15. DoPD" sheetId="4" r:id="rId17"/>
    <sheet name="17. DoSI" sheetId="15" r:id="rId18"/>
  </sheets>
  <definedNames>
    <definedName name="_xlnm._FilterDatabase" localSheetId="1" hidden="1">'1. President'!$B$79:$B$79</definedName>
    <definedName name="_xlnm._FilterDatabase" localSheetId="10" hidden="1">'10. DoF'!#REF!</definedName>
    <definedName name="_xlnm._FilterDatabase" localSheetId="11" hidden="1">'11. DoFY'!$B$36:$B$36</definedName>
    <definedName name="_xlnm._FilterDatabase" localSheetId="12" hidden="1">'12. DoHR'!#REF!</definedName>
    <definedName name="_xlnm._FilterDatabase" localSheetId="13" hidden="1">'13. DoG'!#REF!</definedName>
    <definedName name="_xlnm._FilterDatabase" localSheetId="15" hidden="1">'14.DoIT'!#REF!</definedName>
    <definedName name="_xlnm._FilterDatabase" localSheetId="16" hidden="1">'15. DoPD'!$B$71:$B$71</definedName>
    <definedName name="_xlnm._FilterDatabase" localSheetId="14" hidden="1">'16. DoS'!#REF!</definedName>
    <definedName name="_xlnm._FilterDatabase" localSheetId="17" hidden="1">'17. DoSI'!$B$27:$B$27</definedName>
    <definedName name="_xlnm._FilterDatabase" localSheetId="2" hidden="1">'2. VPOPs'!#REF!</definedName>
    <definedName name="_xlnm._FilterDatabase" localSheetId="3" hidden="1">'3. VPSA'!$B$65:$B$65</definedName>
    <definedName name="_xlnm._FilterDatabase" localSheetId="4" hidden="1">'4. DoA'!$B$23:$B$23</definedName>
    <definedName name="_xlnm._FilterDatabase" localSheetId="5" hidden="1">'5. DoComm'!$B$32:$B$32</definedName>
    <definedName name="_xlnm._FilterDatabase" localSheetId="6" hidden="1">'6. DoCC'!#REF!</definedName>
    <definedName name="_xlnm._FilterDatabase" localSheetId="8" hidden="1">'8. DoIP'!$B$42:$B$42</definedName>
    <definedName name="_xlnm._FilterDatabase" localSheetId="9" hidden="1">'9. DoER'!$B$95:$B$95</definedName>
    <definedName name="_xlnm._FilterDatabase" localSheetId="0" hidden="1">'Overall Summary'!$B$58:$B$58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20" l="1"/>
  <c r="J9" i="20"/>
  <c r="J34" i="20"/>
  <c r="J7" i="20"/>
  <c r="L21" i="21"/>
  <c r="L16" i="22"/>
  <c r="L34" i="22"/>
  <c r="L29" i="22"/>
  <c r="L29" i="24"/>
  <c r="L12" i="24"/>
  <c r="L26" i="24"/>
  <c r="L20" i="24"/>
  <c r="L23" i="24"/>
  <c r="L22" i="24"/>
  <c r="L25" i="14"/>
  <c r="L27" i="12"/>
  <c r="L32" i="12"/>
  <c r="L22" i="12"/>
  <c r="L17" i="12"/>
  <c r="L12" i="12"/>
  <c r="L15" i="12"/>
  <c r="L34" i="12" s="1"/>
  <c r="J56" i="20"/>
  <c r="J39" i="20"/>
  <c r="J51" i="20"/>
  <c r="J50" i="20"/>
  <c r="J61" i="20"/>
  <c r="J66" i="20" s="1"/>
  <c r="J47" i="20"/>
  <c r="J58" i="20"/>
  <c r="L28" i="13"/>
  <c r="L43" i="27"/>
  <c r="L56" i="27"/>
  <c r="L24" i="27"/>
  <c r="L46" i="7"/>
  <c r="L45" i="7"/>
  <c r="L10" i="15"/>
  <c r="K29" i="15"/>
  <c r="L139" i="11"/>
  <c r="L123" i="11"/>
  <c r="L108" i="11"/>
  <c r="L92" i="11"/>
  <c r="L51" i="11"/>
  <c r="L13" i="10"/>
  <c r="L10" i="10"/>
  <c r="L63" i="18"/>
  <c r="L19" i="18"/>
  <c r="L28" i="18"/>
  <c r="L36" i="18"/>
  <c r="L40" i="18"/>
  <c r="L48" i="18"/>
  <c r="L61" i="18"/>
  <c r="L21" i="17"/>
  <c r="L44" i="9"/>
  <c r="L42" i="9"/>
  <c r="L24" i="9"/>
  <c r="L21" i="9"/>
  <c r="L22" i="9"/>
  <c r="L29" i="5"/>
  <c r="L17" i="5"/>
  <c r="L10" i="5"/>
  <c r="L45" i="26"/>
  <c r="L49" i="26"/>
  <c r="L42" i="26"/>
  <c r="L32" i="26"/>
  <c r="L26" i="26"/>
  <c r="L16" i="26"/>
  <c r="L10" i="4"/>
  <c r="L18" i="4"/>
  <c r="L39" i="4"/>
  <c r="L48" i="4"/>
  <c r="L71" i="4"/>
  <c r="L77" i="4"/>
  <c r="L98" i="4"/>
  <c r="E61" i="20"/>
  <c r="J12" i="20"/>
  <c r="J15" i="7"/>
  <c r="L7" i="11"/>
  <c r="K7" i="11"/>
  <c r="L48" i="11"/>
  <c r="L46" i="11"/>
  <c r="L44" i="11"/>
  <c r="L42" i="11"/>
  <c r="L33" i="11"/>
  <c r="L35" i="11"/>
  <c r="L18" i="26"/>
  <c r="K56" i="26"/>
  <c r="L22" i="26"/>
  <c r="L14" i="5"/>
  <c r="L12" i="5"/>
  <c r="L19" i="5"/>
  <c r="L30" i="26"/>
  <c r="L20" i="26"/>
  <c r="H17" i="21"/>
  <c r="L29" i="26"/>
  <c r="L37" i="26"/>
  <c r="L38" i="26"/>
  <c r="L40" i="26"/>
  <c r="L35" i="26"/>
  <c r="L36" i="26"/>
  <c r="L34" i="26"/>
  <c r="L19" i="26"/>
  <c r="L21" i="26"/>
  <c r="L23" i="26"/>
  <c r="L24" i="26"/>
  <c r="L11" i="26"/>
  <c r="L12" i="26"/>
  <c r="L13" i="26"/>
  <c r="L14" i="26"/>
  <c r="L10" i="26"/>
  <c r="H14" i="22"/>
  <c r="I14" i="22" s="1"/>
  <c r="J14" i="22" s="1"/>
  <c r="L27" i="10"/>
  <c r="J22" i="24"/>
  <c r="I22" i="24"/>
  <c r="H22" i="24"/>
  <c r="L35" i="20"/>
  <c r="L118" i="11"/>
  <c r="K36" i="21"/>
  <c r="H24" i="20"/>
  <c r="I32" i="20"/>
  <c r="I31" i="20"/>
  <c r="I30" i="20"/>
  <c r="I29" i="20"/>
  <c r="I28" i="20"/>
  <c r="I27" i="20"/>
  <c r="I23" i="20"/>
  <c r="I22" i="20"/>
  <c r="I21" i="20"/>
  <c r="H69" i="4"/>
  <c r="I69" i="4" s="1"/>
  <c r="J69" i="4" s="1"/>
  <c r="H46" i="4"/>
  <c r="I46" i="4" s="1"/>
  <c r="J46" i="4" s="1"/>
  <c r="H37" i="4"/>
  <c r="I37" i="4" s="1"/>
  <c r="J37" i="4" s="1"/>
  <c r="H36" i="4"/>
  <c r="I36" i="4" s="1"/>
  <c r="J36" i="4" s="1"/>
  <c r="J39" i="9"/>
  <c r="J40" i="9"/>
  <c r="I39" i="9"/>
  <c r="I40" i="9"/>
  <c r="H39" i="9"/>
  <c r="H40" i="9"/>
  <c r="H35" i="4"/>
  <c r="I35" i="4" s="1"/>
  <c r="J35" i="4" s="1"/>
  <c r="H8" i="4"/>
  <c r="I8" i="4" s="1"/>
  <c r="J8" i="4" s="1"/>
  <c r="K45" i="26"/>
  <c r="K11" i="26"/>
  <c r="K18" i="26"/>
  <c r="K24" i="26"/>
  <c r="K23" i="26"/>
  <c r="K22" i="26"/>
  <c r="K20" i="26"/>
  <c r="K13" i="26"/>
  <c r="K12" i="26"/>
  <c r="H13" i="22"/>
  <c r="I13" i="22" s="1"/>
  <c r="J13" i="22" s="1"/>
  <c r="L10" i="22"/>
  <c r="K42" i="9"/>
  <c r="J30" i="12"/>
  <c r="I30" i="12"/>
  <c r="H30" i="12"/>
  <c r="L59" i="27"/>
  <c r="K59" i="27"/>
  <c r="J59" i="27"/>
  <c r="I59" i="27"/>
  <c r="L54" i="27"/>
  <c r="K54" i="27"/>
  <c r="H52" i="27"/>
  <c r="I52" i="27" s="1"/>
  <c r="J52" i="27" s="1"/>
  <c r="H51" i="27"/>
  <c r="I51" i="27" s="1"/>
  <c r="L49" i="27"/>
  <c r="K49" i="27"/>
  <c r="H47" i="27"/>
  <c r="I47" i="27" s="1"/>
  <c r="J47" i="27" s="1"/>
  <c r="H46" i="27"/>
  <c r="I46" i="27" s="1"/>
  <c r="J46" i="27" s="1"/>
  <c r="H45" i="27"/>
  <c r="I45" i="27" s="1"/>
  <c r="K43" i="27"/>
  <c r="H41" i="27"/>
  <c r="I41" i="27" s="1"/>
  <c r="J41" i="27" s="1"/>
  <c r="J40" i="27"/>
  <c r="H40" i="27"/>
  <c r="H39" i="27"/>
  <c r="I39" i="27" s="1"/>
  <c r="J38" i="27"/>
  <c r="H38" i="27"/>
  <c r="L36" i="27"/>
  <c r="K36" i="27"/>
  <c r="H34" i="27"/>
  <c r="I34" i="27" s="1"/>
  <c r="J34" i="27" s="1"/>
  <c r="H33" i="27"/>
  <c r="I33" i="27" s="1"/>
  <c r="L31" i="27"/>
  <c r="K31" i="27"/>
  <c r="H29" i="27"/>
  <c r="I29" i="27" s="1"/>
  <c r="J29" i="27" s="1"/>
  <c r="H28" i="27"/>
  <c r="I28" i="27" s="1"/>
  <c r="J28" i="27" s="1"/>
  <c r="H27" i="27"/>
  <c r="I27" i="27" s="1"/>
  <c r="J27" i="27" s="1"/>
  <c r="H26" i="27"/>
  <c r="I26" i="27" s="1"/>
  <c r="K24" i="27"/>
  <c r="H22" i="27"/>
  <c r="I22" i="27" s="1"/>
  <c r="J22" i="27" s="1"/>
  <c r="H21" i="27"/>
  <c r="I21" i="27" s="1"/>
  <c r="J21" i="27" s="1"/>
  <c r="H20" i="27"/>
  <c r="I20" i="27" s="1"/>
  <c r="J20" i="27" s="1"/>
  <c r="H19" i="27"/>
  <c r="I19" i="27" s="1"/>
  <c r="J19" i="27" s="1"/>
  <c r="H18" i="27"/>
  <c r="I18" i="27" s="1"/>
  <c r="J18" i="27" s="1"/>
  <c r="H17" i="27"/>
  <c r="I17" i="27" s="1"/>
  <c r="J17" i="27" s="1"/>
  <c r="H16" i="27"/>
  <c r="I16" i="27" s="1"/>
  <c r="L14" i="27"/>
  <c r="K14" i="27"/>
  <c r="H12" i="27"/>
  <c r="I12" i="27" s="1"/>
  <c r="J12" i="27" s="1"/>
  <c r="H11" i="27"/>
  <c r="I11" i="27" s="1"/>
  <c r="J11" i="27" s="1"/>
  <c r="H10" i="27"/>
  <c r="I10" i="27" s="1"/>
  <c r="K139" i="11"/>
  <c r="L21" i="11"/>
  <c r="K21" i="11"/>
  <c r="G12" i="5"/>
  <c r="K11" i="5"/>
  <c r="K15" i="5"/>
  <c r="L15" i="5"/>
  <c r="L11" i="5"/>
  <c r="K15" i="14"/>
  <c r="L25" i="5"/>
  <c r="H25" i="5"/>
  <c r="I25" i="5" s="1"/>
  <c r="J25" i="5" s="1"/>
  <c r="G15" i="5"/>
  <c r="F15" i="5"/>
  <c r="H15" i="5" s="1"/>
  <c r="I15" i="5" s="1"/>
  <c r="J15" i="5" s="1"/>
  <c r="H12" i="5"/>
  <c r="I12" i="5" s="1"/>
  <c r="J12" i="5" s="1"/>
  <c r="J24" i="15"/>
  <c r="I24" i="15"/>
  <c r="H24" i="15"/>
  <c r="L105" i="11"/>
  <c r="K105" i="11"/>
  <c r="K9" i="11"/>
  <c r="K16" i="11"/>
  <c r="L16" i="11"/>
  <c r="K92" i="11"/>
  <c r="K97" i="11"/>
  <c r="L97" i="11"/>
  <c r="K108" i="11"/>
  <c r="J23" i="11"/>
  <c r="J144" i="11" s="1"/>
  <c r="I23" i="11"/>
  <c r="I144" i="11" s="1"/>
  <c r="J141" i="11"/>
  <c r="J145" i="11" s="1"/>
  <c r="I141" i="11"/>
  <c r="I145" i="11" s="1"/>
  <c r="I60" i="7"/>
  <c r="L37" i="11"/>
  <c r="K117" i="11"/>
  <c r="K123" i="11" s="1"/>
  <c r="K37" i="11"/>
  <c r="K51" i="11" s="1"/>
  <c r="L111" i="11"/>
  <c r="L6" i="11"/>
  <c r="L9" i="11" s="1"/>
  <c r="L23" i="11" s="1"/>
  <c r="L144" i="11" s="1"/>
  <c r="K49" i="26"/>
  <c r="K10" i="15"/>
  <c r="L54" i="26"/>
  <c r="K54" i="26"/>
  <c r="J54" i="26"/>
  <c r="I54" i="26"/>
  <c r="B49" i="26"/>
  <c r="H47" i="26"/>
  <c r="I47" i="26" s="1"/>
  <c r="J47" i="26" s="1"/>
  <c r="H46" i="26"/>
  <c r="I46" i="26" s="1"/>
  <c r="J46" i="26" s="1"/>
  <c r="H45" i="26"/>
  <c r="I45" i="26" s="1"/>
  <c r="J45" i="26" s="1"/>
  <c r="H44" i="26"/>
  <c r="I44" i="26" s="1"/>
  <c r="I49" i="26" s="1"/>
  <c r="K42" i="26"/>
  <c r="B42" i="26"/>
  <c r="F40" i="26"/>
  <c r="H40" i="26" s="1"/>
  <c r="I40" i="26" s="1"/>
  <c r="J40" i="26" s="1"/>
  <c r="H39" i="26"/>
  <c r="I39" i="26" s="1"/>
  <c r="J39" i="26" s="1"/>
  <c r="H38" i="26"/>
  <c r="I38" i="26" s="1"/>
  <c r="J38" i="26" s="1"/>
  <c r="H37" i="26"/>
  <c r="I37" i="26" s="1"/>
  <c r="J37" i="26" s="1"/>
  <c r="H36" i="26"/>
  <c r="I36" i="26" s="1"/>
  <c r="J36" i="26" s="1"/>
  <c r="H35" i="26"/>
  <c r="I35" i="26" s="1"/>
  <c r="H34" i="26"/>
  <c r="I34" i="26" s="1"/>
  <c r="J34" i="26" s="1"/>
  <c r="K32" i="26"/>
  <c r="B32" i="26"/>
  <c r="H30" i="26"/>
  <c r="I30" i="26" s="1"/>
  <c r="J30" i="26" s="1"/>
  <c r="H29" i="26"/>
  <c r="I29" i="26" s="1"/>
  <c r="J29" i="26" s="1"/>
  <c r="H28" i="26"/>
  <c r="I28" i="26" s="1"/>
  <c r="K26" i="26"/>
  <c r="B26" i="26"/>
  <c r="H24" i="26"/>
  <c r="I24" i="26" s="1"/>
  <c r="J24" i="26" s="1"/>
  <c r="H23" i="26"/>
  <c r="I23" i="26" s="1"/>
  <c r="J23" i="26" s="1"/>
  <c r="H22" i="26"/>
  <c r="I22" i="26" s="1"/>
  <c r="J22" i="26" s="1"/>
  <c r="H21" i="26"/>
  <c r="I21" i="26" s="1"/>
  <c r="J21" i="26" s="1"/>
  <c r="H20" i="26"/>
  <c r="I20" i="26" s="1"/>
  <c r="J20" i="26" s="1"/>
  <c r="H19" i="26"/>
  <c r="I19" i="26" s="1"/>
  <c r="J19" i="26" s="1"/>
  <c r="H18" i="26"/>
  <c r="I18" i="26" s="1"/>
  <c r="K16" i="26"/>
  <c r="K51" i="26" s="1"/>
  <c r="K55" i="26" s="1"/>
  <c r="B16" i="26"/>
  <c r="H14" i="26"/>
  <c r="I14" i="26" s="1"/>
  <c r="J14" i="26" s="1"/>
  <c r="H13" i="26"/>
  <c r="I13" i="26" s="1"/>
  <c r="J13" i="26" s="1"/>
  <c r="H12" i="26"/>
  <c r="I12" i="26" s="1"/>
  <c r="J12" i="26" s="1"/>
  <c r="H11" i="26"/>
  <c r="I11" i="26" s="1"/>
  <c r="J11" i="26" s="1"/>
  <c r="H10" i="26"/>
  <c r="I10" i="26" s="1"/>
  <c r="I63" i="18"/>
  <c r="J63" i="18"/>
  <c r="L32" i="24"/>
  <c r="K32" i="24"/>
  <c r="J32" i="24"/>
  <c r="I32" i="24"/>
  <c r="K26" i="24"/>
  <c r="H24" i="24"/>
  <c r="I24" i="24" s="1"/>
  <c r="J24" i="24" s="1"/>
  <c r="H23" i="24"/>
  <c r="I23" i="24" s="1"/>
  <c r="K20" i="24"/>
  <c r="H18" i="24"/>
  <c r="I18" i="24" s="1"/>
  <c r="L16" i="24"/>
  <c r="K16" i="24"/>
  <c r="H14" i="24"/>
  <c r="I14" i="24" s="1"/>
  <c r="K12" i="24"/>
  <c r="H10" i="24"/>
  <c r="I10" i="24" s="1"/>
  <c r="L51" i="26" l="1"/>
  <c r="L55" i="26" s="1"/>
  <c r="L56" i="26" s="1"/>
  <c r="J31" i="20" s="1"/>
  <c r="K141" i="11"/>
  <c r="K145" i="11" s="1"/>
  <c r="K23" i="11"/>
  <c r="K144" i="11" s="1"/>
  <c r="K29" i="24"/>
  <c r="K33" i="24" s="1"/>
  <c r="K34" i="24" s="1"/>
  <c r="I20" i="20" s="1"/>
  <c r="L33" i="24"/>
  <c r="L34" i="24" s="1"/>
  <c r="J20" i="20" s="1"/>
  <c r="K56" i="27"/>
  <c r="K60" i="27" s="1"/>
  <c r="K61" i="27" s="1"/>
  <c r="I24" i="20" s="1"/>
  <c r="L60" i="27"/>
  <c r="L61" i="27" s="1"/>
  <c r="J24" i="20" s="1"/>
  <c r="I14" i="27"/>
  <c r="J10" i="27"/>
  <c r="J14" i="27" s="1"/>
  <c r="I24" i="27"/>
  <c r="J16" i="27"/>
  <c r="J24" i="27" s="1"/>
  <c r="I31" i="27"/>
  <c r="J26" i="27"/>
  <c r="J31" i="27" s="1"/>
  <c r="I36" i="27"/>
  <c r="J33" i="27"/>
  <c r="J36" i="27" s="1"/>
  <c r="I43" i="27"/>
  <c r="J39" i="27"/>
  <c r="J43" i="27" s="1"/>
  <c r="I49" i="27"/>
  <c r="J45" i="27"/>
  <c r="J49" i="27" s="1"/>
  <c r="I54" i="27"/>
  <c r="I56" i="27" s="1"/>
  <c r="I60" i="27" s="1"/>
  <c r="I61" i="27" s="1"/>
  <c r="J51" i="27"/>
  <c r="J54" i="27" s="1"/>
  <c r="J56" i="27" s="1"/>
  <c r="J60" i="27" s="1"/>
  <c r="J61" i="27" s="1"/>
  <c r="L141" i="11"/>
  <c r="L145" i="11" s="1"/>
  <c r="L146" i="11" s="1"/>
  <c r="J26" i="20" s="1"/>
  <c r="I146" i="11"/>
  <c r="H26" i="20" s="1"/>
  <c r="J146" i="11"/>
  <c r="I32" i="26"/>
  <c r="J28" i="26"/>
  <c r="J32" i="26" s="1"/>
  <c r="J18" i="26"/>
  <c r="J26" i="26" s="1"/>
  <c r="I26" i="26"/>
  <c r="J10" i="26"/>
  <c r="J16" i="26" s="1"/>
  <c r="I16" i="26"/>
  <c r="I42" i="26"/>
  <c r="I51" i="26" s="1"/>
  <c r="I55" i="26" s="1"/>
  <c r="I56" i="26" s="1"/>
  <c r="J42" i="26"/>
  <c r="J35" i="26"/>
  <c r="J44" i="26"/>
  <c r="J49" i="26" s="1"/>
  <c r="I16" i="24"/>
  <c r="J14" i="24"/>
  <c r="J16" i="24" s="1"/>
  <c r="I20" i="24"/>
  <c r="J18" i="24"/>
  <c r="J20" i="24" s="1"/>
  <c r="I26" i="24"/>
  <c r="J23" i="24"/>
  <c r="J26" i="24" s="1"/>
  <c r="I12" i="24"/>
  <c r="J10" i="24"/>
  <c r="J12" i="24" s="1"/>
  <c r="K146" i="11" l="1"/>
  <c r="I26" i="20" s="1"/>
  <c r="J29" i="24"/>
  <c r="J33" i="24" s="1"/>
  <c r="J34" i="24" s="1"/>
  <c r="H20" i="20" s="1"/>
  <c r="I29" i="24"/>
  <c r="I33" i="24" s="1"/>
  <c r="I34" i="24" s="1"/>
  <c r="J51" i="26"/>
  <c r="J55" i="26" s="1"/>
  <c r="J56" i="26" s="1"/>
  <c r="H31" i="20" s="1"/>
  <c r="I13" i="15"/>
  <c r="J13" i="15" s="1"/>
  <c r="H18" i="15"/>
  <c r="H17" i="15"/>
  <c r="I17" i="15" s="1"/>
  <c r="J17" i="15" s="1"/>
  <c r="H16" i="15"/>
  <c r="H8" i="15"/>
  <c r="L19" i="17"/>
  <c r="K19" i="17"/>
  <c r="H17" i="17"/>
  <c r="I17" i="17" s="1"/>
  <c r="H23" i="20"/>
  <c r="G55" i="20"/>
  <c r="H55" i="20" s="1"/>
  <c r="K29" i="22"/>
  <c r="H27" i="22"/>
  <c r="I27" i="22" s="1"/>
  <c r="F25" i="21"/>
  <c r="F15" i="21"/>
  <c r="L39" i="22"/>
  <c r="K39" i="22"/>
  <c r="J39" i="22"/>
  <c r="I39" i="22"/>
  <c r="K34" i="22"/>
  <c r="H32" i="22"/>
  <c r="I32" i="22" s="1"/>
  <c r="L24" i="22"/>
  <c r="K24" i="22"/>
  <c r="H22" i="22"/>
  <c r="I22" i="22" s="1"/>
  <c r="J22" i="22" s="1"/>
  <c r="H21" i="22"/>
  <c r="I21" i="22" s="1"/>
  <c r="J21" i="22" s="1"/>
  <c r="H20" i="22"/>
  <c r="I20" i="22" s="1"/>
  <c r="J20" i="22" s="1"/>
  <c r="H19" i="22"/>
  <c r="I19" i="22" s="1"/>
  <c r="K16" i="22"/>
  <c r="K36" i="22" s="1"/>
  <c r="K40" i="22" s="1"/>
  <c r="K41" i="22" s="1"/>
  <c r="I19" i="20" s="1"/>
  <c r="G12" i="22"/>
  <c r="H12" i="22" s="1"/>
  <c r="I12" i="22" s="1"/>
  <c r="J12" i="22" s="1"/>
  <c r="G11" i="22"/>
  <c r="H11" i="22" s="1"/>
  <c r="I11" i="22" s="1"/>
  <c r="J11" i="22" s="1"/>
  <c r="L36" i="22"/>
  <c r="L40" i="22" s="1"/>
  <c r="H10" i="22"/>
  <c r="I10" i="22" s="1"/>
  <c r="G9" i="20"/>
  <c r="H9" i="20" s="1"/>
  <c r="G7" i="20"/>
  <c r="H7" i="20" s="1"/>
  <c r="G40" i="20"/>
  <c r="H40" i="20" s="1"/>
  <c r="G41" i="20"/>
  <c r="H41" i="20" s="1"/>
  <c r="G42" i="20"/>
  <c r="H42" i="20" s="1"/>
  <c r="G43" i="20"/>
  <c r="H43" i="20" s="1"/>
  <c r="G44" i="20"/>
  <c r="H44" i="20" s="1"/>
  <c r="G45" i="20"/>
  <c r="H45" i="20" s="1"/>
  <c r="G39" i="20"/>
  <c r="H39" i="20" s="1"/>
  <c r="H47" i="20" s="1"/>
  <c r="G51" i="20"/>
  <c r="H51" i="20" s="1"/>
  <c r="G52" i="20"/>
  <c r="H52" i="20" s="1"/>
  <c r="G53" i="20"/>
  <c r="H53" i="20" s="1"/>
  <c r="H54" i="20"/>
  <c r="G56" i="20"/>
  <c r="H56" i="20" s="1"/>
  <c r="G61" i="20"/>
  <c r="H61" i="20" s="1"/>
  <c r="G50" i="20"/>
  <c r="H50" i="20" s="1"/>
  <c r="G62" i="20"/>
  <c r="H62" i="20" s="1"/>
  <c r="G63" i="20"/>
  <c r="H63" i="20" s="1"/>
  <c r="G64" i="20"/>
  <c r="H64" i="20" s="1"/>
  <c r="K24" i="9"/>
  <c r="G10" i="20"/>
  <c r="H10" i="20" s="1"/>
  <c r="G8" i="20"/>
  <c r="H8" i="20" s="1"/>
  <c r="G6" i="20"/>
  <c r="H6" i="20" s="1"/>
  <c r="L40" i="21"/>
  <c r="K40" i="21"/>
  <c r="I38" i="21"/>
  <c r="J38" i="21" s="1"/>
  <c r="H37" i="21"/>
  <c r="I37" i="21" s="1"/>
  <c r="J37" i="21" s="1"/>
  <c r="H36" i="21"/>
  <c r="I36" i="21" s="1"/>
  <c r="L34" i="21"/>
  <c r="K34" i="21"/>
  <c r="H32" i="21"/>
  <c r="I32" i="21" s="1"/>
  <c r="J32" i="21" s="1"/>
  <c r="F31" i="21"/>
  <c r="H31" i="21" s="1"/>
  <c r="I31" i="21" s="1"/>
  <c r="H30" i="21"/>
  <c r="I30" i="21" s="1"/>
  <c r="J30" i="21" s="1"/>
  <c r="K28" i="21"/>
  <c r="H26" i="21"/>
  <c r="I26" i="21" s="1"/>
  <c r="J26" i="21" s="1"/>
  <c r="H25" i="21"/>
  <c r="I25" i="21" s="1"/>
  <c r="J25" i="21" s="1"/>
  <c r="H24" i="21"/>
  <c r="I24" i="21" s="1"/>
  <c r="J24" i="21" s="1"/>
  <c r="H23" i="21"/>
  <c r="I23" i="21" s="1"/>
  <c r="K21" i="21"/>
  <c r="H19" i="21"/>
  <c r="I19" i="21" s="1"/>
  <c r="J19" i="21" s="1"/>
  <c r="H18" i="21"/>
  <c r="I18" i="21" s="1"/>
  <c r="J18" i="21" s="1"/>
  <c r="G17" i="21"/>
  <c r="I17" i="21" s="1"/>
  <c r="J17" i="21" s="1"/>
  <c r="H16" i="21"/>
  <c r="I16" i="21" s="1"/>
  <c r="J16" i="21" s="1"/>
  <c r="H15" i="21"/>
  <c r="I15" i="21" s="1"/>
  <c r="J15" i="21" s="1"/>
  <c r="H14" i="21"/>
  <c r="I14" i="21" s="1"/>
  <c r="L8" i="21"/>
  <c r="L10" i="21" s="1"/>
  <c r="L46" i="21" s="1"/>
  <c r="K8" i="21"/>
  <c r="K10" i="21" s="1"/>
  <c r="K46" i="21" s="1"/>
  <c r="H6" i="21"/>
  <c r="I6" i="21" s="1"/>
  <c r="J6" i="21" s="1"/>
  <c r="J8" i="21" s="1"/>
  <c r="J10" i="21" s="1"/>
  <c r="J46" i="21" s="1"/>
  <c r="L41" i="22" l="1"/>
  <c r="J19" i="20" s="1"/>
  <c r="I8" i="15"/>
  <c r="J8" i="15" s="1"/>
  <c r="I19" i="17"/>
  <c r="J17" i="17"/>
  <c r="J19" i="17" s="1"/>
  <c r="I29" i="22"/>
  <c r="J27" i="22"/>
  <c r="J29" i="22" s="1"/>
  <c r="K43" i="21"/>
  <c r="K47" i="21" s="1"/>
  <c r="K48" i="21" s="1"/>
  <c r="I18" i="20" s="1"/>
  <c r="L43" i="21"/>
  <c r="L47" i="21" s="1"/>
  <c r="L48" i="21" s="1"/>
  <c r="J18" i="20" s="1"/>
  <c r="I24" i="22"/>
  <c r="J19" i="22"/>
  <c r="J24" i="22" s="1"/>
  <c r="I16" i="22"/>
  <c r="J10" i="22"/>
  <c r="J16" i="22" s="1"/>
  <c r="I34" i="22"/>
  <c r="J32" i="22"/>
  <c r="J34" i="22" s="1"/>
  <c r="I21" i="21"/>
  <c r="J14" i="21"/>
  <c r="J21" i="21" s="1"/>
  <c r="J31" i="21"/>
  <c r="J34" i="21" s="1"/>
  <c r="I34" i="21"/>
  <c r="J23" i="21"/>
  <c r="J28" i="21" s="1"/>
  <c r="I28" i="21"/>
  <c r="J36" i="21"/>
  <c r="J40" i="21" s="1"/>
  <c r="I40" i="21"/>
  <c r="I8" i="21"/>
  <c r="I10" i="21" s="1"/>
  <c r="I46" i="21" s="1"/>
  <c r="J36" i="22" l="1"/>
  <c r="I36" i="22"/>
  <c r="J40" i="22"/>
  <c r="J41" i="22" s="1"/>
  <c r="H19" i="20" s="1"/>
  <c r="I40" i="22"/>
  <c r="I41" i="22" s="1"/>
  <c r="J43" i="21"/>
  <c r="J47" i="21" s="1"/>
  <c r="J48" i="21" s="1"/>
  <c r="H18" i="20" s="1"/>
  <c r="I43" i="21"/>
  <c r="I47" i="21" s="1"/>
  <c r="I48" i="21" s="1"/>
  <c r="I66" i="20"/>
  <c r="I58" i="20"/>
  <c r="H58" i="20"/>
  <c r="I47" i="20"/>
  <c r="U18" i="20"/>
  <c r="T18" i="20"/>
  <c r="T10" i="20"/>
  <c r="T19" i="20"/>
  <c r="U5" i="20"/>
  <c r="T5" i="20"/>
  <c r="T17" i="20"/>
  <c r="U13" i="20"/>
  <c r="T13" i="20"/>
  <c r="I12" i="20"/>
  <c r="I14" i="20" s="1"/>
  <c r="I71" i="20" s="1"/>
  <c r="AB9" i="20"/>
  <c r="Z22" i="20" s="1"/>
  <c r="AA9" i="20"/>
  <c r="Y22" i="20" s="1"/>
  <c r="T8" i="20"/>
  <c r="U7" i="20"/>
  <c r="T7" i="20"/>
  <c r="S7" i="20"/>
  <c r="J14" i="20"/>
  <c r="AC9" i="20"/>
  <c r="AA22" i="20" s="1"/>
  <c r="S5" i="20"/>
  <c r="T9" i="20"/>
  <c r="T16" i="20"/>
  <c r="T6" i="20"/>
  <c r="T11" i="20"/>
  <c r="T14" i="20"/>
  <c r="T15" i="20"/>
  <c r="U6" i="20"/>
  <c r="U11" i="20"/>
  <c r="J71" i="20" l="1"/>
  <c r="H12" i="20"/>
  <c r="H14" i="20" s="1"/>
  <c r="U24" i="20"/>
  <c r="U26" i="20"/>
  <c r="S25" i="20"/>
  <c r="U25" i="20"/>
  <c r="H66" i="20"/>
  <c r="S6" i="20"/>
  <c r="H71" i="20" l="1"/>
  <c r="L14" i="20"/>
  <c r="AA18" i="20"/>
  <c r="AA23" i="20" s="1"/>
  <c r="AA24" i="20" s="1"/>
  <c r="S26" i="20"/>
  <c r="S24" i="20"/>
  <c r="Z18" i="20"/>
  <c r="Z23" i="20" s="1"/>
  <c r="Z24" i="20" s="1"/>
  <c r="Y18" i="20" l="1"/>
  <c r="Y23" i="20" s="1"/>
  <c r="Y24" i="20" s="1"/>
  <c r="J67" i="18"/>
  <c r="J68" i="18" s="1"/>
  <c r="H28" i="20" s="1"/>
  <c r="S15" i="20" s="1"/>
  <c r="I67" i="18"/>
  <c r="I68" i="18" s="1"/>
  <c r="L67" i="18"/>
  <c r="L68" i="18" s="1"/>
  <c r="J28" i="20" s="1"/>
  <c r="U15" i="20" s="1"/>
  <c r="K67" i="18"/>
  <c r="K68" i="18" s="1"/>
  <c r="K36" i="18"/>
  <c r="J34" i="18"/>
  <c r="H34" i="18"/>
  <c r="H33" i="18"/>
  <c r="I33" i="18" s="1"/>
  <c r="J33" i="18" s="1"/>
  <c r="H32" i="18"/>
  <c r="I32" i="18" s="1"/>
  <c r="J32" i="18" s="1"/>
  <c r="H31" i="18"/>
  <c r="I31" i="18" s="1"/>
  <c r="K28" i="18"/>
  <c r="H25" i="18"/>
  <c r="I25" i="18" s="1"/>
  <c r="J25" i="18" s="1"/>
  <c r="H24" i="18"/>
  <c r="I24" i="18" s="1"/>
  <c r="J24" i="18" s="1"/>
  <c r="H23" i="18"/>
  <c r="I23" i="18" s="1"/>
  <c r="J23" i="18" s="1"/>
  <c r="H22" i="18"/>
  <c r="I22" i="18" s="1"/>
  <c r="K19" i="18"/>
  <c r="H16" i="18"/>
  <c r="I16" i="18" s="1"/>
  <c r="J16" i="18" s="1"/>
  <c r="H15" i="18"/>
  <c r="I15" i="18" s="1"/>
  <c r="J15" i="18" s="1"/>
  <c r="H14" i="18"/>
  <c r="I14" i="18" s="1"/>
  <c r="J14" i="18" s="1"/>
  <c r="H13" i="18"/>
  <c r="I13" i="18" s="1"/>
  <c r="J13" i="18" s="1"/>
  <c r="H12" i="18"/>
  <c r="I12" i="18" s="1"/>
  <c r="J12" i="18" s="1"/>
  <c r="H11" i="18"/>
  <c r="I11" i="18" s="1"/>
  <c r="L66" i="18"/>
  <c r="I19" i="18" l="1"/>
  <c r="J11" i="18"/>
  <c r="J19" i="18" s="1"/>
  <c r="J22" i="18"/>
  <c r="J28" i="18" s="1"/>
  <c r="I28" i="18"/>
  <c r="J31" i="18"/>
  <c r="J36" i="18" s="1"/>
  <c r="I36" i="18"/>
  <c r="L25" i="17"/>
  <c r="K25" i="17"/>
  <c r="L15" i="17"/>
  <c r="K15" i="17"/>
  <c r="H13" i="17"/>
  <c r="I13" i="17" s="1"/>
  <c r="J13" i="17" s="1"/>
  <c r="H12" i="17"/>
  <c r="I12" i="17" s="1"/>
  <c r="J12" i="17" s="1"/>
  <c r="H11" i="17"/>
  <c r="I11" i="17" s="1"/>
  <c r="J11" i="17" s="1"/>
  <c r="H10" i="17"/>
  <c r="I10" i="17" s="1"/>
  <c r="L24" i="17"/>
  <c r="K24" i="17"/>
  <c r="J24" i="17"/>
  <c r="I24" i="17"/>
  <c r="K26" i="17" l="1"/>
  <c r="L26" i="17"/>
  <c r="J29" i="20" s="1"/>
  <c r="U16" i="20" s="1"/>
  <c r="S10" i="20"/>
  <c r="S11" i="20"/>
  <c r="I15" i="17"/>
  <c r="I21" i="17" s="1"/>
  <c r="I25" i="17" s="1"/>
  <c r="I26" i="17" s="1"/>
  <c r="J10" i="17"/>
  <c r="J15" i="17" s="1"/>
  <c r="J21" i="17" s="1"/>
  <c r="J25" i="17" s="1"/>
  <c r="J26" i="17" s="1"/>
  <c r="H29" i="20" s="1"/>
  <c r="S16" i="20" s="1"/>
  <c r="L27" i="15" l="1"/>
  <c r="K27" i="15"/>
  <c r="H25" i="15"/>
  <c r="I25" i="15" s="1"/>
  <c r="J25" i="15" s="1"/>
  <c r="H23" i="15"/>
  <c r="I23" i="15" s="1"/>
  <c r="J23" i="15" s="1"/>
  <c r="H22" i="15"/>
  <c r="I22" i="15" s="1"/>
  <c r="L20" i="15"/>
  <c r="K20" i="15"/>
  <c r="K33" i="15" s="1"/>
  <c r="K34" i="15" s="1"/>
  <c r="I34" i="20" s="1"/>
  <c r="I18" i="15"/>
  <c r="I16" i="15"/>
  <c r="J16" i="15" s="1"/>
  <c r="H15" i="15"/>
  <c r="I15" i="15" s="1"/>
  <c r="J15" i="15" s="1"/>
  <c r="H14" i="15"/>
  <c r="I14" i="15" s="1"/>
  <c r="J14" i="15" s="1"/>
  <c r="H12" i="15"/>
  <c r="I12" i="15" s="1"/>
  <c r="L29" i="15"/>
  <c r="L33" i="15" s="1"/>
  <c r="L34" i="15" s="1"/>
  <c r="U21" i="20" s="1"/>
  <c r="H7" i="15"/>
  <c r="H6" i="15"/>
  <c r="I6" i="15" s="1"/>
  <c r="L23" i="14"/>
  <c r="K23" i="14"/>
  <c r="H21" i="14"/>
  <c r="I21" i="14" s="1"/>
  <c r="J21" i="14" s="1"/>
  <c r="H20" i="14"/>
  <c r="I20" i="14" s="1"/>
  <c r="J20" i="14" s="1"/>
  <c r="H19" i="14"/>
  <c r="I19" i="14" s="1"/>
  <c r="L17" i="14"/>
  <c r="K17" i="14"/>
  <c r="H16" i="14"/>
  <c r="I16" i="14" s="1"/>
  <c r="J16" i="14" s="1"/>
  <c r="H15" i="14"/>
  <c r="I15" i="14" s="1"/>
  <c r="L12" i="14"/>
  <c r="L29" i="14" s="1"/>
  <c r="K12" i="14"/>
  <c r="K25" i="14" s="1"/>
  <c r="K29" i="14" s="1"/>
  <c r="K30" i="14" s="1"/>
  <c r="H10" i="14"/>
  <c r="I10" i="14" s="1"/>
  <c r="J10" i="14" s="1"/>
  <c r="H9" i="14"/>
  <c r="I9" i="14" s="1"/>
  <c r="J9" i="14" s="1"/>
  <c r="H8" i="14"/>
  <c r="I8" i="14" s="1"/>
  <c r="L33" i="13"/>
  <c r="K33" i="13"/>
  <c r="H31" i="13"/>
  <c r="I31" i="13" s="1"/>
  <c r="K28" i="13"/>
  <c r="H26" i="13"/>
  <c r="I26" i="13" s="1"/>
  <c r="J26" i="13" s="1"/>
  <c r="H25" i="13"/>
  <c r="I25" i="13" s="1"/>
  <c r="J25" i="13" s="1"/>
  <c r="H24" i="13"/>
  <c r="I24" i="13" s="1"/>
  <c r="J24" i="13" s="1"/>
  <c r="H23" i="13"/>
  <c r="I23" i="13" s="1"/>
  <c r="J23" i="13" s="1"/>
  <c r="H22" i="13"/>
  <c r="I22" i="13" s="1"/>
  <c r="J22" i="13" s="1"/>
  <c r="H21" i="13"/>
  <c r="I21" i="13" s="1"/>
  <c r="J21" i="13" s="1"/>
  <c r="H20" i="13"/>
  <c r="I20" i="13" s="1"/>
  <c r="J20" i="13" s="1"/>
  <c r="H19" i="13"/>
  <c r="I19" i="13" s="1"/>
  <c r="J19" i="13" s="1"/>
  <c r="H18" i="13"/>
  <c r="I18" i="13" s="1"/>
  <c r="L15" i="13"/>
  <c r="L35" i="13" s="1"/>
  <c r="L39" i="13" s="1"/>
  <c r="K15" i="13"/>
  <c r="K35" i="13" s="1"/>
  <c r="K39" i="13" s="1"/>
  <c r="K40" i="13" s="1"/>
  <c r="H13" i="13"/>
  <c r="I13" i="13" s="1"/>
  <c r="J13" i="13" s="1"/>
  <c r="H12" i="13"/>
  <c r="I12" i="13" s="1"/>
  <c r="J12" i="13" s="1"/>
  <c r="H11" i="13"/>
  <c r="I11" i="13" s="1"/>
  <c r="J11" i="13" s="1"/>
  <c r="H10" i="13"/>
  <c r="I10" i="13" s="1"/>
  <c r="L38" i="13"/>
  <c r="K38" i="13"/>
  <c r="I38" i="13"/>
  <c r="L30" i="14" l="1"/>
  <c r="J21" i="20" s="1"/>
  <c r="T21" i="20"/>
  <c r="U8" i="20"/>
  <c r="I7" i="15"/>
  <c r="J18" i="15"/>
  <c r="I20" i="15"/>
  <c r="I15" i="13"/>
  <c r="J10" i="13"/>
  <c r="J22" i="15"/>
  <c r="J27" i="15" s="1"/>
  <c r="I27" i="15"/>
  <c r="J12" i="15"/>
  <c r="J6" i="15"/>
  <c r="I17" i="14"/>
  <c r="J15" i="14"/>
  <c r="J17" i="14" s="1"/>
  <c r="J8" i="14"/>
  <c r="J12" i="14" s="1"/>
  <c r="I12" i="14"/>
  <c r="J19" i="14"/>
  <c r="J23" i="14" s="1"/>
  <c r="I23" i="14"/>
  <c r="J15" i="13"/>
  <c r="J35" i="13" s="1"/>
  <c r="J39" i="13" s="1"/>
  <c r="J40" i="13" s="1"/>
  <c r="I28" i="13"/>
  <c r="I35" i="13" s="1"/>
  <c r="I39" i="13" s="1"/>
  <c r="I40" i="13" s="1"/>
  <c r="J18" i="13"/>
  <c r="J28" i="13" s="1"/>
  <c r="I33" i="13"/>
  <c r="J31" i="13"/>
  <c r="J33" i="13" s="1"/>
  <c r="L40" i="13"/>
  <c r="J23" i="20" s="1"/>
  <c r="J38" i="13"/>
  <c r="U10" i="20" l="1"/>
  <c r="I10" i="15"/>
  <c r="I29" i="15" s="1"/>
  <c r="I33" i="15" s="1"/>
  <c r="I34" i="15" s="1"/>
  <c r="J7" i="15"/>
  <c r="J20" i="15"/>
  <c r="J10" i="15"/>
  <c r="J29" i="15" s="1"/>
  <c r="J33" i="15" s="1"/>
  <c r="J34" i="15" s="1"/>
  <c r="H34" i="20" s="1"/>
  <c r="S21" i="20" s="1"/>
  <c r="I25" i="14"/>
  <c r="I29" i="14" s="1"/>
  <c r="I30" i="14" s="1"/>
  <c r="J25" i="14"/>
  <c r="J29" i="14" s="1"/>
  <c r="J30" i="14" s="1"/>
  <c r="H21" i="20" s="1"/>
  <c r="S8" i="20" s="1"/>
  <c r="K38" i="12"/>
  <c r="K32" i="12"/>
  <c r="H29" i="12"/>
  <c r="I29" i="12" s="1"/>
  <c r="J29" i="12" s="1"/>
  <c r="H28" i="12"/>
  <c r="I28" i="12" s="1"/>
  <c r="J28" i="12" s="1"/>
  <c r="H27" i="12"/>
  <c r="I27" i="12" s="1"/>
  <c r="J27" i="12" s="1"/>
  <c r="H26" i="12"/>
  <c r="I26" i="12" s="1"/>
  <c r="J26" i="12" s="1"/>
  <c r="H25" i="12"/>
  <c r="I25" i="12" s="1"/>
  <c r="J25" i="12" s="1"/>
  <c r="H24" i="12"/>
  <c r="I24" i="12" s="1"/>
  <c r="K22" i="12"/>
  <c r="H20" i="12"/>
  <c r="I20" i="12" s="1"/>
  <c r="J20" i="12" s="1"/>
  <c r="H19" i="12"/>
  <c r="I19" i="12" s="1"/>
  <c r="J19" i="12" s="1"/>
  <c r="H18" i="12"/>
  <c r="I18" i="12" s="1"/>
  <c r="J18" i="12" s="1"/>
  <c r="H17" i="12"/>
  <c r="I17" i="12" s="1"/>
  <c r="K15" i="12"/>
  <c r="H13" i="12"/>
  <c r="I13" i="12" s="1"/>
  <c r="J13" i="12" s="1"/>
  <c r="H12" i="12"/>
  <c r="I12" i="12" s="1"/>
  <c r="J12" i="12" s="1"/>
  <c r="H11" i="12"/>
  <c r="I11" i="12" s="1"/>
  <c r="J11" i="12" s="1"/>
  <c r="H10" i="12"/>
  <c r="I10" i="12" s="1"/>
  <c r="L37" i="12"/>
  <c r="K37" i="12"/>
  <c r="J37" i="12"/>
  <c r="I37" i="12"/>
  <c r="L38" i="12" l="1"/>
  <c r="K39" i="12"/>
  <c r="I15" i="12"/>
  <c r="J10" i="12"/>
  <c r="J15" i="12" s="1"/>
  <c r="I32" i="12"/>
  <c r="J24" i="12"/>
  <c r="J32" i="12" s="1"/>
  <c r="I22" i="12"/>
  <c r="J17" i="12"/>
  <c r="J22" i="12" s="1"/>
  <c r="L39" i="12" l="1"/>
  <c r="J22" i="20" s="1"/>
  <c r="U9" i="20"/>
  <c r="S13" i="20"/>
  <c r="J34" i="12"/>
  <c r="J38" i="12" s="1"/>
  <c r="J39" i="12" s="1"/>
  <c r="H22" i="20" s="1"/>
  <c r="I34" i="12"/>
  <c r="I38" i="12" s="1"/>
  <c r="I39" i="12" s="1"/>
  <c r="L31" i="10"/>
  <c r="K31" i="10"/>
  <c r="L25" i="10"/>
  <c r="K25" i="10"/>
  <c r="H23" i="10"/>
  <c r="I23" i="10" s="1"/>
  <c r="L20" i="10"/>
  <c r="K20" i="10"/>
  <c r="H18" i="10"/>
  <c r="I18" i="10" s="1"/>
  <c r="J18" i="10" s="1"/>
  <c r="H17" i="10"/>
  <c r="I17" i="10" s="1"/>
  <c r="J17" i="10" s="1"/>
  <c r="H16" i="10"/>
  <c r="I16" i="10" s="1"/>
  <c r="K13" i="10"/>
  <c r="H11" i="10"/>
  <c r="I11" i="10" s="1"/>
  <c r="J11" i="10" s="1"/>
  <c r="G10" i="10"/>
  <c r="H10" i="10" s="1"/>
  <c r="I10" i="10" s="1"/>
  <c r="L30" i="10"/>
  <c r="K30" i="10"/>
  <c r="J30" i="10"/>
  <c r="I30" i="10"/>
  <c r="K32" i="10" l="1"/>
  <c r="L32" i="10"/>
  <c r="J27" i="20" s="1"/>
  <c r="S9" i="20"/>
  <c r="I25" i="10"/>
  <c r="J23" i="10"/>
  <c r="J25" i="10" s="1"/>
  <c r="J16" i="10"/>
  <c r="J20" i="10" s="1"/>
  <c r="I20" i="10"/>
  <c r="J10" i="10"/>
  <c r="J13" i="10" s="1"/>
  <c r="J27" i="10" s="1"/>
  <c r="J31" i="10" s="1"/>
  <c r="J32" i="10" s="1"/>
  <c r="H27" i="20" s="1"/>
  <c r="S14" i="20" s="1"/>
  <c r="I13" i="10"/>
  <c r="U14" i="20" l="1"/>
  <c r="I27" i="10"/>
  <c r="I31" i="10" s="1"/>
  <c r="I32" i="10" s="1"/>
  <c r="L48" i="9"/>
  <c r="K48" i="9"/>
  <c r="H38" i="9"/>
  <c r="I38" i="9" s="1"/>
  <c r="J38" i="9" s="1"/>
  <c r="H37" i="9"/>
  <c r="I37" i="9" s="1"/>
  <c r="J37" i="9" s="1"/>
  <c r="H36" i="9"/>
  <c r="I36" i="9" s="1"/>
  <c r="J36" i="9" s="1"/>
  <c r="H35" i="9"/>
  <c r="I35" i="9" s="1"/>
  <c r="J35" i="9" s="1"/>
  <c r="H34" i="9"/>
  <c r="I34" i="9" s="1"/>
  <c r="J34" i="9" s="1"/>
  <c r="H33" i="9"/>
  <c r="I33" i="9" s="1"/>
  <c r="J33" i="9" s="1"/>
  <c r="H32" i="9"/>
  <c r="I32" i="9" s="1"/>
  <c r="J32" i="9" s="1"/>
  <c r="H31" i="9"/>
  <c r="I31" i="9" s="1"/>
  <c r="J31" i="9" s="1"/>
  <c r="H30" i="9"/>
  <c r="I30" i="9" s="1"/>
  <c r="J30" i="9" s="1"/>
  <c r="H29" i="9"/>
  <c r="I29" i="9" s="1"/>
  <c r="J29" i="9" s="1"/>
  <c r="H28" i="9"/>
  <c r="I28" i="9" s="1"/>
  <c r="J28" i="9" s="1"/>
  <c r="H27" i="9"/>
  <c r="I27" i="9" s="1"/>
  <c r="J27" i="9" s="1"/>
  <c r="B27" i="9"/>
  <c r="B28" i="9" s="1"/>
  <c r="B29" i="9" s="1"/>
  <c r="B30" i="9" s="1"/>
  <c r="B31" i="9" s="1"/>
  <c r="B32" i="9" s="1"/>
  <c r="B33" i="9" s="1"/>
  <c r="B34" i="9" s="1"/>
  <c r="B35" i="9" s="1"/>
  <c r="B36" i="9" s="1"/>
  <c r="B37" i="9" s="1"/>
  <c r="B38" i="9" s="1"/>
  <c r="H26" i="9"/>
  <c r="I26" i="9" s="1"/>
  <c r="H23" i="9"/>
  <c r="I23" i="9" s="1"/>
  <c r="J23" i="9" s="1"/>
  <c r="H22" i="9"/>
  <c r="I22" i="9" s="1"/>
  <c r="J22" i="9" s="1"/>
  <c r="H14" i="9"/>
  <c r="I14" i="9" s="1"/>
  <c r="J14" i="9" s="1"/>
  <c r="H13" i="9"/>
  <c r="I13" i="9" s="1"/>
  <c r="J13" i="9" s="1"/>
  <c r="H12" i="9"/>
  <c r="I12" i="9" s="1"/>
  <c r="J12" i="9" s="1"/>
  <c r="B12" i="9"/>
  <c r="B13" i="9" s="1"/>
  <c r="B14" i="9" s="1"/>
  <c r="B15" i="9" s="1"/>
  <c r="B16" i="9" s="1"/>
  <c r="B17" i="9" s="1"/>
  <c r="B18" i="9" s="1"/>
  <c r="B19" i="9" s="1"/>
  <c r="B20" i="9" s="1"/>
  <c r="B21" i="9" s="1"/>
  <c r="B22" i="9" s="1"/>
  <c r="B23" i="9" s="1"/>
  <c r="H11" i="9"/>
  <c r="I11" i="9" s="1"/>
  <c r="J11" i="9" s="1"/>
  <c r="H10" i="9"/>
  <c r="I10" i="9" s="1"/>
  <c r="J10" i="9" s="1"/>
  <c r="L47" i="9"/>
  <c r="K47" i="9"/>
  <c r="J47" i="9"/>
  <c r="I47" i="9"/>
  <c r="K49" i="9" l="1"/>
  <c r="L49" i="9"/>
  <c r="J30" i="20" s="1"/>
  <c r="U17" i="20" s="1"/>
  <c r="I24" i="9"/>
  <c r="J26" i="9"/>
  <c r="I42" i="9"/>
  <c r="J24" i="9"/>
  <c r="I44" i="9" l="1"/>
  <c r="I48" i="9" s="1"/>
  <c r="I49" i="9" s="1"/>
  <c r="J42" i="9"/>
  <c r="J44" i="9" s="1"/>
  <c r="J48" i="9" s="1"/>
  <c r="J49" i="9" s="1"/>
  <c r="H30" i="20" s="1"/>
  <c r="S17" i="20" s="1"/>
  <c r="S18" i="20" l="1"/>
  <c r="L58" i="7"/>
  <c r="K58" i="7"/>
  <c r="H56" i="7"/>
  <c r="J56" i="7" s="1"/>
  <c r="H55" i="7"/>
  <c r="J55" i="7" s="1"/>
  <c r="H54" i="7"/>
  <c r="J54" i="7" s="1"/>
  <c r="H53" i="7"/>
  <c r="I53" i="7" s="1"/>
  <c r="J53" i="7" s="1"/>
  <c r="H52" i="7"/>
  <c r="I52" i="7" s="1"/>
  <c r="J52" i="7" s="1"/>
  <c r="H51" i="7"/>
  <c r="I51" i="7" s="1"/>
  <c r="J51" i="7" s="1"/>
  <c r="H50" i="7"/>
  <c r="I50" i="7" s="1"/>
  <c r="J50" i="7" s="1"/>
  <c r="H49" i="7"/>
  <c r="I49" i="7" s="1"/>
  <c r="J49" i="7" s="1"/>
  <c r="H48" i="7"/>
  <c r="I48" i="7" s="1"/>
  <c r="J48" i="7" s="1"/>
  <c r="H47" i="7"/>
  <c r="I47" i="7" s="1"/>
  <c r="J47" i="7" s="1"/>
  <c r="H46" i="7"/>
  <c r="I46" i="7" s="1"/>
  <c r="J46" i="7" s="1"/>
  <c r="H45" i="7"/>
  <c r="I45" i="7" s="1"/>
  <c r="J45" i="7" s="1"/>
  <c r="H44" i="7"/>
  <c r="I44" i="7" s="1"/>
  <c r="L42" i="7"/>
  <c r="K42" i="7"/>
  <c r="H40" i="7"/>
  <c r="I40" i="7" s="1"/>
  <c r="J40" i="7" s="1"/>
  <c r="H39" i="7"/>
  <c r="I39" i="7" s="1"/>
  <c r="J39" i="7" s="1"/>
  <c r="H38" i="7"/>
  <c r="I38" i="7" s="1"/>
  <c r="J38" i="7" s="1"/>
  <c r="H37" i="7"/>
  <c r="I37" i="7" s="1"/>
  <c r="J37" i="7" s="1"/>
  <c r="H36" i="7"/>
  <c r="I36" i="7" s="1"/>
  <c r="J36" i="7" s="1"/>
  <c r="H35" i="7"/>
  <c r="I35" i="7" s="1"/>
  <c r="J35" i="7" s="1"/>
  <c r="H34" i="7"/>
  <c r="I34" i="7" s="1"/>
  <c r="J34" i="7" s="1"/>
  <c r="H33" i="7"/>
  <c r="I33" i="7" s="1"/>
  <c r="J33" i="7" s="1"/>
  <c r="H32" i="7"/>
  <c r="J32" i="7" s="1"/>
  <c r="H31" i="7"/>
  <c r="J31" i="7" s="1"/>
  <c r="H30" i="7"/>
  <c r="L28" i="7"/>
  <c r="K28" i="7"/>
  <c r="H26" i="7"/>
  <c r="I26" i="7" s="1"/>
  <c r="L24" i="7"/>
  <c r="K24" i="7"/>
  <c r="H22" i="7"/>
  <c r="I22" i="7" s="1"/>
  <c r="J22" i="7" s="1"/>
  <c r="H21" i="7"/>
  <c r="I21" i="7" s="1"/>
  <c r="J21" i="7" s="1"/>
  <c r="H20" i="7"/>
  <c r="I20" i="7" s="1"/>
  <c r="J20" i="7" s="1"/>
  <c r="H19" i="7"/>
  <c r="I19" i="7" s="1"/>
  <c r="L13" i="7"/>
  <c r="K13" i="7"/>
  <c r="H11" i="7"/>
  <c r="I11" i="7" s="1"/>
  <c r="J11" i="7" s="1"/>
  <c r="J13" i="7" s="1"/>
  <c r="L9" i="7"/>
  <c r="K9" i="7"/>
  <c r="H7" i="7"/>
  <c r="I7" i="7" s="1"/>
  <c r="J7" i="7" s="1"/>
  <c r="H6" i="7"/>
  <c r="K60" i="7" l="1"/>
  <c r="K64" i="7" s="1"/>
  <c r="K15" i="7"/>
  <c r="K63" i="7" s="1"/>
  <c r="L15" i="7"/>
  <c r="L63" i="7" s="1"/>
  <c r="L60" i="7"/>
  <c r="L64" i="7" s="1"/>
  <c r="L65" i="7" s="1"/>
  <c r="J25" i="20" s="1"/>
  <c r="J30" i="7"/>
  <c r="J42" i="7" s="1"/>
  <c r="I42" i="7"/>
  <c r="J26" i="7"/>
  <c r="J28" i="7" s="1"/>
  <c r="I28" i="7"/>
  <c r="J6" i="7"/>
  <c r="J9" i="7" s="1"/>
  <c r="J63" i="7" s="1"/>
  <c r="I9" i="7"/>
  <c r="I58" i="7"/>
  <c r="J19" i="7"/>
  <c r="J24" i="7" s="1"/>
  <c r="I24" i="7"/>
  <c r="J44" i="7"/>
  <c r="J58" i="7" s="1"/>
  <c r="I13" i="7"/>
  <c r="U12" i="20" l="1"/>
  <c r="K65" i="7"/>
  <c r="I25" i="20" s="1"/>
  <c r="I15" i="7"/>
  <c r="I63" i="7" s="1"/>
  <c r="J60" i="7"/>
  <c r="J64" i="7" s="1"/>
  <c r="J65" i="7" s="1"/>
  <c r="H25" i="20" s="1"/>
  <c r="I64" i="7"/>
  <c r="T12" i="20" l="1"/>
  <c r="I65" i="7"/>
  <c r="S12" i="20"/>
  <c r="L32" i="5"/>
  <c r="K32" i="5"/>
  <c r="J32" i="5"/>
  <c r="I32" i="5"/>
  <c r="L27" i="5"/>
  <c r="K27" i="5"/>
  <c r="H24" i="5"/>
  <c r="I24" i="5" s="1"/>
  <c r="J24" i="5" s="1"/>
  <c r="H23" i="5"/>
  <c r="I23" i="5" s="1"/>
  <c r="L21" i="5"/>
  <c r="K21" i="5"/>
  <c r="H19" i="5"/>
  <c r="I19" i="5" s="1"/>
  <c r="K17" i="5"/>
  <c r="G14" i="5"/>
  <c r="H14" i="5" s="1"/>
  <c r="I14" i="5" s="1"/>
  <c r="J14" i="5" s="1"/>
  <c r="G13" i="5"/>
  <c r="H13" i="5" s="1"/>
  <c r="I13" i="5" s="1"/>
  <c r="J13" i="5" s="1"/>
  <c r="G11" i="5"/>
  <c r="H11" i="5" s="1"/>
  <c r="I11" i="5" s="1"/>
  <c r="J11" i="5" s="1"/>
  <c r="H10" i="5"/>
  <c r="I10" i="5" s="1"/>
  <c r="K29" i="5" l="1"/>
  <c r="K33" i="5" s="1"/>
  <c r="K34" i="5" s="1"/>
  <c r="I33" i="20" s="1"/>
  <c r="L33" i="5"/>
  <c r="L34" i="5" s="1"/>
  <c r="J33" i="20" s="1"/>
  <c r="I17" i="5"/>
  <c r="J10" i="5"/>
  <c r="J17" i="5" s="1"/>
  <c r="I21" i="5"/>
  <c r="J19" i="5"/>
  <c r="J21" i="5" s="1"/>
  <c r="J23" i="5"/>
  <c r="J27" i="5" s="1"/>
  <c r="J29" i="5" s="1"/>
  <c r="J33" i="5" s="1"/>
  <c r="J34" i="5" s="1"/>
  <c r="H33" i="20" s="1"/>
  <c r="S20" i="20" s="1"/>
  <c r="I27" i="5"/>
  <c r="I29" i="5" s="1"/>
  <c r="I33" i="5" s="1"/>
  <c r="I34" i="5" s="1"/>
  <c r="U20" i="20" l="1"/>
  <c r="T20" i="20"/>
  <c r="I36" i="20"/>
  <c r="L102" i="4"/>
  <c r="K102" i="4"/>
  <c r="L96" i="4"/>
  <c r="K96" i="4"/>
  <c r="H94" i="4"/>
  <c r="I94" i="4" s="1"/>
  <c r="J94" i="4" s="1"/>
  <c r="H93" i="4"/>
  <c r="I93" i="4" s="1"/>
  <c r="J93" i="4" s="1"/>
  <c r="H92" i="4"/>
  <c r="I92" i="4" s="1"/>
  <c r="J92" i="4" s="1"/>
  <c r="H91" i="4"/>
  <c r="I91" i="4" s="1"/>
  <c r="J91" i="4" s="1"/>
  <c r="H90" i="4"/>
  <c r="I90" i="4" s="1"/>
  <c r="J90" i="4" s="1"/>
  <c r="L88" i="4"/>
  <c r="K88" i="4"/>
  <c r="H86" i="4"/>
  <c r="I86" i="4" s="1"/>
  <c r="J86" i="4" s="1"/>
  <c r="H85" i="4"/>
  <c r="I85" i="4" s="1"/>
  <c r="J85" i="4" s="1"/>
  <c r="H84" i="4"/>
  <c r="I84" i="4" s="1"/>
  <c r="J84" i="4" s="1"/>
  <c r="H83" i="4"/>
  <c r="I83" i="4" s="1"/>
  <c r="J83" i="4" s="1"/>
  <c r="H82" i="4"/>
  <c r="I82" i="4" s="1"/>
  <c r="J82" i="4" s="1"/>
  <c r="H81" i="4"/>
  <c r="I81" i="4" s="1"/>
  <c r="J81" i="4" s="1"/>
  <c r="H80" i="4"/>
  <c r="I80" i="4" s="1"/>
  <c r="J80" i="4" s="1"/>
  <c r="H79" i="4"/>
  <c r="I79" i="4" s="1"/>
  <c r="K77" i="4"/>
  <c r="H75" i="4"/>
  <c r="I75" i="4" s="1"/>
  <c r="J75" i="4" s="1"/>
  <c r="H74" i="4"/>
  <c r="I74" i="4" s="1"/>
  <c r="J74" i="4" s="1"/>
  <c r="H73" i="4"/>
  <c r="I73" i="4" s="1"/>
  <c r="K71" i="4"/>
  <c r="H68" i="4"/>
  <c r="I68" i="4" s="1"/>
  <c r="J68" i="4" s="1"/>
  <c r="H67" i="4"/>
  <c r="I67" i="4" s="1"/>
  <c r="J67" i="4" s="1"/>
  <c r="H66" i="4"/>
  <c r="I66" i="4" s="1"/>
  <c r="J66" i="4" s="1"/>
  <c r="H65" i="4"/>
  <c r="I65" i="4" s="1"/>
  <c r="J65" i="4" s="1"/>
  <c r="H64" i="4"/>
  <c r="I64" i="4" s="1"/>
  <c r="J64" i="4" s="1"/>
  <c r="H63" i="4"/>
  <c r="I63" i="4" s="1"/>
  <c r="J63" i="4" s="1"/>
  <c r="H62" i="4"/>
  <c r="I62" i="4" s="1"/>
  <c r="J62" i="4" s="1"/>
  <c r="H61" i="4"/>
  <c r="I61" i="4" s="1"/>
  <c r="J61" i="4" s="1"/>
  <c r="H60" i="4"/>
  <c r="I60" i="4" s="1"/>
  <c r="J60" i="4" s="1"/>
  <c r="H59" i="4"/>
  <c r="I59" i="4" s="1"/>
  <c r="J59" i="4" s="1"/>
  <c r="H58" i="4"/>
  <c r="I58" i="4" s="1"/>
  <c r="J58" i="4" s="1"/>
  <c r="H57" i="4"/>
  <c r="I57" i="4" s="1"/>
  <c r="J57" i="4" s="1"/>
  <c r="H56" i="4"/>
  <c r="I56" i="4" s="1"/>
  <c r="J56" i="4" s="1"/>
  <c r="H55" i="4"/>
  <c r="I55" i="4" s="1"/>
  <c r="J55" i="4" s="1"/>
  <c r="H54" i="4"/>
  <c r="I54" i="4" s="1"/>
  <c r="J54" i="4" s="1"/>
  <c r="H53" i="4"/>
  <c r="I53" i="4" s="1"/>
  <c r="J53" i="4" s="1"/>
  <c r="H52" i="4"/>
  <c r="I52" i="4" s="1"/>
  <c r="J52" i="4" s="1"/>
  <c r="H51" i="4"/>
  <c r="I51" i="4" s="1"/>
  <c r="J51" i="4" s="1"/>
  <c r="H50" i="4"/>
  <c r="I50" i="4" s="1"/>
  <c r="J50" i="4" s="1"/>
  <c r="J71" i="4" s="1"/>
  <c r="K48" i="4"/>
  <c r="H45" i="4"/>
  <c r="I45" i="4" s="1"/>
  <c r="J45" i="4" s="1"/>
  <c r="H44" i="4"/>
  <c r="I44" i="4" s="1"/>
  <c r="J44" i="4" s="1"/>
  <c r="H43" i="4"/>
  <c r="I43" i="4" s="1"/>
  <c r="J43" i="4" s="1"/>
  <c r="H42" i="4"/>
  <c r="I42" i="4" s="1"/>
  <c r="J42" i="4" s="1"/>
  <c r="H41" i="4"/>
  <c r="I41" i="4" s="1"/>
  <c r="K39" i="4"/>
  <c r="H34" i="4"/>
  <c r="I34" i="4" s="1"/>
  <c r="J34" i="4" s="1"/>
  <c r="H33" i="4"/>
  <c r="I33" i="4" s="1"/>
  <c r="J33" i="4" s="1"/>
  <c r="H32" i="4"/>
  <c r="I32" i="4" s="1"/>
  <c r="J32" i="4" s="1"/>
  <c r="H31" i="4"/>
  <c r="I31" i="4" s="1"/>
  <c r="J31" i="4" s="1"/>
  <c r="H30" i="4"/>
  <c r="I30" i="4" s="1"/>
  <c r="J30" i="4" s="1"/>
  <c r="H29" i="4"/>
  <c r="I29" i="4" s="1"/>
  <c r="J29" i="4" s="1"/>
  <c r="H28" i="4"/>
  <c r="I28" i="4" s="1"/>
  <c r="J28" i="4" s="1"/>
  <c r="H27" i="4"/>
  <c r="I27" i="4" s="1"/>
  <c r="J27" i="4" s="1"/>
  <c r="H26" i="4"/>
  <c r="I26" i="4" s="1"/>
  <c r="J26" i="4" s="1"/>
  <c r="H25" i="4"/>
  <c r="I25" i="4" s="1"/>
  <c r="J25" i="4" s="1"/>
  <c r="H24" i="4"/>
  <c r="I24" i="4" s="1"/>
  <c r="J24" i="4" s="1"/>
  <c r="L101" i="4"/>
  <c r="K101" i="4"/>
  <c r="K18" i="4"/>
  <c r="H16" i="4"/>
  <c r="I16" i="4" s="1"/>
  <c r="J16" i="4" s="1"/>
  <c r="H15" i="4"/>
  <c r="I15" i="4" s="1"/>
  <c r="J15" i="4" s="1"/>
  <c r="H14" i="4"/>
  <c r="I14" i="4" s="1"/>
  <c r="J14" i="4" s="1"/>
  <c r="H13" i="4"/>
  <c r="I13" i="4" s="1"/>
  <c r="J13" i="4" s="1"/>
  <c r="H12" i="4"/>
  <c r="I12" i="4" s="1"/>
  <c r="K10" i="4"/>
  <c r="H7" i="4"/>
  <c r="I7" i="4" s="1"/>
  <c r="J7" i="4" s="1"/>
  <c r="H6" i="4"/>
  <c r="I6" i="4" s="1"/>
  <c r="T23" i="20" l="1"/>
  <c r="I68" i="20"/>
  <c r="I72" i="20" s="1"/>
  <c r="I73" i="20" s="1"/>
  <c r="K103" i="4"/>
  <c r="L103" i="4"/>
  <c r="J32" i="20" s="1"/>
  <c r="J36" i="20" s="1"/>
  <c r="J68" i="20" s="1"/>
  <c r="I10" i="4"/>
  <c r="J6" i="4"/>
  <c r="J10" i="4" s="1"/>
  <c r="J39" i="4"/>
  <c r="I88" i="4"/>
  <c r="J79" i="4"/>
  <c r="J88" i="4" s="1"/>
  <c r="J73" i="4"/>
  <c r="J77" i="4" s="1"/>
  <c r="I77" i="4"/>
  <c r="I18" i="4"/>
  <c r="J12" i="4"/>
  <c r="J18" i="4" s="1"/>
  <c r="J20" i="4" s="1"/>
  <c r="J101" i="4" s="1"/>
  <c r="J96" i="4"/>
  <c r="J41" i="4"/>
  <c r="J48" i="4" s="1"/>
  <c r="I48" i="4"/>
  <c r="I39" i="4"/>
  <c r="I71" i="4"/>
  <c r="I96" i="4"/>
  <c r="U19" i="20" l="1"/>
  <c r="I98" i="4"/>
  <c r="I102" i="4" s="1"/>
  <c r="J98" i="4"/>
  <c r="J102" i="4" s="1"/>
  <c r="J103" i="4" s="1"/>
  <c r="H32" i="20" s="1"/>
  <c r="I20" i="4"/>
  <c r="I101" i="4" s="1"/>
  <c r="U23" i="20" l="1"/>
  <c r="J72" i="20"/>
  <c r="J73" i="20" s="1"/>
  <c r="H36" i="20"/>
  <c r="S19" i="20"/>
  <c r="Q19" i="20" s="1"/>
  <c r="I103" i="4"/>
  <c r="H68" i="20" l="1"/>
  <c r="Q18" i="20"/>
  <c r="Q12" i="20"/>
  <c r="Q6" i="20"/>
  <c r="Q5" i="20"/>
  <c r="Q13" i="20"/>
  <c r="Q15" i="20"/>
  <c r="Q10" i="20"/>
  <c r="Q11" i="20"/>
  <c r="Q14" i="20"/>
  <c r="Q21" i="20"/>
  <c r="Q17" i="20"/>
  <c r="Q7" i="20"/>
  <c r="S23" i="20"/>
  <c r="Q23" i="20" s="1"/>
  <c r="Q8" i="20"/>
  <c r="Q16" i="20"/>
  <c r="Q9" i="20"/>
  <c r="Q20" i="20"/>
  <c r="P20" i="20" s="1"/>
  <c r="P9" i="20" l="1"/>
  <c r="P16" i="20"/>
  <c r="P8" i="20"/>
  <c r="P7" i="20"/>
  <c r="P17" i="20"/>
  <c r="P21" i="20"/>
  <c r="P14" i="20"/>
  <c r="P11" i="20"/>
  <c r="P10" i="20"/>
  <c r="P15" i="20"/>
  <c r="P13" i="20"/>
  <c r="P5" i="20"/>
  <c r="P19" i="20"/>
  <c r="P6" i="20"/>
  <c r="P12" i="20"/>
  <c r="P18" i="20"/>
  <c r="H72" i="20"/>
  <c r="H73" i="20" s="1"/>
  <c r="Q25" i="20"/>
  <c r="Q24" i="20"/>
  <c r="Q26" i="20"/>
  <c r="P26" i="20" s="1"/>
  <c r="P24" i="20" l="1"/>
  <c r="P23" i="20"/>
  <c r="P2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tc={70C2242B-80F4-4971-B569-F6C9B09899EE}</author>
  </authors>
  <commentList>
    <comment ref="E25" authorId="0" shapeId="0" xr:uid="{70C2242B-80F4-4971-B569-F6C9B09899EE}">
      <text>
        <t>[Threaded comment]
Your version of Excel allows you to read this threaded comment; however, any edits to it will get removed if the file is opened in a newer version of Excel. Learn more: https://go.microsoft.com/fwlink/?linkid=870924
Comment:
    incoming did not get hired until Nov
except for chief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tc={3919EF6A-5524-42DC-BE7D-00DC7137AB14}</author>
  </authors>
  <commentList>
    <comment ref="K15" authorId="0" shapeId="0" xr:uid="{3919EF6A-5524-42DC-BE7D-00DC7137AB14}">
      <text>
        <t>[Threaded comment]
Your version of Excel allows you to read this threaded comment; however, any edits to it will get removed if the file is opened in a newer version of Excel. Learn more: https://go.microsoft.com/fwlink/?linkid=870924
Comment:
    $90 for all head manager dinner in Dec 2021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tc={2BB0FD4B-C71A-4C0A-B7CF-0FD0BCECCA1E}</author>
    <author>tc={58D599A8-0550-4EA4-97F7-3A8DB5A6FEEC}</author>
    <author>tc={CF69FDE5-1D0F-4931-8A67-00305EF7C586}</author>
    <author>tc={18B75BC4-3E6D-4FDE-BC28-16530ECF74DA}</author>
    <author>tc={91A199E3-FD7B-4804-BAC9-BC72B7B3C02A}</author>
    <author>tc={65426B27-D54F-44F1-A9DA-DF2B3A5DEF36}</author>
    <author>tc={5421A4CF-D98D-487D-8997-AD56CA310C69}</author>
  </authors>
  <commentList>
    <comment ref="L10" authorId="0" shapeId="0" xr:uid="{2BB0FD4B-C71A-4C0A-B7CF-0FD0BCECCA1E}">
      <text>
        <t>[Threaded comment]
Your version of Excel allows you to read this threaded comment; however, any edits to it will get removed if the file is opened in a newer version of Excel. Learn more: https://go.microsoft.com/fwlink/?linkid=870924
Comment:
    6 people at live dinner at Jack's + 5 people who missed the dinner got gift cards</t>
      </text>
    </comment>
    <comment ref="K11" authorId="1" shapeId="0" xr:uid="{58D599A8-0550-4EA4-97F7-3A8DB5A6FEEC}">
      <text>
        <t>[Threaded comment]
Your version of Excel allows you to read this threaded comment; however, any edits to it will get removed if the file is opened in a newer version of Excel. Learn more: https://go.microsoft.com/fwlink/?linkid=870924
Comment:
    9*30 for the DoS team, 3*30 for the DoA team (mistake with distributing budget over the summer, so these meals are included in this budget)</t>
      </text>
    </comment>
    <comment ref="L12" authorId="2" shapeId="0" xr:uid="{CF69FDE5-1D0F-4931-8A67-00305EF7C586}">
      <text>
        <t>[Threaded comment]
Your version of Excel allows you to read this threaded comment; however, any edits to it will get removed if the file is opened in a newer version of Excel. Learn more: https://go.microsoft.com/fwlink/?linkid=870924
Comment:
    2 drink tickets each @ 7.50 * 100 people at the event
Reply:
    + $25 gift card for the BA that couldn't attend (underage)</t>
      </text>
    </comment>
    <comment ref="C14" authorId="3" shapeId="0" xr:uid="{18B75BC4-3E6D-4FDE-BC28-16530ECF74DA}">
      <text>
        <t>[Threaded comment]
Your version of Excel allows you to read this threaded comment; however, any edits to it will get removed if the file is opened in a newer version of Excel. Learn more: https://go.microsoft.com/fwlink/?linkid=870924
Comment:
    switched this to get jacket patches for everyone</t>
      </text>
    </comment>
    <comment ref="L14" authorId="4" shapeId="0" xr:uid="{91A199E3-FD7B-4804-BAC9-BC72B7B3C02A}">
      <text>
        <t>[Threaded comment]
Your version of Excel allows you to read this threaded comment; however, any edits to it will get removed if the file is opened in a newer version of Excel. Learn more: https://go.microsoft.com/fwlink/?linkid=870924
Comment:
    jacket patches for all managers</t>
      </text>
    </comment>
    <comment ref="K15" authorId="5" shapeId="0" xr:uid="{65426B27-D54F-44F1-A9DA-DF2B3A5DEF36}">
      <text>
        <t>[Threaded comment]
Your version of Excel allows you to read this threaded comment; however, any edits to it will get removed if the file is opened in a newer version of Excel. Learn more: https://go.microsoft.com/fwlink/?linkid=870924
Comment:
    showing the most recent transaction for this category - the stickers were purchased to supplement uber eats gift cards etc.</t>
      </text>
    </comment>
    <comment ref="L19" authorId="6" shapeId="0" xr:uid="{5421A4CF-D98D-487D-8997-AD56CA310C69}">
      <text>
        <t>[Threaded comment]
Your version of Excel allows you to read this threaded comment; however, any edits to it will get removed if the file is opened in a newer version of Excel. Learn more: https://go.microsoft.com/fwlink/?linkid=870924
Comment:
    $15*4 for the first term, $60 keg gift card for winter term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5D852F-2BAA-4768-92DC-73CA3ADF6E3A}" keepAlive="1" name="Query - Director of Design" description="Connection to the 'Director of Design' query in the workbook." type="5" refreshedVersion="7" background="1" saveData="1">
    <dbPr connection="Provider=Microsoft.Mashup.OleDb.1;Data Source=$Workbook$;Location=&quot;Director of Design&quot;;Extended Properties=&quot;&quot;" command="SELECT * FROM [Director of Design]"/>
  </connection>
  <connection id="2" xr16:uid="{C7F6B128-DD26-4178-87A8-367EF1EFC4E8}" keepAlive="1" name="Query - ED Budgets" description="Connection to the 'ED Budgets' query in the workbook." type="5" refreshedVersion="0" background="1">
    <dbPr connection="Provider=Microsoft.Mashup.OleDb.1;Data Source=$Workbook$;Location=&quot;ED Budgets&quot;;Extended Properties=&quot;&quot;" command="SELECT * FROM [ED Budgets]"/>
  </connection>
  <connection id="3" xr16:uid="{B631C4DE-8785-4390-ACC2-C92CF3DED27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4" xr16:uid="{2B2C2CED-E9D6-4090-A305-87E8EC591EDF}"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5" xr16:uid="{6866763D-C699-41EA-8923-984EDD67ACB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6" xr16:uid="{F377F6CD-97F5-4D57-A2FB-B4F28E60AF62}"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s>
</file>

<file path=xl/sharedStrings.xml><?xml version="1.0" encoding="utf-8"?>
<sst xmlns="http://schemas.openxmlformats.org/spreadsheetml/2006/main" count="1647" uniqueCount="1058">
  <si>
    <t>EngSoc Overall Budget</t>
  </si>
  <si>
    <t>Category</t>
  </si>
  <si>
    <t>Line #</t>
  </si>
  <si>
    <t>Item</t>
  </si>
  <si>
    <t>Specifics</t>
  </si>
  <si>
    <t>Unit Price</t>
  </si>
  <si>
    <t>Quantity</t>
  </si>
  <si>
    <t>Sub-total</t>
  </si>
  <si>
    <t>Budget</t>
  </si>
  <si>
    <t>Pre-Actual</t>
  </si>
  <si>
    <t>Actual</t>
  </si>
  <si>
    <t>Analysis and Overview</t>
  </si>
  <si>
    <t>Summary of the Summary</t>
  </si>
  <si>
    <t>Sales Revenue</t>
  </si>
  <si>
    <t>Estimated Year-End</t>
  </si>
  <si>
    <t>Revenue</t>
  </si>
  <si>
    <t>Rank</t>
  </si>
  <si>
    <t>Percentage</t>
  </si>
  <si>
    <t>Budgeted</t>
  </si>
  <si>
    <t>President</t>
  </si>
  <si>
    <t>Student Fee</t>
  </si>
  <si>
    <t>82.33$ Student Fee. 3967 Students</t>
  </si>
  <si>
    <t>Only 3426 Students are full time, SO a lot less than we thought</t>
  </si>
  <si>
    <t>Vice President (Operations)</t>
  </si>
  <si>
    <t>EngServe Recovery Fee</t>
  </si>
  <si>
    <t>Fee runs September - August thus only half the fee is here</t>
  </si>
  <si>
    <t>Vice President (Student Affairs)</t>
  </si>
  <si>
    <t>CU Advertising</t>
  </si>
  <si>
    <t>Advertising fees from the Eng Note Book</t>
  </si>
  <si>
    <t>Academics</t>
  </si>
  <si>
    <t>QUESSI Management Fee</t>
  </si>
  <si>
    <t>Communications</t>
  </si>
  <si>
    <t>Total</t>
  </si>
  <si>
    <t>Printing Fee</t>
  </si>
  <si>
    <t>Basically 0 because lounge was never open</t>
  </si>
  <si>
    <t>Clubs and Conferences</t>
  </si>
  <si>
    <t>Design</t>
  </si>
  <si>
    <t>Total Sales Revenue</t>
  </si>
  <si>
    <t xml:space="preserve"> </t>
  </si>
  <si>
    <t>Internal Processes</t>
  </si>
  <si>
    <t>Expenses</t>
  </si>
  <si>
    <t>External Relations</t>
  </si>
  <si>
    <t>TOTAL REVENUE</t>
  </si>
  <si>
    <t>Finance</t>
  </si>
  <si>
    <t>First Year</t>
  </si>
  <si>
    <t>Human Resources</t>
  </si>
  <si>
    <t>Executive Director Team Operating Expense</t>
  </si>
  <si>
    <t>Governance</t>
  </si>
  <si>
    <t>Please refer to tab 1. President</t>
  </si>
  <si>
    <t>Information Technology</t>
  </si>
  <si>
    <t>Please refer to tab 2. VPOPS</t>
  </si>
  <si>
    <t>Professional Development</t>
  </si>
  <si>
    <t>Please refer to tab 3. VPSA</t>
  </si>
  <si>
    <t>Services</t>
  </si>
  <si>
    <t>Please refer to tab 4. DoA</t>
  </si>
  <si>
    <t>Social Issues</t>
  </si>
  <si>
    <t>SUMMARY</t>
  </si>
  <si>
    <t>Please refer to tab 5. DoComm</t>
  </si>
  <si>
    <t>Total Revenue</t>
  </si>
  <si>
    <t>Clubs &amp; Conferences</t>
  </si>
  <si>
    <t>Please refer to tab 6. DoCC</t>
  </si>
  <si>
    <t>ED Team Expenses</t>
  </si>
  <si>
    <t>Total Expenses</t>
  </si>
  <si>
    <t>Please refer to tab 7. DoD</t>
  </si>
  <si>
    <t>Administrative Expenses</t>
  </si>
  <si>
    <t>Net Surplus</t>
  </si>
  <si>
    <t>Please refer to tab 8. DoIP</t>
  </si>
  <si>
    <t>Operating Expenses</t>
  </si>
  <si>
    <t>Please refer to tab 9. DoER</t>
  </si>
  <si>
    <t>Executive Salary</t>
  </si>
  <si>
    <t>Please refer to tab 10. DoF</t>
  </si>
  <si>
    <t>Please refer to tab 11. DoFY</t>
  </si>
  <si>
    <t>Please refer to tab 12. DoHR</t>
  </si>
  <si>
    <t>Please refer to tab 13. DoG</t>
  </si>
  <si>
    <t>Please refer to tab 14. DoIT</t>
  </si>
  <si>
    <t>Please refer to tab 15. DoPD</t>
  </si>
  <si>
    <t>Please refer to tab 16. DoS</t>
  </si>
  <si>
    <t>Please refer to tab 17. DoSI</t>
  </si>
  <si>
    <t>ED Expense</t>
  </si>
  <si>
    <t>Accounting &amp; Legal</t>
  </si>
  <si>
    <t>RFQ from the New Book-keeper + QuickBooks Online x 10 + Cheque Req Courier</t>
  </si>
  <si>
    <t>Administration - General Manager</t>
  </si>
  <si>
    <t>General Manager Salary + Telophone + Milage + Parking + CPP + Health Tax</t>
  </si>
  <si>
    <t>Rent</t>
  </si>
  <si>
    <t>Clark Hall Pub Rent charged by Queen's University on Yearly basis to QFS Account</t>
  </si>
  <si>
    <t>Flat Rate for future improvements/building upkeep</t>
  </si>
  <si>
    <t>Telephone &amp; Long Distance</t>
  </si>
  <si>
    <t>Telephone in all of our offices, this includes all of our alarm system lines</t>
  </si>
  <si>
    <t>Insurance</t>
  </si>
  <si>
    <t>Annual Insurance Cost paid to AMS from previous years</t>
  </si>
  <si>
    <t>Bank Charges</t>
  </si>
  <si>
    <t>Bank charges for our bank accounts with BMO Harris Banking that is applied on the General Account</t>
  </si>
  <si>
    <t>HST</t>
  </si>
  <si>
    <t>Administrative Expense</t>
  </si>
  <si>
    <t>Photocopier and Print Supplier Company Monthly Fee</t>
  </si>
  <si>
    <t>OT Group Quote for Month to Month depending on amount of prints we do month. On Average 200$ a month</t>
  </si>
  <si>
    <t>Printer Rental LBC Capital</t>
  </si>
  <si>
    <t>LBC Captial Printing Rental 3 monthly installmetns ($912.05) x 4</t>
  </si>
  <si>
    <t>Office Supplies</t>
  </si>
  <si>
    <t>General Office Supplies including paper, stapler, sticky notes, markers, pens and etc. Last year we spent 1765.65$</t>
  </si>
  <si>
    <t>ESARK Insurance</t>
  </si>
  <si>
    <t>Grease Pole Land Insurance quote from this year. 1307.70$</t>
  </si>
  <si>
    <t>Shredding</t>
  </si>
  <si>
    <t>Confidential Document Shredding Company in the lounge. Monrhly bill averages to 80$</t>
  </si>
  <si>
    <t>Repair &amp; Maintenance</t>
  </si>
  <si>
    <t>PPS Lounge Maintenance. Reconciled amount from Queen's FInancial Services on average $1200</t>
  </si>
  <si>
    <t>Hiring Software</t>
  </si>
  <si>
    <t>Breezy.hr hiring portal; 479/month (business plan) for 9 months (Aug '21 to May'21) and then bootstrap (free) plan in summer when no hiring</t>
  </si>
  <si>
    <t>In USD, thus cost changes each month, roughly 600/month</t>
  </si>
  <si>
    <t>Operating Expense</t>
  </si>
  <si>
    <t>Executive Expenses for the Fiscal Year (Sept 1, 2021 - Aug 31, 2022)</t>
  </si>
  <si>
    <t>2022-2023 Executive Summer Salary</t>
  </si>
  <si>
    <t>For 2022-2023 Executives. 22.76/hour*35hours/Week*16 Weeks*3 Executives + CPP and EI. In Policy</t>
  </si>
  <si>
    <t>2022-2023 Executive Summer Projects</t>
  </si>
  <si>
    <t>Based off last year's actual amount near $10,000.00. Council Approval required</t>
  </si>
  <si>
    <t>2021-2022 Honorium</t>
  </si>
  <si>
    <t>Equivalent to one week's summer pay, which is 770.35. Council Approval required</t>
  </si>
  <si>
    <t>2020-2021 Executive Subsidy</t>
  </si>
  <si>
    <t>(Average Half Semester Tution + Student Levy) *3 = 7056.56*3. ERB and Council Approval required</t>
  </si>
  <si>
    <t>Executive Expense</t>
  </si>
  <si>
    <t>TOTAL EXPENSES</t>
  </si>
  <si>
    <t>Christina Bisol
President 2021-2022</t>
  </si>
  <si>
    <t>Cut Priority</t>
  </si>
  <si>
    <t>25% Contingency</t>
  </si>
  <si>
    <t>Faculty Support (0)</t>
  </si>
  <si>
    <t>FEAS Donation</t>
  </si>
  <si>
    <t>N/A</t>
  </si>
  <si>
    <t>Donation given to EngSoc from FEAS - amount may vary, $4000 given in 2018-2019 for special iniatives, $1200 typically allocated</t>
  </si>
  <si>
    <t>Total Faculty Support</t>
  </si>
  <si>
    <t>Executive/Director Appreciation (1)</t>
  </si>
  <si>
    <t>Mid Year Brunch</t>
  </si>
  <si>
    <t>Meal before Winter Break for E/D, $30 each at (+13% tax and 18% gratuity added in "budget" column)</t>
  </si>
  <si>
    <t>TeaRoom Allotment</t>
  </si>
  <si>
    <t xml:space="preserve">$40/person/month to TeaRoom for 8 months, $680/month for full team </t>
  </si>
  <si>
    <t>ED Team Sweaters</t>
  </si>
  <si>
    <t xml:space="preserve">quarterzips for Winter Events (+ royalites) </t>
  </si>
  <si>
    <t>rough estimate</t>
  </si>
  <si>
    <t>Executive/Director Transition Dinner</t>
  </si>
  <si>
    <t>Both outgoing and incoming teams, Dinner. $35/person + tax(13%) + tip (18%)</t>
  </si>
  <si>
    <t>EngSoc Jacket Crests</t>
  </si>
  <si>
    <t>Custom Made Patches by Quick Sew for future years</t>
  </si>
  <si>
    <t>Executive Transition Dinner</t>
  </si>
  <si>
    <t>Both outgoing and incoming Executives, $40 each (+18% gratuity and 13% tax in "budget" column)</t>
  </si>
  <si>
    <t>Total Executive/Director Appreciation</t>
  </si>
  <si>
    <t>Orientation Week  (2)</t>
  </si>
  <si>
    <t>Orientation Chair TeaRoom Giftcard</t>
  </si>
  <si>
    <t>$35/month, outgoing in Sept + Oct;</t>
  </si>
  <si>
    <t>orientation chair incoming</t>
  </si>
  <si>
    <t xml:space="preserve">30/month, incoming Oct to April </t>
  </si>
  <si>
    <t xml:space="preserve">FREC Committee TeaRoom Giftcards </t>
  </si>
  <si>
    <t>$20/month/person, 14 Committee Members, $280/month for all members; outgoing in sept and incoming starting in oct</t>
  </si>
  <si>
    <t>EngDay Booth for ED team</t>
  </si>
  <si>
    <t xml:space="preserve">Paid to Orientation Week to have a booth for the ED team </t>
  </si>
  <si>
    <t>Total Orientation Week Appreciation</t>
  </si>
  <si>
    <t>Science Formal Appreciation (4)</t>
  </si>
  <si>
    <t>Convenor TeaRoom Giftcard</t>
  </si>
  <si>
    <t>$30/month for '22 convenor (there is one) until March so 7 months. Incoming will get appreciation the following year.</t>
  </si>
  <si>
    <t>Sci Formal Executive Members</t>
  </si>
  <si>
    <t>$15/month/person for the 7 months, 5 executive members</t>
  </si>
  <si>
    <t>Sci Formal Transition Dinner</t>
  </si>
  <si>
    <t xml:space="preserve">Appreciaication for outgoing and incoming committees, 2 convenors + 10 chairs = 12 guests total, $25 each (+13% tax and 18% gratuity in "budget" column) --&gt; Team must complete transition manual and input actuals </t>
  </si>
  <si>
    <t>Total Science Formal Appreciation</t>
  </si>
  <si>
    <t>Miscellanious (5)</t>
  </si>
  <si>
    <t>EngPals Bars</t>
  </si>
  <si>
    <t xml:space="preserve">From Quick Sew for the upper Pals; Was promised in advertisement </t>
  </si>
  <si>
    <t>EDII Conference</t>
  </si>
  <si>
    <t>to fund EDII conference that is free and open to all eng students</t>
  </si>
  <si>
    <t>EDII Fund Request</t>
  </si>
  <si>
    <t>for affiliated groups to incorporate EDII into their operations. Otherwise will be used as bursaries</t>
  </si>
  <si>
    <t>Total EngPals</t>
  </si>
  <si>
    <t>Benjamin Frosst
VP Operations 2021-2022</t>
  </si>
  <si>
    <t>Misc Expenses</t>
  </si>
  <si>
    <t>1Password Subscription</t>
  </si>
  <si>
    <t>Secure storage of VP Ops passwords</t>
  </si>
  <si>
    <t>Summer SQ Staff pay</t>
  </si>
  <si>
    <t>Payment to SQ for giving tasks to their staff on a slow week, 16$/hour 21 hours 2 staff</t>
  </si>
  <si>
    <t>Director/Exec Snacks</t>
  </si>
  <si>
    <t>Snacks for the Engsoc lounge for ED team</t>
  </si>
  <si>
    <t>Didn't do because COVID and few people in Lounge</t>
  </si>
  <si>
    <t>Pod Bars</t>
  </si>
  <si>
    <t>VPOPs Pod GPA Bars + Next years Bars</t>
  </si>
  <si>
    <t>Service Honoraia</t>
  </si>
  <si>
    <t>Honoaria for the services are at the discression of VPOPs, included here as a potential to give to exceptional service managers</t>
  </si>
  <si>
    <t xml:space="preserve">Misc expense </t>
  </si>
  <si>
    <t>EngSoc Lounge Improvements</t>
  </si>
  <si>
    <t>Key Replacements</t>
  </si>
  <si>
    <t>Replacements for lost or broken keys</t>
  </si>
  <si>
    <t>Replacing all Keys in the Summer</t>
  </si>
  <si>
    <t>Improvements</t>
  </si>
  <si>
    <t>General Changes to lounge, fixing broken office iteams</t>
  </si>
  <si>
    <t>Nothing pressing needed fixing</t>
  </si>
  <si>
    <t>New Computers</t>
  </si>
  <si>
    <t>The computers barely start. Looking at replacing them</t>
  </si>
  <si>
    <t>Not needed this year, Being done in summer</t>
  </si>
  <si>
    <t>New Monitors</t>
  </si>
  <si>
    <t>Monitors are broken :(</t>
  </si>
  <si>
    <t>^^</t>
  </si>
  <si>
    <t>Lounge Improvments</t>
  </si>
  <si>
    <t>Capital Fund Investment</t>
  </si>
  <si>
    <t>Paying off past debts to capital fund, ensure long term stability</t>
  </si>
  <si>
    <t>Notebook Cost</t>
  </si>
  <si>
    <t>Engineering Notebooks</t>
  </si>
  <si>
    <t>Eng Notebook</t>
  </si>
  <si>
    <t>Mormark Printing of the Engineering Notebook</t>
  </si>
  <si>
    <t>Kaija Niska Edwards
Vice-President (Student Affairs) 2021-2022</t>
  </si>
  <si>
    <t>Dash Replacement</t>
  </si>
  <si>
    <t>Data Entry &amp; Integration</t>
  </si>
  <si>
    <t>Hired an engineering student for 40hrs to transfer data from dash database to new platform.</t>
  </si>
  <si>
    <t>Total Design Costs</t>
  </si>
  <si>
    <t>Discipline Club Appreciation</t>
  </si>
  <si>
    <t>Gift cards for DSC Pres'</t>
  </si>
  <si>
    <t>To be given out during the last roundtable as appreciation.</t>
  </si>
  <si>
    <t>Not happend yet :)</t>
  </si>
  <si>
    <t>Total Miscellanious</t>
  </si>
  <si>
    <t>Year Executive Appreciation</t>
  </si>
  <si>
    <t>Gift cards for Year Exec Pres'</t>
  </si>
  <si>
    <t>To be given out during the last year executive roundtable as appreciation.</t>
  </si>
  <si>
    <t>Not happened yet :)</t>
  </si>
  <si>
    <t>Miscellanious (2)</t>
  </si>
  <si>
    <t>Canva Subscription</t>
  </si>
  <si>
    <t>VPSA Canva account, includes Deputy of Design, and others.</t>
  </si>
  <si>
    <t>Have not been charged for March or April yet :)</t>
  </si>
  <si>
    <t>Mailing Lists - MailChimp Subscription</t>
  </si>
  <si>
    <t>We pay for this monthly (DoFy, PD Connects, Council, AllEng, etc…)</t>
  </si>
  <si>
    <t>Was able to reduce costs by deleting old mailing lists no longer in use.</t>
  </si>
  <si>
    <t>ERB Appreciation</t>
  </si>
  <si>
    <t>ERB Giftcards</t>
  </si>
  <si>
    <t>Alexa Hadley
Director of Academics</t>
  </si>
  <si>
    <t>Bed Fund</t>
  </si>
  <si>
    <t>Gift Cards - Discipline Specific Idea Generation</t>
  </si>
  <si>
    <t>Prizes for discipline specific idea generation events, 1 for each discipline</t>
  </si>
  <si>
    <t>Gift Cards - General Idea Generation</t>
  </si>
  <si>
    <t>Prizes for general idea generation events. 3 prizes per event, 3 formal events</t>
  </si>
  <si>
    <t>Appreciation Dinner</t>
  </si>
  <si>
    <t>Appreciation dinner for the BED Fund Committee</t>
  </si>
  <si>
    <t>Total Bed Fund</t>
  </si>
  <si>
    <t>EngLinks and icons Appreciation Dinner</t>
  </si>
  <si>
    <t>Appreciation/Transition dinner for EngLinks management. Tradition is to go to the Works</t>
  </si>
  <si>
    <t>Refillable whiteboard markers</t>
  </si>
  <si>
    <t>For sustainabilty intiiative in the ilc</t>
  </si>
  <si>
    <t>Total Services</t>
  </si>
  <si>
    <t>Academic Advocacy</t>
  </si>
  <si>
    <t>Gift Cards - Academic Feedback Event</t>
  </si>
  <si>
    <t>Prizes to incentivize participation in feedback events. 1 event each semester, 2 winners each time</t>
  </si>
  <si>
    <t>Gift Cards - Winter Cacuses</t>
  </si>
  <si>
    <t>Encourage participation and attendence for the winter term caucuses planned (25/card, 2/caucus, 2 caucuses)</t>
  </si>
  <si>
    <t>Appreciation Gift for VPAs and Academic Advocacy Team</t>
  </si>
  <si>
    <t>Small token of appreciation for the VPAs for all their help with the Academics portfolio. Item TBD</t>
  </si>
  <si>
    <t>Total Academic Advocacy</t>
  </si>
  <si>
    <t>ELLA MCGURK
Director of Communications</t>
  </si>
  <si>
    <t>Comm Team</t>
  </si>
  <si>
    <t>Comm Team Sweaters</t>
  </si>
  <si>
    <t>Comm Team always gets sweaters so the team looks unified, they're worn to events and they also advertise the team which is important. I will be ordering white quarter zips or hoodies (they look clean and professional)</t>
  </si>
  <si>
    <t>Manager Appreciation</t>
  </si>
  <si>
    <t>Managers are always taken out to dinner (or given an Uber Eats gift card) as a thank you for their hard work over the year</t>
  </si>
  <si>
    <t>Pizza</t>
  </si>
  <si>
    <t>COVID Permitting - I only put enough for half a semester, it's an important incentive to help get members to meetings and I would like to have in-person meetings if I can this year, it makes project coordination and pairing so much easier. 5 meetings x 25 people.</t>
  </si>
  <si>
    <t>Purple RIT Dye</t>
  </si>
  <si>
    <t>At the end of the year, as a team bonding experience I want to host a tie dye party where we purple our sweaters. Research calls for one box of powder dye per person.</t>
  </si>
  <si>
    <t>Total Comm Team:</t>
  </si>
  <si>
    <t>Equipment</t>
  </si>
  <si>
    <t>Drone</t>
  </si>
  <si>
    <t>Please confirm if we have one already - a drone is great for the video team for all kinds of outdoor events, e.g. Terry Fox run, orientation week, etc., as well as virtual campus tours which is especially great since COVID is still an issue and we may not have our full student body on campus again. Aiming for a good entry level drone that is also good quality, model I'm interested in is the DJI Mini 2 Quadcopter Drone, very highly rated.</t>
  </si>
  <si>
    <t>SD Cards (2)</t>
  </si>
  <si>
    <t>The team is always creating content and therefore SD cards are necessary on a yearly basis to store photos and videos. A new one for each of our cameras.</t>
  </si>
  <si>
    <t>Digital Drawing Tablet</t>
  </si>
  <si>
    <t>Please confirm if we bought one last year - it enables the graphics team to make logos and other unique graphics, nothing we currently have specializes in this and it would be very helpful and beneficial to all</t>
  </si>
  <si>
    <t>Polaroid Film</t>
  </si>
  <si>
    <t>A new stock of polaroid film is needed since polaroid film has an expiration date and we should keep good film in stock for use this year.</t>
  </si>
  <si>
    <t>Total Equipment:</t>
  </si>
  <si>
    <t>Campaigns/Promotions</t>
  </si>
  <si>
    <t>Social Media Advertising</t>
  </si>
  <si>
    <t>Ideal for elections as well as general promotions for EngSoc</t>
  </si>
  <si>
    <t>P&amp;CC Posters</t>
  </si>
  <si>
    <t>11x17 colour posters for promotions</t>
  </si>
  <si>
    <t>Misc. Props &amp; Supplies</t>
  </si>
  <si>
    <t>Props and general supplies are always needed, we have a lot of in-house projects this year and will need money to purchase props and supplies</t>
  </si>
  <si>
    <t>Adobe Subscriptions (All)</t>
  </si>
  <si>
    <t>Helps EngSoc create high quality graphics and edited photos for various purposes e.g. promotions, instagram, client requests</t>
  </si>
  <si>
    <t>Canva Pro Subscription</t>
  </si>
  <si>
    <t>Allows for quick and clean graphic creation, useful for the whole comm team (Monthly fee of 16.99 for 7 months)</t>
  </si>
  <si>
    <t>P&amp;CC Photos</t>
  </si>
  <si>
    <t>Photos are often printed to be put in the ILC (i.e. EngSoc Lounge), the series Humans of the ILC is a prime example of why we need this</t>
  </si>
  <si>
    <t>Photo Contest Prizes</t>
  </si>
  <si>
    <t>*Added Later* - Prize Money for Winter Photo Contest ($20 first place, $15 second place, $10 third place). Cost supplemented by reducing Pizza budget (due to COVID did not need such a high budget for pizza).</t>
  </si>
  <si>
    <t>Total Campaigns/Promotions:</t>
  </si>
  <si>
    <t>Adam Fell
Director of Clubs &amp; Conferences</t>
  </si>
  <si>
    <t>Internal Conferences (1)</t>
  </si>
  <si>
    <t>Growth Incentive</t>
  </si>
  <si>
    <t>1 Presented to 1 of 8 internal conferences</t>
  </si>
  <si>
    <t>Attendance fees</t>
  </si>
  <si>
    <t>C&amp;C Team Attendance Fee</t>
  </si>
  <si>
    <t>Volunteer Appreciation Gift</t>
  </si>
  <si>
    <t>Given to co-chairs and C&amp;C team, Tea Room gift cards</t>
  </si>
  <si>
    <t>EDII Conference Kick Starter</t>
  </si>
  <si>
    <t xml:space="preserve">Given to EDII Conference as initial funding / contingency </t>
  </si>
  <si>
    <t>Total Category 1</t>
  </si>
  <si>
    <t>Partial Conference Bursaries (2)</t>
  </si>
  <si>
    <t>Conference Bursary</t>
  </si>
  <si>
    <t>QGEC</t>
  </si>
  <si>
    <t>CIRQUE</t>
  </si>
  <si>
    <t>QCBT</t>
  </si>
  <si>
    <t>QSC</t>
  </si>
  <si>
    <t>QWASE</t>
  </si>
  <si>
    <t>CEEC</t>
  </si>
  <si>
    <t>QWEC</t>
  </si>
  <si>
    <t>QEC</t>
  </si>
  <si>
    <t>Unspecified</t>
  </si>
  <si>
    <t>Total Category 2</t>
  </si>
  <si>
    <t>Club Fund Initiative (3)</t>
  </si>
  <si>
    <t>Club Fund</t>
  </si>
  <si>
    <t>Club fund to be distributed on an application basis</t>
  </si>
  <si>
    <t>Total Category 3</t>
  </si>
  <si>
    <t>Jen Kovinich
Director of Design</t>
  </si>
  <si>
    <t>Incentives</t>
  </si>
  <si>
    <t>Food (Pizza)</t>
  </si>
  <si>
    <t>Incentive to participate at Roundtables.</t>
  </si>
  <si>
    <t>Drinks</t>
  </si>
  <si>
    <t>Tea Room drink credit for captain meetings (two meetings per year).</t>
  </si>
  <si>
    <t>Incentive to participate in EDII Committee Meetings.</t>
  </si>
  <si>
    <t>Total Incentives</t>
  </si>
  <si>
    <t>Design Bay (Room 115 in ILC)</t>
  </si>
  <si>
    <t>General Upkeep</t>
  </si>
  <si>
    <t>Supplies, repairs, and cleaning.</t>
  </si>
  <si>
    <t>Storage Lockers</t>
  </si>
  <si>
    <t>For teams without space to store their items.</t>
  </si>
  <si>
    <t>Posters</t>
  </si>
  <si>
    <t>Posters for safety regulations and cleaning instructions.</t>
  </si>
  <si>
    <t>Shop Vacuum</t>
  </si>
  <si>
    <t>For cleaning the bay.</t>
  </si>
  <si>
    <t>Dumpster Rental</t>
  </si>
  <si>
    <t>For cleaning up after move-out day.</t>
  </si>
  <si>
    <t>Garbage Bags</t>
  </si>
  <si>
    <t>Garbage bags for waste.</t>
  </si>
  <si>
    <t>Bay Redesign</t>
  </si>
  <si>
    <t>Workbenches, chairs, and tables.</t>
  </si>
  <si>
    <t>Total Design Bay</t>
  </si>
  <si>
    <t>PPE COVID-19</t>
  </si>
  <si>
    <t>Masks</t>
  </si>
  <si>
    <t>Packs of 50 masks for students working in the design area.</t>
  </si>
  <si>
    <t>Hand Sanitizer</t>
  </si>
  <si>
    <t>3.78L Liquid Hand Sanitizer for students working in the design area.</t>
  </si>
  <si>
    <t>Disinfectant Spray</t>
  </si>
  <si>
    <t>Clorox Clean-Up Disinfectant Bleach Cleaner Spray, Fresh Scent, 946 mL Spray with 5.32L Refill.</t>
  </si>
  <si>
    <t>Paper Towels</t>
  </si>
  <si>
    <t>Brown paper towel rolls (12 pack).</t>
  </si>
  <si>
    <t>Total PPE</t>
  </si>
  <si>
    <t>Appreciation</t>
  </si>
  <si>
    <t>Design Team Appreciation</t>
  </si>
  <si>
    <t>Thanking the captains and design team executives for their work throughout the year with Tea Room catering</t>
  </si>
  <si>
    <t>Gift Cards for Design Committee</t>
  </si>
  <si>
    <t>Skip the Dishes gift cards for Deputy of Design and EDII Committee Chairs.</t>
  </si>
  <si>
    <t>Total Appreciation</t>
  </si>
  <si>
    <t>Design Team Showcase</t>
  </si>
  <si>
    <t>For the participants of the showcase. AMENDED REMOVED</t>
  </si>
  <si>
    <t>Gifts for Judges</t>
  </si>
  <si>
    <t>Gifts cards for the Alumni Judges.</t>
  </si>
  <si>
    <t>Location Rental</t>
  </si>
  <si>
    <t>Grant Hall Location Rental. AMENDED REMOVED</t>
  </si>
  <si>
    <t>Showcase Awards</t>
  </si>
  <si>
    <t>Alumni judges the teams, top team gets $500, second team gets $300, third team gets $100 AMENDED</t>
  </si>
  <si>
    <t>Total Showcase</t>
  </si>
  <si>
    <t>Recycling Bins</t>
  </si>
  <si>
    <t>Electronic Waste Bin</t>
  </si>
  <si>
    <t>Bin to place electronic waste in.</t>
  </si>
  <si>
    <t>Large Recycling Bin</t>
  </si>
  <si>
    <t>Bin to place large recyclable items in like cardboard boxes.</t>
  </si>
  <si>
    <t>Waste Bags</t>
  </si>
  <si>
    <t>Bags to put the electronic waste in.</t>
  </si>
  <si>
    <t>Total Recycling Bins</t>
  </si>
  <si>
    <t>Design Team Night</t>
  </si>
  <si>
    <t>Rose Innovation Hub in Mitchell Hall.</t>
  </si>
  <si>
    <t>For the executive team members who attend.</t>
  </si>
  <si>
    <t>Total Design Team Night</t>
  </si>
  <si>
    <t>Internal Processes - BUDGET 2021-2022
Prepared By - Evan Wray</t>
  </si>
  <si>
    <t>Dean's Reception (0)</t>
  </si>
  <si>
    <t>Dean's Donation (Online)</t>
  </si>
  <si>
    <t>Traditionally, part of the event is supported by the Dean. This number is based on the online donation for the 2020 event.</t>
  </si>
  <si>
    <t>Dean's Donation (In-Person)</t>
  </si>
  <si>
    <t>Traditionally, part of the event is supported by the Dean. This number is based on the in-person donation for the 2019 event.</t>
  </si>
  <si>
    <t>Total Dean's Reception</t>
  </si>
  <si>
    <t>Imaginus Poster Sale (1)</t>
  </si>
  <si>
    <t>Poster Sales</t>
  </si>
  <si>
    <t>EngSoc's half of the joint run events with ASUS(there are 2 poster sales). This number is an approximation based on the in-person event for the 2019 events.</t>
  </si>
  <si>
    <t>Total Imaginus Poster Sale</t>
  </si>
  <si>
    <t>Engineering Society Lounge &amp; Events Locker (2)</t>
  </si>
  <si>
    <t>Key Box</t>
  </si>
  <si>
    <t>Jinho suggested we buy a better box</t>
  </si>
  <si>
    <t>Organizational Cleaners</t>
  </si>
  <si>
    <t>Christina, former DoE, suggested we clean the locker - was in summer budget (moved to operational)</t>
  </si>
  <si>
    <t>EngSoc Lounge Tools</t>
  </si>
  <si>
    <t>Potential subscriptions, organizers, etc.</t>
  </si>
  <si>
    <t>EngSoc Lounge Storage Cabinets</t>
  </si>
  <si>
    <t>New storage cabinets for the lounge</t>
  </si>
  <si>
    <t>Total Lounge &amp; Events Locker</t>
  </si>
  <si>
    <t>Imaginus Poster Sale (3)</t>
  </si>
  <si>
    <t>Imaginus room booking fee</t>
  </si>
  <si>
    <t>Quote from Queen's Event Services from VPOPs budget 19-20 (Jinho)</t>
  </si>
  <si>
    <t>Dean's Reception (4)</t>
  </si>
  <si>
    <t>1st Place Kahoot Prize (Online)</t>
  </si>
  <si>
    <t>Amazon gift card</t>
  </si>
  <si>
    <t>2nd Place Kahoot Prize (Online)</t>
  </si>
  <si>
    <t>Uber Eats gift card</t>
  </si>
  <si>
    <t>3rd Place Kahoot Prize (Online)</t>
  </si>
  <si>
    <t>Wine</t>
  </si>
  <si>
    <t>Supplied by local winery</t>
  </si>
  <si>
    <t>Juice</t>
  </si>
  <si>
    <t>For Non-Alcoholic punch</t>
  </si>
  <si>
    <t>Food + Snacks</t>
  </si>
  <si>
    <t>Food platters from Windmills Catering</t>
  </si>
  <si>
    <t>Decorations</t>
  </si>
  <si>
    <t>Decorations for Clark Hall Pub during the event</t>
  </si>
  <si>
    <t>Wine Glasses</t>
  </si>
  <si>
    <t>Rental per dozen</t>
  </si>
  <si>
    <t>Linen Rentals</t>
  </si>
  <si>
    <t>Tablecloths</t>
  </si>
  <si>
    <t>Clark Hall Pub Rental</t>
  </si>
  <si>
    <t>http://clarkhallpub.ca/sample-page/</t>
  </si>
  <si>
    <t>Fee for external catering</t>
  </si>
  <si>
    <t>Awards Banquet (5)</t>
  </si>
  <si>
    <t>Hotel Ballroom Rental</t>
  </si>
  <si>
    <t>The Delta Grandview ballroom</t>
  </si>
  <si>
    <t>Clark Rental was $0 cause we purchased drink tickets</t>
  </si>
  <si>
    <t>Dinner</t>
  </si>
  <si>
    <t>Per person</t>
  </si>
  <si>
    <t>Tata's Pizza (estimate for 40 pizzas @ $27 per pizza)</t>
  </si>
  <si>
    <t>Per bottle - Set by the mariot hotel</t>
  </si>
  <si>
    <t>Drink tickets (estimate for 200 @ $8.50 per ticket)</t>
  </si>
  <si>
    <t>Gratuities</t>
  </si>
  <si>
    <t>For banquet, tip for servers and hotel staff</t>
  </si>
  <si>
    <t>Busing</t>
  </si>
  <si>
    <t>For to and from banquet, needed for accessibility</t>
  </si>
  <si>
    <t>Student Constables</t>
  </si>
  <si>
    <t>To maintain safety, is also mandatory</t>
  </si>
  <si>
    <t>RSVP software</t>
  </si>
  <si>
    <t>RSVPify- 1 event subscription</t>
  </si>
  <si>
    <t>Decorations/Centerpieces</t>
  </si>
  <si>
    <t>For tables</t>
  </si>
  <si>
    <t>Food</t>
  </si>
  <si>
    <t>Paradiso Pizza, per large pizza; for dietary restrictions</t>
  </si>
  <si>
    <t>Paradiso, per drink can</t>
  </si>
  <si>
    <t>3 part Kahoot so 3 first place prizes of $25 each</t>
  </si>
  <si>
    <t>3 part Kahoot so 3 second place prizes of $15 each</t>
  </si>
  <si>
    <t>3 part Kahoot so 3 third place prizes of $10 each</t>
  </si>
  <si>
    <t>Total Awards Banquet</t>
  </si>
  <si>
    <t>Aidan Shimizu
Director of External Relations</t>
  </si>
  <si>
    <t xml:space="preserve"> Unit Price </t>
  </si>
  <si>
    <t xml:space="preserve"> Sub-total </t>
  </si>
  <si>
    <t xml:space="preserve"> Budget </t>
  </si>
  <si>
    <t xml:space="preserve"> 25% Contingency </t>
  </si>
  <si>
    <t xml:space="preserve"> Pre-Actual </t>
  </si>
  <si>
    <t xml:space="preserve"> Actual </t>
  </si>
  <si>
    <t xml:space="preserve"> Comments on Actual </t>
  </si>
  <si>
    <t>Fix n' Clean</t>
  </si>
  <si>
    <t>Fall Event</t>
  </si>
  <si>
    <t>Jacket Bars</t>
  </si>
  <si>
    <t>Clean Sweep bar sales</t>
  </si>
  <si>
    <t>50 bars sold total, most likely slight error due to charging incorrect amounts using debit/credit machine ($9/debit, $8.16/credit)</t>
  </si>
  <si>
    <t>Winter Event</t>
  </si>
  <si>
    <t>Sold 25 bars in Winter, so 25 leftover</t>
  </si>
  <si>
    <t>Total Fix n' Clean</t>
  </si>
  <si>
    <t>Movember</t>
  </si>
  <si>
    <t>*MOST REVENUE MAY GO DIRECTLY TO MOVEMBER FOUNDATION, *should revenue cover costs of event? Or can all the money go to the foundation??</t>
  </si>
  <si>
    <t>Spikeball Ticket</t>
  </si>
  <si>
    <t>Tournament entry fee</t>
  </si>
  <si>
    <t>Did not happen due to time constraints</t>
  </si>
  <si>
    <t>Mocha</t>
  </si>
  <si>
    <t>Tea Room collab, *to be confirmed</t>
  </si>
  <si>
    <t xml:space="preserve"> $-   </t>
  </si>
  <si>
    <t xml:space="preserve"> All profits donated </t>
  </si>
  <si>
    <t>ILC Booth Donations</t>
  </si>
  <si>
    <t>Collecting donations in ILC, all will be donated</t>
  </si>
  <si>
    <t>Fake Moustaches</t>
  </si>
  <si>
    <t>To be sold at Ritual &amp; other events</t>
  </si>
  <si>
    <t xml:space="preserve"> All profits donated (do not include in revenue in future budgets) </t>
  </si>
  <si>
    <t>Total Movember</t>
  </si>
  <si>
    <t>Outreach Team</t>
  </si>
  <si>
    <t>BLM/Other Patches</t>
  </si>
  <si>
    <t>Actually sold for $5 but profits donated</t>
  </si>
  <si>
    <t>Thundercanz Debit Machine</t>
  </si>
  <si>
    <t>All revenue donated</t>
  </si>
  <si>
    <t>This is just for debit machine donations, net zero when donated</t>
  </si>
  <si>
    <t>Total Outreach Team</t>
  </si>
  <si>
    <t>Overall Note</t>
  </si>
  <si>
    <t>For more information un unclear rows, please check sheet labelled "Notes". Not everything has notes, but there are better details there</t>
  </si>
  <si>
    <t>*Note most costs for Winter event &lt; Fall event b/c there's usually less volunteers</t>
  </si>
  <si>
    <t>Note on Online Event</t>
  </si>
  <si>
    <t>I'm very confident that the winter event will run as normal, however, there's still uncertainty about the fall event. In the case of this, because the residents primarily require physical help, it is unlikely that a remote event will run. The only possibility would possibly be tech help on zoom (little to no cost). Will also likely send out letters to clients as we did this past year, which cost $80</t>
  </si>
  <si>
    <t>Cleaning Supplies</t>
  </si>
  <si>
    <t>If extra supplies needed, in past budgeted for $100, no available actuals for this so I just reduced it b/c I think $75 tops would be sufficient</t>
  </si>
  <si>
    <t>More than enough supplies in events locker</t>
  </si>
  <si>
    <t>Advertising</t>
  </si>
  <si>
    <t>Posters &amp; Flyers (from ILC)</t>
  </si>
  <si>
    <t xml:space="preserve"> Free using lounge printer </t>
  </si>
  <si>
    <t>T-Shirts for Sponsors</t>
  </si>
  <si>
    <t>Sponsor Appreciation</t>
  </si>
  <si>
    <t xml:space="preserve">Did not do </t>
  </si>
  <si>
    <t>Cards for Sponsors</t>
  </si>
  <si>
    <t>50 pack from amazon</t>
  </si>
  <si>
    <t>Lunch for Volunteers</t>
  </si>
  <si>
    <t>Tea Room bagels (MAX price b/c using individual price of bagels, meeting with Thomas to discuss discounts)</t>
  </si>
  <si>
    <t>75 bagels @ $2 each from Tea Room + tax</t>
  </si>
  <si>
    <t>Tea</t>
  </si>
  <si>
    <t>Tea Room cambro 20-25 cups (this is regular price, meeting with Thomas to discuss discount)</t>
  </si>
  <si>
    <t>Only bought coffee from tea room</t>
  </si>
  <si>
    <t>Coffee</t>
  </si>
  <si>
    <t>2 coffee cambros from Tea Room @ $45 each +tax</t>
  </si>
  <si>
    <t>T-Shirts</t>
  </si>
  <si>
    <t>From bookstore (half paid for)</t>
  </si>
  <si>
    <t>Cabs</t>
  </si>
  <si>
    <t>Transport for volunteers to clients</t>
  </si>
  <si>
    <t>$170.75 in bus fares (Sat. busses were free due to Santa Claus parade) &amp; $2.83 for bags to hold coins</t>
  </si>
  <si>
    <t>Wash &amp; Dry</t>
  </si>
  <si>
    <t>Not originally budgeted for. Had to wash shirts as a result of the lounge flooding</t>
  </si>
  <si>
    <t>Posters &amp; Flyers</t>
  </si>
  <si>
    <t>Timbits</t>
  </si>
  <si>
    <t>In case of failed sponsorship</t>
  </si>
  <si>
    <t>Did not need</t>
  </si>
  <si>
    <t>Little Caesars pizza (Original $5.99/pizza)</t>
  </si>
  <si>
    <t>Tea Room cambro 20-25 cups (this is regular price, meeting with Thomas to discuss discount *also possibly seeing if they can do smaller sizes as winter event smaller)</t>
  </si>
  <si>
    <t>From bookstore (half paid for, ordered at start of year w/ fall event shirts)</t>
  </si>
  <si>
    <t>$156 in bus fare, $85.32 for 4 ubers for groups going to far away houses</t>
  </si>
  <si>
    <t>Miscellaneous</t>
  </si>
  <si>
    <t>Banner</t>
  </si>
  <si>
    <t>For advertisement (From P&amp;CC)</t>
  </si>
  <si>
    <t>Never got, not a bad idea to purchase next year</t>
  </si>
  <si>
    <t xml:space="preserve"> Jacket Bars</t>
  </si>
  <si>
    <t>Clean Sweep jacket bars</t>
  </si>
  <si>
    <t xml:space="preserve"> 600 for 75 (fall event) + 200 for 25 (winter event). Ignore the $1.41 extra that was for something else</t>
  </si>
  <si>
    <t>Secondary Food Option</t>
  </si>
  <si>
    <t>For dietary restriction (gluten, vegan, dairy) *Might see if Tea room has something for this</t>
  </si>
  <si>
    <t>Got bear paws &amp; gummies bc we left this too late. Coordinator lost receipt for fall event. 19.35 is just for winter event</t>
  </si>
  <si>
    <t>Youth Hockey Team</t>
  </si>
  <si>
    <t>Sponsorship Fee</t>
  </si>
  <si>
    <t>Cost of sponsoring the team</t>
  </si>
  <si>
    <t>Never got an invoice for this weirdly</t>
  </si>
  <si>
    <t>To and from the arena</t>
  </si>
  <si>
    <t>We never got to attend one of their games</t>
  </si>
  <si>
    <t>Poster Supplies</t>
  </si>
  <si>
    <t>For students attending the game, includes 15 poster boards, a 24 pack of markers</t>
  </si>
  <si>
    <t>Noise Makers</t>
  </si>
  <si>
    <t>To cheer on team, had these in Jonah's year, includes those blowy noise makers ($5.99) + mini hand clappers ($4.00) from partycity</t>
  </si>
  <si>
    <t>Food/Drink</t>
  </si>
  <si>
    <t xml:space="preserve">For students attending the game (assumed prices of $6.00 for hot dog and fries +$2.50 for large drink bought at rink) </t>
  </si>
  <si>
    <t>Thundercanz</t>
  </si>
  <si>
    <t>For winning frosh group</t>
  </si>
  <si>
    <t>31 bars</t>
  </si>
  <si>
    <t>Santa Claus Parade</t>
  </si>
  <si>
    <t>Entrance Fee</t>
  </si>
  <si>
    <t>Fee to participate</t>
  </si>
  <si>
    <t xml:space="preserve"> Price reduced this year, non-commercial price </t>
  </si>
  <si>
    <t>Truck Rental</t>
  </si>
  <si>
    <t>To pull the float (from old actuals)</t>
  </si>
  <si>
    <t>Dixon's let us use truck for free</t>
  </si>
  <si>
    <t>Generator</t>
  </si>
  <si>
    <t>To power the float, 2500W generator for 1 day (unsure exactly how much power needed, if more will increase by $10ish) https://www.sunbeltrentals.com/equipment/cat/10/generators-and-accessories/</t>
  </si>
  <si>
    <t>Jay paid for this, not exactly sure how much</t>
  </si>
  <si>
    <t>Gas</t>
  </si>
  <si>
    <t>For the truck (Estimated)</t>
  </si>
  <si>
    <t>Literally like 71 cents</t>
  </si>
  <si>
    <t>Candy Canes</t>
  </si>
  <si>
    <t>For the kids to hand out (Jonah's actual)</t>
  </si>
  <si>
    <t xml:space="preserve"> Not allowed to hand out this year </t>
  </si>
  <si>
    <t>Hay (based on Kijiji), already have decorations</t>
  </si>
  <si>
    <t>8 bales @ $5 each</t>
  </si>
  <si>
    <t>PVC Pipe</t>
  </si>
  <si>
    <t>For construction of floatc</t>
  </si>
  <si>
    <t>Not originally budgeted for. Worth it. Some pieces stored in off-campus events locker</t>
  </si>
  <si>
    <t>Fire Extinguisher</t>
  </si>
  <si>
    <t>For float (Canadian Tire), *Ask Jay if still have</t>
  </si>
  <si>
    <t>Already have one (with Christmas stuff)</t>
  </si>
  <si>
    <t>Snacks for Members</t>
  </si>
  <si>
    <t>Snacks &amp; hot drinks (not sure from where, can't think that far ahead about snacks &amp; drinks, will not spend more than $60)</t>
  </si>
  <si>
    <t>My head manager paid for this and did not keep receipt cuz she didn't care. Would recommend getting snacks/hot drinks for team bc it's a long night and could be cold</t>
  </si>
  <si>
    <t>Fort Building</t>
  </si>
  <si>
    <t>Jacket Patches</t>
  </si>
  <si>
    <t>For Builders</t>
  </si>
  <si>
    <t>Did not run event, idek what the point was originally</t>
  </si>
  <si>
    <t>Warm Drinks</t>
  </si>
  <si>
    <t>Tea Room cambro 50 cups (not sure how many participants, if less than 30 can get smaller one for $45)</t>
  </si>
  <si>
    <t>Did not run event</t>
  </si>
  <si>
    <t>Winter Clothing Drive</t>
  </si>
  <si>
    <t>Boxes</t>
  </si>
  <si>
    <t>Boxes to transport donations, presumably someone can drive these</t>
  </si>
  <si>
    <t>ARC Table Booking</t>
  </si>
  <si>
    <t>To promote event &amp; collect donations</t>
  </si>
  <si>
    <t>Not originally budgeted for</t>
  </si>
  <si>
    <t>Tea Room Gift Card</t>
  </si>
  <si>
    <t>$50 randomly chosen from someone who donated</t>
  </si>
  <si>
    <t xml:space="preserve">Not originally budgeted for </t>
  </si>
  <si>
    <t>Soup Kitchen</t>
  </si>
  <si>
    <t>To/From event (assuming it's closer to campus)</t>
  </si>
  <si>
    <t>Did not have time to do (although would recommend)</t>
  </si>
  <si>
    <t>EngComm Event</t>
  </si>
  <si>
    <t>Rent Clark Hall Pub</t>
  </si>
  <si>
    <t>Cost offset by drink purchases</t>
  </si>
  <si>
    <t>Prizes</t>
  </si>
  <si>
    <t>If not donated</t>
  </si>
  <si>
    <t>Eng-Nursing Event</t>
  </si>
  <si>
    <t>Event Costs</t>
  </si>
  <si>
    <t xml:space="preserve">Undecided event, </t>
  </si>
  <si>
    <t>Did not run (bc of Covid)</t>
  </si>
  <si>
    <t>Eng-ConEd</t>
  </si>
  <si>
    <t>Event Costs + Transportation</t>
  </si>
  <si>
    <t>Undecided event, possibly Reading Buddies</t>
  </si>
  <si>
    <t xml:space="preserve"> Reading buddies was no cost except transportation </t>
  </si>
  <si>
    <t>Crafting for a Cure</t>
  </si>
  <si>
    <t>Crafting Supplies</t>
  </si>
  <si>
    <t>Kit supplies for two events (costs in '20'/'21 events)</t>
  </si>
  <si>
    <t>I believe much of cost was absorbed by C4AC team (run by Sienna Thalassianos)</t>
  </si>
  <si>
    <t>Pier Cleanup</t>
  </si>
  <si>
    <t>Pizza/Lunch</t>
  </si>
  <si>
    <t>Little Caesars Pizza (same price as FnC)</t>
  </si>
  <si>
    <t xml:space="preserve"> Didn't happen, pier was closed </t>
  </si>
  <si>
    <t>Gloves and bags, $15/50 bags, $15/100 gloves</t>
  </si>
  <si>
    <t>Outreach Ritual</t>
  </si>
  <si>
    <t>Fee</t>
  </si>
  <si>
    <t>Event Fee, to raise money for a charity, event not fleshed out yet</t>
  </si>
  <si>
    <t>Event did not happen</t>
  </si>
  <si>
    <t>Supplies</t>
  </si>
  <si>
    <t>Activities and decorations</t>
  </si>
  <si>
    <t>Prizes for competition winners, prizes not decided yet, will not go over $100.</t>
  </si>
  <si>
    <t>Additional Costs</t>
  </si>
  <si>
    <t>Money allotted to costs of new events. Yes this is arbitrary, no I don't have actuals, this is usually alloted because the OT does different events every year. Will likely spend less than $500</t>
  </si>
  <si>
    <t>Supplies for mental health week (new event). Includes notes that were handed out and stuff for a Tea Room display</t>
  </si>
  <si>
    <t>BIPOC Aid  Initiatives</t>
  </si>
  <si>
    <t>To volunteer with local businesses</t>
  </si>
  <si>
    <t xml:space="preserve">Did not happen </t>
  </si>
  <si>
    <t>BLM/Other Patch sales</t>
  </si>
  <si>
    <t>To be bought from "The Studio"</t>
  </si>
  <si>
    <t>Did not need to buy more, had enough already</t>
  </si>
  <si>
    <t>Sustainability Event</t>
  </si>
  <si>
    <t>Snacks for volunteers</t>
  </si>
  <si>
    <t>OT member appreciation for participation, any other possible event costs included in money alloted to new events</t>
  </si>
  <si>
    <t>Did not happen, hasn't been done in the past</t>
  </si>
  <si>
    <t>Sweaters</t>
  </si>
  <si>
    <t>For OT Members</t>
  </si>
  <si>
    <t>From Second Ave Print Apparel Promo (Hanna Gamelin - Assistant Manager's dad's company)</t>
  </si>
  <si>
    <t>Patches</t>
  </si>
  <si>
    <t>Terry Fox Run</t>
  </si>
  <si>
    <t>Online event</t>
  </si>
  <si>
    <t>For advertising on &amp; off campus</t>
  </si>
  <si>
    <t xml:space="preserve"> No fee, printed in ILC </t>
  </si>
  <si>
    <t>Flex Money as Incentives</t>
  </si>
  <si>
    <t>Incentives for top 3 fundraisers</t>
  </si>
  <si>
    <t>Total Terry Fox Run</t>
  </si>
  <si>
    <t>Events</t>
  </si>
  <si>
    <t>Spikeball</t>
  </si>
  <si>
    <t>Renting 4 squash courts in ARC for 2 hours</t>
  </si>
  <si>
    <t>Did not get sanctioned in time</t>
  </si>
  <si>
    <t>Ritual</t>
  </si>
  <si>
    <t>Movember Ritual *Not renting out Clarke, just gonna be there collecting donations, and getting people to signup with incentives</t>
  </si>
  <si>
    <t xml:space="preserve"> Cost for "Sponsored" ritual </t>
  </si>
  <si>
    <t xml:space="preserve">Event Buffer </t>
  </si>
  <si>
    <t>Events aren't fully fleshed out yet</t>
  </si>
  <si>
    <t>Did not use</t>
  </si>
  <si>
    <t>ILC Booth Donation</t>
  </si>
  <si>
    <t>Donations from ILC booth (revenue in line 85102</t>
  </si>
  <si>
    <t>Prizes/Incentives</t>
  </si>
  <si>
    <t>Movember Merch</t>
  </si>
  <si>
    <t>Shirts as prizes throughout the month https://movember.entripyshirts.com/</t>
  </si>
  <si>
    <t>Did not do</t>
  </si>
  <si>
    <t>Prize</t>
  </si>
  <si>
    <t>Best fundraiser (maybe amazon echo, JBL speaker)</t>
  </si>
  <si>
    <t>$15 Tea room gift card for random person who donated at Ritual, we got sponsored by RedBull &amp; they gave us 7 cases so that was alot of our prizes</t>
  </si>
  <si>
    <t>Advertisement</t>
  </si>
  <si>
    <t>96 staches to be sold at events (2x pack of 48)</t>
  </si>
  <si>
    <t>For anyone who donated at Ritual, big success, bought on Amazon</t>
  </si>
  <si>
    <t>Movember Banner</t>
  </si>
  <si>
    <t xml:space="preserve">To have at all Movember events </t>
  </si>
  <si>
    <t>Bought at P&amp;CC, will be kept in lounge</t>
  </si>
  <si>
    <t>External Organization Fees</t>
  </si>
  <si>
    <t>Just wanted to note here that PEO-SC '22 (hosted by Carleton) estimated delegate fee is $125-$150 (as of FYIC '21)</t>
  </si>
  <si>
    <t>Membership Fees</t>
  </si>
  <si>
    <t>ESSCO Observer Fee</t>
  </si>
  <si>
    <t>11 cents/student</t>
  </si>
  <si>
    <t xml:space="preserve"> CFES Member Fee</t>
  </si>
  <si>
    <t>0.65/student, 3465 students (assumed)</t>
  </si>
  <si>
    <t>Membership fees were paid twice this year as they changed time of payment, 2nd payment was $0.70x3426people = $2398.20</t>
  </si>
  <si>
    <t>ESSCO Conference Costs</t>
  </si>
  <si>
    <t>AGM/CALE Delegate Fee</t>
  </si>
  <si>
    <t>Delegate fee for 2 people</t>
  </si>
  <si>
    <t>Delegate fee cap increased from $150 to $200 in activity agreement around FYIC (will not be reverted back unless specifically stated in bid for conference). Online</t>
  </si>
  <si>
    <t>AGM/CALE Transportation</t>
  </si>
  <si>
    <t>Unknown location, explained in notes</t>
  </si>
  <si>
    <t>Online so free</t>
  </si>
  <si>
    <t>OEC Competitor Fee</t>
  </si>
  <si>
    <t>Paying half the ticket for all competitors, anyone who got first place at QEC. Taken from last year's President budget</t>
  </si>
  <si>
    <t>$50 delegate fee (cheap bc online) and 19 delegates</t>
  </si>
  <si>
    <t>OEC Observer Fee</t>
  </si>
  <si>
    <t>Sending 2 OEC Chairs to observe</t>
  </si>
  <si>
    <t>Take this out, not relevant anymore. Was only in my upper's budget bc we were supposed to host OEC last year</t>
  </si>
  <si>
    <t>FYIC Delegate Fee</t>
  </si>
  <si>
    <t>Between $5-$10 per delegate (online conference)</t>
  </si>
  <si>
    <t>Free bc online</t>
  </si>
  <si>
    <t>CFES Conference Costs</t>
  </si>
  <si>
    <t>CELC Delegate Fee</t>
  </si>
  <si>
    <t>$450 for first delegate + $500 for 2nd delegate + $550 for 3rd delegate</t>
  </si>
  <si>
    <t>15% tax in Newfoundland (this was not applied in previous years &amp; was not budgeted for) and we will send 4 delegates ($450 for delegate 1, $500 for delegate 2 &amp; $550 for every subsequent delegate). Free bc converted to online</t>
  </si>
  <si>
    <t>CELC Transportation</t>
  </si>
  <si>
    <t>3*$775 round trip plane + $50 for uber to/from airport</t>
  </si>
  <si>
    <t>Flights were booked with airmiles when conference was planed for in-person. Had to cancel and despite best efforts, could not get refund</t>
  </si>
  <si>
    <t>CSE Delegate Fee</t>
  </si>
  <si>
    <t>Delegate fee for 4 people (# delegates subject to change)</t>
  </si>
  <si>
    <t>Online</t>
  </si>
  <si>
    <t>CSE Transportation</t>
  </si>
  <si>
    <t>Average megabus from Kingston to Toronto and train from toronto to Guelph round trip for two people + 2*$25/transportation to/from bus station in Guelph</t>
  </si>
  <si>
    <t>CEC Delegate Fees</t>
  </si>
  <si>
    <t>covers accomodations, food events entry, anyone who moves on from OEC</t>
  </si>
  <si>
    <t>No Queen's competitors moved on to CEC this year</t>
  </si>
  <si>
    <t>Swab Drive</t>
  </si>
  <si>
    <t>Incentive for Drive</t>
  </si>
  <si>
    <t>Was pizza for winning frosh group in 2019</t>
  </si>
  <si>
    <t>Did not happen this year</t>
  </si>
  <si>
    <t>Total Swab Drive</t>
  </si>
  <si>
    <t>Remembrance Day</t>
  </si>
  <si>
    <t>Wreath</t>
  </si>
  <si>
    <t>Wreath on Cenotaph *From '19-'20 budget</t>
  </si>
  <si>
    <t>We did not get asked to do this this year (as far as I know)</t>
  </si>
  <si>
    <t>Total Rememberance Day</t>
  </si>
  <si>
    <t>COVID Safety at Events</t>
  </si>
  <si>
    <t>For TFR, FnC &amp; Movember events</t>
  </si>
  <si>
    <t>Facemasks</t>
  </si>
  <si>
    <t>Sanitizing Wipes</t>
  </si>
  <si>
    <t>Ex Comm Comm</t>
  </si>
  <si>
    <t>Tea Room Gift Cards</t>
  </si>
  <si>
    <t>Not originally budgeted for, for 10 random people that filled out ESSCO survey</t>
  </si>
  <si>
    <t>10 x $10 gift cards for randomly chosen people who completed ESSCO survey</t>
  </si>
  <si>
    <t>Not originally budgeted for, ExCC appreciation</t>
  </si>
  <si>
    <t>6 x $10 gift cards for ExCC bc they deserve it</t>
  </si>
  <si>
    <t>Total Miscellaneous</t>
  </si>
  <si>
    <t>Michael Butler
Director of Finance</t>
  </si>
  <si>
    <t>Finance Team</t>
  </si>
  <si>
    <t>FO Salary</t>
  </si>
  <si>
    <t>3 FOs: $40/week * (12 weeks/sem * 2 semesters + 4 weeks in the summer) - as outlined in policy</t>
  </si>
  <si>
    <t>FO Appreciation</t>
  </si>
  <si>
    <t>Most likely merch - needs a minimum order of 6 for customs orders</t>
  </si>
  <si>
    <t>Total Finance Team</t>
  </si>
  <si>
    <t>Fees</t>
  </si>
  <si>
    <t>Deposit Edge Cost</t>
  </si>
  <si>
    <t>12 month fees to use deposit edge</t>
  </si>
  <si>
    <t>There is no Fee</t>
  </si>
  <si>
    <t>Moneris Fees</t>
  </si>
  <si>
    <t>Monthly fees charged by Moneris for C/D machines (tax included)</t>
  </si>
  <si>
    <t>Moneris Paper</t>
  </si>
  <si>
    <t>Used to print receipts (50 pack)</t>
  </si>
  <si>
    <t>Total Fees</t>
  </si>
  <si>
    <t>Review Engagements</t>
  </si>
  <si>
    <t>MNP Fee</t>
  </si>
  <si>
    <t>Cost of Audit Firm for review engagements - based on amount paid to MNP LLP on 2020/8/31 by Jay Young</t>
  </si>
  <si>
    <t>Allen Liu
Director of First Year</t>
  </si>
  <si>
    <t xml:space="preserve">Physics Cookies </t>
  </si>
  <si>
    <t xml:space="preserve"> Cookies </t>
  </si>
  <si>
    <t>APSC 111: midterm 1 physics cookies, (anticipated enrollment is 850-950) will be budgeting for 950 students (larger side to be safe) and will adjust later physics cookies accordingly based on enrollment and demand. Amount is pack of 36 x  27 (total platters bought) - this will be applied on all physics cookies</t>
  </si>
  <si>
    <t>Cookies</t>
  </si>
  <si>
    <t xml:space="preserve">APSC 111: midterm 2 cookies, 900 cookies based on lower demand (historical) </t>
  </si>
  <si>
    <t>APSC 112: midterm 1 cookies, 828 cookies  will lose the J-section students combined with declining demand</t>
  </si>
  <si>
    <t>APSC 112: midterm 2 cookies, 828 cookies (previous section</t>
  </si>
  <si>
    <t>APSC 112: J-section midterm 1, 72 cookies</t>
  </si>
  <si>
    <t xml:space="preserve">APSC 112 J-section midterm 2, 72 cookies </t>
  </si>
  <si>
    <t xml:space="preserve">APSC 112 J-section midterm 2 (2021 year), 72 cookies </t>
  </si>
  <si>
    <t xml:space="preserve">Discipline Fair </t>
  </si>
  <si>
    <t>Hot beaverages</t>
  </si>
  <si>
    <t>5 large containers of coffee and tea for the fair from the Tea Room (50 cups per container), equaling to 250 cups for both total (adjusting for increased enrollment from 2019-2020)</t>
  </si>
  <si>
    <t>Dessert Tray</t>
  </si>
  <si>
    <t xml:space="preserve">6 dessert trays from The Tea Room (40 pieces of dessert each), equaling to 200 pieces total. This is less compared to the beaverages as I'm making the assumption that people will also consume the pizza provided </t>
  </si>
  <si>
    <t>20 XLarge cheese, 15XLarge Pepperoni, 5XLarge Veggie, feeds approx 200 people (food is slightly lower than beverages assuming a split between desserts and pizza as well as people not interested). Price per pizza as listed on the Domino website (done without discount). Projected cost to be lower with discount applies</t>
  </si>
  <si>
    <t>Biosciences Hall Rental</t>
  </si>
  <si>
    <t>Hall rental, can hold up to 450+ people along with ample space for stands and equipment. Assuming class A rental price</t>
  </si>
  <si>
    <t>Alumni/Speakers Gift</t>
  </si>
  <si>
    <t>Something to thank alumni and keynote speakers for coming to help first years decide on their discipline during this event. Will budget $30 each for 5 speakers</t>
  </si>
  <si>
    <t>FYPCO Program</t>
  </si>
  <si>
    <t xml:space="preserve">Jacket Bars </t>
  </si>
  <si>
    <t>From Quick Sew, projected 20 FYPCO's (slight increase from last year's virtual FYPCO program). To thank the FYPCO's and to commend them for their contributions to the Engineering Society</t>
  </si>
  <si>
    <t xml:space="preserve">Pizza </t>
  </si>
  <si>
    <t xml:space="preserve">2 X-Large Pepperoni, 2 X-Large cheese pizzas a meeting (feeds 20-24). Max 4 orders total (for first meeting and workshops). Price is based on Domino's website, potential to use coupons or EngSoc discount </t>
  </si>
  <si>
    <t>Tim-bits (treats)</t>
  </si>
  <si>
    <t>Total 4 in-person FYPCO progress meetings. Will provide 100 timbits to half of all meeting (2 orders of 50 timbits), there might also be special FYPCO workshops (1 a semester) where I will also provide snakc</t>
  </si>
  <si>
    <t xml:space="preserve">FYPCO Group Activity/Bonding </t>
  </si>
  <si>
    <t xml:space="preserve">Subject to change by FYPCO Manager, perhaps something like bowling, lazer tag, or movies. Currently, budgeting $20 per FYPCO, but will be adjusted accordingly. Attendance is estimated at 70% </t>
  </si>
  <si>
    <t xml:space="preserve">Coffee </t>
  </si>
  <si>
    <t xml:space="preserve">Refer line 85201, will provide a small container of coffee from The Tea Room (serves 20-25) </t>
  </si>
  <si>
    <t>First Year Executives</t>
  </si>
  <si>
    <t>Purchased from Quick Sew (Sci'25 execs), accounts for all 20 members. Jacket bars may also be distributed to the Sci'24 execs as they did not receive any for their work last year (18 execs total)</t>
  </si>
  <si>
    <t>Total Category 4</t>
  </si>
  <si>
    <t xml:space="preserve">First Year Team Expenses </t>
  </si>
  <si>
    <t xml:space="preserve">Team Gift Cards/Dinner </t>
  </si>
  <si>
    <t xml:space="preserve">4 Managers on the team, gift/dinner for the team at Christmas time to thank them for their work during the 2021 year </t>
  </si>
  <si>
    <t>Team Gift Cards/Dinner</t>
  </si>
  <si>
    <t>Same as above, but for end of year!</t>
  </si>
  <si>
    <t>I think team jacket bars might be more "used" then team sweaters (and its more cost efficient too), but I will be sure to get a team consensus on this before purchasing</t>
  </si>
  <si>
    <t>1 XLarge cheese pizza (feeds 5-6). Also, for full-team meetings (see below), but probably only for longer meetings and a maximum of 2 meets a semester. 4 meetings a year.</t>
  </si>
  <si>
    <t xml:space="preserve">Tim bits </t>
  </si>
  <si>
    <t>For full-team meetings (whenever they occur in-person), Team meets will occur bi-weekly except for during exam season (mostly). Will get snacks a maximum of 8 times this year,  1 order of 50 timbits each time</t>
  </si>
  <si>
    <t>Total Category 5</t>
  </si>
  <si>
    <t>Workshops + Events Budget</t>
  </si>
  <si>
    <t>Tutor Hiring (EngLinks)</t>
  </si>
  <si>
    <t>One tutor for each class (2 for 111), for 2 hours total (drop-in time) to answer questions for APSC 111, 132, 143 and 171 (sorry Diedriechs )and help the first years prepare for their first University exams. Assuming each tutor charges $15/hour</t>
  </si>
  <si>
    <t>Tutor Hiring  (EngLinks)</t>
  </si>
  <si>
    <t>Winter term exams, Englinks event part 2 (if first is successful). One tutor for 172, 174, 132, 162. Two tutors for 112 for 2 hours (same as above</t>
  </si>
  <si>
    <t>All Room Bookings</t>
  </si>
  <si>
    <t>Classrooms can be done for free under class A for all workshops, can seat (50-100 people) which should be enough for workshops + events.</t>
  </si>
  <si>
    <t>Speaker Gifts</t>
  </si>
  <si>
    <t>Gift for the keynote speakers over the year, assuming around 5 $30 budget each</t>
  </si>
  <si>
    <t xml:space="preserve">7 XLarge cheese pizza, 3 XLarge pepperoni pizza's from Domino's (feeds 50-60). Will be bought for larger activities (housing, interview workshop. Jacket council) and be adjusted according to demand, will be bought a maximum of 6 times </t>
  </si>
  <si>
    <t xml:space="preserve">Hot Beverages </t>
  </si>
  <si>
    <t>Once large container of coffee from the Tea room for select events, especially in the winter months (serves 50 - assuming that not everyone will consume). Maximum of 6 times per year.</t>
  </si>
  <si>
    <t>Other Snacks</t>
  </si>
  <si>
    <t>Juice, chips, dollarstore gummies/chocolates for events as an add on. WIll budget $50 for the entire year</t>
  </si>
  <si>
    <t>Nice food treat for whenever events/workshops run, and for Manager meetings (if in-person). Will probably need 3 orders of 50 timbit box (150 total) for events. Will be calculated based on 7 events throughout the year (won't be present at every event), will be adjusted accordingly</t>
  </si>
  <si>
    <t>Delivery</t>
  </si>
  <si>
    <t>Will budget a total of $100 throughout the year for delivery of food or equipment.</t>
  </si>
  <si>
    <t>Total Category 6</t>
  </si>
  <si>
    <t>Alison Wong
Director of Human Resources</t>
  </si>
  <si>
    <t>Category 1: Recruitment/Feedback</t>
  </si>
  <si>
    <t>Social media ads for position recruitment</t>
  </si>
  <si>
    <t>Facebook, Instagram, Snapchat (?), WeChat (?), TikTok (?)</t>
  </si>
  <si>
    <t>Incentives (recruitment and feedback)</t>
  </si>
  <si>
    <t>Timbits/coffee for drop-in recruitment events, gift cards for giveaways, stickers</t>
  </si>
  <si>
    <t>Printing at P&amp;CC</t>
  </si>
  <si>
    <t>Space rental for hiring fairs and/or meet-and-greet with ED team, other EngSoc position holders</t>
  </si>
  <si>
    <t>Mitchell Hall, Tea Room</t>
  </si>
  <si>
    <t>Total Category 1: Recruitment</t>
  </si>
  <si>
    <t>Team</t>
  </si>
  <si>
    <t>Team appreciation</t>
  </si>
  <si>
    <t>Gift cards</t>
  </si>
  <si>
    <t>Total Category 2: Team</t>
  </si>
  <si>
    <t>Andrew da Silva
Director of Governance (In Person Events)</t>
  </si>
  <si>
    <t>Council</t>
  </si>
  <si>
    <t>Council Pizza</t>
  </si>
  <si>
    <t>Dominos Pizza, this price is %50 off. Large Pizzas.</t>
  </si>
  <si>
    <t>Dominos Pizza, this price is 50% off. Large Pizzas.</t>
  </si>
  <si>
    <t>Secretary Payroll</t>
  </si>
  <si>
    <t>Secretary is a paid position. $50 a council.</t>
  </si>
  <si>
    <t>Placard Paper</t>
  </si>
  <si>
    <t>Staples 30% Recycled Pastel Coloured Copy Paper</t>
  </si>
  <si>
    <t>Total Council</t>
  </si>
  <si>
    <t>Elections</t>
  </si>
  <si>
    <t>Elections Team Dinner</t>
  </si>
  <si>
    <t xml:space="preserve">Appreciation for Elections team. (DoG, CRO, DRO, CEO, VPSA) </t>
  </si>
  <si>
    <t>President Candidate Subsidies</t>
  </si>
  <si>
    <t>It is not determined until later in the year the amount that will be given to candidates in subsidies. This is an estimate based on the highest subsidies given in previous years. It will be assumed that there will be two candidates for the corresponding position with each getting $70 in subsidies.</t>
  </si>
  <si>
    <t xml:space="preserve">VPSA and VPOPs Candidate Subsidies </t>
  </si>
  <si>
    <t>Junior Senator Subsidies</t>
  </si>
  <si>
    <t>Debate Night Pizza</t>
  </si>
  <si>
    <t>Pizza given to those who attend debate night for the general elections. Dominos Pizza 50%.</t>
  </si>
  <si>
    <t>Debate Night Folding Chairs</t>
  </si>
  <si>
    <t xml:space="preserve">Will be a rental from Party Centre in Kingston. </t>
  </si>
  <si>
    <t>AMS Voting Software</t>
  </si>
  <si>
    <t>A fee is associated with using the secure voting software for the general elections. I have been in contact with the DoIA in the AMS for the fee.</t>
  </si>
  <si>
    <t>Voting Booth Timbits</t>
  </si>
  <si>
    <t xml:space="preserve">Put at the voting stands. Given to those who vote. </t>
  </si>
  <si>
    <t xml:space="preserve">The first elections (October) Sci'25. </t>
  </si>
  <si>
    <t>Second round of elections for the next academic year (March) Sci'25.</t>
  </si>
  <si>
    <t>For Year elections in March, Sci'24</t>
  </si>
  <si>
    <t>For Year elections in March, Sci'23</t>
  </si>
  <si>
    <t>1 Gift card worth $20 given in a prize system to a AGM attendee who is not a ED Member and does not usually have a vote.</t>
  </si>
  <si>
    <t xml:space="preserve">Gift cards that will be given away via a draw to a EngSoc member who voted in the General Elections. EDITED Gave away 7 Starbucks and 6 tim horton cards. </t>
  </si>
  <si>
    <t>Total Elections</t>
  </si>
  <si>
    <t>Dalena Vo
Director of Services</t>
  </si>
  <si>
    <t>Services Appreciation</t>
  </si>
  <si>
    <t>All Manager Dinner (Assistants, Heads, Officer, Ops, DoS)</t>
  </si>
  <si>
    <t>$40.00 per person (in person or via Uber Eats) in Winter Term</t>
  </si>
  <si>
    <t>Head Manager Dinner (Heads, Officer, Ops, DoS)</t>
  </si>
  <si>
    <t>$40.00 per person (in person or via Uber Eats) in Fall Term</t>
  </si>
  <si>
    <t>Services Staff Appreciation Event/Gift Cards</t>
  </si>
  <si>
    <t>Appreciation gift cards for end of year/total can be used for a services staff appreciation event (budgeted for services staff and managers) + iCon's Staff and Head Manager</t>
  </si>
  <si>
    <t xml:space="preserve"> Snacks for All-Manager Meetings</t>
  </si>
  <si>
    <t xml:space="preserve"> 1 all-manager fall meeting/social at 24 people at $12.00 per person</t>
  </si>
  <si>
    <t>Snacks/Pizza for Head Manager</t>
  </si>
  <si>
    <t xml:space="preserve">$12.00 per person, 9 people at 4 head-manager meetings per year </t>
  </si>
  <si>
    <t>Exam care packages for Head Managers/Head Manager Appreciation</t>
  </si>
  <si>
    <t>Halloween/Reading Break, Christmas, Reading Break/Valentine's, and End of Year themed packages - granola bars, yerba mate, protein bars, greeting cards, tea, study snacks, etc.</t>
  </si>
  <si>
    <t>Total Services Appreciation</t>
  </si>
  <si>
    <t>Volunteer Appreciation</t>
  </si>
  <si>
    <t>Services Officer Appreciation</t>
  </si>
  <si>
    <t>$15.00 per month (Tea Room gift card)</t>
  </si>
  <si>
    <t>Total Volunteer Appreciation</t>
  </si>
  <si>
    <t>DoS Necessities</t>
  </si>
  <si>
    <t>Smart Serve</t>
  </si>
  <si>
    <t>DoS needs a Smart Serve to assist Clark patio rituals, and Services Officer Smart Serve would be useful for this too</t>
  </si>
  <si>
    <t>Training</t>
  </si>
  <si>
    <t>Safetalk training for Nathan</t>
  </si>
  <si>
    <t>Miscellaneous Purchases</t>
  </si>
  <si>
    <t>Small broken equipment and other expenses to test projects</t>
  </si>
  <si>
    <t>Total DoS Necessities</t>
  </si>
  <si>
    <t>Zach Donovan
Director of Information Technology</t>
  </si>
  <si>
    <t>Email &amp; Domains</t>
  </si>
  <si>
    <t>Microsoft365 License Fee</t>
  </si>
  <si>
    <t>Microsoft365 Licenses for email infrastructure</t>
  </si>
  <si>
    <t>Services Domains</t>
  </si>
  <si>
    <t>EngLinks.ca, Sciencequest, etc…</t>
  </si>
  <si>
    <t>Clubs &amp; Conferences Domains</t>
  </si>
  <si>
    <t>applemath.ca, qset, etc…</t>
  </si>
  <si>
    <t>IT and Misc Domains</t>
  </si>
  <si>
    <t>essdev.ca, engsoc.io etc</t>
  </si>
  <si>
    <t>AMS Email Migration Fee</t>
  </si>
  <si>
    <t>Costs associated with O365 migration</t>
  </si>
  <si>
    <t>Infrastructure</t>
  </si>
  <si>
    <t>Essential Server Infastructure</t>
  </si>
  <si>
    <t>Essential Server Hosting</t>
  </si>
  <si>
    <t>OVH Additional IP Addresses</t>
  </si>
  <si>
    <t>Additional IP Addresses</t>
  </si>
  <si>
    <t>MailGun</t>
  </si>
  <si>
    <t xml:space="preserve">Mail service for our applications </t>
  </si>
  <si>
    <t>Bitwarden</t>
  </si>
  <si>
    <t>Password storage</t>
  </si>
  <si>
    <t>Cloudflare</t>
  </si>
  <si>
    <t>CDN, DNS and DDoS mitigation service</t>
  </si>
  <si>
    <t>Infrastructure Software License</t>
  </si>
  <si>
    <t>Plesk - New software and site management suite</t>
  </si>
  <si>
    <t>DigitalOcean</t>
  </si>
  <si>
    <t>DO hosting until everything migrated from DO to OVH</t>
  </si>
  <si>
    <t>General Team</t>
  </si>
  <si>
    <t>"Secret Service"</t>
  </si>
  <si>
    <t>Manager Appreciation Dinner</t>
  </si>
  <si>
    <t>Some very busy managers (including over the summer)</t>
  </si>
  <si>
    <t>ESSDev Team</t>
  </si>
  <si>
    <t>Apple Developer Fee</t>
  </si>
  <si>
    <t>Needed for App Store publishing</t>
  </si>
  <si>
    <t>Google Developer Fee</t>
  </si>
  <si>
    <t>Needed for Play Store publishing</t>
  </si>
  <si>
    <t>Project Expenses</t>
  </si>
  <si>
    <t>Allocated</t>
  </si>
  <si>
    <t>Hardware Fund</t>
  </si>
  <si>
    <t>Hardware for potential ESSDev projects</t>
  </si>
  <si>
    <t>Misc Software</t>
  </si>
  <si>
    <t>ESSDev Pizza</t>
  </si>
  <si>
    <t>Pizza for meetings</t>
  </si>
  <si>
    <t>ESSDev Incentive</t>
  </si>
  <si>
    <t>ESSDev project Launch Dinner (only for completed projects)</t>
  </si>
  <si>
    <t>IT Operations</t>
  </si>
  <si>
    <t>Expenses for Academy, etc</t>
  </si>
  <si>
    <t>ITOps Pizza</t>
  </si>
  <si>
    <t>Pizza for meetings (winter only)</t>
  </si>
  <si>
    <t>ITOps Appreciation Dinner</t>
  </si>
  <si>
    <t>O365 Training</t>
  </si>
  <si>
    <t>Training of IT staff for O365 Adminstration</t>
  </si>
  <si>
    <t>Marissa Matthews
Director of Professional Development</t>
  </si>
  <si>
    <t>Alumni Relations</t>
  </si>
  <si>
    <t>Attendees buying drinks</t>
  </si>
  <si>
    <t>Event moved online - At Clark Hall Pub Social, deducts from the booking fee</t>
  </si>
  <si>
    <t>Ticket Sales</t>
  </si>
  <si>
    <t>Event moved online - EDII Chat at the Tea Room - not currently planning to sell tickets but could sell $5 tickets if needed to help offset the cost</t>
  </si>
  <si>
    <t>Queen's Alumni Association Grant</t>
  </si>
  <si>
    <t>Grant won by the Alumni Relations Committee</t>
  </si>
  <si>
    <t>Total Category 0</t>
  </si>
  <si>
    <t>Alumni Networking Summit</t>
  </si>
  <si>
    <t>Alumni Ticket Sales</t>
  </si>
  <si>
    <t>Price changed since event moved online - Student Ticket Sales</t>
  </si>
  <si>
    <t>N/A, only 1 ticket type because event moved online - Student Regular Ticket Sales</t>
  </si>
  <si>
    <t>Dean's Donation</t>
  </si>
  <si>
    <t>PD Team Tickets</t>
  </si>
  <si>
    <t>PD Team attends for free</t>
  </si>
  <si>
    <t>Clark Hall Pub Booking</t>
  </si>
  <si>
    <t>N/A Event moved online - For Clark Hall Pub Social, includes cost of pizza</t>
  </si>
  <si>
    <t>For Clark Hall Pub Social</t>
  </si>
  <si>
    <t>Tea Room Booking</t>
  </si>
  <si>
    <t>N/A Event moved online - For EDII Chat at the Tea Room (2 hour event + 1 hour setup/takedown)</t>
  </si>
  <si>
    <t>Tea/Coffee</t>
  </si>
  <si>
    <t>Desserts</t>
  </si>
  <si>
    <t>Name tags</t>
  </si>
  <si>
    <t>N/A Event moved online - For EDII Chat at the Tea Room, from P&amp;CC</t>
  </si>
  <si>
    <t>Name tag holders</t>
  </si>
  <si>
    <t>N/A event moved online - For EDII Chat at the Tea Room, from P&amp;CC</t>
  </si>
  <si>
    <t>N/A Event moved online - For Networking Seminar (2 hour event + 1 hour setup/takedown)</t>
  </si>
  <si>
    <t>Thank you cards</t>
  </si>
  <si>
    <t>N/A Event moved online - For all alumni events</t>
  </si>
  <si>
    <t>Attendee gifts for the Networking Seminar</t>
  </si>
  <si>
    <t>Added since the event moved online</t>
  </si>
  <si>
    <t>Thank you gift for speakers</t>
  </si>
  <si>
    <t>Raffle prize</t>
  </si>
  <si>
    <t>Industry Relations</t>
  </si>
  <si>
    <t>Mitchell Hall Room Booking</t>
  </si>
  <si>
    <t>N/A Event moved online - For Sustainability and Diversity Job Fair</t>
  </si>
  <si>
    <t>Refreshments for volunteers</t>
  </si>
  <si>
    <t>Paper cups, plates, napkins</t>
  </si>
  <si>
    <t>Clark Hall Booking</t>
  </si>
  <si>
    <t>N/A Event moved online - For Consulting Week (possible this might be covered by the companies), includes cost of pizza</t>
  </si>
  <si>
    <t>Remo license</t>
  </si>
  <si>
    <t>Added since event moved online - Split between Sustainability and Diversity Job Fair and Summit</t>
  </si>
  <si>
    <t>N/A event moved online</t>
  </si>
  <si>
    <t>Lysol Wipes</t>
  </si>
  <si>
    <t>Bus transportation</t>
  </si>
  <si>
    <t>Gas (for those going night before to set up)</t>
  </si>
  <si>
    <t>Thank you gift to venue donor</t>
  </si>
  <si>
    <t>Gifts for Speakers and Workshop Leaders</t>
  </si>
  <si>
    <t>Coffee and Tea</t>
  </si>
  <si>
    <t>Lunch</t>
  </si>
  <si>
    <t>Breakfast pastries</t>
  </si>
  <si>
    <t>Water</t>
  </si>
  <si>
    <t>Social Venue</t>
  </si>
  <si>
    <t>Drink Tickets for Social</t>
  </si>
  <si>
    <t>Event Insurance</t>
  </si>
  <si>
    <t>Summit Bursary</t>
  </si>
  <si>
    <t>Venue</t>
  </si>
  <si>
    <t>Accomodation night before</t>
  </si>
  <si>
    <t>Pizza for Summit Taster Event</t>
  </si>
  <si>
    <t>Marketing Committee</t>
  </si>
  <si>
    <t>To give away as prizes and encourage attendance at PD events</t>
  </si>
  <si>
    <t>Wordpress pro account</t>
  </si>
  <si>
    <t>N/A Covered in the IT budget</t>
  </si>
  <si>
    <t>Canva Pro Account</t>
  </si>
  <si>
    <t>Cost per month, based on what DoComm pays</t>
  </si>
  <si>
    <t>Workshops Committee</t>
  </si>
  <si>
    <t>Pizza for workshops</t>
  </si>
  <si>
    <t>SparQ 3D Printing Access</t>
  </si>
  <si>
    <t>3D Printer Filament</t>
  </si>
  <si>
    <t>From Amazon: https://www.amazon.ca/s?k=filament&amp;fbclid=IwAR3L4NIKEAlhdPwnn-MNmAMWdEN_i8MTmSQezXf-hoon1JG3TdEuUPns6c8&amp;ref=nb_sb_noss</t>
  </si>
  <si>
    <t>Room bookings for workshops</t>
  </si>
  <si>
    <t>For larger rooms ex. JDUC room booking</t>
  </si>
  <si>
    <t>General supplies (ex. name tags, pens)</t>
  </si>
  <si>
    <t>Thank you gifts for speakers</t>
  </si>
  <si>
    <t>Cookie trays</t>
  </si>
  <si>
    <t>From Common Ground</t>
  </si>
  <si>
    <t>General PD Team</t>
  </si>
  <si>
    <t>To have at all events (except Summit is separate)</t>
  </si>
  <si>
    <t>Hand sanitizer</t>
  </si>
  <si>
    <t>PD Team Merch</t>
  </si>
  <si>
    <t>Brand identity at events (includes assumption of getting 2 FYPCOs)</t>
  </si>
  <si>
    <t>PD Team Feedback Survey Prizes</t>
  </si>
  <si>
    <t>To incentivise filling out our feedback survey</t>
  </si>
  <si>
    <t>PD Chairs/Coordinators Appreciation Dinner</t>
  </si>
  <si>
    <t>Thank you to PD Team Chairs/Coordinators</t>
  </si>
  <si>
    <t>Jheeven Salvarajah
Director of Social Issues</t>
  </si>
  <si>
    <t>Bursary Committee</t>
  </si>
  <si>
    <t>Snacks</t>
  </si>
  <si>
    <t>Light Snacks for the committee during meetings</t>
  </si>
  <si>
    <t>Miscelaneous Bursaries</t>
  </si>
  <si>
    <t>Supplemented to support bursaries for misc bursary requests</t>
  </si>
  <si>
    <t>Jacket Bursaries</t>
  </si>
  <si>
    <t>Jacket Bursary supplement to support CEO's budgetted ammount, and provide more financial accessibility to jacket bursary applicants</t>
  </si>
  <si>
    <t>Equity Team</t>
  </si>
  <si>
    <t>Speaker Gifts for Panels run over the year</t>
  </si>
  <si>
    <t xml:space="preserve">Equity Team Snacks </t>
  </si>
  <si>
    <t>Additional items for Equity team/Sustainability Committee- Snacks for meetings (yum)</t>
  </si>
  <si>
    <t>Equity Team Stickers</t>
  </si>
  <si>
    <t>Additional items for Equity team/Sustainability Committee- Stickers (yay) price assumes 20 stickers for ~ 20 dollars</t>
  </si>
  <si>
    <t>Speaker Bookings</t>
  </si>
  <si>
    <t>Speaker bookings for panels to be run - pricing was given to me by diversity rep and it is apparently 150/speaker (2-3 speakers per event and theres 3 events)</t>
  </si>
  <si>
    <t>Menstrual Products Initiative</t>
  </si>
  <si>
    <t>Initiative carried on this year, purchases for tampons, pads &amp; additional (15 dollars budgeted) for baskets to expand to other buildings - prices gauged from last year</t>
  </si>
  <si>
    <t>Equity Team &amp; Sustainability Committee Sweaters</t>
  </si>
  <si>
    <t>To unify the Equity Team and further build our ET community! Initative also done for sustainability committee. This will be worn at events such as the EDII Conference, and can help further promote the Equity Team &amp; Sustainability Committee</t>
  </si>
  <si>
    <t>Additional Misc Equity Team Initiatives</t>
  </si>
  <si>
    <t xml:space="preserve">Additional items for Equity team/Sustainability Committee- Survey Incentives and smaller run events reps are thinking of running. This also stems under awareness initiatives they may run for things like black history month, mental health week etc. </t>
  </si>
  <si>
    <t>December 6th Memorial</t>
  </si>
  <si>
    <t>Gifts for Speakers</t>
  </si>
  <si>
    <t>Gifts for Dec 6th memorial speakers</t>
  </si>
  <si>
    <t>**This was not used</t>
  </si>
  <si>
    <t>Roses</t>
  </si>
  <si>
    <t>Covered by us-14 red roses</t>
  </si>
  <si>
    <t>*Pricing for roses went up to 6.50</t>
  </si>
  <si>
    <t>Chair &amp; Table Rental</t>
  </si>
  <si>
    <t>Rentals for in-person event (SUBMITTED AFTER COUNCIL BUDGET APPROVAL)</t>
  </si>
  <si>
    <t>**included in budget after budget approval @ council</t>
  </si>
  <si>
    <t>Candles</t>
  </si>
  <si>
    <t>Covered by us-need to check is have extras **includes candle 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</si>
</sst>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quot;$&quot;#,##0.00;[Red]\-&quot;$&quot;#,##0.00"/>
    <numFmt numFmtId="165" formatCode="_-&quot;$&quot;* #,##0.00_-;\-&quot;$&quot;* #,##0.00_-;_-&quot;$&quot;* &quot;-&quot;??_-;_-@_-"/>
    <numFmt numFmtId="166" formatCode="#,##0.00&quot; &quot;;#,##0.00&quot; &quot;;&quot;-&quot;#&quot; &quot;;&quot; &quot;@&quot; &quot;"/>
    <numFmt numFmtId="167" formatCode="00000"/>
    <numFmt numFmtId="168" formatCode="_([$$-409]* #,##0.00_);_([$$-409]* \(#,##0.00\);_([$$-409]* &quot;-&quot;??_);_(@_)"/>
    <numFmt numFmtId="169" formatCode="&quot;$&quot;#,##0.00"/>
  </numFmts>
  <fonts count="2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2"/>
      <color rgb="FF7030A0"/>
      <name val="Calibri"/>
      <family val="2"/>
      <scheme val="minor"/>
    </font>
    <font>
      <b/>
      <sz val="11"/>
      <color theme="0"/>
      <name val="Segoe UI"/>
      <family val="2"/>
    </font>
    <font>
      <b/>
      <sz val="11"/>
      <color rgb="FF7030A0"/>
      <name val="Calibri"/>
      <family val="2"/>
      <scheme val="minor"/>
    </font>
    <font>
      <sz val="11"/>
      <color rgb="FF000000"/>
      <name val="Segoe UI"/>
      <charset val="1"/>
    </font>
    <font>
      <u/>
      <sz val="11"/>
      <color theme="10"/>
      <name val="Calibri"/>
      <family val="2"/>
      <scheme val="minor"/>
    </font>
    <font>
      <sz val="11"/>
      <color rgb="FF000000"/>
      <name val="Calibri"/>
      <family val="2"/>
    </font>
    <font>
      <sz val="11"/>
      <color rgb="FF000000"/>
      <name val="Calibri"/>
      <family val="2"/>
      <scheme val="minor"/>
    </font>
    <font>
      <sz val="12"/>
      <color rgb="FF000000"/>
      <name val="Calibri"/>
      <family val="2"/>
    </font>
    <font>
      <sz val="11"/>
      <color rgb="FF000000"/>
      <name val="Segoe UI"/>
      <family val="2"/>
    </font>
    <font>
      <b/>
      <sz val="22"/>
      <color rgb="FF7030A0"/>
      <name val="Segoe UI"/>
      <family val="2"/>
    </font>
    <font>
      <b/>
      <sz val="11"/>
      <color rgb="FF000000"/>
      <name val="Segoe UI"/>
      <family val="2"/>
    </font>
    <font>
      <b/>
      <sz val="11"/>
      <color rgb="FF7030A0"/>
      <name val="Segoe UI"/>
      <family val="2"/>
    </font>
    <font>
      <i/>
      <sz val="11"/>
      <color rgb="FF7A3EA6"/>
      <name val="Segoe UI (Body)"/>
    </font>
    <font>
      <sz val="12"/>
      <color theme="1"/>
      <name val="Calibri"/>
      <family val="2"/>
      <scheme val="minor"/>
    </font>
    <font>
      <sz val="11"/>
      <color rgb="FF000000"/>
      <name val="Calibri"/>
      <charset val="1"/>
    </font>
    <font>
      <b/>
      <sz val="11"/>
      <color rgb="FF000000"/>
      <name val="Segoe UI"/>
      <charset val="1"/>
    </font>
    <font>
      <i/>
      <sz val="11"/>
      <color theme="1"/>
      <name val="Calibri"/>
      <family val="2"/>
      <scheme val="minor"/>
    </font>
    <font>
      <sz val="11"/>
      <color rgb="FF444444"/>
      <name val="Calibri"/>
      <family val="2"/>
      <charset val="1"/>
    </font>
    <font>
      <b/>
      <sz val="11"/>
      <color rgb="FFFFFFFF"/>
      <name val="Segoe UI"/>
      <family val="2"/>
    </font>
    <font>
      <sz val="11"/>
      <name val="Segoe UI"/>
      <family val="2"/>
    </font>
  </fonts>
  <fills count="19">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
      <patternFill patternType="solid">
        <fgColor theme="0"/>
        <bgColor indexed="64"/>
      </patternFill>
    </fill>
    <fill>
      <patternFill patternType="solid">
        <fgColor rgb="FF7030A0"/>
        <bgColor indexed="64"/>
      </patternFill>
    </fill>
    <fill>
      <patternFill patternType="solid">
        <fgColor theme="7"/>
        <bgColor indexed="64"/>
      </patternFill>
    </fill>
    <fill>
      <patternFill patternType="solid">
        <fgColor rgb="FFFFFF00"/>
        <bgColor indexed="64"/>
      </patternFill>
    </fill>
    <fill>
      <patternFill patternType="solid">
        <fgColor theme="2"/>
        <bgColor indexed="64"/>
      </patternFill>
    </fill>
    <fill>
      <patternFill patternType="solid">
        <fgColor rgb="FFE7E6E6"/>
        <bgColor indexed="64"/>
      </patternFill>
    </fill>
    <fill>
      <patternFill patternType="solid">
        <fgColor rgb="FFFFFFFF"/>
        <bgColor indexed="64"/>
      </patternFill>
    </fill>
    <fill>
      <patternFill patternType="solid">
        <fgColor rgb="FFE7E6E6"/>
        <bgColor rgb="FF000000"/>
      </patternFill>
    </fill>
    <fill>
      <patternFill patternType="solid">
        <fgColor rgb="FF92D050"/>
        <bgColor indexed="64"/>
      </patternFill>
    </fill>
    <fill>
      <patternFill patternType="solid">
        <fgColor rgb="FFD0CECE"/>
        <bgColor indexed="64"/>
      </patternFill>
    </fill>
    <fill>
      <patternFill patternType="solid">
        <fgColor theme="0"/>
        <bgColor rgb="FF000000"/>
      </patternFill>
    </fill>
    <fill>
      <patternFill patternType="solid">
        <fgColor theme="0"/>
        <bgColor rgb="FFFFFFFF"/>
      </patternFill>
    </fill>
    <fill>
      <patternFill patternType="solid">
        <fgColor rgb="FFEDEDED"/>
        <bgColor indexed="64"/>
      </patternFill>
    </fill>
    <fill>
      <patternFill patternType="solid">
        <fgColor rgb="FF7030A0"/>
        <bgColor rgb="FF000000"/>
      </patternFill>
    </fill>
    <fill>
      <patternFill patternType="solid">
        <fgColor rgb="FFFFC000"/>
        <bgColor rgb="FF000000"/>
      </patternFill>
    </fill>
  </fills>
  <borders count="3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auto="1"/>
      </right>
      <top style="thin">
        <color theme="7"/>
      </top>
      <bottom style="thin">
        <color theme="7"/>
      </bottom>
      <diagonal/>
    </border>
    <border>
      <left/>
      <right/>
      <top/>
      <bottom style="thin">
        <color auto="1"/>
      </bottom>
      <diagonal/>
    </border>
    <border>
      <left/>
      <right style="thin">
        <color auto="1"/>
      </right>
      <top/>
      <bottom style="thin">
        <color auto="1"/>
      </bottom>
      <diagonal/>
    </border>
    <border>
      <left/>
      <right style="thin">
        <color rgb="FF000000"/>
      </right>
      <top style="thin">
        <color theme="7"/>
      </top>
      <bottom style="thin">
        <color theme="7"/>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auto="1"/>
      </top>
      <bottom/>
      <diagonal/>
    </border>
    <border>
      <left style="thin">
        <color indexed="64"/>
      </left>
      <right/>
      <top style="thin">
        <color indexed="64"/>
      </top>
      <bottom/>
      <diagonal/>
    </border>
    <border>
      <left style="thin">
        <color indexed="64"/>
      </left>
      <right/>
      <top/>
      <bottom/>
      <diagonal/>
    </border>
    <border>
      <left/>
      <right style="thin">
        <color rgb="FF000000"/>
      </right>
      <top style="thin">
        <color auto="1"/>
      </top>
      <bottom style="thin">
        <color auto="1"/>
      </bottom>
      <diagonal/>
    </border>
    <border>
      <left/>
      <right style="thin">
        <color rgb="FF000000"/>
      </right>
      <top style="thin">
        <color auto="1"/>
      </top>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auto="1"/>
      </left>
      <right/>
      <top/>
      <bottom style="thin">
        <color auto="1"/>
      </bottom>
      <diagonal/>
    </border>
    <border>
      <left/>
      <right style="thin">
        <color indexed="64"/>
      </right>
      <top style="thin">
        <color theme="7"/>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8" fillId="0" borderId="0" applyNumberFormat="0" applyFill="0" applyBorder="0" applyAlignment="0" applyProtection="0"/>
    <xf numFmtId="0" fontId="12" fillId="0" borderId="0"/>
    <xf numFmtId="166" fontId="9" fillId="0" borderId="0" applyBorder="0" applyProtection="0"/>
    <xf numFmtId="0" fontId="17"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404">
    <xf numFmtId="0" fontId="0" fillId="0" borderId="0" xfId="0"/>
    <xf numFmtId="165" fontId="0" fillId="0" borderId="0" xfId="1" applyFont="1"/>
    <xf numFmtId="0" fontId="0" fillId="4" borderId="0" xfId="0" applyFill="1"/>
    <xf numFmtId="0" fontId="2" fillId="5" borderId="0" xfId="0" applyFont="1" applyFill="1" applyAlignment="1">
      <alignment horizontal="center"/>
    </xf>
    <xf numFmtId="165" fontId="2" fillId="5" borderId="0" xfId="1" applyFont="1" applyFill="1" applyAlignment="1">
      <alignment horizontal="center"/>
    </xf>
    <xf numFmtId="165" fontId="5" fillId="5" borderId="1" xfId="1" applyFont="1" applyFill="1" applyBorder="1" applyAlignment="1">
      <alignment horizontal="center"/>
    </xf>
    <xf numFmtId="0" fontId="2" fillId="4" borderId="0" xfId="0" applyFont="1" applyFill="1" applyAlignment="1">
      <alignment horizontal="center"/>
    </xf>
    <xf numFmtId="0" fontId="0" fillId="0" borderId="0" xfId="0" applyAlignment="1">
      <alignment horizontal="center"/>
    </xf>
    <xf numFmtId="165" fontId="0" fillId="0" borderId="0" xfId="1" applyFont="1" applyAlignment="1">
      <alignment horizontal="right"/>
    </xf>
    <xf numFmtId="0" fontId="0" fillId="0" borderId="0" xfId="0" applyAlignment="1">
      <alignment horizontal="right"/>
    </xf>
    <xf numFmtId="165" fontId="0" fillId="0" borderId="2" xfId="1" applyFont="1" applyBorder="1"/>
    <xf numFmtId="0" fontId="3" fillId="6" borderId="1" xfId="0" applyFont="1" applyFill="1" applyBorder="1"/>
    <xf numFmtId="0" fontId="0" fillId="6" borderId="1" xfId="0" applyFill="1" applyBorder="1" applyAlignment="1">
      <alignment horizontal="center"/>
    </xf>
    <xf numFmtId="0" fontId="0" fillId="6" borderId="1" xfId="0" applyFill="1" applyBorder="1"/>
    <xf numFmtId="165" fontId="0" fillId="6" borderId="1" xfId="1" applyFont="1" applyFill="1" applyBorder="1" applyAlignment="1">
      <alignment horizontal="right"/>
    </xf>
    <xf numFmtId="0" fontId="0" fillId="6" borderId="1" xfId="0" applyFill="1" applyBorder="1" applyAlignment="1">
      <alignment horizontal="right"/>
    </xf>
    <xf numFmtId="165" fontId="0" fillId="6" borderId="2" xfId="1" applyFont="1" applyFill="1" applyBorder="1"/>
    <xf numFmtId="0" fontId="3" fillId="0" borderId="0" xfId="0" applyFont="1"/>
    <xf numFmtId="165" fontId="0" fillId="0" borderId="3" xfId="1" applyFont="1" applyBorder="1"/>
    <xf numFmtId="165" fontId="0" fillId="0" borderId="4" xfId="1" applyFont="1" applyBorder="1"/>
    <xf numFmtId="0" fontId="0" fillId="7" borderId="0" xfId="0" applyFill="1" applyAlignment="1">
      <alignment horizontal="left"/>
    </xf>
    <xf numFmtId="0" fontId="3" fillId="0" borderId="5" xfId="0" applyFont="1" applyBorder="1" applyAlignment="1">
      <alignment horizontal="center"/>
    </xf>
    <xf numFmtId="0" fontId="3" fillId="0" borderId="1" xfId="0" applyFont="1" applyBorder="1" applyAlignment="1">
      <alignment horizontal="center"/>
    </xf>
    <xf numFmtId="0" fontId="3" fillId="0" borderId="1" xfId="0" applyFont="1" applyBorder="1"/>
    <xf numFmtId="165" fontId="3" fillId="0" borderId="1" xfId="1" applyFont="1" applyBorder="1" applyAlignment="1">
      <alignment horizontal="right"/>
    </xf>
    <xf numFmtId="0" fontId="3" fillId="0" borderId="1" xfId="0" applyFont="1" applyBorder="1" applyAlignment="1">
      <alignment horizontal="right"/>
    </xf>
    <xf numFmtId="165" fontId="3" fillId="0" borderId="2" xfId="1" applyFont="1" applyBorder="1" applyAlignment="1">
      <alignment horizontal="right"/>
    </xf>
    <xf numFmtId="0" fontId="3" fillId="4" borderId="0" xfId="0" applyFont="1" applyFill="1"/>
    <xf numFmtId="0" fontId="6" fillId="0" borderId="0" xfId="0" applyFo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xf numFmtId="165" fontId="6" fillId="0" borderId="7" xfId="1" applyFont="1" applyBorder="1" applyAlignment="1">
      <alignment horizontal="right"/>
    </xf>
    <xf numFmtId="0" fontId="6" fillId="0" borderId="7" xfId="0" applyFont="1" applyBorder="1" applyAlignment="1">
      <alignment horizontal="right"/>
    </xf>
    <xf numFmtId="165" fontId="6" fillId="0" borderId="8" xfId="1" applyFont="1" applyBorder="1" applyAlignment="1">
      <alignment horizontal="right"/>
    </xf>
    <xf numFmtId="0" fontId="0" fillId="7" borderId="0" xfId="0" applyFill="1"/>
    <xf numFmtId="165" fontId="3" fillId="0" borderId="0" xfId="1" applyFont="1" applyAlignment="1">
      <alignment horizontal="right"/>
    </xf>
    <xf numFmtId="0" fontId="3" fillId="0" borderId="0" xfId="0" applyFont="1" applyAlignment="1">
      <alignment horizontal="right"/>
    </xf>
    <xf numFmtId="165" fontId="3" fillId="0" borderId="3" xfId="1" applyFont="1" applyBorder="1" applyAlignment="1">
      <alignment horizontal="right"/>
    </xf>
    <xf numFmtId="165" fontId="3" fillId="0" borderId="4" xfId="1" applyFont="1" applyBorder="1" applyAlignment="1">
      <alignment horizontal="right"/>
    </xf>
    <xf numFmtId="0" fontId="3" fillId="0" borderId="9" xfId="0" applyFont="1" applyBorder="1"/>
    <xf numFmtId="0" fontId="3" fillId="0" borderId="9" xfId="0" applyFont="1" applyBorder="1" applyAlignment="1">
      <alignment horizontal="center"/>
    </xf>
    <xf numFmtId="165" fontId="3" fillId="0" borderId="9" xfId="1" applyFont="1" applyBorder="1" applyAlignment="1">
      <alignment horizontal="right"/>
    </xf>
    <xf numFmtId="0" fontId="3" fillId="0" borderId="9" xfId="0" applyFont="1" applyBorder="1" applyAlignment="1">
      <alignment horizontal="right"/>
    </xf>
    <xf numFmtId="165" fontId="3" fillId="0" borderId="10" xfId="1" applyFont="1" applyBorder="1" applyAlignment="1">
      <alignment horizontal="right"/>
    </xf>
    <xf numFmtId="0" fontId="0" fillId="8" borderId="0" xfId="0" applyFill="1"/>
    <xf numFmtId="0" fontId="2" fillId="5" borderId="0" xfId="0" applyFont="1" applyFill="1" applyAlignment="1">
      <alignment horizontal="center" wrapText="1"/>
    </xf>
    <xf numFmtId="0" fontId="0" fillId="0" borderId="0" xfId="0" applyAlignment="1">
      <alignment horizontal="center" wrapText="1"/>
    </xf>
    <xf numFmtId="0" fontId="0" fillId="0" borderId="0" xfId="0" applyAlignment="1">
      <alignment wrapText="1"/>
    </xf>
    <xf numFmtId="0" fontId="0" fillId="6" borderId="1" xfId="0" applyFill="1" applyBorder="1" applyAlignment="1">
      <alignment horizontal="center" wrapText="1"/>
    </xf>
    <xf numFmtId="0" fontId="0" fillId="6" borderId="1" xfId="0" applyFill="1" applyBorder="1" applyAlignment="1">
      <alignment wrapText="1"/>
    </xf>
    <xf numFmtId="0" fontId="6" fillId="0" borderId="7" xfId="0" applyFont="1" applyBorder="1" applyAlignment="1">
      <alignment horizontal="center" wrapText="1"/>
    </xf>
    <xf numFmtId="0" fontId="6" fillId="0" borderId="7" xfId="0" applyFont="1" applyBorder="1" applyAlignment="1">
      <alignment wrapText="1"/>
    </xf>
    <xf numFmtId="0" fontId="6" fillId="4" borderId="0" xfId="0" applyFont="1" applyFill="1"/>
    <xf numFmtId="0" fontId="0" fillId="9" borderId="0" xfId="0" applyFill="1" applyAlignment="1">
      <alignment horizontal="center"/>
    </xf>
    <xf numFmtId="0" fontId="0" fillId="9" borderId="0" xfId="0" applyFill="1" applyAlignment="1">
      <alignment horizontal="center" wrapText="1"/>
    </xf>
    <xf numFmtId="0" fontId="0" fillId="9" borderId="0" xfId="0" applyFill="1" applyAlignment="1">
      <alignment horizontal="center" vertical="center"/>
    </xf>
    <xf numFmtId="0" fontId="0" fillId="9" borderId="0" xfId="0" applyFill="1" applyAlignment="1">
      <alignment wrapText="1"/>
    </xf>
    <xf numFmtId="165" fontId="0" fillId="9" borderId="0" xfId="1" applyFont="1" applyFill="1" applyAlignment="1">
      <alignment horizontal="right"/>
    </xf>
    <xf numFmtId="0" fontId="0" fillId="9" borderId="0" xfId="0" applyFill="1" applyAlignment="1">
      <alignment horizontal="right"/>
    </xf>
    <xf numFmtId="165" fontId="0" fillId="9" borderId="4" xfId="1" applyFont="1" applyFill="1" applyBorder="1"/>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165" fontId="0" fillId="0" borderId="0" xfId="1" applyFont="1" applyAlignment="1">
      <alignment horizontal="right" vertical="center"/>
    </xf>
    <xf numFmtId="0" fontId="0" fillId="0" borderId="0" xfId="0" applyAlignment="1">
      <alignment horizontal="right" vertical="center"/>
    </xf>
    <xf numFmtId="165" fontId="0" fillId="0" borderId="4" xfId="1" applyFont="1" applyBorder="1" applyAlignment="1">
      <alignment vertical="center"/>
    </xf>
    <xf numFmtId="0" fontId="0" fillId="4" borderId="0" xfId="0" applyFill="1" applyAlignment="1">
      <alignment vertical="center"/>
    </xf>
    <xf numFmtId="0" fontId="3" fillId="0" borderId="1" xfId="0" applyFont="1" applyBorder="1" applyAlignment="1">
      <alignment horizontal="center" wrapText="1"/>
    </xf>
    <xf numFmtId="0" fontId="3" fillId="0" borderId="1" xfId="0" applyFont="1" applyBorder="1" applyAlignment="1">
      <alignment wrapText="1"/>
    </xf>
    <xf numFmtId="165" fontId="6" fillId="0" borderId="11" xfId="1" applyFont="1" applyBorder="1" applyAlignment="1">
      <alignment horizontal="right"/>
    </xf>
    <xf numFmtId="0" fontId="3" fillId="0" borderId="0" xfId="0" applyFont="1" applyAlignment="1">
      <alignment horizontal="center" wrapText="1"/>
    </xf>
    <xf numFmtId="0" fontId="3" fillId="0" borderId="0" xfId="0" applyFont="1" applyAlignment="1">
      <alignment wrapText="1"/>
    </xf>
    <xf numFmtId="0" fontId="3" fillId="0" borderId="9" xfId="0" applyFont="1" applyBorder="1" applyAlignment="1">
      <alignment horizontal="center" wrapText="1"/>
    </xf>
    <xf numFmtId="0" fontId="3" fillId="0" borderId="9" xfId="0" applyFont="1" applyBorder="1" applyAlignment="1">
      <alignment wrapText="1"/>
    </xf>
    <xf numFmtId="0" fontId="9" fillId="0" borderId="0" xfId="0" applyFont="1" applyAlignment="1">
      <alignment wrapText="1"/>
    </xf>
    <xf numFmtId="0" fontId="9" fillId="0" borderId="0" xfId="0" applyFont="1" applyAlignment="1">
      <alignment horizontal="center" wrapText="1"/>
    </xf>
    <xf numFmtId="0" fontId="10" fillId="7" borderId="0" xfId="0" applyFont="1" applyFill="1" applyAlignment="1">
      <alignment horizontal="center"/>
    </xf>
    <xf numFmtId="0" fontId="9" fillId="9" borderId="0" xfId="0" applyFont="1" applyFill="1" applyAlignment="1">
      <alignment wrapText="1"/>
    </xf>
    <xf numFmtId="0" fontId="9" fillId="9" borderId="0" xfId="0" applyFont="1" applyFill="1" applyAlignment="1">
      <alignment horizontal="center" wrapText="1"/>
    </xf>
    <xf numFmtId="0" fontId="9" fillId="10" borderId="0" xfId="0" applyFont="1" applyFill="1" applyAlignment="1">
      <alignment wrapText="1"/>
    </xf>
    <xf numFmtId="0" fontId="9" fillId="10" borderId="0" xfId="0" applyFont="1" applyFill="1" applyAlignment="1">
      <alignment horizontal="center" wrapText="1"/>
    </xf>
    <xf numFmtId="0" fontId="0" fillId="7" borderId="0" xfId="0" applyFill="1" applyAlignment="1">
      <alignment horizontal="center"/>
    </xf>
    <xf numFmtId="0" fontId="8" fillId="0" borderId="0" xfId="5" applyFill="1" applyBorder="1" applyAlignment="1">
      <alignment wrapText="1"/>
    </xf>
    <xf numFmtId="8" fontId="11" fillId="0" borderId="0" xfId="0" applyNumberFormat="1" applyFont="1" applyAlignment="1">
      <alignment wrapText="1"/>
    </xf>
    <xf numFmtId="0" fontId="9" fillId="11" borderId="0" xfId="0" applyFont="1" applyFill="1" applyAlignment="1">
      <alignment wrapText="1"/>
    </xf>
    <xf numFmtId="0" fontId="9" fillId="11" borderId="0" xfId="0" applyFont="1" applyFill="1" applyAlignment="1">
      <alignment horizontal="center" wrapText="1"/>
    </xf>
    <xf numFmtId="8" fontId="11" fillId="11" borderId="0" xfId="0" applyNumberFormat="1" applyFont="1" applyFill="1" applyAlignment="1">
      <alignment wrapText="1"/>
    </xf>
    <xf numFmtId="0" fontId="9" fillId="0" borderId="0" xfId="0" applyFont="1" applyAlignment="1">
      <alignment horizontal="left" wrapText="1"/>
    </xf>
    <xf numFmtId="0" fontId="0" fillId="0" borderId="0" xfId="0" applyAlignment="1">
      <alignment vertical="top"/>
    </xf>
    <xf numFmtId="0" fontId="0" fillId="0" borderId="0" xfId="0" applyAlignment="1">
      <alignment horizontal="center" vertical="top"/>
    </xf>
    <xf numFmtId="0" fontId="9" fillId="0" borderId="0" xfId="0" applyFont="1" applyAlignment="1">
      <alignment vertical="top"/>
    </xf>
    <xf numFmtId="0" fontId="9" fillId="0" borderId="0" xfId="0" applyFont="1" applyAlignment="1">
      <alignment horizontal="center" vertical="top" wrapText="1"/>
    </xf>
    <xf numFmtId="0" fontId="9" fillId="0" borderId="0" xfId="0" applyFont="1" applyAlignment="1">
      <alignment horizontal="left" vertical="top" wrapText="1"/>
    </xf>
    <xf numFmtId="8" fontId="11" fillId="0" borderId="0" xfId="0" applyNumberFormat="1" applyFont="1" applyAlignment="1">
      <alignment vertical="top" wrapText="1"/>
    </xf>
    <xf numFmtId="0" fontId="9" fillId="0" borderId="0" xfId="0" applyFont="1" applyAlignment="1">
      <alignment vertical="top" wrapText="1"/>
    </xf>
    <xf numFmtId="165" fontId="0" fillId="0" borderId="0" xfId="1" applyFont="1" applyAlignment="1">
      <alignment horizontal="right" vertical="top"/>
    </xf>
    <xf numFmtId="165" fontId="0" fillId="0" borderId="4" xfId="1" applyFont="1" applyBorder="1" applyAlignment="1">
      <alignment vertical="top"/>
    </xf>
    <xf numFmtId="0" fontId="3" fillId="4" borderId="0" xfId="0" applyFont="1" applyFill="1" applyAlignment="1">
      <alignment vertical="top"/>
    </xf>
    <xf numFmtId="0" fontId="9" fillId="11" borderId="0" xfId="0" applyFont="1" applyFill="1" applyAlignment="1">
      <alignment vertical="top"/>
    </xf>
    <xf numFmtId="0" fontId="9" fillId="11" borderId="0" xfId="0" applyFont="1" applyFill="1" applyAlignment="1">
      <alignment horizontal="center" vertical="top" wrapText="1"/>
    </xf>
    <xf numFmtId="0" fontId="9" fillId="9" borderId="0" xfId="0" applyFont="1" applyFill="1" applyAlignment="1">
      <alignment horizontal="left" vertical="top" wrapText="1"/>
    </xf>
    <xf numFmtId="8" fontId="11" fillId="11" borderId="0" xfId="0" applyNumberFormat="1" applyFont="1" applyFill="1" applyAlignment="1">
      <alignment vertical="top" wrapText="1"/>
    </xf>
    <xf numFmtId="0" fontId="9" fillId="11" borderId="0" xfId="0" applyFont="1" applyFill="1" applyAlignment="1">
      <alignment vertical="top" wrapText="1"/>
    </xf>
    <xf numFmtId="0" fontId="2" fillId="5" borderId="0" xfId="0" applyFont="1" applyFill="1"/>
    <xf numFmtId="165" fontId="3" fillId="0" borderId="0" xfId="1" applyFont="1" applyBorder="1" applyAlignment="1">
      <alignment horizontal="right"/>
    </xf>
    <xf numFmtId="165" fontId="0" fillId="0" borderId="0" xfId="1" applyFont="1" applyFill="1" applyBorder="1" applyAlignment="1">
      <alignment horizontal="right"/>
    </xf>
    <xf numFmtId="165" fontId="0" fillId="0" borderId="4" xfId="1" applyFont="1" applyFill="1" applyBorder="1"/>
    <xf numFmtId="167" fontId="2" fillId="5" borderId="0" xfId="0" applyNumberFormat="1" applyFont="1" applyFill="1" applyAlignment="1">
      <alignment horizontal="center"/>
    </xf>
    <xf numFmtId="0" fontId="2" fillId="5" borderId="0" xfId="0" applyFont="1" applyFill="1" applyAlignment="1">
      <alignment horizontal="center" vertical="center"/>
    </xf>
    <xf numFmtId="167" fontId="0" fillId="0" borderId="0" xfId="0" applyNumberFormat="1" applyAlignment="1">
      <alignment horizontal="center"/>
    </xf>
    <xf numFmtId="0" fontId="0" fillId="0" borderId="0" xfId="0" applyAlignment="1">
      <alignment horizontal="left" vertical="center"/>
    </xf>
    <xf numFmtId="167" fontId="0" fillId="6" borderId="1" xfId="0" applyNumberFormat="1" applyFill="1" applyBorder="1" applyAlignment="1">
      <alignment horizontal="center"/>
    </xf>
    <xf numFmtId="0" fontId="0" fillId="6" borderId="1" xfId="0" applyFill="1" applyBorder="1" applyAlignment="1">
      <alignment horizontal="left" vertical="center"/>
    </xf>
    <xf numFmtId="167" fontId="3" fillId="0" borderId="5" xfId="0" applyNumberFormat="1" applyFont="1" applyBorder="1" applyAlignment="1">
      <alignment horizontal="center"/>
    </xf>
    <xf numFmtId="0" fontId="3" fillId="0" borderId="1" xfId="0" applyFont="1" applyBorder="1" applyAlignment="1">
      <alignment horizontal="left" vertical="center"/>
    </xf>
    <xf numFmtId="167" fontId="6" fillId="0" borderId="6" xfId="0" applyNumberFormat="1" applyFont="1" applyBorder="1" applyAlignment="1">
      <alignment horizontal="center"/>
    </xf>
    <xf numFmtId="0" fontId="6" fillId="0" borderId="7" xfId="0" applyFont="1" applyBorder="1" applyAlignment="1">
      <alignment horizontal="left" vertical="center"/>
    </xf>
    <xf numFmtId="167" fontId="1" fillId="0" borderId="0" xfId="3" applyNumberFormat="1" applyFill="1" applyAlignment="1">
      <alignment horizontal="center"/>
    </xf>
    <xf numFmtId="0" fontId="1" fillId="0" borderId="0" xfId="3" applyFill="1" applyAlignment="1">
      <alignment horizontal="left" vertical="center"/>
    </xf>
    <xf numFmtId="0" fontId="1" fillId="0" borderId="0" xfId="3" applyFill="1" applyAlignment="1">
      <alignment horizontal="center" vertical="center"/>
    </xf>
    <xf numFmtId="165" fontId="1" fillId="0" borderId="0" xfId="3" applyNumberFormat="1" applyFill="1" applyAlignment="1">
      <alignment horizontal="right"/>
    </xf>
    <xf numFmtId="0" fontId="1" fillId="0" borderId="0" xfId="3" applyFill="1" applyAlignment="1">
      <alignment horizontal="right"/>
    </xf>
    <xf numFmtId="165" fontId="1" fillId="0" borderId="4" xfId="3" applyNumberFormat="1" applyFill="1" applyBorder="1"/>
    <xf numFmtId="165" fontId="0" fillId="0" borderId="0" xfId="1" applyFont="1" applyFill="1" applyAlignment="1">
      <alignment horizontal="right"/>
    </xf>
    <xf numFmtId="167" fontId="0" fillId="8" borderId="0" xfId="0" applyNumberFormat="1" applyFill="1" applyAlignment="1">
      <alignment horizontal="center"/>
    </xf>
    <xf numFmtId="0" fontId="0" fillId="8" borderId="0" xfId="0" applyFill="1" applyAlignment="1">
      <alignment horizontal="left" vertical="center"/>
    </xf>
    <xf numFmtId="0" fontId="0" fillId="8" borderId="0" xfId="0" applyFill="1" applyAlignment="1">
      <alignment horizontal="center" vertical="center"/>
    </xf>
    <xf numFmtId="165" fontId="0" fillId="8" borderId="0" xfId="1" applyFont="1" applyFill="1" applyAlignment="1">
      <alignment horizontal="right"/>
    </xf>
    <xf numFmtId="0" fontId="0" fillId="8" borderId="0" xfId="0" applyFill="1" applyAlignment="1">
      <alignment horizontal="right"/>
    </xf>
    <xf numFmtId="165" fontId="0" fillId="8" borderId="4" xfId="1" applyFont="1" applyFill="1" applyBorder="1"/>
    <xf numFmtId="167" fontId="3" fillId="0" borderId="0" xfId="0" applyNumberFormat="1" applyFont="1" applyAlignment="1">
      <alignment horizontal="center"/>
    </xf>
    <xf numFmtId="0" fontId="3" fillId="0" borderId="0" xfId="0" applyFont="1" applyAlignment="1">
      <alignment horizontal="left" vertical="center"/>
    </xf>
    <xf numFmtId="0" fontId="1" fillId="0" borderId="0" xfId="3" applyFill="1" applyAlignment="1">
      <alignment horizontal="center"/>
    </xf>
    <xf numFmtId="167" fontId="3" fillId="0" borderId="9" xfId="0" applyNumberFormat="1" applyFont="1" applyBorder="1" applyAlignment="1">
      <alignment horizontal="center"/>
    </xf>
    <xf numFmtId="0" fontId="3" fillId="0" borderId="9" xfId="0" applyFont="1" applyBorder="1" applyAlignment="1">
      <alignment horizontal="left" vertical="center"/>
    </xf>
    <xf numFmtId="1" fontId="0" fillId="0" borderId="0" xfId="0" applyNumberFormat="1" applyAlignment="1">
      <alignment horizontal="center"/>
    </xf>
    <xf numFmtId="0" fontId="9" fillId="11" borderId="0" xfId="0" applyFont="1" applyFill="1" applyAlignment="1">
      <alignment horizontal="left" wrapText="1"/>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9" fillId="11" borderId="0" xfId="0" applyFont="1" applyFill="1" applyAlignment="1">
      <alignment horizontal="left"/>
    </xf>
    <xf numFmtId="0" fontId="9" fillId="11" borderId="0" xfId="0" applyFont="1" applyFill="1" applyAlignment="1">
      <alignment horizontal="center"/>
    </xf>
    <xf numFmtId="0" fontId="9" fillId="11" borderId="0" xfId="0" applyFont="1" applyFill="1"/>
    <xf numFmtId="0" fontId="3" fillId="0" borderId="17" xfId="0" applyFont="1" applyBorder="1" applyAlignment="1">
      <alignment horizontal="center"/>
    </xf>
    <xf numFmtId="0" fontId="0" fillId="0" borderId="12" xfId="0" applyBorder="1" applyAlignment="1">
      <alignment horizontal="center"/>
    </xf>
    <xf numFmtId="0" fontId="0" fillId="0" borderId="12" xfId="0" applyBorder="1"/>
    <xf numFmtId="165" fontId="0" fillId="0" borderId="12" xfId="1" applyFont="1" applyBorder="1" applyAlignment="1">
      <alignment horizontal="right"/>
    </xf>
    <xf numFmtId="0" fontId="0" fillId="0" borderId="12" xfId="0" applyBorder="1" applyAlignment="1">
      <alignment horizontal="right"/>
    </xf>
    <xf numFmtId="165" fontId="3" fillId="0" borderId="12" xfId="1" applyFont="1" applyBorder="1" applyAlignment="1">
      <alignment horizontal="right"/>
    </xf>
    <xf numFmtId="0" fontId="7" fillId="0" borderId="0" xfId="0" applyFont="1" applyAlignment="1">
      <alignment horizontal="center" wrapText="1"/>
    </xf>
    <xf numFmtId="0" fontId="7" fillId="0" borderId="12" xfId="0" applyFont="1" applyBorder="1" applyAlignment="1">
      <alignment wrapText="1"/>
    </xf>
    <xf numFmtId="0" fontId="19" fillId="0" borderId="0" xfId="0" applyFont="1" applyAlignment="1">
      <alignment wrapText="1"/>
    </xf>
    <xf numFmtId="165" fontId="0" fillId="0" borderId="0" xfId="1" applyFont="1" applyBorder="1"/>
    <xf numFmtId="168" fontId="0" fillId="0" borderId="0" xfId="0" applyNumberFormat="1"/>
    <xf numFmtId="0" fontId="2" fillId="5" borderId="0" xfId="0" applyFont="1" applyFill="1" applyAlignment="1">
      <alignment horizontal="center" vertical="center" wrapText="1"/>
    </xf>
    <xf numFmtId="165" fontId="2" fillId="5" borderId="0" xfId="1" applyFont="1" applyFill="1" applyAlignment="1">
      <alignment horizontal="center" vertical="center"/>
    </xf>
    <xf numFmtId="168" fontId="2" fillId="5" borderId="0" xfId="1" applyNumberFormat="1" applyFont="1" applyFill="1" applyAlignment="1">
      <alignment horizontal="center" vertical="center"/>
    </xf>
    <xf numFmtId="168" fontId="5" fillId="5" borderId="2" xfId="1" applyNumberFormat="1" applyFont="1" applyFill="1" applyBorder="1" applyAlignment="1">
      <alignment horizontal="center" vertical="center"/>
    </xf>
    <xf numFmtId="0" fontId="2" fillId="4" borderId="0" xfId="0" applyFont="1" applyFill="1" applyAlignment="1">
      <alignment horizontal="center" vertical="center"/>
    </xf>
    <xf numFmtId="168" fontId="2" fillId="4" borderId="0" xfId="0" applyNumberFormat="1" applyFont="1" applyFill="1" applyAlignment="1">
      <alignment horizontal="center" vertical="center"/>
    </xf>
    <xf numFmtId="0" fontId="0" fillId="0" borderId="0" xfId="0" applyAlignment="1">
      <alignment horizontal="left" vertical="center" wrapText="1"/>
    </xf>
    <xf numFmtId="168" fontId="0" fillId="0" borderId="0" xfId="1" applyNumberFormat="1" applyFont="1" applyAlignment="1">
      <alignment horizontal="right"/>
    </xf>
    <xf numFmtId="168" fontId="0" fillId="0" borderId="2" xfId="1" applyNumberFormat="1" applyFont="1" applyBorder="1"/>
    <xf numFmtId="0" fontId="0" fillId="4" borderId="22" xfId="0" applyFill="1" applyBorder="1"/>
    <xf numFmtId="0" fontId="0" fillId="4" borderId="4" xfId="0" applyFill="1" applyBorder="1"/>
    <xf numFmtId="165" fontId="3" fillId="4" borderId="19" xfId="1" applyFont="1" applyFill="1" applyBorder="1" applyAlignment="1">
      <alignment horizontal="left" vertical="center"/>
    </xf>
    <xf numFmtId="168" fontId="0" fillId="0" borderId="18" xfId="0" applyNumberFormat="1" applyBorder="1" applyAlignment="1">
      <alignment horizontal="center" vertical="center"/>
    </xf>
    <xf numFmtId="0" fontId="0" fillId="0" borderId="18" xfId="0" applyBorder="1" applyAlignment="1">
      <alignment horizontal="center" vertical="center"/>
    </xf>
    <xf numFmtId="0" fontId="3" fillId="6" borderId="1" xfId="0" applyFont="1"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vertical="center"/>
    </xf>
    <xf numFmtId="168" fontId="0" fillId="6" borderId="1" xfId="1" applyNumberFormat="1" applyFont="1" applyFill="1" applyBorder="1" applyAlignment="1">
      <alignment horizontal="right"/>
    </xf>
    <xf numFmtId="168" fontId="0" fillId="6" borderId="23" xfId="1" applyNumberFormat="1" applyFont="1" applyFill="1" applyBorder="1"/>
    <xf numFmtId="0" fontId="3" fillId="6" borderId="5"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165" fontId="0" fillId="4" borderId="14" xfId="1" applyFont="1" applyFill="1" applyBorder="1" applyAlignment="1">
      <alignment horizontal="left" vertical="center"/>
    </xf>
    <xf numFmtId="0" fontId="0" fillId="4" borderId="22" xfId="0" applyFill="1" applyBorder="1" applyAlignment="1">
      <alignment vertical="center"/>
    </xf>
    <xf numFmtId="9" fontId="0" fillId="4" borderId="0" xfId="2" applyFont="1" applyFill="1" applyBorder="1" applyAlignment="1">
      <alignment vertical="center"/>
    </xf>
    <xf numFmtId="165" fontId="0" fillId="4" borderId="0" xfId="0" applyNumberFormat="1" applyFill="1"/>
    <xf numFmtId="165" fontId="0" fillId="4" borderId="4" xfId="0" applyNumberFormat="1" applyFill="1" applyBorder="1"/>
    <xf numFmtId="0" fontId="0" fillId="0" borderId="14" xfId="0" applyBorder="1" applyAlignment="1">
      <alignment horizontal="left" vertical="center"/>
    </xf>
    <xf numFmtId="165" fontId="0" fillId="0" borderId="0" xfId="1" applyFont="1" applyBorder="1" applyAlignment="1">
      <alignment horizontal="right"/>
    </xf>
    <xf numFmtId="168" fontId="0" fillId="0" borderId="0" xfId="1" applyNumberFormat="1" applyFont="1" applyBorder="1" applyAlignment="1">
      <alignment horizontal="right"/>
    </xf>
    <xf numFmtId="168" fontId="0" fillId="0" borderId="14" xfId="1" applyNumberFormat="1" applyFont="1" applyBorder="1" applyAlignment="1">
      <alignment horizontal="right"/>
    </xf>
    <xf numFmtId="0" fontId="20" fillId="0" borderId="25" xfId="0" applyFont="1" applyBorder="1"/>
    <xf numFmtId="168" fontId="0" fillId="0" borderId="26" xfId="0" applyNumberFormat="1" applyBorder="1"/>
    <xf numFmtId="0" fontId="0" fillId="0" borderId="26" xfId="0" applyBorder="1"/>
    <xf numFmtId="168" fontId="0" fillId="0" borderId="14" xfId="1" applyNumberFormat="1" applyFont="1" applyBorder="1"/>
    <xf numFmtId="0" fontId="3" fillId="0" borderId="0" xfId="0" applyFont="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xf>
    <xf numFmtId="168" fontId="3" fillId="0" borderId="1" xfId="1" applyNumberFormat="1" applyFont="1" applyBorder="1" applyAlignment="1">
      <alignment horizontal="right"/>
    </xf>
    <xf numFmtId="168" fontId="3" fillId="0" borderId="23" xfId="1" applyNumberFormat="1" applyFont="1" applyBorder="1" applyAlignment="1">
      <alignment horizontal="right"/>
    </xf>
    <xf numFmtId="168" fontId="3" fillId="4" borderId="0" xfId="0" applyNumberFormat="1" applyFont="1" applyFill="1"/>
    <xf numFmtId="165" fontId="0" fillId="0" borderId="0" xfId="0" applyNumberFormat="1"/>
    <xf numFmtId="44" fontId="0" fillId="0" borderId="0" xfId="0" applyNumberFormat="1"/>
    <xf numFmtId="0" fontId="6" fillId="0" borderId="0" xfId="0" applyFont="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vertical="center"/>
    </xf>
    <xf numFmtId="168" fontId="6" fillId="0" borderId="7" xfId="1" applyNumberFormat="1" applyFont="1" applyBorder="1" applyAlignment="1">
      <alignment horizontal="right"/>
    </xf>
    <xf numFmtId="168" fontId="6" fillId="0" borderId="11" xfId="1" applyNumberFormat="1" applyFont="1" applyBorder="1" applyAlignment="1">
      <alignment horizontal="right"/>
    </xf>
    <xf numFmtId="168" fontId="6" fillId="4" borderId="0" xfId="0" applyNumberFormat="1" applyFont="1" applyFill="1"/>
    <xf numFmtId="168" fontId="0" fillId="6" borderId="2" xfId="1" applyNumberFormat="1" applyFont="1" applyFill="1" applyBorder="1"/>
    <xf numFmtId="165" fontId="0" fillId="0" borderId="14" xfId="1" applyFont="1" applyBorder="1" applyAlignment="1">
      <alignment horizontal="right"/>
    </xf>
    <xf numFmtId="165" fontId="0" fillId="0" borderId="14" xfId="1" applyFont="1" applyFill="1" applyBorder="1" applyAlignment="1">
      <alignment horizontal="right"/>
    </xf>
    <xf numFmtId="0" fontId="0" fillId="4" borderId="27" xfId="0" applyFill="1" applyBorder="1" applyAlignment="1">
      <alignment vertical="center"/>
    </xf>
    <xf numFmtId="9" fontId="0" fillId="4" borderId="9" xfId="2" applyFont="1" applyFill="1" applyBorder="1" applyAlignment="1">
      <alignment vertical="center"/>
    </xf>
    <xf numFmtId="0" fontId="0" fillId="4" borderId="9" xfId="0" applyFill="1" applyBorder="1"/>
    <xf numFmtId="165" fontId="0" fillId="4" borderId="9" xfId="0" applyNumberFormat="1" applyFill="1" applyBorder="1"/>
    <xf numFmtId="165" fontId="0" fillId="4" borderId="10" xfId="0" applyNumberFormat="1" applyFill="1" applyBorder="1"/>
    <xf numFmtId="168" fontId="0" fillId="0" borderId="0" xfId="1" applyNumberFormat="1" applyFont="1" applyFill="1" applyBorder="1" applyAlignment="1">
      <alignment horizontal="right"/>
    </xf>
    <xf numFmtId="168" fontId="0" fillId="0" borderId="4" xfId="1" applyNumberFormat="1" applyFont="1" applyBorder="1" applyAlignment="1">
      <alignment horizontal="right"/>
    </xf>
    <xf numFmtId="0" fontId="3" fillId="0" borderId="1" xfId="0" applyFont="1" applyBorder="1" applyAlignment="1">
      <alignment vertical="center" wrapText="1"/>
    </xf>
    <xf numFmtId="168" fontId="3" fillId="0" borderId="2" xfId="1" applyNumberFormat="1" applyFont="1" applyBorder="1" applyAlignment="1">
      <alignment horizontal="right"/>
    </xf>
    <xf numFmtId="0" fontId="1" fillId="3" borderId="0" xfId="4"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168" fontId="3" fillId="0" borderId="0" xfId="1" applyNumberFormat="1" applyFont="1" applyBorder="1" applyAlignment="1">
      <alignment horizontal="right"/>
    </xf>
    <xf numFmtId="168" fontId="3" fillId="0" borderId="14" xfId="1" applyNumberFormat="1" applyFont="1" applyBorder="1" applyAlignment="1">
      <alignment horizontal="right"/>
    </xf>
    <xf numFmtId="168" fontId="0" fillId="0" borderId="4" xfId="1" applyNumberFormat="1" applyFont="1" applyBorder="1"/>
    <xf numFmtId="168" fontId="3" fillId="0" borderId="0" xfId="1" applyNumberFormat="1" applyFont="1" applyAlignment="1">
      <alignment horizontal="right"/>
    </xf>
    <xf numFmtId="168" fontId="3" fillId="0" borderId="3" xfId="1" applyNumberFormat="1" applyFont="1" applyBorder="1" applyAlignment="1">
      <alignment horizontal="right"/>
    </xf>
    <xf numFmtId="168" fontId="3" fillId="0" borderId="4" xfId="1" applyNumberFormat="1" applyFont="1" applyBorder="1" applyAlignment="1">
      <alignment horizontal="right"/>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165" fontId="3" fillId="12" borderId="9" xfId="1" applyFont="1" applyFill="1" applyBorder="1" applyAlignment="1">
      <alignment horizontal="right"/>
    </xf>
    <xf numFmtId="168" fontId="3" fillId="0" borderId="9" xfId="1" applyNumberFormat="1" applyFont="1" applyBorder="1" applyAlignment="1">
      <alignment horizontal="right"/>
    </xf>
    <xf numFmtId="168" fontId="3" fillId="0" borderId="10" xfId="1" applyNumberFormat="1" applyFont="1" applyBorder="1" applyAlignment="1">
      <alignment horizontal="right"/>
    </xf>
    <xf numFmtId="0" fontId="0" fillId="4" borderId="0" xfId="0" applyFill="1" applyAlignment="1">
      <alignment horizontal="center" vertical="center"/>
    </xf>
    <xf numFmtId="0" fontId="0" fillId="4" borderId="0" xfId="0" applyFill="1" applyAlignment="1">
      <alignment horizontal="left" vertical="center" wrapText="1"/>
    </xf>
    <xf numFmtId="165" fontId="0" fillId="4" borderId="0" xfId="1" applyFont="1" applyFill="1" applyAlignment="1">
      <alignment horizontal="right"/>
    </xf>
    <xf numFmtId="0" fontId="0" fillId="4" borderId="0" xfId="0" applyFill="1" applyAlignment="1">
      <alignment horizontal="right"/>
    </xf>
    <xf numFmtId="17" fontId="0" fillId="4" borderId="0" xfId="1" applyNumberFormat="1" applyFont="1" applyFill="1" applyAlignment="1">
      <alignment horizontal="right"/>
    </xf>
    <xf numFmtId="168" fontId="0" fillId="4" borderId="0" xfId="1" applyNumberFormat="1" applyFont="1" applyFill="1" applyAlignment="1">
      <alignment horizontal="right"/>
    </xf>
    <xf numFmtId="168" fontId="0" fillId="4" borderId="0" xfId="1" applyNumberFormat="1" applyFont="1" applyFill="1"/>
    <xf numFmtId="0" fontId="3" fillId="4" borderId="0" xfId="0" applyFont="1" applyFill="1" applyAlignment="1">
      <alignment horizontal="right"/>
    </xf>
    <xf numFmtId="0" fontId="0" fillId="8" borderId="0" xfId="0" applyFill="1" applyAlignment="1">
      <alignment horizontal="center"/>
    </xf>
    <xf numFmtId="0" fontId="0" fillId="8" borderId="0" xfId="0" applyFill="1" applyAlignment="1">
      <alignment wrapText="1"/>
    </xf>
    <xf numFmtId="0" fontId="3" fillId="0" borderId="5" xfId="0" applyFont="1" applyBorder="1" applyAlignment="1">
      <alignment horizontal="center" wrapText="1"/>
    </xf>
    <xf numFmtId="0" fontId="0" fillId="13" borderId="0" xfId="0" applyFill="1" applyAlignment="1">
      <alignment wrapText="1"/>
    </xf>
    <xf numFmtId="0" fontId="0" fillId="13" borderId="0" xfId="0" applyFill="1" applyAlignment="1">
      <alignment horizontal="center"/>
    </xf>
    <xf numFmtId="0" fontId="0" fillId="13" borderId="0" xfId="0" applyFill="1"/>
    <xf numFmtId="165" fontId="0" fillId="7" borderId="0" xfId="1" applyFont="1" applyFill="1" applyAlignment="1">
      <alignment horizontal="right"/>
    </xf>
    <xf numFmtId="0" fontId="0" fillId="10" borderId="0" xfId="0" applyFill="1" applyAlignment="1">
      <alignment horizontal="right"/>
    </xf>
    <xf numFmtId="165" fontId="0" fillId="10" borderId="0" xfId="1" applyFont="1" applyFill="1" applyAlignment="1">
      <alignment horizontal="right"/>
    </xf>
    <xf numFmtId="165" fontId="0" fillId="7" borderId="4" xfId="1" applyFont="1" applyFill="1" applyBorder="1"/>
    <xf numFmtId="0" fontId="0" fillId="10" borderId="0" xfId="0" applyFill="1" applyAlignment="1">
      <alignment horizontal="center"/>
    </xf>
    <xf numFmtId="0" fontId="0" fillId="10" borderId="0" xfId="0" applyFill="1"/>
    <xf numFmtId="165" fontId="0" fillId="10" borderId="4" xfId="1" applyFont="1" applyFill="1" applyBorder="1"/>
    <xf numFmtId="0" fontId="0" fillId="9" borderId="0" xfId="0" applyFill="1"/>
    <xf numFmtId="0" fontId="0" fillId="10" borderId="0" xfId="0" applyFill="1" applyAlignment="1">
      <alignment wrapText="1"/>
    </xf>
    <xf numFmtId="0" fontId="3" fillId="10" borderId="0" xfId="0" applyFont="1" applyFill="1" applyAlignment="1">
      <alignment wrapText="1"/>
    </xf>
    <xf numFmtId="0" fontId="0" fillId="7" borderId="0" xfId="0" applyFill="1" applyAlignment="1">
      <alignment wrapText="1"/>
    </xf>
    <xf numFmtId="0" fontId="0" fillId="7" borderId="0" xfId="0" applyFill="1" applyAlignment="1">
      <alignment horizontal="right"/>
    </xf>
    <xf numFmtId="165" fontId="0" fillId="0" borderId="3" xfId="1" applyFont="1" applyBorder="1" applyAlignment="1">
      <alignment horizontal="right"/>
    </xf>
    <xf numFmtId="164" fontId="10" fillId="0" borderId="0" xfId="0" applyNumberFormat="1" applyFont="1" applyAlignment="1">
      <alignment horizontal="right"/>
    </xf>
    <xf numFmtId="0" fontId="0" fillId="4" borderId="0" xfId="0" applyFill="1" applyAlignment="1">
      <alignment horizontal="center"/>
    </xf>
    <xf numFmtId="165" fontId="0" fillId="4" borderId="0" xfId="1" applyFont="1" applyFill="1" applyBorder="1" applyAlignment="1">
      <alignment horizontal="right"/>
    </xf>
    <xf numFmtId="165" fontId="0" fillId="4" borderId="0" xfId="1" applyFont="1" applyFill="1" applyBorder="1"/>
    <xf numFmtId="0" fontId="3" fillId="4" borderId="0" xfId="0" applyFont="1" applyFill="1" applyAlignment="1">
      <alignment horizontal="center"/>
    </xf>
    <xf numFmtId="165" fontId="3" fillId="4" borderId="0" xfId="1" applyFont="1" applyFill="1" applyBorder="1" applyAlignment="1">
      <alignment horizontal="right"/>
    </xf>
    <xf numFmtId="0" fontId="6" fillId="4" borderId="0" xfId="0" applyFont="1" applyFill="1" applyAlignment="1">
      <alignment horizontal="center"/>
    </xf>
    <xf numFmtId="165" fontId="6" fillId="4" borderId="0" xfId="1" applyFont="1" applyFill="1" applyBorder="1" applyAlignment="1">
      <alignment horizontal="right"/>
    </xf>
    <xf numFmtId="0" fontId="6" fillId="4" borderId="0" xfId="0" applyFont="1" applyFill="1" applyAlignment="1">
      <alignment horizontal="right"/>
    </xf>
    <xf numFmtId="44" fontId="0" fillId="4" borderId="0" xfId="7" applyNumberFormat="1" applyFont="1" applyFill="1" applyAlignment="1" applyProtection="1">
      <alignment horizontal="right"/>
    </xf>
    <xf numFmtId="44" fontId="0" fillId="4" borderId="14" xfId="7" applyNumberFormat="1" applyFont="1" applyFill="1" applyBorder="1" applyProtection="1"/>
    <xf numFmtId="44" fontId="14" fillId="4" borderId="12" xfId="7" applyNumberFormat="1" applyFont="1" applyFill="1" applyBorder="1" applyAlignment="1" applyProtection="1">
      <alignment horizontal="right"/>
    </xf>
    <xf numFmtId="44" fontId="14" fillId="4" borderId="13" xfId="7" applyNumberFormat="1" applyFont="1" applyFill="1" applyBorder="1" applyAlignment="1" applyProtection="1">
      <alignment horizontal="right"/>
    </xf>
    <xf numFmtId="0" fontId="3" fillId="4" borderId="1" xfId="0" applyFont="1" applyFill="1" applyBorder="1"/>
    <xf numFmtId="0" fontId="0" fillId="4" borderId="1" xfId="0" applyFill="1" applyBorder="1" applyAlignment="1">
      <alignment horizontal="center"/>
    </xf>
    <xf numFmtId="0" fontId="0" fillId="4" borderId="1" xfId="0" applyFill="1" applyBorder="1"/>
    <xf numFmtId="165" fontId="0" fillId="4" borderId="1" xfId="1" applyFont="1" applyFill="1" applyBorder="1" applyAlignment="1">
      <alignment horizontal="right"/>
    </xf>
    <xf numFmtId="0" fontId="0" fillId="4" borderId="1" xfId="0" applyFill="1" applyBorder="1" applyAlignment="1">
      <alignment horizontal="right"/>
    </xf>
    <xf numFmtId="165" fontId="0" fillId="4" borderId="2" xfId="1" applyFont="1" applyFill="1" applyBorder="1"/>
    <xf numFmtId="0" fontId="9" fillId="14" borderId="0" xfId="0" applyFont="1" applyFill="1" applyAlignment="1">
      <alignment horizontal="left" wrapText="1"/>
    </xf>
    <xf numFmtId="0" fontId="9" fillId="14" borderId="0" xfId="0" applyFont="1" applyFill="1" applyAlignment="1">
      <alignment horizontal="center" wrapText="1"/>
    </xf>
    <xf numFmtId="165" fontId="0" fillId="0" borderId="4" xfId="1" applyFont="1" applyBorder="1" applyAlignment="1">
      <alignment horizontal="right"/>
    </xf>
    <xf numFmtId="165" fontId="0" fillId="0" borderId="10" xfId="1" applyFont="1" applyBorder="1"/>
    <xf numFmtId="0" fontId="0" fillId="0" borderId="0" xfId="0" applyAlignment="1">
      <alignment horizontal="left"/>
    </xf>
    <xf numFmtId="44" fontId="21" fillId="9" borderId="0" xfId="0" quotePrefix="1" applyNumberFormat="1" applyFont="1" applyFill="1"/>
    <xf numFmtId="0" fontId="0" fillId="16" borderId="0" xfId="0" applyFill="1" applyAlignment="1">
      <alignment horizontal="center"/>
    </xf>
    <xf numFmtId="0" fontId="0" fillId="16" borderId="0" xfId="0" applyFill="1"/>
    <xf numFmtId="0" fontId="0" fillId="16" borderId="0" xfId="0" applyFill="1" applyAlignment="1">
      <alignment wrapText="1"/>
    </xf>
    <xf numFmtId="165" fontId="0" fillId="16" borderId="0" xfId="1" applyFont="1" applyFill="1" applyAlignment="1">
      <alignment horizontal="right"/>
    </xf>
    <xf numFmtId="0" fontId="0" fillId="16" borderId="0" xfId="0" applyFill="1" applyAlignment="1">
      <alignment horizontal="right"/>
    </xf>
    <xf numFmtId="165" fontId="0" fillId="16" borderId="4" xfId="1" applyFont="1" applyFill="1" applyBorder="1"/>
    <xf numFmtId="0" fontId="9" fillId="8" borderId="0" xfId="0" applyFont="1" applyFill="1"/>
    <xf numFmtId="165" fontId="0" fillId="4" borderId="4" xfId="1" applyFont="1" applyFill="1" applyBorder="1"/>
    <xf numFmtId="0" fontId="3" fillId="0" borderId="0" xfId="0" applyFont="1" applyAlignment="1">
      <alignment horizontal="center"/>
    </xf>
    <xf numFmtId="0" fontId="7" fillId="8" borderId="0" xfId="0" applyFont="1" applyFill="1" applyAlignment="1">
      <alignment horizontal="center" wrapText="1"/>
    </xf>
    <xf numFmtId="165" fontId="3" fillId="8" borderId="0" xfId="1" applyFont="1" applyFill="1" applyAlignment="1">
      <alignment horizontal="right"/>
    </xf>
    <xf numFmtId="165" fontId="0" fillId="0" borderId="28" xfId="1" applyFont="1" applyBorder="1"/>
    <xf numFmtId="0" fontId="0" fillId="0" borderId="4" xfId="0" applyBorder="1"/>
    <xf numFmtId="165" fontId="0" fillId="0" borderId="29" xfId="1" applyFont="1" applyBorder="1"/>
    <xf numFmtId="0" fontId="7" fillId="0" borderId="0" xfId="0" applyFont="1" applyAlignment="1">
      <alignment wrapText="1"/>
    </xf>
    <xf numFmtId="0" fontId="0" fillId="0" borderId="30" xfId="0" applyBorder="1"/>
    <xf numFmtId="165" fontId="0" fillId="8" borderId="0" xfId="0" applyNumberFormat="1" applyFill="1"/>
    <xf numFmtId="0" fontId="0" fillId="8" borderId="4" xfId="0" applyFill="1" applyBorder="1"/>
    <xf numFmtId="0" fontId="18" fillId="8" borderId="0" xfId="0" applyFont="1" applyFill="1" applyAlignment="1">
      <alignment wrapText="1"/>
    </xf>
    <xf numFmtId="165" fontId="0" fillId="0" borderId="30" xfId="1" applyFont="1" applyBorder="1"/>
    <xf numFmtId="0" fontId="6" fillId="0" borderId="0" xfId="0" applyFont="1" applyAlignment="1">
      <alignment horizontal="center"/>
    </xf>
    <xf numFmtId="165" fontId="6" fillId="0" borderId="0" xfId="1" applyFont="1" applyBorder="1" applyAlignment="1">
      <alignment horizontal="right"/>
    </xf>
    <xf numFmtId="165" fontId="6" fillId="0" borderId="4" xfId="1" applyFont="1" applyBorder="1" applyAlignment="1">
      <alignment horizontal="right"/>
    </xf>
    <xf numFmtId="0" fontId="6" fillId="0" borderId="0" xfId="0" applyFont="1" applyAlignment="1">
      <alignment horizontal="right"/>
    </xf>
    <xf numFmtId="0" fontId="6" fillId="0" borderId="15" xfId="0" applyFont="1" applyBorder="1" applyAlignment="1">
      <alignment horizontal="center"/>
    </xf>
    <xf numFmtId="0" fontId="0" fillId="0" borderId="16" xfId="0" applyBorder="1" applyAlignment="1">
      <alignment horizontal="center"/>
    </xf>
    <xf numFmtId="0" fontId="0" fillId="0" borderId="16" xfId="0" applyBorder="1"/>
    <xf numFmtId="165" fontId="0" fillId="0" borderId="16" xfId="1" applyFont="1" applyBorder="1" applyAlignment="1">
      <alignment horizontal="right"/>
    </xf>
    <xf numFmtId="0" fontId="0" fillId="0" borderId="16" xfId="0" applyBorder="1" applyAlignment="1">
      <alignment horizontal="right"/>
    </xf>
    <xf numFmtId="165" fontId="6" fillId="0" borderId="16" xfId="1" applyFont="1" applyBorder="1" applyAlignment="1">
      <alignment horizontal="right"/>
    </xf>
    <xf numFmtId="0" fontId="6" fillId="4" borderId="22" xfId="0" applyFont="1" applyFill="1" applyBorder="1"/>
    <xf numFmtId="0" fontId="14" fillId="4" borderId="0" xfId="8" applyFont="1" applyFill="1"/>
    <xf numFmtId="0" fontId="17" fillId="4" borderId="0" xfId="8" applyFill="1" applyAlignment="1">
      <alignment horizontal="center"/>
    </xf>
    <xf numFmtId="0" fontId="17" fillId="4" borderId="0" xfId="8" applyFill="1"/>
    <xf numFmtId="0" fontId="17" fillId="4" borderId="0" xfId="8" applyFill="1" applyAlignment="1">
      <alignment horizontal="right"/>
    </xf>
    <xf numFmtId="0" fontId="14" fillId="4" borderId="17" xfId="8" applyFont="1" applyFill="1" applyBorder="1" applyAlignment="1">
      <alignment horizontal="center"/>
    </xf>
    <xf numFmtId="0" fontId="14" fillId="4" borderId="12" xfId="8" applyFont="1" applyFill="1" applyBorder="1" applyAlignment="1">
      <alignment horizontal="center"/>
    </xf>
    <xf numFmtId="0" fontId="14" fillId="4" borderId="12" xfId="8" applyFont="1" applyFill="1" applyBorder="1"/>
    <xf numFmtId="0" fontId="14" fillId="4" borderId="12" xfId="8" applyFont="1" applyFill="1" applyBorder="1" applyAlignment="1">
      <alignment horizontal="right"/>
    </xf>
    <xf numFmtId="0" fontId="17" fillId="4" borderId="0" xfId="8" applyFill="1" applyAlignment="1">
      <alignment horizontal="left" vertical="top"/>
    </xf>
    <xf numFmtId="0" fontId="15" fillId="15" borderId="0" xfId="8" applyFont="1" applyFill="1"/>
    <xf numFmtId="0" fontId="17" fillId="4" borderId="0" xfId="8" applyFill="1" applyAlignment="1">
      <alignment horizontal="left"/>
    </xf>
    <xf numFmtId="0" fontId="15" fillId="4" borderId="0" xfId="8" applyFont="1" applyFill="1"/>
    <xf numFmtId="0" fontId="3" fillId="0" borderId="5" xfId="0" applyFont="1" applyBorder="1" applyAlignment="1">
      <alignment horizontal="left"/>
    </xf>
    <xf numFmtId="0" fontId="6" fillId="0" borderId="6" xfId="0" applyFont="1" applyBorder="1" applyAlignment="1">
      <alignment horizontal="left"/>
    </xf>
    <xf numFmtId="0" fontId="8" fillId="8" borderId="0" xfId="5" applyFill="1" applyBorder="1" applyAlignment="1">
      <alignment wrapText="1"/>
    </xf>
    <xf numFmtId="0" fontId="12" fillId="0" borderId="0" xfId="0" applyFont="1"/>
    <xf numFmtId="0" fontId="22" fillId="17" borderId="0" xfId="0" applyFont="1" applyFill="1"/>
    <xf numFmtId="0" fontId="22" fillId="17" borderId="1" xfId="0" applyFont="1" applyFill="1" applyBorder="1"/>
    <xf numFmtId="0" fontId="12" fillId="0" borderId="10" xfId="0" applyFont="1" applyBorder="1"/>
    <xf numFmtId="0" fontId="14" fillId="18" borderId="1" xfId="0" applyFont="1" applyFill="1" applyBorder="1"/>
    <xf numFmtId="0" fontId="12" fillId="18" borderId="1" xfId="0" applyFont="1" applyFill="1" applyBorder="1"/>
    <xf numFmtId="0" fontId="12" fillId="18" borderId="10" xfId="0" applyFont="1" applyFill="1" applyBorder="1"/>
    <xf numFmtId="0" fontId="12" fillId="18" borderId="0" xfId="0" applyFont="1" applyFill="1"/>
    <xf numFmtId="0" fontId="14" fillId="0" borderId="0" xfId="0" applyFont="1"/>
    <xf numFmtId="0" fontId="12" fillId="0" borderId="4" xfId="0" applyFont="1" applyBorder="1"/>
    <xf numFmtId="0" fontId="16" fillId="0" borderId="0" xfId="0" applyFont="1"/>
    <xf numFmtId="8" fontId="12" fillId="0" borderId="0" xfId="0" applyNumberFormat="1" applyFont="1"/>
    <xf numFmtId="0" fontId="12" fillId="11" borderId="0" xfId="0" applyFont="1" applyFill="1"/>
    <xf numFmtId="8" fontId="12" fillId="11" borderId="0" xfId="0" applyNumberFormat="1" applyFont="1" applyFill="1"/>
    <xf numFmtId="0" fontId="12" fillId="11" borderId="4" xfId="0" applyFont="1" applyFill="1" applyBorder="1"/>
    <xf numFmtId="0" fontId="14" fillId="0" borderId="5" xfId="0" applyFont="1" applyBorder="1"/>
    <xf numFmtId="0" fontId="14" fillId="0" borderId="1" xfId="0" applyFont="1" applyBorder="1"/>
    <xf numFmtId="8" fontId="14" fillId="0" borderId="1" xfId="0" applyNumberFormat="1" applyFont="1" applyBorder="1"/>
    <xf numFmtId="0" fontId="14" fillId="0" borderId="2" xfId="0" applyFont="1" applyBorder="1"/>
    <xf numFmtId="0" fontId="15" fillId="0" borderId="0" xfId="0" applyFont="1"/>
    <xf numFmtId="0" fontId="15" fillId="0" borderId="15" xfId="0" applyFont="1" applyBorder="1"/>
    <xf numFmtId="0" fontId="15" fillId="0" borderId="16" xfId="0" applyFont="1" applyBorder="1"/>
    <xf numFmtId="0" fontId="12" fillId="18" borderId="2" xfId="0" applyFont="1" applyFill="1" applyBorder="1"/>
    <xf numFmtId="8" fontId="12" fillId="11" borderId="4" xfId="0" applyNumberFormat="1" applyFont="1" applyFill="1" applyBorder="1"/>
    <xf numFmtId="0" fontId="23" fillId="11" borderId="0" xfId="0" applyFont="1" applyFill="1"/>
    <xf numFmtId="8" fontId="14" fillId="0" borderId="2" xfId="0" applyNumberFormat="1" applyFont="1" applyBorder="1"/>
    <xf numFmtId="8" fontId="12" fillId="0" borderId="4" xfId="0" applyNumberFormat="1" applyFont="1" applyBorder="1"/>
    <xf numFmtId="0" fontId="14" fillId="11" borderId="1" xfId="0" applyFont="1" applyFill="1" applyBorder="1"/>
    <xf numFmtId="8" fontId="14" fillId="11" borderId="1" xfId="0" applyNumberFormat="1" applyFont="1" applyFill="1" applyBorder="1"/>
    <xf numFmtId="8" fontId="14" fillId="11" borderId="2" xfId="0" applyNumberFormat="1" applyFont="1" applyFill="1" applyBorder="1"/>
    <xf numFmtId="0" fontId="14" fillId="11" borderId="0" xfId="0" applyFont="1" applyFill="1"/>
    <xf numFmtId="0" fontId="14" fillId="0" borderId="9" xfId="0" applyFont="1" applyBorder="1"/>
    <xf numFmtId="2" fontId="12" fillId="0" borderId="4" xfId="0" applyNumberFormat="1" applyFont="1" applyBorder="1"/>
    <xf numFmtId="6" fontId="12" fillId="0" borderId="0" xfId="0" applyNumberFormat="1" applyFont="1"/>
    <xf numFmtId="8" fontId="15" fillId="0" borderId="16" xfId="0" applyNumberFormat="1" applyFont="1" applyBorder="1"/>
    <xf numFmtId="8" fontId="14" fillId="0" borderId="0" xfId="0" applyNumberFormat="1" applyFont="1"/>
    <xf numFmtId="8" fontId="14" fillId="0" borderId="9" xfId="0" applyNumberFormat="1" applyFont="1" applyBorder="1"/>
    <xf numFmtId="2" fontId="14" fillId="0" borderId="2" xfId="0" applyNumberFormat="1" applyFont="1" applyBorder="1"/>
    <xf numFmtId="2" fontId="12" fillId="11" borderId="0" xfId="0" applyNumberFormat="1" applyFont="1" applyFill="1"/>
    <xf numFmtId="2" fontId="12" fillId="11" borderId="4" xfId="0" applyNumberFormat="1" applyFont="1" applyFill="1" applyBorder="1"/>
    <xf numFmtId="0" fontId="21" fillId="0" borderId="0" xfId="0" applyFont="1" applyAlignment="1">
      <alignment vertical="center"/>
    </xf>
    <xf numFmtId="0" fontId="9" fillId="9" borderId="0" xfId="0" applyFont="1" applyFill="1"/>
    <xf numFmtId="165" fontId="3" fillId="0" borderId="29" xfId="1" applyFont="1" applyBorder="1"/>
    <xf numFmtId="2" fontId="15" fillId="0" borderId="16" xfId="0" applyNumberFormat="1" applyFont="1" applyBorder="1"/>
    <xf numFmtId="2" fontId="14" fillId="0" borderId="0" xfId="0" applyNumberFormat="1" applyFont="1"/>
    <xf numFmtId="169" fontId="0" fillId="0" borderId="0" xfId="1" applyNumberFormat="1" applyFont="1" applyAlignment="1">
      <alignment horizontal="right"/>
    </xf>
    <xf numFmtId="0" fontId="0" fillId="0" borderId="0" xfId="0" applyAlignment="1">
      <alignment horizontal="left" vertical="top" wrapText="1"/>
    </xf>
    <xf numFmtId="44" fontId="0" fillId="0" borderId="4" xfId="1" applyNumberFormat="1" applyFont="1" applyBorder="1"/>
    <xf numFmtId="168" fontId="0" fillId="0" borderId="14" xfId="1" applyNumberFormat="1" applyFont="1" applyFill="1" applyBorder="1" applyAlignment="1">
      <alignment horizontal="right"/>
    </xf>
    <xf numFmtId="168" fontId="3" fillId="7" borderId="14" xfId="1" applyNumberFormat="1" applyFont="1" applyFill="1" applyBorder="1" applyAlignment="1">
      <alignment horizontal="right"/>
    </xf>
    <xf numFmtId="0" fontId="3" fillId="0" borderId="0" xfId="0" applyFont="1" applyAlignment="1">
      <alignment horizontal="left"/>
    </xf>
    <xf numFmtId="0" fontId="3" fillId="0" borderId="4" xfId="0" applyFont="1" applyBorder="1" applyAlignment="1">
      <alignment horizontal="left"/>
    </xf>
    <xf numFmtId="0" fontId="3" fillId="0" borderId="0" xfId="0" applyFont="1" applyAlignment="1">
      <alignment horizontal="center"/>
    </xf>
    <xf numFmtId="0" fontId="3" fillId="0" borderId="14" xfId="0" applyFont="1" applyBorder="1" applyAlignment="1">
      <alignment horizontal="center"/>
    </xf>
    <xf numFmtId="0" fontId="3" fillId="0" borderId="14" xfId="0" applyFont="1" applyBorder="1" applyAlignment="1">
      <alignment horizontal="left"/>
    </xf>
    <xf numFmtId="0" fontId="3" fillId="0" borderId="4" xfId="0" applyFont="1" applyBorder="1" applyAlignment="1">
      <alignment horizontal="center"/>
    </xf>
    <xf numFmtId="0" fontId="4" fillId="0" borderId="0" xfId="0" applyFont="1" applyAlignment="1">
      <alignment horizontal="center" vertical="center" wrapText="1"/>
    </xf>
    <xf numFmtId="165" fontId="5" fillId="5" borderId="21" xfId="1" applyFont="1" applyFill="1" applyBorder="1" applyAlignment="1">
      <alignment horizontal="center" vertical="center"/>
    </xf>
    <xf numFmtId="165" fontId="5" fillId="5" borderId="20" xfId="1" applyFont="1" applyFill="1" applyBorder="1" applyAlignment="1">
      <alignment horizontal="center" vertical="center"/>
    </xf>
    <xf numFmtId="165" fontId="5" fillId="5" borderId="3" xfId="1" applyFont="1" applyFill="1" applyBorder="1" applyAlignment="1">
      <alignment horizontal="center" vertical="center"/>
    </xf>
    <xf numFmtId="0" fontId="3" fillId="0" borderId="20" xfId="0" applyFont="1" applyBorder="1" applyAlignment="1">
      <alignment horizontal="left"/>
    </xf>
    <xf numFmtId="0" fontId="3" fillId="0" borderId="24"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1" xfId="0" applyFont="1" applyBorder="1" applyAlignment="1">
      <alignment horizontal="left"/>
    </xf>
    <xf numFmtId="0" fontId="13" fillId="0" borderId="0" xfId="0" applyFont="1" applyAlignment="1">
      <alignment horizontal="center" wrapText="1"/>
    </xf>
    <xf numFmtId="0" fontId="13" fillId="0" borderId="0" xfId="8" applyFont="1" applyAlignment="1">
      <alignment horizontal="center" vertical="center" wrapText="1"/>
    </xf>
    <xf numFmtId="0" fontId="17" fillId="0" borderId="0" xfId="8" applyAlignment="1"/>
    <xf numFmtId="0" fontId="12" fillId="0" borderId="20" xfId="0" applyFont="1" applyBorder="1" applyAlignment="1"/>
    <xf numFmtId="0" fontId="12" fillId="0" borderId="0" xfId="0" applyFont="1" applyAlignment="1"/>
    <xf numFmtId="0" fontId="12" fillId="0" borderId="14" xfId="0" applyFont="1" applyBorder="1" applyAlignment="1"/>
  </cellXfs>
  <cellStyles count="14">
    <cellStyle name="20% - Accent3" xfId="3" builtinId="38"/>
    <cellStyle name="40% - Accent3" xfId="4" builtinId="39"/>
    <cellStyle name="Currency" xfId="1" builtinId="4"/>
    <cellStyle name="Currency 2" xfId="11" xr:uid="{0785616F-1588-4CD5-B209-2EC1429B691E}"/>
    <cellStyle name="Currency 3" xfId="13" xr:uid="{EB588105-0C9B-46AC-A331-F18FA1F0BE89}"/>
    <cellStyle name="Currency 4" xfId="9" xr:uid="{49CBCE42-043B-4408-A1CE-675118D79261}"/>
    <cellStyle name="Excel Built-in Currency" xfId="7" xr:uid="{89F939E8-2B35-4370-8341-979B2B8945C0}"/>
    <cellStyle name="Hyperlink" xfId="5" builtinId="8"/>
    <cellStyle name="Normal" xfId="0" builtinId="0"/>
    <cellStyle name="Normal 2" xfId="6" xr:uid="{32CB4EE2-665A-41FB-B541-7BF34C18B269}"/>
    <cellStyle name="Normal 2 2" xfId="8" xr:uid="{220F7C4C-3FED-4456-8984-0C289B5627C8}"/>
    <cellStyle name="Normal 2 3" xfId="10" xr:uid="{E5AE38ED-4CF8-4D3C-A47C-08BC4D38B99A}"/>
    <cellStyle name="Normal 3" xfId="12" xr:uid="{6DB152F6-F6AB-4F14-8C6F-BBA17F3A00E1}"/>
    <cellStyle name="Percent" xfId="2" builtinId="5"/>
  </cellStyles>
  <dxfs count="15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ont>
        <color rgb="FF000000"/>
        <family val="2"/>
      </font>
      <fill>
        <patternFill patternType="solid">
          <fgColor rgb="FFE7E6E6"/>
          <bgColor rgb="FFE7E6E6"/>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ED Team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'Overall Summary'!$R$5:$R$21</c:f>
              <c:strCache>
                <c:ptCount val="17"/>
                <c:pt idx="0">
                  <c:v>President</c:v>
                </c:pt>
                <c:pt idx="1">
                  <c:v>Vice President (Operations)</c:v>
                </c:pt>
                <c:pt idx="2">
                  <c:v>Vice President (Student Affairs)</c:v>
                </c:pt>
                <c:pt idx="3">
                  <c:v>Academics</c:v>
                </c:pt>
                <c:pt idx="4">
                  <c:v>Communications</c:v>
                </c:pt>
                <c:pt idx="5">
                  <c:v>Clubs and Conferences</c:v>
                </c:pt>
                <c:pt idx="6">
                  <c:v>Design</c:v>
                </c:pt>
                <c:pt idx="7">
                  <c:v>Internal Processes</c:v>
                </c:pt>
                <c:pt idx="8">
                  <c:v>External Relations</c:v>
                </c:pt>
                <c:pt idx="9">
                  <c:v>Finance</c:v>
                </c:pt>
                <c:pt idx="10">
                  <c:v>First Year</c:v>
                </c:pt>
                <c:pt idx="11">
                  <c:v>Human Resources</c:v>
                </c:pt>
                <c:pt idx="12">
                  <c:v>Governance</c:v>
                </c:pt>
                <c:pt idx="13">
                  <c:v>Information Technology</c:v>
                </c:pt>
                <c:pt idx="14">
                  <c:v>Professional Development</c:v>
                </c:pt>
                <c:pt idx="15">
                  <c:v>Services</c:v>
                </c:pt>
                <c:pt idx="16">
                  <c:v>Social Issues</c:v>
                </c:pt>
              </c:strCache>
            </c:strRef>
          </c:cat>
          <c:val>
            <c:numRef>
              <c:f>'Overall Summary'!$S$5:$S$21</c:f>
              <c:numCache>
                <c:formatCode>_-"$"* #,##0.00_-;\-"$"* #,##0.00_-;_-"$"* "-"??_-;_-@_-</c:formatCode>
                <c:ptCount val="17"/>
                <c:pt idx="0">
                  <c:v>-22174.034999999996</c:v>
                </c:pt>
                <c:pt idx="1">
                  <c:v>-39082.129249999998</c:v>
                </c:pt>
                <c:pt idx="2">
                  <c:v>-5163.4219999999996</c:v>
                </c:pt>
                <c:pt idx="3">
                  <c:v>-2502.7522499999995</c:v>
                </c:pt>
                <c:pt idx="4">
                  <c:v>-10661.041499999999</c:v>
                </c:pt>
                <c:pt idx="5">
                  <c:v>-9117.6875</c:v>
                </c:pt>
                <c:pt idx="6">
                  <c:v>-6750.8742499999989</c:v>
                </c:pt>
                <c:pt idx="7">
                  <c:v>-9864.1937499999985</c:v>
                </c:pt>
                <c:pt idx="8">
                  <c:v>-25099.9</c:v>
                </c:pt>
                <c:pt idx="9">
                  <c:v>-11012.1325</c:v>
                </c:pt>
                <c:pt idx="10">
                  <c:v>-11286.961874999997</c:v>
                </c:pt>
                <c:pt idx="11">
                  <c:v>-1723.2499999999998</c:v>
                </c:pt>
                <c:pt idx="12">
                  <c:v>-5233.9797499999995</c:v>
                </c:pt>
                <c:pt idx="13">
                  <c:v>-27711.485874999998</c:v>
                </c:pt>
                <c:pt idx="14">
                  <c:v>-23373.527374999998</c:v>
                </c:pt>
                <c:pt idx="15">
                  <c:v>-7076.625</c:v>
                </c:pt>
                <c:pt idx="16">
                  <c:v>-12226.9</c:v>
                </c:pt>
              </c:numCache>
            </c:numRef>
          </c:val>
          <c:extLst>
            <c:ext xmlns:c16="http://schemas.microsoft.com/office/drawing/2014/chart" uri="{C3380CC4-5D6E-409C-BE32-E72D297353CC}">
              <c16:uniqueId val="{00000000-71DD-48D5-BCC5-87D0ED56D937}"/>
            </c:ext>
          </c:extLst>
        </c:ser>
        <c:dLbls>
          <c:showLegendKey val="0"/>
          <c:showVal val="0"/>
          <c:showCatName val="0"/>
          <c:showSerName val="0"/>
          <c:showPercent val="0"/>
          <c:showBubbleSize val="0"/>
        </c:dLbls>
        <c:gapWidth val="219"/>
        <c:overlap val="-27"/>
        <c:axId val="1796358416"/>
        <c:axId val="1707444832"/>
      </c:barChart>
      <c:catAx>
        <c:axId val="179635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7444832"/>
        <c:crosses val="autoZero"/>
        <c:auto val="1"/>
        <c:lblAlgn val="ctr"/>
        <c:lblOffset val="100"/>
        <c:noMultiLvlLbl val="0"/>
      </c:catAx>
      <c:valAx>
        <c:axId val="17074448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635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CA"/>
              <a:t>ED Team Expense Actuals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v>Budget</c:v>
          </c:tx>
          <c:spPr>
            <a:solidFill>
              <a:schemeClr val="accent1"/>
            </a:solidFill>
            <a:ln>
              <a:noFill/>
            </a:ln>
            <a:effectLst/>
          </c:spPr>
          <c:invertIfNegative val="0"/>
          <c:cat>
            <c:strRef>
              <c:f>'Overall Summary'!$R$5:$R$21</c:f>
              <c:strCache>
                <c:ptCount val="17"/>
                <c:pt idx="0">
                  <c:v>President</c:v>
                </c:pt>
                <c:pt idx="1">
                  <c:v>Vice President (Operations)</c:v>
                </c:pt>
                <c:pt idx="2">
                  <c:v>Vice President (Student Affairs)</c:v>
                </c:pt>
                <c:pt idx="3">
                  <c:v>Academics</c:v>
                </c:pt>
                <c:pt idx="4">
                  <c:v>Communications</c:v>
                </c:pt>
                <c:pt idx="5">
                  <c:v>Clubs and Conferences</c:v>
                </c:pt>
                <c:pt idx="6">
                  <c:v>Design</c:v>
                </c:pt>
                <c:pt idx="7">
                  <c:v>Internal Processes</c:v>
                </c:pt>
                <c:pt idx="8">
                  <c:v>External Relations</c:v>
                </c:pt>
                <c:pt idx="9">
                  <c:v>Finance</c:v>
                </c:pt>
                <c:pt idx="10">
                  <c:v>First Year</c:v>
                </c:pt>
                <c:pt idx="11">
                  <c:v>Human Resources</c:v>
                </c:pt>
                <c:pt idx="12">
                  <c:v>Governance</c:v>
                </c:pt>
                <c:pt idx="13">
                  <c:v>Information Technology</c:v>
                </c:pt>
                <c:pt idx="14">
                  <c:v>Professional Development</c:v>
                </c:pt>
                <c:pt idx="15">
                  <c:v>Services</c:v>
                </c:pt>
                <c:pt idx="16">
                  <c:v>Social Issues</c:v>
                </c:pt>
              </c:strCache>
            </c:strRef>
          </c:cat>
          <c:val>
            <c:numRef>
              <c:f>'Overall Summary'!$S$5:$S$21</c:f>
              <c:numCache>
                <c:formatCode>_-"$"* #,##0.00_-;\-"$"* #,##0.00_-;_-"$"* "-"??_-;_-@_-</c:formatCode>
                <c:ptCount val="17"/>
                <c:pt idx="0">
                  <c:v>-22174.034999999996</c:v>
                </c:pt>
                <c:pt idx="1">
                  <c:v>-39082.129249999998</c:v>
                </c:pt>
                <c:pt idx="2">
                  <c:v>-5163.4219999999996</c:v>
                </c:pt>
                <c:pt idx="3">
                  <c:v>-2502.7522499999995</c:v>
                </c:pt>
                <c:pt idx="4">
                  <c:v>-10661.041499999999</c:v>
                </c:pt>
                <c:pt idx="5">
                  <c:v>-9117.6875</c:v>
                </c:pt>
                <c:pt idx="6">
                  <c:v>-6750.8742499999989</c:v>
                </c:pt>
                <c:pt idx="7">
                  <c:v>-9864.1937499999985</c:v>
                </c:pt>
                <c:pt idx="8">
                  <c:v>-25099.9</c:v>
                </c:pt>
                <c:pt idx="9">
                  <c:v>-11012.1325</c:v>
                </c:pt>
                <c:pt idx="10">
                  <c:v>-11286.961874999997</c:v>
                </c:pt>
                <c:pt idx="11">
                  <c:v>-1723.2499999999998</c:v>
                </c:pt>
                <c:pt idx="12">
                  <c:v>-5233.9797499999995</c:v>
                </c:pt>
                <c:pt idx="13">
                  <c:v>-27711.485874999998</c:v>
                </c:pt>
                <c:pt idx="14">
                  <c:v>-23373.527374999998</c:v>
                </c:pt>
                <c:pt idx="15">
                  <c:v>-7076.625</c:v>
                </c:pt>
                <c:pt idx="16">
                  <c:v>-12226.9</c:v>
                </c:pt>
              </c:numCache>
            </c:numRef>
          </c:val>
          <c:extLst>
            <c:ext xmlns:c16="http://schemas.microsoft.com/office/drawing/2014/chart" uri="{C3380CC4-5D6E-409C-BE32-E72D297353CC}">
              <c16:uniqueId val="{00000000-F03B-42DC-87DA-2B19329F519B}"/>
            </c:ext>
          </c:extLst>
        </c:ser>
        <c:ser>
          <c:idx val="1"/>
          <c:order val="1"/>
          <c:tx>
            <c:v>Pre-Actuals</c:v>
          </c:tx>
          <c:spPr>
            <a:solidFill>
              <a:schemeClr val="accent2"/>
            </a:solidFill>
            <a:ln>
              <a:noFill/>
            </a:ln>
            <a:effectLst/>
          </c:spPr>
          <c:invertIfNegative val="0"/>
          <c:val>
            <c:numRef>
              <c:f>'Overall Summary'!$T$5:$T$21</c:f>
              <c:numCache>
                <c:formatCode>_-"$"* #,##0.00_-;\-"$"* #,##0.00_-;_-"$"* "-"??_-;_-@_-</c:formatCode>
                <c:ptCount val="17"/>
                <c:pt idx="0">
                  <c:v>-9235</c:v>
                </c:pt>
                <c:pt idx="1">
                  <c:v>0</c:v>
                </c:pt>
                <c:pt idx="2">
                  <c:v>0</c:v>
                </c:pt>
                <c:pt idx="3">
                  <c:v>-90</c:v>
                </c:pt>
                <c:pt idx="4">
                  <c:v>0</c:v>
                </c:pt>
                <c:pt idx="5">
                  <c:v>0</c:v>
                </c:pt>
                <c:pt idx="6">
                  <c:v>0</c:v>
                </c:pt>
                <c:pt idx="7">
                  <c:v>0</c:v>
                </c:pt>
                <c:pt idx="8">
                  <c:v>-8063.4500000000007</c:v>
                </c:pt>
                <c:pt idx="9">
                  <c:v>0</c:v>
                </c:pt>
                <c:pt idx="10">
                  <c:v>0</c:v>
                </c:pt>
                <c:pt idx="11">
                  <c:v>0</c:v>
                </c:pt>
                <c:pt idx="12">
                  <c:v>0</c:v>
                </c:pt>
                <c:pt idx="13">
                  <c:v>-3580.96</c:v>
                </c:pt>
                <c:pt idx="14">
                  <c:v>0</c:v>
                </c:pt>
                <c:pt idx="15">
                  <c:v>-386.43</c:v>
                </c:pt>
                <c:pt idx="16">
                  <c:v>-6306.51</c:v>
                </c:pt>
              </c:numCache>
            </c:numRef>
          </c:val>
          <c:extLst>
            <c:ext xmlns:c16="http://schemas.microsoft.com/office/drawing/2014/chart" uri="{C3380CC4-5D6E-409C-BE32-E72D297353CC}">
              <c16:uniqueId val="{00000001-F03B-42DC-87DA-2B19329F519B}"/>
            </c:ext>
          </c:extLst>
        </c:ser>
        <c:ser>
          <c:idx val="2"/>
          <c:order val="2"/>
          <c:tx>
            <c:v>Actuals</c:v>
          </c:tx>
          <c:spPr>
            <a:solidFill>
              <a:schemeClr val="accent3"/>
            </a:solidFill>
            <a:ln>
              <a:noFill/>
            </a:ln>
            <a:effectLst/>
          </c:spPr>
          <c:invertIfNegative val="0"/>
          <c:val>
            <c:numRef>
              <c:f>'Overall Summary'!$U$5:$U$21</c:f>
              <c:numCache>
                <c:formatCode>_-"$"* #,##0.00_-;\-"$"* #,##0.00_-;_-"$"* "-"??_-;_-@_-</c:formatCode>
                <c:ptCount val="17"/>
                <c:pt idx="0">
                  <c:v>-10415</c:v>
                </c:pt>
                <c:pt idx="1">
                  <c:v>-34363.753199999999</c:v>
                </c:pt>
                <c:pt idx="2">
                  <c:v>-3701.1799999999994</c:v>
                </c:pt>
                <c:pt idx="3">
                  <c:v>-1050</c:v>
                </c:pt>
                <c:pt idx="4">
                  <c:v>-7676.7987000000003</c:v>
                </c:pt>
                <c:pt idx="5">
                  <c:v>-3580</c:v>
                </c:pt>
                <c:pt idx="6">
                  <c:v>-1415</c:v>
                </c:pt>
                <c:pt idx="7">
                  <c:v>-3706.8519999999994</c:v>
                </c:pt>
                <c:pt idx="8">
                  <c:v>-10488.648799999999</c:v>
                </c:pt>
                <c:pt idx="9">
                  <c:v>-6120</c:v>
                </c:pt>
                <c:pt idx="10">
                  <c:v>-3150</c:v>
                </c:pt>
                <c:pt idx="11">
                  <c:v>-100</c:v>
                </c:pt>
                <c:pt idx="12">
                  <c:v>-2440</c:v>
                </c:pt>
                <c:pt idx="13">
                  <c:v>-7178.59</c:v>
                </c:pt>
                <c:pt idx="14">
                  <c:v>-4911.67</c:v>
                </c:pt>
                <c:pt idx="15">
                  <c:v>-3088.37</c:v>
                </c:pt>
                <c:pt idx="16">
                  <c:v>-6306.51</c:v>
                </c:pt>
              </c:numCache>
            </c:numRef>
          </c:val>
          <c:extLst>
            <c:ext xmlns:c16="http://schemas.microsoft.com/office/drawing/2014/chart" uri="{C3380CC4-5D6E-409C-BE32-E72D297353CC}">
              <c16:uniqueId val="{00000002-F03B-42DC-87DA-2B19329F519B}"/>
            </c:ext>
          </c:extLst>
        </c:ser>
        <c:dLbls>
          <c:showLegendKey val="0"/>
          <c:showVal val="0"/>
          <c:showCatName val="0"/>
          <c:showSerName val="0"/>
          <c:showPercent val="0"/>
          <c:showBubbleSize val="0"/>
        </c:dLbls>
        <c:gapWidth val="199"/>
        <c:axId val="1796358416"/>
        <c:axId val="1707444832"/>
      </c:barChart>
      <c:catAx>
        <c:axId val="179635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707444832"/>
        <c:crosses val="autoZero"/>
        <c:auto val="1"/>
        <c:lblAlgn val="ctr"/>
        <c:lblOffset val="100"/>
        <c:noMultiLvlLbl val="0"/>
      </c:catAx>
      <c:valAx>
        <c:axId val="170744483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6358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571499</xdr:colOff>
      <xdr:row>0</xdr:row>
      <xdr:rowOff>1860549</xdr:rowOff>
    </xdr:to>
    <xdr:pic>
      <xdr:nvPicPr>
        <xdr:cNvPr id="2" name="Picture 1">
          <a:extLst>
            <a:ext uri="{FF2B5EF4-FFF2-40B4-BE49-F238E27FC236}">
              <a16:creationId xmlns:a16="http://schemas.microsoft.com/office/drawing/2014/main" id="{A87675DF-5FD7-4517-BE62-4FC5F4C2D4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62124" cy="1860549"/>
        </a:xfrm>
        <a:prstGeom prst="rect">
          <a:avLst/>
        </a:prstGeom>
      </xdr:spPr>
    </xdr:pic>
    <xdr:clientData/>
  </xdr:twoCellAnchor>
  <xdr:twoCellAnchor>
    <xdr:from>
      <xdr:col>15</xdr:col>
      <xdr:colOff>1202984</xdr:colOff>
      <xdr:row>26</xdr:row>
      <xdr:rowOff>112823</xdr:rowOff>
    </xdr:from>
    <xdr:to>
      <xdr:col>19</xdr:col>
      <xdr:colOff>1574307</xdr:colOff>
      <xdr:row>49</xdr:row>
      <xdr:rowOff>92528</xdr:rowOff>
    </xdr:to>
    <xdr:graphicFrame macro="">
      <xdr:nvGraphicFramePr>
        <xdr:cNvPr id="3" name="Chart 3">
          <a:extLst>
            <a:ext uri="{FF2B5EF4-FFF2-40B4-BE49-F238E27FC236}">
              <a16:creationId xmlns:a16="http://schemas.microsoft.com/office/drawing/2014/main" id="{53FB77B2-3300-4ACF-BF91-043AAA3FCBED}"/>
            </a:ext>
            <a:ext uri="{147F2762-F138-4A5C-976F-8EAC2B608ADB}">
              <a16:predDERef xmlns:a16="http://schemas.microsoft.com/office/drawing/2014/main" pred="{A87675DF-5FD7-4517-BE62-4FC5F4C2D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1226705</xdr:colOff>
      <xdr:row>50</xdr:row>
      <xdr:rowOff>43294</xdr:rowOff>
    </xdr:from>
    <xdr:to>
      <xdr:col>19</xdr:col>
      <xdr:colOff>1630796</xdr:colOff>
      <xdr:row>74</xdr:row>
      <xdr:rowOff>72158</xdr:rowOff>
    </xdr:to>
    <xdr:graphicFrame macro="">
      <xdr:nvGraphicFramePr>
        <xdr:cNvPr id="4" name="Chart 3">
          <a:extLst>
            <a:ext uri="{FF2B5EF4-FFF2-40B4-BE49-F238E27FC236}">
              <a16:creationId xmlns:a16="http://schemas.microsoft.com/office/drawing/2014/main" id="{69E64581-A2F9-441B-8FF6-957782417558}"/>
            </a:ext>
            <a:ext uri="{147F2762-F138-4A5C-976F-8EAC2B608ADB}">
              <a16:predDERef xmlns:a16="http://schemas.microsoft.com/office/drawing/2014/main" pred="{53FB77B2-3300-4ACF-BF91-043AAA3FC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623980</xdr:colOff>
      <xdr:row>0</xdr:row>
      <xdr:rowOff>1857374</xdr:rowOff>
    </xdr:to>
    <xdr:pic>
      <xdr:nvPicPr>
        <xdr:cNvPr id="2" name="Picture 1">
          <a:extLst>
            <a:ext uri="{FF2B5EF4-FFF2-40B4-BE49-F238E27FC236}">
              <a16:creationId xmlns:a16="http://schemas.microsoft.com/office/drawing/2014/main" id="{5795A210-769A-4D9B-B6FE-0CF08D621E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4130" cy="1857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91881259-7DEB-4563-B4E5-2260B16A81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9DB55797-A5DB-4C0F-8C16-BD0C6C9973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52A73535-6EB6-4E55-A179-C87C6E4235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DEC83EED-9647-4E80-8D3A-C00A1F1BC1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BDC1A657-3062-4567-9387-555C3D82E2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1BBB1F92-2729-4D3D-BA4E-94D4B799E9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1972097</xdr:colOff>
      <xdr:row>0</xdr:row>
      <xdr:rowOff>1867322</xdr:rowOff>
    </xdr:to>
    <xdr:pic>
      <xdr:nvPicPr>
        <xdr:cNvPr id="2" name="Picture 1">
          <a:extLst>
            <a:ext uri="{FF2B5EF4-FFF2-40B4-BE49-F238E27FC236}">
              <a16:creationId xmlns:a16="http://schemas.microsoft.com/office/drawing/2014/main" id="{0DF5DA18-467E-4976-B66D-D6978647CE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0"/>
          <a:ext cx="1829222" cy="1867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193674</xdr:colOff>
      <xdr:row>0</xdr:row>
      <xdr:rowOff>1857374</xdr:rowOff>
    </xdr:to>
    <xdr:pic>
      <xdr:nvPicPr>
        <xdr:cNvPr id="2" name="Picture 1">
          <a:extLst>
            <a:ext uri="{FF2B5EF4-FFF2-40B4-BE49-F238E27FC236}">
              <a16:creationId xmlns:a16="http://schemas.microsoft.com/office/drawing/2014/main" id="{CFF208A2-F878-4F82-A2A0-9310006C3D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89124" cy="1857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1819275</xdr:colOff>
      <xdr:row>0</xdr:row>
      <xdr:rowOff>1857375</xdr:rowOff>
    </xdr:to>
    <xdr:pic>
      <xdr:nvPicPr>
        <xdr:cNvPr id="2" name="Picture 1">
          <a:extLst>
            <a:ext uri="{FF2B5EF4-FFF2-40B4-BE49-F238E27FC236}">
              <a16:creationId xmlns:a16="http://schemas.microsoft.com/office/drawing/2014/main" id="{618E5CB0-5390-49F0-836D-A18D5D2D0A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193674</xdr:colOff>
      <xdr:row>0</xdr:row>
      <xdr:rowOff>1857374</xdr:rowOff>
    </xdr:to>
    <xdr:pic>
      <xdr:nvPicPr>
        <xdr:cNvPr id="2" name="Picture 1">
          <a:extLst>
            <a:ext uri="{FF2B5EF4-FFF2-40B4-BE49-F238E27FC236}">
              <a16:creationId xmlns:a16="http://schemas.microsoft.com/office/drawing/2014/main" id="{1174F2AD-05AE-4601-9C8E-5509DE9A9B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2924" cy="1857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55CB2652-3768-4030-8C22-F5967724B8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CBF6C741-6A0C-446B-8A65-6C41E39A9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63F5FEEA-4880-40C1-A359-E1BB0A3445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363683</xdr:colOff>
      <xdr:row>0</xdr:row>
      <xdr:rowOff>103909</xdr:rowOff>
    </xdr:from>
    <xdr:to>
      <xdr:col>0</xdr:col>
      <xdr:colOff>1735628</xdr:colOff>
      <xdr:row>0</xdr:row>
      <xdr:rowOff>1818285</xdr:rowOff>
    </xdr:to>
    <xdr:pic>
      <xdr:nvPicPr>
        <xdr:cNvPr id="3" name="Picture 1">
          <a:extLst>
            <a:ext uri="{FF2B5EF4-FFF2-40B4-BE49-F238E27FC236}">
              <a16:creationId xmlns:a16="http://schemas.microsoft.com/office/drawing/2014/main" id="{F633A7C7-5B36-4E6D-9A89-A8843CD39B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683" y="103909"/>
          <a:ext cx="1371945" cy="17143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1820355</xdr:colOff>
      <xdr:row>0</xdr:row>
      <xdr:rowOff>1858455</xdr:rowOff>
    </xdr:to>
    <xdr:pic>
      <xdr:nvPicPr>
        <xdr:cNvPr id="2" name="Picture 1">
          <a:extLst>
            <a:ext uri="{FF2B5EF4-FFF2-40B4-BE49-F238E27FC236}">
              <a16:creationId xmlns:a16="http://schemas.microsoft.com/office/drawing/2014/main" id="{0CABCCAE-4C32-43F9-9DC2-B3A280407A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0355" cy="18584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lena Vo" id="{F92059A5-4A81-43F8-8F8D-556B4707C206}" userId="S::services@engsoc.queensu.ca::3de88d32-4fe4-4584-8156-a9b5ee96cf9d" providerId="AD"/>
  <person displayName="Dalena Vo" id="{111169A0-2460-49E9-80DE-A0B696AFA699}" userId="S::services@engsoc.queensu.ca::7230004c-58f6-4ccc-903a-502832685622" providerId="AD"/>
  <person displayName="Christina Bisol" id="{8FCE0C30-9341-4498-9103-99C00AC4FB03}" userId="S::president@engsoc.queensu.ca::d2c2866a-7000-4950-9594-6cc2c4461bd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5" dT="2022-03-04T13:27:11.10" personId="{8FCE0C30-9341-4498-9103-99C00AC4FB03}" id="{70C2242B-80F4-4971-B569-F6C9B09899EE}">
    <text>incoming did not get hired until Nov
except for chief</text>
  </threadedComment>
</ThreadedComments>
</file>

<file path=xl/threadedComments/threadedComment2.xml><?xml version="1.0" encoding="utf-8"?>
<ThreadedComments xmlns="http://schemas.microsoft.com/office/spreadsheetml/2018/threadedcomments" xmlns:x="http://schemas.openxmlformats.org/spreadsheetml/2006/main">
  <threadedComment ref="K15" dT="2021-12-01T17:22:01.40" personId="{F92059A5-4A81-43F8-8F8D-556B4707C206}" id="{3919EF6A-5524-42DC-BE7D-00DC7137AB14}">
    <text>$90 for all head manager dinner in Dec 2021</text>
  </threadedComment>
</ThreadedComments>
</file>

<file path=xl/threadedComments/threadedComment3.xml><?xml version="1.0" encoding="utf-8"?>
<ThreadedComments xmlns="http://schemas.microsoft.com/office/spreadsheetml/2018/threadedcomments" xmlns:x="http://schemas.openxmlformats.org/spreadsheetml/2006/main">
  <threadedComment ref="L10" dT="2022-04-09T19:41:46.16" personId="{111169A0-2460-49E9-80DE-A0B696AFA699}" id="{2BB0FD4B-C71A-4C0A-B7CF-0FD0BCECCA1E}">
    <text>6 people at live dinner at Jack's + 5 people who missed the dinner got gift cards</text>
  </threadedComment>
  <threadedComment ref="K11" dT="2021-12-01T22:38:49.25" personId="{F92059A5-4A81-43F8-8F8D-556B4707C206}" id="{58D599A8-0550-4EA4-97F7-3A8DB5A6FEEC}">
    <text>9*30 for the DoS team, 3*30 for the DoA team (mistake with distributing budget over the summer, so these meals are included in this budget)</text>
  </threadedComment>
  <threadedComment ref="L12" dT="2022-04-09T19:40:53.80" personId="{111169A0-2460-49E9-80DE-A0B696AFA699}" id="{CF69FDE5-1D0F-4931-8A67-00305EF7C586}">
    <text>2 drink tickets each @ 7.50 * 100 people at the event</text>
  </threadedComment>
  <threadedComment ref="L12" dT="2022-04-09T19:43:21.16" personId="{111169A0-2460-49E9-80DE-A0B696AFA699}" id="{BC3A1A92-FA1C-4CD4-A4D2-47A503EB708C}" parentId="{CF69FDE5-1D0F-4931-8A67-00305EF7C586}">
    <text>+ $25 gift card for the BA that couldn't attend (underage)</text>
  </threadedComment>
  <threadedComment ref="C14" dT="2022-04-09T19:45:01.93" personId="{111169A0-2460-49E9-80DE-A0B696AFA699}" id="{18B75BC4-3E6D-4FDE-BC28-16530ECF74DA}">
    <text>switched this to get jacket patches for everyone</text>
  </threadedComment>
  <threadedComment ref="L14" dT="2022-04-09T19:44:47.40" personId="{111169A0-2460-49E9-80DE-A0B696AFA699}" id="{91A199E3-FD7B-4804-BAC9-BC72B7B3C02A}">
    <text>jacket patches for all managers</text>
  </threadedComment>
  <threadedComment ref="K15" dT="2021-12-01T22:36:29.53" personId="{F92059A5-4A81-43F8-8F8D-556B4707C206}" id="{65426B27-D54F-44F1-A9DA-DF2B3A5DEF36}">
    <text>showing the most recent transaction for this category - the stickers were purchased to supplement uber eats gift cards etc.</text>
  </threadedComment>
  <threadedComment ref="L19" dT="2022-04-09T19:42:31.65" personId="{111169A0-2460-49E9-80DE-A0B696AFA699}" id="{5421A4CF-D98D-487D-8997-AD56CA310C69}">
    <text>$15*4 for the first term, $60 keg gift card for winter term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clarkhallpub.ca/sample-page/" TargetMode="External"/><Relationship Id="rId1" Type="http://schemas.openxmlformats.org/officeDocument/2006/relationships/hyperlink" Target="http://clarkhallpub.ca/sample-page/"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F7CF-C7B9-4F26-A38E-7EF991D1C26F}">
  <sheetPr codeName="Sheet3"/>
  <dimension ref="A1:AO85"/>
  <sheetViews>
    <sheetView showGridLines="0" tabSelected="1" zoomScale="60" zoomScaleNormal="60" workbookViewId="0">
      <pane ySplit="2" topLeftCell="A3" activePane="bottomLeft" state="frozen"/>
      <selection pane="bottomLeft" activeCell="K68" sqref="K68"/>
      <selection activeCell="E17" sqref="E17"/>
    </sheetView>
  </sheetViews>
  <sheetFormatPr defaultColWidth="10.28515625" defaultRowHeight="14.85"/>
  <cols>
    <col min="1" max="1" width="17.85546875" style="68" customWidth="1"/>
    <col min="2" max="2" width="24" style="235" customWidth="1"/>
    <col min="3" max="3" width="25.140625" style="236" customWidth="1"/>
    <col min="4" max="4" width="37.85546875" style="68" customWidth="1"/>
    <col min="5" max="5" width="16.28515625" style="237" customWidth="1"/>
    <col min="6" max="6" width="8.5703125" style="238" customWidth="1"/>
    <col min="7" max="7" width="20.5703125" style="237" customWidth="1"/>
    <col min="8" max="8" width="19.42578125" style="237" customWidth="1"/>
    <col min="9" max="9" width="22" style="240" customWidth="1"/>
    <col min="10" max="10" width="22.28515625" style="241" customWidth="1"/>
    <col min="11" max="11" width="6" style="2" customWidth="1"/>
    <col min="14" max="14" width="14.85546875" style="155" customWidth="1"/>
    <col min="16" max="16" width="21" style="2" customWidth="1"/>
    <col min="17" max="17" width="17.5703125" style="2" customWidth="1"/>
    <col min="18" max="18" width="30" style="2" customWidth="1"/>
    <col min="19" max="20" width="24.5703125" style="2" customWidth="1"/>
    <col min="21" max="21" width="16.42578125" style="2" customWidth="1"/>
    <col min="24" max="24" width="31.140625" bestFit="1" customWidth="1"/>
    <col min="25" max="25" width="14.5703125" bestFit="1" customWidth="1"/>
    <col min="26" max="26" width="13.85546875" bestFit="1" customWidth="1"/>
    <col min="27" max="27" width="20" bestFit="1" customWidth="1"/>
    <col min="28" max="28" width="14.140625" bestFit="1" customWidth="1"/>
    <col min="29" max="29" width="20" style="155" bestFit="1" customWidth="1"/>
    <col min="30" max="30" width="15.140625" customWidth="1"/>
    <col min="31" max="31" width="18.5703125" style="155" bestFit="1" customWidth="1"/>
    <col min="32" max="32" width="14.85546875" style="155" customWidth="1"/>
    <col min="33" max="33" width="18.5703125" bestFit="1" customWidth="1"/>
    <col min="35" max="35" width="10.28515625" style="2"/>
    <col min="36" max="36" width="20.7109375" style="2" customWidth="1"/>
    <col min="37" max="37" width="10.28515625" style="2"/>
    <col min="38" max="38" width="6.140625" style="2" customWidth="1"/>
    <col min="39" max="39" width="10.28515625" style="2"/>
    <col min="40" max="40" width="12.28515625" style="2" bestFit="1" customWidth="1"/>
    <col min="41" max="41" width="13.85546875" customWidth="1"/>
    <col min="42" max="16384" width="10.28515625" style="2"/>
  </cols>
  <sheetData>
    <row r="1" spans="1:41" ht="153" customHeight="1">
      <c r="A1" s="62"/>
      <c r="B1" s="389" t="s">
        <v>0</v>
      </c>
      <c r="C1" s="389"/>
      <c r="D1" s="389"/>
      <c r="E1" s="389"/>
      <c r="F1" s="389"/>
      <c r="G1" s="389"/>
      <c r="H1" s="389"/>
      <c r="I1" s="389"/>
      <c r="J1" s="389"/>
    </row>
    <row r="2" spans="1:41" s="160" customFormat="1" ht="15" customHeight="1">
      <c r="A2" s="110" t="s">
        <v>1</v>
      </c>
      <c r="B2" s="110" t="s">
        <v>2</v>
      </c>
      <c r="C2" s="156" t="s">
        <v>3</v>
      </c>
      <c r="D2" s="110" t="s">
        <v>4</v>
      </c>
      <c r="E2" s="157" t="s">
        <v>5</v>
      </c>
      <c r="F2" s="110" t="s">
        <v>6</v>
      </c>
      <c r="G2" s="157" t="s">
        <v>7</v>
      </c>
      <c r="H2" s="157" t="s">
        <v>8</v>
      </c>
      <c r="I2" s="158" t="s">
        <v>9</v>
      </c>
      <c r="J2" s="159" t="s">
        <v>10</v>
      </c>
      <c r="N2" s="161"/>
      <c r="P2" s="390" t="s">
        <v>11</v>
      </c>
      <c r="Q2" s="391"/>
      <c r="R2" s="391"/>
      <c r="S2" s="391"/>
      <c r="T2" s="391"/>
      <c r="U2" s="392"/>
      <c r="X2" s="390" t="s">
        <v>12</v>
      </c>
      <c r="Y2" s="391"/>
      <c r="Z2" s="391"/>
      <c r="AA2" s="391"/>
      <c r="AB2" s="391"/>
      <c r="AC2" s="392"/>
      <c r="AE2" s="161"/>
      <c r="AF2" s="161"/>
      <c r="AO2"/>
    </row>
    <row r="3" spans="1:41" ht="14.25" customHeight="1">
      <c r="A3" s="62"/>
      <c r="B3" s="61"/>
      <c r="C3" s="162"/>
      <c r="D3" s="62"/>
      <c r="E3" s="8"/>
      <c r="F3" s="9"/>
      <c r="G3" s="8"/>
      <c r="H3" s="8"/>
      <c r="I3" s="163"/>
      <c r="J3" s="164"/>
      <c r="P3" s="165"/>
      <c r="U3" s="166"/>
      <c r="X3" s="167" t="s">
        <v>13</v>
      </c>
      <c r="Y3" s="168" t="s">
        <v>5</v>
      </c>
      <c r="Z3" s="169" t="s">
        <v>6</v>
      </c>
      <c r="AA3" s="168" t="s">
        <v>8</v>
      </c>
      <c r="AB3" s="168" t="s">
        <v>10</v>
      </c>
      <c r="AC3" s="169" t="s">
        <v>14</v>
      </c>
    </row>
    <row r="4" spans="1:41" ht="15" customHeight="1">
      <c r="A4" s="170" t="s">
        <v>15</v>
      </c>
      <c r="B4" s="171"/>
      <c r="C4" s="172"/>
      <c r="D4" s="173"/>
      <c r="E4" s="14"/>
      <c r="F4" s="15"/>
      <c r="G4" s="14"/>
      <c r="H4" s="14"/>
      <c r="I4" s="174"/>
      <c r="J4" s="175"/>
      <c r="P4" s="176" t="s">
        <v>16</v>
      </c>
      <c r="Q4" s="177" t="s">
        <v>17</v>
      </c>
      <c r="R4" s="177" t="s">
        <v>1</v>
      </c>
      <c r="S4" s="177" t="s">
        <v>18</v>
      </c>
      <c r="T4" s="177" t="s">
        <v>9</v>
      </c>
      <c r="U4" s="178" t="s">
        <v>10</v>
      </c>
      <c r="X4" s="179"/>
      <c r="Y4" s="155"/>
      <c r="AA4" s="155"/>
      <c r="AB4" s="155"/>
    </row>
    <row r="5" spans="1:41" ht="15">
      <c r="A5" s="393" t="s">
        <v>13</v>
      </c>
      <c r="B5" s="393"/>
      <c r="C5" s="393"/>
      <c r="D5" s="393"/>
      <c r="E5" s="393"/>
      <c r="F5" s="393"/>
      <c r="G5" s="393"/>
      <c r="H5" s="393"/>
      <c r="I5" s="393"/>
      <c r="J5" s="394"/>
      <c r="P5" s="180">
        <f>RANK(Q5,$Q$5:$Q$21)</f>
        <v>13</v>
      </c>
      <c r="Q5" s="181">
        <f>S5/$H$36</f>
        <v>-9.6383328087539299E-2</v>
      </c>
      <c r="R5" s="2" t="s">
        <v>19</v>
      </c>
      <c r="S5" s="182">
        <f t="shared" ref="S5:U21" si="0">H18</f>
        <v>-22174.034999999996</v>
      </c>
      <c r="T5" s="182">
        <f t="shared" si="0"/>
        <v>-9235</v>
      </c>
      <c r="U5" s="183">
        <f t="shared" si="0"/>
        <v>-10415</v>
      </c>
      <c r="X5" s="184"/>
      <c r="Y5" s="155"/>
      <c r="AA5" s="155"/>
      <c r="AB5" s="155"/>
    </row>
    <row r="6" spans="1:41" ht="15">
      <c r="A6" s="62"/>
      <c r="B6" s="61">
        <v>0</v>
      </c>
      <c r="C6" s="162" t="s">
        <v>20</v>
      </c>
      <c r="D6" s="62" t="s">
        <v>21</v>
      </c>
      <c r="E6" s="185">
        <v>82.33</v>
      </c>
      <c r="F6" s="9">
        <v>3967</v>
      </c>
      <c r="G6" s="185">
        <f>E6*F6</f>
        <v>326603.11</v>
      </c>
      <c r="H6" s="185">
        <f>G6</f>
        <v>326603.11</v>
      </c>
      <c r="I6" s="186"/>
      <c r="J6" s="187">
        <v>288386.25</v>
      </c>
      <c r="K6" s="2" t="s">
        <v>22</v>
      </c>
      <c r="P6" s="180">
        <f t="shared" ref="P6:P21" si="1">RANK(Q6,$Q$5:$Q$21)</f>
        <v>17</v>
      </c>
      <c r="Q6" s="181">
        <f t="shared" ref="Q6:Q21" si="2">S6/$H$36</f>
        <v>-0.16987732209597245</v>
      </c>
      <c r="R6" s="2" t="s">
        <v>23</v>
      </c>
      <c r="S6" s="182">
        <f t="shared" si="0"/>
        <v>-39082.129249999998</v>
      </c>
      <c r="T6" s="182">
        <f t="shared" si="0"/>
        <v>0</v>
      </c>
      <c r="U6" s="183">
        <f t="shared" si="0"/>
        <v>-34363.753199999999</v>
      </c>
      <c r="X6" s="184"/>
      <c r="Y6" s="155"/>
      <c r="AA6" s="155"/>
      <c r="AB6" s="155"/>
    </row>
    <row r="7" spans="1:41" ht="15">
      <c r="A7" s="62"/>
      <c r="B7" s="61">
        <v>1</v>
      </c>
      <c r="C7" s="162" t="s">
        <v>24</v>
      </c>
      <c r="D7" s="62"/>
      <c r="E7" s="185">
        <v>7834.49</v>
      </c>
      <c r="F7" s="9">
        <v>12</v>
      </c>
      <c r="G7" s="185">
        <f>E7*F7</f>
        <v>94013.88</v>
      </c>
      <c r="H7" s="185">
        <f>G7</f>
        <v>94013.88</v>
      </c>
      <c r="I7" s="186"/>
      <c r="J7" s="382">
        <f>7455.57*8</f>
        <v>59644.56</v>
      </c>
      <c r="K7" s="2" t="s">
        <v>25</v>
      </c>
      <c r="P7" s="180">
        <f t="shared" si="1"/>
        <v>3</v>
      </c>
      <c r="Q7" s="181">
        <f t="shared" si="2"/>
        <v>-2.2443718370626652E-2</v>
      </c>
      <c r="R7" s="2" t="s">
        <v>26</v>
      </c>
      <c r="S7" s="182">
        <f t="shared" si="0"/>
        <v>-5163.4219999999996</v>
      </c>
      <c r="T7" s="182">
        <f t="shared" si="0"/>
        <v>0</v>
      </c>
      <c r="U7" s="183">
        <f t="shared" si="0"/>
        <v>-3701.1799999999994</v>
      </c>
      <c r="X7" s="179"/>
      <c r="Y7" s="155"/>
      <c r="AA7" s="155"/>
      <c r="AB7" s="155"/>
    </row>
    <row r="8" spans="1:41" ht="15">
      <c r="A8" s="62"/>
      <c r="B8" s="61">
        <v>2</v>
      </c>
      <c r="C8" s="162" t="s">
        <v>27</v>
      </c>
      <c r="D8" s="62" t="s">
        <v>28</v>
      </c>
      <c r="E8" s="185">
        <v>8000</v>
      </c>
      <c r="F8" s="9">
        <v>1</v>
      </c>
      <c r="G8" s="185">
        <f>E8*F8</f>
        <v>8000</v>
      </c>
      <c r="H8" s="185">
        <f>G8</f>
        <v>8000</v>
      </c>
      <c r="I8" s="186"/>
      <c r="J8" s="381">
        <v>5550</v>
      </c>
      <c r="P8" s="180">
        <f t="shared" si="1"/>
        <v>2</v>
      </c>
      <c r="Q8" s="181">
        <f>S8/$H$36</f>
        <v>-1.0878651144619243E-2</v>
      </c>
      <c r="R8" s="2" t="s">
        <v>29</v>
      </c>
      <c r="S8" s="182">
        <f t="shared" si="0"/>
        <v>-2502.7522499999995</v>
      </c>
      <c r="T8" s="182">
        <f t="shared" si="0"/>
        <v>-90</v>
      </c>
      <c r="U8" s="183">
        <f t="shared" si="0"/>
        <v>-1050</v>
      </c>
      <c r="X8" s="179"/>
      <c r="Y8" s="155"/>
      <c r="AA8" s="155"/>
      <c r="AB8" s="155"/>
    </row>
    <row r="9" spans="1:41" ht="15">
      <c r="A9" s="62"/>
      <c r="B9" s="61">
        <v>3</v>
      </c>
      <c r="C9" s="162" t="s">
        <v>30</v>
      </c>
      <c r="D9" s="62"/>
      <c r="E9" s="185">
        <v>3429.03</v>
      </c>
      <c r="F9" s="9">
        <v>12</v>
      </c>
      <c r="G9" s="185">
        <f>E9*F9</f>
        <v>41148.36</v>
      </c>
      <c r="H9" s="185">
        <f>G9</f>
        <v>41148.36</v>
      </c>
      <c r="I9" s="186"/>
      <c r="J9" s="187">
        <f>3463.33*12</f>
        <v>41559.96</v>
      </c>
      <c r="P9" s="180">
        <f t="shared" si="1"/>
        <v>9</v>
      </c>
      <c r="Q9" s="181">
        <f t="shared" si="2"/>
        <v>-4.6340084727446863E-2</v>
      </c>
      <c r="R9" s="2" t="s">
        <v>31</v>
      </c>
      <c r="S9" s="182">
        <f t="shared" si="0"/>
        <v>-10661.041499999999</v>
      </c>
      <c r="T9" s="182">
        <f t="shared" si="0"/>
        <v>0</v>
      </c>
      <c r="U9" s="183">
        <f t="shared" si="0"/>
        <v>-7676.7987000000003</v>
      </c>
      <c r="X9" s="188" t="s">
        <v>32</v>
      </c>
      <c r="Y9" s="189"/>
      <c r="Z9" s="190"/>
      <c r="AA9" s="189">
        <f>SUM(AA4:AA8)</f>
        <v>0</v>
      </c>
      <c r="AB9" s="189">
        <f>SUM(AB4:AB8)</f>
        <v>0</v>
      </c>
      <c r="AC9" s="189">
        <f>SUM(AC4:AC8)</f>
        <v>0</v>
      </c>
    </row>
    <row r="10" spans="1:41" ht="15">
      <c r="A10" s="62"/>
      <c r="B10" s="61">
        <v>4</v>
      </c>
      <c r="C10" s="162" t="s">
        <v>33</v>
      </c>
      <c r="D10" s="62"/>
      <c r="E10" s="185">
        <v>0</v>
      </c>
      <c r="F10" s="9">
        <v>0</v>
      </c>
      <c r="G10" s="185">
        <f>E10*F10</f>
        <v>0</v>
      </c>
      <c r="H10" s="185">
        <f>G10</f>
        <v>0</v>
      </c>
      <c r="I10" s="186"/>
      <c r="J10" s="187"/>
      <c r="K10" s="2" t="s">
        <v>34</v>
      </c>
      <c r="P10" s="180">
        <f t="shared" si="1"/>
        <v>7</v>
      </c>
      <c r="Q10" s="181">
        <f t="shared" si="2"/>
        <v>-3.9631626166016065E-2</v>
      </c>
      <c r="R10" s="2" t="s">
        <v>35</v>
      </c>
      <c r="S10" s="182">
        <f t="shared" si="0"/>
        <v>-9117.6875</v>
      </c>
      <c r="T10" s="182">
        <f t="shared" si="0"/>
        <v>0</v>
      </c>
      <c r="U10" s="183">
        <f t="shared" si="0"/>
        <v>-3580</v>
      </c>
      <c r="Y10" s="155"/>
      <c r="AA10" s="155"/>
      <c r="AB10" s="155"/>
      <c r="AC10"/>
    </row>
    <row r="11" spans="1:41" ht="15">
      <c r="A11" s="62"/>
      <c r="B11" s="61"/>
      <c r="C11" s="162"/>
      <c r="D11" s="62"/>
      <c r="E11" s="185"/>
      <c r="F11" s="9"/>
      <c r="G11" s="185"/>
      <c r="H11" s="185"/>
      <c r="I11" s="186"/>
      <c r="J11" s="191"/>
      <c r="P11" s="180">
        <f t="shared" si="1"/>
        <v>5</v>
      </c>
      <c r="Q11" s="181">
        <f t="shared" si="2"/>
        <v>-2.9343857701833283E-2</v>
      </c>
      <c r="R11" s="2" t="s">
        <v>36</v>
      </c>
      <c r="S11" s="182">
        <f t="shared" si="0"/>
        <v>-6750.8742499999989</v>
      </c>
      <c r="T11" s="182">
        <f t="shared" si="0"/>
        <v>0</v>
      </c>
      <c r="U11" s="183">
        <f t="shared" si="0"/>
        <v>-1415</v>
      </c>
      <c r="Y11" s="155"/>
      <c r="AA11" s="155"/>
      <c r="AB11" s="155"/>
      <c r="AC11"/>
    </row>
    <row r="12" spans="1:41" s="27" customFormat="1" ht="15">
      <c r="A12" s="192"/>
      <c r="B12" s="193" t="s">
        <v>37</v>
      </c>
      <c r="C12" s="194"/>
      <c r="D12" s="195" t="s">
        <v>38</v>
      </c>
      <c r="E12" s="24"/>
      <c r="F12" s="25"/>
      <c r="G12" s="24"/>
      <c r="H12" s="24">
        <f>SUM(H6:H10)</f>
        <v>469765.35</v>
      </c>
      <c r="I12" s="196">
        <f>SUM(I6:I10)</f>
        <v>0</v>
      </c>
      <c r="J12" s="197">
        <f>SUM(J6:J10)</f>
        <v>395140.77</v>
      </c>
      <c r="N12" s="198"/>
      <c r="P12" s="180">
        <f t="shared" si="1"/>
        <v>8</v>
      </c>
      <c r="Q12" s="181">
        <f>S12/$H$36</f>
        <v>-4.2876446371862616E-2</v>
      </c>
      <c r="R12" s="2" t="s">
        <v>39</v>
      </c>
      <c r="S12" s="182">
        <f t="shared" si="0"/>
        <v>-9864.1937499999985</v>
      </c>
      <c r="T12" s="182">
        <f t="shared" si="0"/>
        <v>0</v>
      </c>
      <c r="U12" s="183">
        <f t="shared" si="0"/>
        <v>-3706.8519999999994</v>
      </c>
      <c r="X12" s="167" t="s">
        <v>40</v>
      </c>
      <c r="Y12" s="168" t="s">
        <v>8</v>
      </c>
      <c r="Z12" s="168" t="s">
        <v>10</v>
      </c>
      <c r="AA12" s="169" t="s">
        <v>14</v>
      </c>
      <c r="AB12" s="155"/>
      <c r="AC12" s="199"/>
      <c r="AE12" s="198"/>
      <c r="AF12" s="198"/>
      <c r="AO12"/>
    </row>
    <row r="13" spans="1:41" ht="15">
      <c r="A13" s="62"/>
      <c r="B13" s="61"/>
      <c r="C13" s="162"/>
      <c r="D13" s="62"/>
      <c r="E13" s="185"/>
      <c r="F13" s="9"/>
      <c r="G13" s="185"/>
      <c r="H13" s="185"/>
      <c r="I13" s="186"/>
      <c r="J13" s="191"/>
      <c r="P13" s="180">
        <f t="shared" si="1"/>
        <v>15</v>
      </c>
      <c r="Q13" s="181">
        <f t="shared" si="2"/>
        <v>-0.10910111293070603</v>
      </c>
      <c r="R13" s="2" t="s">
        <v>41</v>
      </c>
      <c r="S13" s="182">
        <f t="shared" si="0"/>
        <v>-25099.9</v>
      </c>
      <c r="T13" s="182">
        <f t="shared" si="0"/>
        <v>-8063.4500000000007</v>
      </c>
      <c r="U13" s="183">
        <f t="shared" si="0"/>
        <v>-10488.648799999999</v>
      </c>
      <c r="X13" s="179"/>
      <c r="Y13" s="155"/>
      <c r="Z13" s="155"/>
      <c r="AA13" s="155"/>
      <c r="AB13" s="155"/>
      <c r="AC13" s="200"/>
    </row>
    <row r="14" spans="1:41" s="53" customFormat="1" ht="15">
      <c r="A14" s="201"/>
      <c r="B14" s="202" t="s">
        <v>42</v>
      </c>
      <c r="C14" s="203"/>
      <c r="D14" s="204"/>
      <c r="E14" s="32"/>
      <c r="F14" s="33"/>
      <c r="G14" s="32"/>
      <c r="H14" s="32">
        <f>H12</f>
        <v>469765.35</v>
      </c>
      <c r="I14" s="205">
        <f t="shared" ref="I14:J14" si="3">I12</f>
        <v>0</v>
      </c>
      <c r="J14" s="206">
        <f t="shared" si="3"/>
        <v>395140.77</v>
      </c>
      <c r="L14" s="53">
        <f>J14/H14</f>
        <v>0.84114498866295706</v>
      </c>
      <c r="N14" s="207"/>
      <c r="P14" s="180">
        <f t="shared" si="1"/>
        <v>10</v>
      </c>
      <c r="Q14" s="181">
        <f t="shared" si="2"/>
        <v>-4.7866163271184266E-2</v>
      </c>
      <c r="R14" s="2" t="s">
        <v>43</v>
      </c>
      <c r="S14" s="182">
        <f t="shared" si="0"/>
        <v>-11012.1325</v>
      </c>
      <c r="T14" s="182">
        <f t="shared" si="0"/>
        <v>0</v>
      </c>
      <c r="U14" s="183">
        <f t="shared" si="0"/>
        <v>-6120</v>
      </c>
      <c r="X14" s="184"/>
      <c r="Y14" s="155"/>
      <c r="Z14" s="155"/>
      <c r="AA14" s="155"/>
      <c r="AB14" s="155"/>
      <c r="AC14"/>
      <c r="AE14" s="207"/>
      <c r="AF14" s="207"/>
      <c r="AO14"/>
    </row>
    <row r="15" spans="1:41" ht="15">
      <c r="A15" s="62"/>
      <c r="B15" s="61"/>
      <c r="C15" s="162"/>
      <c r="D15" s="62"/>
      <c r="E15" s="185"/>
      <c r="F15" s="9"/>
      <c r="G15" s="185"/>
      <c r="H15" s="185"/>
      <c r="I15" s="186"/>
      <c r="J15" s="191"/>
      <c r="P15" s="180">
        <f t="shared" si="1"/>
        <v>11</v>
      </c>
      <c r="Q15" s="181">
        <f t="shared" si="2"/>
        <v>-4.906075730058479E-2</v>
      </c>
      <c r="R15" s="2" t="s">
        <v>44</v>
      </c>
      <c r="S15" s="182">
        <f t="shared" si="0"/>
        <v>-11286.961874999997</v>
      </c>
      <c r="T15" s="182">
        <f t="shared" si="0"/>
        <v>0</v>
      </c>
      <c r="U15" s="183">
        <f t="shared" si="0"/>
        <v>-3150</v>
      </c>
      <c r="X15" s="184"/>
      <c r="Y15" s="155"/>
      <c r="Z15" s="155"/>
      <c r="AA15" s="155"/>
      <c r="AB15" s="155"/>
      <c r="AC15"/>
    </row>
    <row r="16" spans="1:41" ht="15" customHeight="1">
      <c r="A16" s="170" t="s">
        <v>40</v>
      </c>
      <c r="B16" s="171"/>
      <c r="C16" s="172"/>
      <c r="D16" s="173"/>
      <c r="E16" s="14"/>
      <c r="F16" s="15"/>
      <c r="G16" s="14"/>
      <c r="H16" s="14"/>
      <c r="I16" s="174"/>
      <c r="J16" s="208"/>
      <c r="P16" s="180">
        <f t="shared" si="1"/>
        <v>1</v>
      </c>
      <c r="Q16" s="181">
        <f t="shared" si="2"/>
        <v>-7.4904080437706577E-3</v>
      </c>
      <c r="R16" s="2" t="s">
        <v>45</v>
      </c>
      <c r="S16" s="182">
        <f t="shared" si="0"/>
        <v>-1723.2499999999998</v>
      </c>
      <c r="T16" s="182">
        <f t="shared" si="0"/>
        <v>0</v>
      </c>
      <c r="U16" s="183">
        <f t="shared" si="0"/>
        <v>-100</v>
      </c>
      <c r="X16" s="179"/>
      <c r="Y16" s="155"/>
      <c r="Z16" s="155"/>
      <c r="AA16" s="155"/>
      <c r="AB16" s="155"/>
      <c r="AC16"/>
    </row>
    <row r="17" spans="1:29" ht="15">
      <c r="A17" s="393" t="s">
        <v>46</v>
      </c>
      <c r="B17" s="393"/>
      <c r="C17" s="393"/>
      <c r="D17" s="393"/>
      <c r="E17" s="393"/>
      <c r="F17" s="393"/>
      <c r="G17" s="393"/>
      <c r="H17" s="393"/>
      <c r="I17" s="393"/>
      <c r="J17" s="395"/>
      <c r="P17" s="180">
        <f t="shared" si="1"/>
        <v>4</v>
      </c>
      <c r="Q17" s="181">
        <f t="shared" si="2"/>
        <v>-2.2750409992939351E-2</v>
      </c>
      <c r="R17" s="2" t="s">
        <v>47</v>
      </c>
      <c r="S17" s="182">
        <f t="shared" si="0"/>
        <v>-5233.9797499999995</v>
      </c>
      <c r="T17" s="182">
        <f t="shared" si="0"/>
        <v>0</v>
      </c>
      <c r="U17" s="183">
        <f t="shared" si="0"/>
        <v>-2440</v>
      </c>
      <c r="X17" s="179"/>
      <c r="Y17" s="155"/>
      <c r="Z17" s="155"/>
      <c r="AA17" s="155"/>
      <c r="AB17" s="155"/>
      <c r="AC17"/>
    </row>
    <row r="18" spans="1:29" ht="15">
      <c r="A18" s="62"/>
      <c r="B18" s="61">
        <v>5</v>
      </c>
      <c r="C18" s="162" t="s">
        <v>19</v>
      </c>
      <c r="D18" s="112" t="s">
        <v>48</v>
      </c>
      <c r="E18" s="185"/>
      <c r="F18" s="9"/>
      <c r="G18" s="66"/>
      <c r="H18" s="185">
        <f>'1. President'!J48</f>
        <v>-22174.034999999996</v>
      </c>
      <c r="I18" s="185">
        <f>'1. President'!K48</f>
        <v>-9235</v>
      </c>
      <c r="J18" s="209">
        <f>'1. President'!L48</f>
        <v>-10415</v>
      </c>
      <c r="L18">
        <v>9235</v>
      </c>
      <c r="P18" s="180">
        <f t="shared" si="1"/>
        <v>16</v>
      </c>
      <c r="Q18" s="181">
        <f t="shared" si="2"/>
        <v>-0.12045282849437805</v>
      </c>
      <c r="R18" s="2" t="s">
        <v>49</v>
      </c>
      <c r="S18" s="182">
        <f t="shared" si="0"/>
        <v>-27711.485874999998</v>
      </c>
      <c r="T18" s="182">
        <f t="shared" si="0"/>
        <v>-3580.96</v>
      </c>
      <c r="U18" s="183">
        <f t="shared" si="0"/>
        <v>-7178.59</v>
      </c>
      <c r="X18" s="188" t="s">
        <v>32</v>
      </c>
      <c r="Y18" s="189">
        <f>SUM(Y13:Y17)</f>
        <v>0</v>
      </c>
      <c r="Z18" s="189">
        <f t="shared" ref="Z18:AA18" si="4">SUM(Z13:Z17)</f>
        <v>0</v>
      </c>
      <c r="AA18" s="189">
        <f t="shared" si="4"/>
        <v>0</v>
      </c>
      <c r="AB18" s="155"/>
      <c r="AC18"/>
    </row>
    <row r="19" spans="1:29" ht="15">
      <c r="A19" s="62"/>
      <c r="B19" s="61">
        <v>6</v>
      </c>
      <c r="C19" s="162" t="s">
        <v>23</v>
      </c>
      <c r="D19" s="112" t="s">
        <v>50</v>
      </c>
      <c r="E19" s="185"/>
      <c r="F19" s="9"/>
      <c r="G19" s="66"/>
      <c r="H19" s="185">
        <f>'2. VPOPs'!J41</f>
        <v>-39082.129249999998</v>
      </c>
      <c r="I19" s="185">
        <f>'2. VPOPs'!K41</f>
        <v>0</v>
      </c>
      <c r="J19" s="209">
        <f>'2. VPOPs'!L41</f>
        <v>-34363.753199999999</v>
      </c>
      <c r="L19">
        <v>32783</v>
      </c>
      <c r="P19" s="180">
        <f t="shared" si="1"/>
        <v>14</v>
      </c>
      <c r="Q19" s="181">
        <f t="shared" si="2"/>
        <v>-0.10159713185027923</v>
      </c>
      <c r="R19" s="2" t="s">
        <v>51</v>
      </c>
      <c r="S19" s="182">
        <f t="shared" si="0"/>
        <v>-23373.527374999998</v>
      </c>
      <c r="T19" s="182">
        <f t="shared" si="0"/>
        <v>0</v>
      </c>
      <c r="U19" s="183">
        <f t="shared" si="0"/>
        <v>-4911.67</v>
      </c>
      <c r="Y19" s="155"/>
      <c r="AA19" s="155"/>
      <c r="AB19" s="155"/>
      <c r="AC19"/>
    </row>
    <row r="20" spans="1:29" ht="30.75">
      <c r="A20" s="62"/>
      <c r="B20" s="61">
        <v>7</v>
      </c>
      <c r="C20" s="162" t="s">
        <v>26</v>
      </c>
      <c r="D20" s="112" t="s">
        <v>52</v>
      </c>
      <c r="E20" s="185"/>
      <c r="F20" s="9"/>
      <c r="G20" s="66"/>
      <c r="H20" s="185">
        <f>'3. VPSA'!J34</f>
        <v>-5163.4219999999996</v>
      </c>
      <c r="I20" s="185">
        <f>'3. VPSA'!K34</f>
        <v>0</v>
      </c>
      <c r="J20" s="209">
        <f>'3. VPSA'!L34</f>
        <v>-3701.1799999999994</v>
      </c>
      <c r="L20">
        <v>1138</v>
      </c>
      <c r="P20" s="180">
        <f t="shared" si="1"/>
        <v>6</v>
      </c>
      <c r="Q20" s="181">
        <f t="shared" si="2"/>
        <v>-3.0759790409254917E-2</v>
      </c>
      <c r="R20" s="2" t="s">
        <v>53</v>
      </c>
      <c r="S20" s="182">
        <f t="shared" si="0"/>
        <v>-7076.625</v>
      </c>
      <c r="T20" s="182">
        <f t="shared" si="0"/>
        <v>-386.43</v>
      </c>
      <c r="U20" s="183">
        <f t="shared" si="0"/>
        <v>-3088.37</v>
      </c>
      <c r="Y20" s="155"/>
      <c r="AA20" s="155"/>
      <c r="AB20" s="155"/>
      <c r="AC20"/>
    </row>
    <row r="21" spans="1:29" ht="15">
      <c r="A21" s="62"/>
      <c r="B21" s="61">
        <v>8</v>
      </c>
      <c r="C21" s="162" t="s">
        <v>29</v>
      </c>
      <c r="D21" s="112" t="s">
        <v>54</v>
      </c>
      <c r="E21" s="185"/>
      <c r="F21" s="9"/>
      <c r="G21" s="66"/>
      <c r="H21" s="185">
        <f>'4. DoA'!J30</f>
        <v>-2502.7522499999995</v>
      </c>
      <c r="I21" s="185">
        <f>'4. DoA'!K30</f>
        <v>-90</v>
      </c>
      <c r="J21" s="209">
        <f>'4. DoA'!L30</f>
        <v>-1050</v>
      </c>
      <c r="L21">
        <v>90</v>
      </c>
      <c r="P21" s="180">
        <f t="shared" si="1"/>
        <v>12</v>
      </c>
      <c r="Q21" s="181">
        <f t="shared" si="2"/>
        <v>-5.3146363040986196E-2</v>
      </c>
      <c r="R21" s="2" t="s">
        <v>55</v>
      </c>
      <c r="S21" s="182">
        <f t="shared" si="0"/>
        <v>-12226.9</v>
      </c>
      <c r="T21" s="182">
        <f t="shared" si="0"/>
        <v>-6306.51</v>
      </c>
      <c r="U21" s="183">
        <f t="shared" si="0"/>
        <v>-6306.51</v>
      </c>
      <c r="X21" s="167" t="s">
        <v>56</v>
      </c>
      <c r="Y21" s="168" t="s">
        <v>8</v>
      </c>
      <c r="Z21" s="168" t="s">
        <v>10</v>
      </c>
      <c r="AA21" s="169" t="s">
        <v>14</v>
      </c>
      <c r="AB21" s="155"/>
      <c r="AC21"/>
    </row>
    <row r="22" spans="1:29" ht="15">
      <c r="A22" s="62"/>
      <c r="B22" s="61">
        <v>9</v>
      </c>
      <c r="C22" s="162" t="s">
        <v>31</v>
      </c>
      <c r="D22" s="112" t="s">
        <v>57</v>
      </c>
      <c r="E22" s="185"/>
      <c r="F22" s="9"/>
      <c r="G22" s="66"/>
      <c r="H22" s="185">
        <f>'5. DoComm'!J39</f>
        <v>-10661.041499999999</v>
      </c>
      <c r="I22" s="185">
        <f>'5. DoComm'!K39</f>
        <v>0</v>
      </c>
      <c r="J22" s="209">
        <f>'5. DoComm'!L39</f>
        <v>-7676.7987000000003</v>
      </c>
      <c r="L22">
        <v>6430</v>
      </c>
      <c r="P22" s="180"/>
      <c r="Q22" s="68"/>
      <c r="U22" s="166"/>
      <c r="X22" s="179" t="s">
        <v>58</v>
      </c>
      <c r="Y22" s="155">
        <f>AA9</f>
        <v>0</v>
      </c>
      <c r="Z22" s="155">
        <f>AB9</f>
        <v>0</v>
      </c>
      <c r="AA22" s="155">
        <f>AC9</f>
        <v>0</v>
      </c>
      <c r="AB22" s="155"/>
      <c r="AC22"/>
    </row>
    <row r="23" spans="1:29" ht="15">
      <c r="A23" s="62"/>
      <c r="B23" s="61">
        <v>10</v>
      </c>
      <c r="C23" s="162" t="s">
        <v>59</v>
      </c>
      <c r="D23" s="112" t="s">
        <v>60</v>
      </c>
      <c r="E23" s="185"/>
      <c r="F23" s="9"/>
      <c r="G23" s="66"/>
      <c r="H23" s="185">
        <f>'6. DoCC'!J40</f>
        <v>-9117.6875</v>
      </c>
      <c r="I23" s="185">
        <f>'6. DoCC'!K40</f>
        <v>0</v>
      </c>
      <c r="J23" s="209">
        <f>'6. DoCC'!L40</f>
        <v>-3580</v>
      </c>
      <c r="P23" s="180">
        <f>RANK(Q23,$Q$23:$Q$26)</f>
        <v>1</v>
      </c>
      <c r="Q23" s="181">
        <f>S23/$H$68</f>
        <v>0.48418378184506045</v>
      </c>
      <c r="R23" s="2" t="s">
        <v>61</v>
      </c>
      <c r="S23" s="182">
        <f>H36</f>
        <v>230060.897875</v>
      </c>
      <c r="T23" s="182">
        <f>I36</f>
        <v>-27662.35</v>
      </c>
      <c r="U23" s="183">
        <f>J36</f>
        <v>-109692.37269999998</v>
      </c>
      <c r="X23" s="184" t="s">
        <v>62</v>
      </c>
      <c r="Y23" s="155">
        <f>Y18</f>
        <v>0</v>
      </c>
      <c r="Z23" s="155">
        <f>Z18</f>
        <v>0</v>
      </c>
      <c r="AA23" s="155">
        <f>AA18</f>
        <v>0</v>
      </c>
      <c r="AB23" s="155"/>
      <c r="AC23"/>
    </row>
    <row r="24" spans="1:29" ht="15">
      <c r="A24" s="62"/>
      <c r="B24" s="61">
        <v>11</v>
      </c>
      <c r="C24" s="162" t="s">
        <v>36</v>
      </c>
      <c r="D24" s="112" t="s">
        <v>63</v>
      </c>
      <c r="E24" s="185"/>
      <c r="F24" s="9"/>
      <c r="G24" s="66"/>
      <c r="H24" s="185">
        <f>'7. DoD'!J61</f>
        <v>-6750.8742499999989</v>
      </c>
      <c r="I24" s="185">
        <f>'7. DoD'!K61</f>
        <v>0</v>
      </c>
      <c r="J24" s="209">
        <f>'7. DoD'!L61</f>
        <v>-1415</v>
      </c>
      <c r="P24" s="180">
        <f>RANK(Q24,$Q$23:$Q$26)</f>
        <v>2</v>
      </c>
      <c r="Q24" s="181">
        <f>S24/$H$68</f>
        <v>0.31679512315997244</v>
      </c>
      <c r="R24" s="2" t="s">
        <v>64</v>
      </c>
      <c r="S24" s="182">
        <f>H47</f>
        <v>150525.84</v>
      </c>
      <c r="T24" s="182"/>
      <c r="U24" s="183">
        <f>I47</f>
        <v>0</v>
      </c>
      <c r="X24" s="188" t="s">
        <v>65</v>
      </c>
      <c r="Y24" s="189">
        <f>Y22-Y23</f>
        <v>0</v>
      </c>
      <c r="Z24" s="189">
        <f t="shared" ref="Z24:AA24" si="5">Z22-Z23</f>
        <v>0</v>
      </c>
      <c r="AA24" s="189">
        <f t="shared" si="5"/>
        <v>0</v>
      </c>
      <c r="AB24" s="155"/>
      <c r="AC24"/>
    </row>
    <row r="25" spans="1:29" ht="15">
      <c r="A25" s="62"/>
      <c r="B25" s="61">
        <v>12</v>
      </c>
      <c r="C25" s="162" t="s">
        <v>39</v>
      </c>
      <c r="D25" s="112" t="s">
        <v>66</v>
      </c>
      <c r="E25" s="185"/>
      <c r="F25" s="9"/>
      <c r="G25" s="66"/>
      <c r="H25" s="185">
        <f>'8. DoIP'!J65</f>
        <v>-9864.1937499999985</v>
      </c>
      <c r="I25" s="185">
        <f>'8. DoIP'!K65</f>
        <v>0</v>
      </c>
      <c r="J25" s="209">
        <f>'8. DoIP'!L65</f>
        <v>-3706.8519999999994</v>
      </c>
      <c r="P25" s="180">
        <f>RANK(Q25,$Q$23:$Q$26)</f>
        <v>4</v>
      </c>
      <c r="Q25" s="181">
        <f>S25/$H$68</f>
        <v>4.1919300599187873E-2</v>
      </c>
      <c r="R25" s="2" t="s">
        <v>67</v>
      </c>
      <c r="S25" s="182">
        <f>H58</f>
        <v>19918.04</v>
      </c>
      <c r="T25" s="182"/>
      <c r="U25" s="183">
        <f>I58</f>
        <v>0</v>
      </c>
      <c r="Y25" s="155"/>
      <c r="AA25" s="155"/>
      <c r="AB25" s="155"/>
      <c r="AC25"/>
    </row>
    <row r="26" spans="1:29" ht="15">
      <c r="A26" s="62"/>
      <c r="B26" s="61">
        <v>13</v>
      </c>
      <c r="C26" s="162" t="s">
        <v>41</v>
      </c>
      <c r="D26" s="112" t="s">
        <v>68</v>
      </c>
      <c r="E26" s="107"/>
      <c r="F26" s="9"/>
      <c r="G26" s="66"/>
      <c r="H26" s="107">
        <f>'9. DoER'!I146</f>
        <v>-25099.9</v>
      </c>
      <c r="I26" s="107">
        <f>'9. DoER'!K146</f>
        <v>-8063.4500000000007</v>
      </c>
      <c r="J26" s="210">
        <f>'9. DoER'!L146</f>
        <v>-10488.648799999999</v>
      </c>
      <c r="L26">
        <v>8384</v>
      </c>
      <c r="P26" s="211">
        <f>RANK(Q26,$Q$23:$Q$26)</f>
        <v>3</v>
      </c>
      <c r="Q26" s="212">
        <f>S26/$H$68</f>
        <v>0.15710179439577923</v>
      </c>
      <c r="R26" s="213" t="s">
        <v>69</v>
      </c>
      <c r="S26" s="214">
        <f>H66</f>
        <v>74647.233616000012</v>
      </c>
      <c r="T26" s="214"/>
      <c r="U26" s="215">
        <f>I66</f>
        <v>0</v>
      </c>
    </row>
    <row r="27" spans="1:29" ht="15">
      <c r="A27" s="62"/>
      <c r="B27" s="61">
        <v>14</v>
      </c>
      <c r="C27" s="162" t="s">
        <v>43</v>
      </c>
      <c r="D27" s="112" t="s">
        <v>70</v>
      </c>
      <c r="E27" s="107"/>
      <c r="F27" s="9"/>
      <c r="G27" s="66"/>
      <c r="H27" s="107">
        <f>'10. DoF'!J32</f>
        <v>-11012.1325</v>
      </c>
      <c r="I27" s="107">
        <f>'10. DoF'!K32</f>
        <v>0</v>
      </c>
      <c r="J27" s="210">
        <f>'10. DoF'!L32</f>
        <v>-6120</v>
      </c>
      <c r="L27">
        <v>3240</v>
      </c>
    </row>
    <row r="28" spans="1:29" ht="15">
      <c r="A28" s="62"/>
      <c r="B28" s="61">
        <v>15</v>
      </c>
      <c r="C28" s="162" t="s">
        <v>44</v>
      </c>
      <c r="D28" s="112" t="s">
        <v>71</v>
      </c>
      <c r="E28" s="107"/>
      <c r="F28" s="9"/>
      <c r="G28" s="66"/>
      <c r="H28" s="107">
        <f>'11. DoFY'!J68</f>
        <v>-11286.961874999997</v>
      </c>
      <c r="I28" s="107">
        <f>'11. DoFY'!K68</f>
        <v>0</v>
      </c>
      <c r="J28" s="210">
        <f>'11. DoFY'!L68</f>
        <v>-3150</v>
      </c>
      <c r="L28">
        <v>974</v>
      </c>
    </row>
    <row r="29" spans="1:29" ht="15">
      <c r="A29" s="62"/>
      <c r="B29" s="61">
        <v>16</v>
      </c>
      <c r="C29" s="162" t="s">
        <v>45</v>
      </c>
      <c r="D29" s="112" t="s">
        <v>72</v>
      </c>
      <c r="E29" s="107"/>
      <c r="F29" s="9"/>
      <c r="G29" s="66"/>
      <c r="H29" s="107">
        <f>'12. DoHR'!J26</f>
        <v>-1723.2499999999998</v>
      </c>
      <c r="I29" s="107">
        <f>'12. DoHR'!K26</f>
        <v>0</v>
      </c>
      <c r="J29" s="210">
        <f>'12. DoHR'!L26</f>
        <v>-100</v>
      </c>
    </row>
    <row r="30" spans="1:29" ht="15">
      <c r="A30" s="62"/>
      <c r="B30" s="61">
        <v>17</v>
      </c>
      <c r="C30" s="162" t="s">
        <v>47</v>
      </c>
      <c r="D30" s="112" t="s">
        <v>73</v>
      </c>
      <c r="E30" s="107"/>
      <c r="F30" s="9"/>
      <c r="G30" s="66"/>
      <c r="H30" s="107">
        <f>'13. DoG'!J49</f>
        <v>-5233.9797499999995</v>
      </c>
      <c r="I30" s="107">
        <f>'13. DoG'!K49</f>
        <v>0</v>
      </c>
      <c r="J30" s="210">
        <f>'13. DoG'!L49</f>
        <v>-2440</v>
      </c>
    </row>
    <row r="31" spans="1:29" ht="15">
      <c r="A31" s="62"/>
      <c r="B31" s="61">
        <v>18</v>
      </c>
      <c r="C31" s="162" t="s">
        <v>49</v>
      </c>
      <c r="D31" s="112" t="s">
        <v>74</v>
      </c>
      <c r="E31" s="107"/>
      <c r="F31" s="9"/>
      <c r="G31" s="66"/>
      <c r="H31" s="107">
        <f>'14.DoIT'!J56</f>
        <v>-27711.485874999998</v>
      </c>
      <c r="I31" s="107">
        <f>'14.DoIT'!K56</f>
        <v>-3580.96</v>
      </c>
      <c r="J31" s="210">
        <f>'14.DoIT'!L56</f>
        <v>-7178.59</v>
      </c>
      <c r="L31">
        <v>3580</v>
      </c>
    </row>
    <row r="32" spans="1:29" ht="15">
      <c r="A32" s="62"/>
      <c r="B32" s="61">
        <v>19</v>
      </c>
      <c r="C32" s="162" t="s">
        <v>51</v>
      </c>
      <c r="D32" s="112" t="s">
        <v>75</v>
      </c>
      <c r="E32" s="107"/>
      <c r="F32" s="9"/>
      <c r="G32" s="66"/>
      <c r="H32" s="107">
        <f>'15. DoPD'!J103</f>
        <v>-23373.527374999998</v>
      </c>
      <c r="I32" s="107">
        <f>'15. DoPD'!K103</f>
        <v>0</v>
      </c>
      <c r="J32" s="210">
        <f>'15. DoPD'!L103</f>
        <v>-4911.67</v>
      </c>
    </row>
    <row r="33" spans="1:41" ht="15">
      <c r="A33" s="62"/>
      <c r="B33" s="61">
        <v>20</v>
      </c>
      <c r="C33" s="162" t="s">
        <v>53</v>
      </c>
      <c r="D33" s="112" t="s">
        <v>76</v>
      </c>
      <c r="E33" s="107"/>
      <c r="F33" s="9"/>
      <c r="G33" s="66"/>
      <c r="H33" s="107">
        <f>'16. DoS'!J34</f>
        <v>-7076.625</v>
      </c>
      <c r="I33" s="107">
        <f>'16. DoS'!K34</f>
        <v>-386.43</v>
      </c>
      <c r="J33" s="210">
        <f>'16. DoS'!L34</f>
        <v>-3088.37</v>
      </c>
      <c r="L33">
        <v>553</v>
      </c>
    </row>
    <row r="34" spans="1:41" ht="15">
      <c r="A34" s="62"/>
      <c r="B34" s="61">
        <v>21</v>
      </c>
      <c r="C34" s="162" t="s">
        <v>55</v>
      </c>
      <c r="D34" s="112" t="s">
        <v>77</v>
      </c>
      <c r="E34" s="107"/>
      <c r="F34" s="9"/>
      <c r="G34" s="66"/>
      <c r="H34" s="107">
        <f>'17. DoSI'!J34</f>
        <v>-12226.9</v>
      </c>
      <c r="I34" s="107">
        <f>'17. DoSI'!K34</f>
        <v>-6306.51</v>
      </c>
      <c r="J34" s="210">
        <f>'17. DoSI'!L34</f>
        <v>-6306.51</v>
      </c>
      <c r="L34">
        <v>6306</v>
      </c>
    </row>
    <row r="35" spans="1:41" ht="15">
      <c r="A35" s="62"/>
      <c r="B35" s="61"/>
      <c r="C35" s="162"/>
      <c r="D35" s="61"/>
      <c r="E35" s="107"/>
      <c r="F35" s="9"/>
      <c r="G35" s="107"/>
      <c r="H35" s="107"/>
      <c r="I35" s="216"/>
      <c r="J35" s="217"/>
      <c r="L35">
        <f>SUM(L18:L34)</f>
        <v>72713</v>
      </c>
    </row>
    <row r="36" spans="1:41" s="27" customFormat="1" ht="15" customHeight="1">
      <c r="A36" s="192"/>
      <c r="B36" s="193" t="s">
        <v>78</v>
      </c>
      <c r="C36" s="194"/>
      <c r="D36" s="218"/>
      <c r="E36" s="24"/>
      <c r="F36" s="25"/>
      <c r="G36" s="24"/>
      <c r="H36" s="24">
        <f>ABS(SUM(H18:H34))</f>
        <v>230060.897875</v>
      </c>
      <c r="I36" s="196">
        <f>SUM(I18:I34)</f>
        <v>-27662.35</v>
      </c>
      <c r="J36" s="219">
        <f>SUM(J18:J34)</f>
        <v>-109692.37269999998</v>
      </c>
      <c r="N36" s="198"/>
      <c r="P36" s="2"/>
      <c r="Q36" s="2"/>
      <c r="R36" s="2"/>
      <c r="S36" s="2"/>
      <c r="T36" s="2"/>
      <c r="U36" s="2"/>
      <c r="AC36" s="198"/>
      <c r="AE36" s="198"/>
      <c r="AF36" s="198"/>
      <c r="AO36"/>
    </row>
    <row r="37" spans="1:41" ht="14.25" customHeight="1">
      <c r="A37" s="385"/>
      <c r="B37" s="385"/>
      <c r="C37" s="385"/>
      <c r="D37" s="385"/>
      <c r="E37" s="385"/>
      <c r="F37" s="385"/>
      <c r="G37" s="385"/>
      <c r="H37" s="385"/>
      <c r="I37" s="385"/>
      <c r="J37" s="388"/>
      <c r="P37" s="27"/>
      <c r="Q37" s="27"/>
      <c r="R37" s="27"/>
      <c r="S37" s="27"/>
      <c r="T37" s="27"/>
      <c r="U37" s="27"/>
    </row>
    <row r="38" spans="1:41" ht="14.25" customHeight="1">
      <c r="A38" s="383" t="s">
        <v>64</v>
      </c>
      <c r="B38" s="383"/>
      <c r="C38" s="383"/>
      <c r="D38" s="383"/>
      <c r="E38" s="383"/>
      <c r="F38" s="383"/>
      <c r="G38" s="383"/>
      <c r="H38" s="383"/>
      <c r="I38" s="383"/>
      <c r="J38" s="384"/>
    </row>
    <row r="39" spans="1:41" ht="14.25" customHeight="1">
      <c r="A39" s="62"/>
      <c r="B39" s="61">
        <v>22</v>
      </c>
      <c r="C39" s="162" t="s">
        <v>79</v>
      </c>
      <c r="D39" s="112" t="s">
        <v>80</v>
      </c>
      <c r="E39" s="185">
        <v>2298.12</v>
      </c>
      <c r="F39" s="9">
        <v>12</v>
      </c>
      <c r="G39" s="185">
        <f>E39*F39</f>
        <v>27577.439999999999</v>
      </c>
      <c r="H39" s="185">
        <f>G39</f>
        <v>27577.439999999999</v>
      </c>
      <c r="I39" s="186"/>
      <c r="J39" s="217">
        <f>-10531.6 + (671.22*12)</f>
        <v>-2476.96</v>
      </c>
    </row>
    <row r="40" spans="1:41" ht="14.25" customHeight="1">
      <c r="A40" s="62"/>
      <c r="B40" s="61">
        <v>23</v>
      </c>
      <c r="C40" s="162" t="s">
        <v>81</v>
      </c>
      <c r="D40" s="220" t="s">
        <v>82</v>
      </c>
      <c r="E40" s="185">
        <v>7109.38</v>
      </c>
      <c r="F40" s="9">
        <v>12</v>
      </c>
      <c r="G40" s="185">
        <f t="shared" ref="G40:G45" si="6">E40*F40</f>
        <v>85312.56</v>
      </c>
      <c r="H40" s="185">
        <f t="shared" ref="H40:H45" si="7">G40</f>
        <v>85312.56</v>
      </c>
      <c r="I40" s="186"/>
      <c r="J40" s="217">
        <v>-82000</v>
      </c>
      <c r="AN40" s="112"/>
    </row>
    <row r="41" spans="1:41" ht="14.25" customHeight="1">
      <c r="A41" s="62"/>
      <c r="B41" s="61">
        <v>24</v>
      </c>
      <c r="C41" s="162" t="s">
        <v>83</v>
      </c>
      <c r="D41" s="64" t="s">
        <v>84</v>
      </c>
      <c r="E41" s="185">
        <v>1572.74</v>
      </c>
      <c r="F41" s="9">
        <v>12</v>
      </c>
      <c r="G41" s="185">
        <f t="shared" si="6"/>
        <v>18872.88</v>
      </c>
      <c r="H41" s="185">
        <f t="shared" si="7"/>
        <v>18872.88</v>
      </c>
      <c r="I41" s="186"/>
      <c r="J41" s="217">
        <v>-20000</v>
      </c>
      <c r="K41" s="2" t="s">
        <v>85</v>
      </c>
      <c r="AN41" s="112"/>
    </row>
    <row r="42" spans="1:41" ht="14.25" customHeight="1">
      <c r="A42" s="62"/>
      <c r="B42" s="61">
        <v>25</v>
      </c>
      <c r="C42" s="162" t="s">
        <v>86</v>
      </c>
      <c r="D42" s="62" t="s">
        <v>87</v>
      </c>
      <c r="E42" s="185">
        <v>216.44</v>
      </c>
      <c r="F42" s="9">
        <v>12</v>
      </c>
      <c r="G42" s="185">
        <f t="shared" si="6"/>
        <v>2597.2799999999997</v>
      </c>
      <c r="H42" s="185">
        <f t="shared" si="7"/>
        <v>2597.2799999999997</v>
      </c>
      <c r="I42" s="186"/>
      <c r="J42" s="187">
        <v>-2500</v>
      </c>
      <c r="AN42" s="133"/>
    </row>
    <row r="43" spans="1:41" ht="14.25" customHeight="1">
      <c r="A43" s="62"/>
      <c r="B43" s="61">
        <v>26</v>
      </c>
      <c r="C43" s="162" t="s">
        <v>88</v>
      </c>
      <c r="D43" s="62" t="s">
        <v>89</v>
      </c>
      <c r="E43" s="185">
        <v>337.93</v>
      </c>
      <c r="F43" s="9">
        <v>12</v>
      </c>
      <c r="G43" s="185">
        <f t="shared" si="6"/>
        <v>4055.16</v>
      </c>
      <c r="H43" s="185">
        <f t="shared" si="7"/>
        <v>4055.16</v>
      </c>
      <c r="I43" s="186"/>
      <c r="J43" s="187">
        <v>-4000</v>
      </c>
    </row>
    <row r="44" spans="1:41" s="27" customFormat="1" ht="15" customHeight="1">
      <c r="A44" s="62"/>
      <c r="B44" s="61">
        <v>27</v>
      </c>
      <c r="C44" s="162" t="s">
        <v>90</v>
      </c>
      <c r="D44" s="62" t="s">
        <v>91</v>
      </c>
      <c r="E44" s="185">
        <v>85</v>
      </c>
      <c r="F44" s="9">
        <v>12</v>
      </c>
      <c r="G44" s="185">
        <f t="shared" si="6"/>
        <v>1020</v>
      </c>
      <c r="H44" s="185">
        <f t="shared" si="7"/>
        <v>1020</v>
      </c>
      <c r="I44" s="186"/>
      <c r="J44" s="187">
        <v>-1020</v>
      </c>
      <c r="K44" s="2"/>
      <c r="N44" s="198"/>
      <c r="P44" s="2"/>
      <c r="Q44" s="2"/>
      <c r="R44" s="2"/>
      <c r="S44" s="2"/>
      <c r="T44" s="2"/>
      <c r="U44" s="2"/>
      <c r="AC44" s="198"/>
      <c r="AE44" s="198"/>
      <c r="AF44" s="198"/>
      <c r="AO44"/>
    </row>
    <row r="45" spans="1:41" s="27" customFormat="1" ht="15" customHeight="1">
      <c r="A45" s="62"/>
      <c r="B45" s="61">
        <v>28</v>
      </c>
      <c r="C45" s="162" t="s">
        <v>92</v>
      </c>
      <c r="D45" s="62"/>
      <c r="E45" s="185">
        <v>924.21</v>
      </c>
      <c r="F45" s="9">
        <v>12</v>
      </c>
      <c r="G45" s="185">
        <f t="shared" si="6"/>
        <v>11090.52</v>
      </c>
      <c r="H45" s="185">
        <f t="shared" si="7"/>
        <v>11090.52</v>
      </c>
      <c r="I45" s="186"/>
      <c r="J45" s="187"/>
      <c r="K45" s="2"/>
      <c r="N45" s="198"/>
      <c r="P45" s="2"/>
      <c r="Q45" s="2"/>
      <c r="R45" s="2"/>
      <c r="S45" s="2"/>
      <c r="T45" s="2"/>
      <c r="U45" s="2"/>
      <c r="AC45" s="198"/>
      <c r="AE45" s="198"/>
      <c r="AF45" s="198"/>
      <c r="AO45"/>
    </row>
    <row r="46" spans="1:41" s="27" customFormat="1" ht="15" customHeight="1">
      <c r="A46" s="62"/>
      <c r="B46" s="61"/>
      <c r="C46" s="162"/>
      <c r="D46" s="62"/>
      <c r="E46" s="185"/>
      <c r="F46" s="9"/>
      <c r="G46" s="185"/>
      <c r="H46" s="185"/>
      <c r="I46" s="186"/>
      <c r="J46" s="191"/>
      <c r="N46" s="198"/>
      <c r="AC46" s="198"/>
      <c r="AE46" s="198"/>
      <c r="AF46" s="198"/>
      <c r="AO46"/>
    </row>
    <row r="47" spans="1:41" ht="15">
      <c r="A47" s="192"/>
      <c r="B47" s="193" t="s">
        <v>93</v>
      </c>
      <c r="C47" s="194"/>
      <c r="D47" s="195"/>
      <c r="E47" s="24"/>
      <c r="F47" s="25"/>
      <c r="G47" s="24"/>
      <c r="H47" s="24">
        <f>SUM(H39:H45)</f>
        <v>150525.84</v>
      </c>
      <c r="I47" s="196">
        <f t="shared" ref="I47:J47" si="8">SUM(I39:I44)</f>
        <v>0</v>
      </c>
      <c r="J47" s="197">
        <f>SUM(J39:J44)</f>
        <v>-111996.96</v>
      </c>
      <c r="P47" s="27"/>
      <c r="Q47" s="27"/>
      <c r="R47" s="27"/>
      <c r="S47" s="27"/>
      <c r="T47" s="27"/>
      <c r="U47" s="27"/>
    </row>
    <row r="48" spans="1:41" ht="15">
      <c r="A48" s="385"/>
      <c r="B48" s="385"/>
      <c r="C48" s="385"/>
      <c r="D48" s="385"/>
      <c r="E48" s="385"/>
      <c r="F48" s="385"/>
      <c r="G48" s="385"/>
      <c r="H48" s="385"/>
      <c r="I48" s="385"/>
      <c r="J48" s="386"/>
    </row>
    <row r="49" spans="1:41" ht="15">
      <c r="A49" s="383" t="s">
        <v>67</v>
      </c>
      <c r="B49" s="383"/>
      <c r="C49" s="383"/>
      <c r="D49" s="383"/>
      <c r="E49" s="383"/>
      <c r="F49" s="383"/>
      <c r="G49" s="383"/>
      <c r="H49" s="383"/>
      <c r="I49" s="383"/>
      <c r="J49" s="387"/>
    </row>
    <row r="50" spans="1:41" ht="15" customHeight="1">
      <c r="A50" s="62"/>
      <c r="B50" s="61">
        <v>28</v>
      </c>
      <c r="C50" s="162" t="s">
        <v>94</v>
      </c>
      <c r="D50" s="112" t="s">
        <v>95</v>
      </c>
      <c r="E50" s="185">
        <v>324.57</v>
      </c>
      <c r="F50" s="9">
        <v>12</v>
      </c>
      <c r="G50" s="185">
        <f>E50*F50</f>
        <v>3894.84</v>
      </c>
      <c r="H50" s="185">
        <f>G50</f>
        <v>3894.84</v>
      </c>
      <c r="I50" s="186"/>
      <c r="J50" s="187">
        <f>-330*12</f>
        <v>-3960</v>
      </c>
    </row>
    <row r="51" spans="1:41" ht="30.75">
      <c r="A51" s="62"/>
      <c r="B51" s="61">
        <v>29</v>
      </c>
      <c r="C51" s="162" t="s">
        <v>96</v>
      </c>
      <c r="D51" s="64" t="s">
        <v>97</v>
      </c>
      <c r="E51" s="185">
        <v>912.05</v>
      </c>
      <c r="F51" s="9">
        <v>4</v>
      </c>
      <c r="G51" s="185">
        <f t="shared" ref="G51:G56" si="9">E51*F51</f>
        <v>3648.2</v>
      </c>
      <c r="H51" s="185">
        <f t="shared" ref="H51:H56" si="10">G51</f>
        <v>3648.2</v>
      </c>
      <c r="I51" s="186"/>
      <c r="J51" s="187">
        <f>-912.05*4</f>
        <v>-3648.2</v>
      </c>
    </row>
    <row r="52" spans="1:41" ht="15">
      <c r="A52" s="62"/>
      <c r="B52" s="61">
        <v>30</v>
      </c>
      <c r="C52" s="162" t="s">
        <v>98</v>
      </c>
      <c r="D52" s="62" t="s">
        <v>99</v>
      </c>
      <c r="E52" s="185">
        <v>318.8</v>
      </c>
      <c r="F52" s="9">
        <v>12</v>
      </c>
      <c r="G52" s="185">
        <f t="shared" si="9"/>
        <v>3825.6000000000004</v>
      </c>
      <c r="H52" s="185">
        <f t="shared" si="10"/>
        <v>3825.6000000000004</v>
      </c>
      <c r="I52" s="186"/>
      <c r="J52" s="187">
        <v>-1700</v>
      </c>
    </row>
    <row r="53" spans="1:41" ht="30.75">
      <c r="A53" s="62"/>
      <c r="B53" s="61">
        <v>31</v>
      </c>
      <c r="C53" s="162" t="s">
        <v>100</v>
      </c>
      <c r="D53" s="64" t="s">
        <v>101</v>
      </c>
      <c r="E53" s="185">
        <v>1752.84</v>
      </c>
      <c r="F53" s="9">
        <v>1</v>
      </c>
      <c r="G53" s="185">
        <f t="shared" si="9"/>
        <v>1752.84</v>
      </c>
      <c r="H53" s="185">
        <f t="shared" si="10"/>
        <v>1752.84</v>
      </c>
      <c r="I53" s="186"/>
      <c r="J53" s="187">
        <v>-1752.84</v>
      </c>
    </row>
    <row r="54" spans="1:41" s="27" customFormat="1" ht="45.75">
      <c r="A54" s="62"/>
      <c r="B54" s="61">
        <v>32</v>
      </c>
      <c r="C54" s="162" t="s">
        <v>102</v>
      </c>
      <c r="D54" s="64" t="s">
        <v>103</v>
      </c>
      <c r="E54" s="185">
        <v>107.13</v>
      </c>
      <c r="F54" s="9">
        <v>12</v>
      </c>
      <c r="G54" s="185">
        <f>E54*F54</f>
        <v>1285.56</v>
      </c>
      <c r="H54" s="185">
        <f t="shared" si="10"/>
        <v>1285.56</v>
      </c>
      <c r="I54" s="186"/>
      <c r="J54" s="187">
        <v>-1285.56</v>
      </c>
      <c r="K54" s="2"/>
      <c r="N54" s="198"/>
      <c r="P54" s="2"/>
      <c r="Q54" s="2"/>
      <c r="R54" s="2"/>
      <c r="S54" s="2"/>
      <c r="T54" s="2"/>
      <c r="U54" s="2"/>
      <c r="AC54" s="198"/>
      <c r="AE54" s="198"/>
      <c r="AF54" s="198"/>
      <c r="AO54"/>
    </row>
    <row r="55" spans="1:41" s="27" customFormat="1" ht="45.75">
      <c r="A55" s="62"/>
      <c r="B55" s="61">
        <v>33</v>
      </c>
      <c r="C55" s="162" t="s">
        <v>104</v>
      </c>
      <c r="D55" s="64" t="s">
        <v>105</v>
      </c>
      <c r="E55" s="185">
        <v>1200</v>
      </c>
      <c r="F55" s="9">
        <v>1</v>
      </c>
      <c r="G55" s="185">
        <f t="shared" ref="G55" si="11">E55*F55</f>
        <v>1200</v>
      </c>
      <c r="H55" s="185">
        <f t="shared" ref="H55" si="12">G55</f>
        <v>1200</v>
      </c>
      <c r="I55" s="186"/>
      <c r="J55" s="187"/>
      <c r="K55" s="2"/>
      <c r="N55" s="198"/>
      <c r="P55" s="2"/>
      <c r="Q55" s="2"/>
      <c r="R55" s="2"/>
      <c r="S55" s="2"/>
      <c r="T55" s="2"/>
      <c r="U55" s="2"/>
      <c r="AC55" s="198"/>
      <c r="AE55" s="198"/>
      <c r="AF55" s="198"/>
      <c r="AO55"/>
    </row>
    <row r="56" spans="1:41" s="27" customFormat="1" ht="60.75">
      <c r="A56" s="62"/>
      <c r="B56" s="61">
        <v>34</v>
      </c>
      <c r="C56" s="162" t="s">
        <v>106</v>
      </c>
      <c r="D56" s="64" t="s">
        <v>107</v>
      </c>
      <c r="E56" s="185">
        <v>479</v>
      </c>
      <c r="F56" s="9">
        <v>9</v>
      </c>
      <c r="G56" s="185">
        <f t="shared" si="9"/>
        <v>4311</v>
      </c>
      <c r="H56" s="185">
        <f t="shared" si="10"/>
        <v>4311</v>
      </c>
      <c r="I56" s="186"/>
      <c r="J56" s="187">
        <f>-479*12</f>
        <v>-5748</v>
      </c>
      <c r="K56" s="2" t="s">
        <v>108</v>
      </c>
      <c r="N56" s="198"/>
      <c r="AC56" s="198"/>
      <c r="AE56" s="198"/>
      <c r="AF56" s="198"/>
      <c r="AO56"/>
    </row>
    <row r="57" spans="1:41" s="27" customFormat="1" ht="15">
      <c r="A57" s="62"/>
      <c r="B57" s="61"/>
      <c r="C57" s="162"/>
      <c r="D57" s="64"/>
      <c r="E57" s="185"/>
      <c r="F57" s="9"/>
      <c r="G57" s="185"/>
      <c r="H57" s="185"/>
      <c r="I57" s="186"/>
      <c r="J57" s="191"/>
      <c r="N57" s="198"/>
      <c r="AC57" s="198"/>
      <c r="AE57" s="198"/>
      <c r="AF57" s="198"/>
      <c r="AO57"/>
    </row>
    <row r="58" spans="1:41" ht="15">
      <c r="A58" s="192"/>
      <c r="B58" s="193" t="s">
        <v>109</v>
      </c>
      <c r="C58" s="194"/>
      <c r="D58" s="195"/>
      <c r="E58" s="24"/>
      <c r="F58" s="25"/>
      <c r="G58" s="24"/>
      <c r="H58" s="24">
        <f>SUM(H50:H56)</f>
        <v>19918.04</v>
      </c>
      <c r="I58" s="196">
        <f t="shared" ref="I58:J58" si="13">SUM(I50:I56)</f>
        <v>0</v>
      </c>
      <c r="J58" s="197">
        <f>SUM(J50:J56)</f>
        <v>-18094.599999999999</v>
      </c>
      <c r="P58" s="27"/>
      <c r="Q58" s="27"/>
      <c r="R58" s="27"/>
      <c r="S58" s="27"/>
      <c r="T58" s="27"/>
      <c r="U58" s="27"/>
    </row>
    <row r="59" spans="1:41" ht="15">
      <c r="A59" s="385"/>
      <c r="B59" s="385"/>
      <c r="C59" s="385"/>
      <c r="D59" s="385"/>
      <c r="E59" s="385"/>
      <c r="F59" s="385"/>
      <c r="G59" s="385"/>
      <c r="H59" s="385"/>
      <c r="I59" s="385"/>
      <c r="J59" s="386"/>
    </row>
    <row r="60" spans="1:41" ht="15">
      <c r="A60" s="383" t="s">
        <v>110</v>
      </c>
      <c r="B60" s="383"/>
      <c r="C60" s="383"/>
      <c r="D60" s="383"/>
      <c r="E60" s="383"/>
      <c r="F60" s="383"/>
      <c r="G60" s="383"/>
      <c r="H60" s="383"/>
      <c r="I60" s="383"/>
      <c r="J60" s="387"/>
    </row>
    <row r="61" spans="1:41" ht="30.75">
      <c r="A61" s="62"/>
      <c r="B61" s="61">
        <v>34</v>
      </c>
      <c r="C61" s="162" t="s">
        <v>111</v>
      </c>
      <c r="D61" s="112" t="s">
        <v>112</v>
      </c>
      <c r="E61" s="185">
        <f>22.76*35*16*(1+0.0545+0.02212)</f>
        <v>13722.167872</v>
      </c>
      <c r="F61" s="9">
        <v>3</v>
      </c>
      <c r="G61" s="185">
        <f>E61*F61</f>
        <v>41166.503616000002</v>
      </c>
      <c r="H61" s="185">
        <f>G61</f>
        <v>41166.503616000002</v>
      </c>
      <c r="I61" s="186"/>
      <c r="J61" s="191">
        <f>-3*16*35*22.76*(1+0.0545+0.02212)</f>
        <v>-41166.503616000002</v>
      </c>
    </row>
    <row r="62" spans="1:41" ht="30.75">
      <c r="A62" s="62"/>
      <c r="B62" s="61">
        <v>35</v>
      </c>
      <c r="C62" s="162" t="s">
        <v>113</v>
      </c>
      <c r="D62" s="220" t="s">
        <v>114</v>
      </c>
      <c r="E62" s="185">
        <v>10000</v>
      </c>
      <c r="F62" s="9">
        <v>1</v>
      </c>
      <c r="G62" s="185">
        <f t="shared" ref="G62:G64" si="14">E62*F62</f>
        <v>10000</v>
      </c>
      <c r="H62" s="185">
        <f t="shared" ref="H62:H64" si="15">G62</f>
        <v>10000</v>
      </c>
      <c r="I62" s="186"/>
      <c r="J62" s="191">
        <v>-45000</v>
      </c>
    </row>
    <row r="63" spans="1:41" s="27" customFormat="1" ht="30.75">
      <c r="A63" s="62"/>
      <c r="B63" s="61">
        <v>36</v>
      </c>
      <c r="C63" s="162" t="s">
        <v>115</v>
      </c>
      <c r="D63" s="64" t="s">
        <v>116</v>
      </c>
      <c r="E63" s="185">
        <v>770.35</v>
      </c>
      <c r="F63" s="9">
        <v>3</v>
      </c>
      <c r="G63" s="185">
        <f t="shared" si="14"/>
        <v>2311.0500000000002</v>
      </c>
      <c r="H63" s="185">
        <f t="shared" si="15"/>
        <v>2311.0500000000002</v>
      </c>
      <c r="I63" s="186"/>
      <c r="J63" s="187">
        <v>-2311.0500000000002</v>
      </c>
      <c r="N63" s="198"/>
      <c r="P63" s="2"/>
      <c r="Q63" s="2"/>
      <c r="R63" s="2"/>
      <c r="S63" s="2"/>
      <c r="T63" s="2"/>
      <c r="U63" s="2"/>
      <c r="AC63" s="198"/>
      <c r="AE63" s="198"/>
      <c r="AF63" s="198"/>
      <c r="AO63"/>
    </row>
    <row r="64" spans="1:41" ht="30.75">
      <c r="A64" s="62"/>
      <c r="B64" s="61">
        <v>37</v>
      </c>
      <c r="C64" s="162" t="s">
        <v>117</v>
      </c>
      <c r="D64" s="62" t="s">
        <v>118</v>
      </c>
      <c r="E64" s="185">
        <v>7056.56</v>
      </c>
      <c r="F64" s="9">
        <v>3</v>
      </c>
      <c r="G64" s="185">
        <f t="shared" si="14"/>
        <v>21169.68</v>
      </c>
      <c r="H64" s="185">
        <f t="shared" si="15"/>
        <v>21169.68</v>
      </c>
      <c r="I64" s="186"/>
      <c r="J64" s="191">
        <v>-14886.12</v>
      </c>
      <c r="P64" s="27"/>
      <c r="Q64" s="27"/>
      <c r="R64" s="27"/>
      <c r="S64" s="27"/>
      <c r="T64" s="27"/>
      <c r="U64" s="27"/>
    </row>
    <row r="65" spans="1:41" ht="15">
      <c r="A65" s="62"/>
      <c r="B65" s="61"/>
      <c r="C65" s="162"/>
      <c r="D65" s="62"/>
      <c r="E65" s="185"/>
      <c r="F65" s="9"/>
      <c r="G65" s="185"/>
      <c r="H65" s="185"/>
      <c r="I65" s="186"/>
      <c r="J65" s="191"/>
    </row>
    <row r="66" spans="1:41" s="53" customFormat="1" ht="15">
      <c r="A66" s="192"/>
      <c r="B66" s="193" t="s">
        <v>119</v>
      </c>
      <c r="C66" s="194"/>
      <c r="D66" s="195"/>
      <c r="E66" s="24"/>
      <c r="F66" s="25"/>
      <c r="G66" s="24"/>
      <c r="H66" s="24">
        <f>SUM(H61:H64)</f>
        <v>74647.233616000012</v>
      </c>
      <c r="I66" s="196">
        <f t="shared" ref="I66:J66" si="16">SUM(I61:I64)</f>
        <v>0</v>
      </c>
      <c r="J66" s="197">
        <f>SUM(J61:J64)</f>
        <v>-103363.673616</v>
      </c>
      <c r="N66" s="207"/>
      <c r="P66" s="2"/>
      <c r="Q66" s="2"/>
      <c r="R66" s="2"/>
      <c r="S66" s="2"/>
      <c r="T66" s="2"/>
      <c r="U66" s="2"/>
      <c r="AC66" s="207"/>
      <c r="AE66" s="207"/>
      <c r="AF66" s="207"/>
      <c r="AO66"/>
    </row>
    <row r="67" spans="1:41" s="53" customFormat="1" ht="15">
      <c r="A67" s="192"/>
      <c r="B67" s="61"/>
      <c r="C67" s="222"/>
      <c r="D67" s="192"/>
      <c r="E67" s="106"/>
      <c r="F67" s="37"/>
      <c r="G67" s="106"/>
      <c r="H67" s="106"/>
      <c r="I67" s="223"/>
      <c r="J67" s="224"/>
      <c r="N67" s="207"/>
      <c r="P67" s="2"/>
      <c r="Q67" s="2"/>
      <c r="R67" s="2"/>
      <c r="S67" s="2"/>
      <c r="T67" s="2"/>
      <c r="U67" s="2"/>
      <c r="AC67" s="207"/>
      <c r="AE67" s="207"/>
      <c r="AF67" s="207"/>
      <c r="AO67"/>
    </row>
    <row r="68" spans="1:41" ht="15" customHeight="1">
      <c r="A68" s="201"/>
      <c r="B68" s="202" t="s">
        <v>120</v>
      </c>
      <c r="C68" s="203"/>
      <c r="D68" s="204"/>
      <c r="E68" s="32"/>
      <c r="F68" s="33"/>
      <c r="G68" s="32"/>
      <c r="H68" s="32">
        <f>H66+H58+H47+H36</f>
        <v>475152.01149100001</v>
      </c>
      <c r="I68" s="205">
        <f>I66+I58+I47+I36</f>
        <v>-27662.35</v>
      </c>
      <c r="J68" s="206">
        <f>J66+J58+J47+J36</f>
        <v>-343147.60631599999</v>
      </c>
    </row>
    <row r="69" spans="1:41" s="27" customFormat="1" ht="15">
      <c r="A69" s="62"/>
      <c r="B69" s="61"/>
      <c r="C69" s="162"/>
      <c r="D69" s="62"/>
      <c r="E69" s="8"/>
      <c r="F69" s="9"/>
      <c r="G69" s="8"/>
      <c r="H69" s="8"/>
      <c r="I69" s="163"/>
      <c r="J69" s="225"/>
      <c r="N69" s="198"/>
      <c r="P69" s="2"/>
      <c r="Q69" s="2"/>
      <c r="R69" s="2"/>
      <c r="S69" s="2"/>
      <c r="T69" s="2"/>
      <c r="U69" s="2"/>
      <c r="AC69" s="198"/>
      <c r="AE69" s="198"/>
      <c r="AF69" s="198"/>
      <c r="AO69"/>
    </row>
    <row r="70" spans="1:41" s="27" customFormat="1" ht="15">
      <c r="A70" s="170" t="s">
        <v>56</v>
      </c>
      <c r="B70" s="171"/>
      <c r="C70" s="172"/>
      <c r="D70" s="173"/>
      <c r="E70" s="14"/>
      <c r="F70" s="15"/>
      <c r="G70" s="14"/>
      <c r="H70" s="14"/>
      <c r="I70" s="174"/>
      <c r="J70" s="208"/>
      <c r="N70" s="198"/>
      <c r="AC70" s="198"/>
      <c r="AE70" s="198"/>
      <c r="AF70" s="198"/>
      <c r="AO70"/>
    </row>
    <row r="71" spans="1:41" s="27" customFormat="1" ht="15">
      <c r="A71" s="192"/>
      <c r="B71" s="221" t="s">
        <v>58</v>
      </c>
      <c r="C71" s="222"/>
      <c r="D71" s="192"/>
      <c r="E71" s="36"/>
      <c r="F71" s="37"/>
      <c r="G71" s="36"/>
      <c r="H71" s="36">
        <f>H14</f>
        <v>469765.35</v>
      </c>
      <c r="I71" s="226">
        <f>I14</f>
        <v>0</v>
      </c>
      <c r="J71" s="227">
        <f>J14</f>
        <v>395140.77</v>
      </c>
      <c r="N71" s="198"/>
      <c r="AC71" s="198"/>
      <c r="AE71" s="198"/>
      <c r="AF71" s="198"/>
      <c r="AO71"/>
    </row>
    <row r="72" spans="1:41" ht="15">
      <c r="A72" s="192"/>
      <c r="B72" s="221" t="s">
        <v>62</v>
      </c>
      <c r="C72" s="222"/>
      <c r="D72" s="192"/>
      <c r="E72" s="36"/>
      <c r="F72" s="37"/>
      <c r="G72" s="36"/>
      <c r="H72" s="36">
        <f>H68</f>
        <v>475152.01149100001</v>
      </c>
      <c r="I72" s="226">
        <f>I68</f>
        <v>-27662.35</v>
      </c>
      <c r="J72" s="228">
        <f>J68</f>
        <v>-343147.60631599999</v>
      </c>
      <c r="P72" s="27"/>
      <c r="Q72" s="27"/>
      <c r="R72" s="27"/>
      <c r="S72" s="27"/>
      <c r="T72" s="27"/>
      <c r="U72" s="27"/>
    </row>
    <row r="73" spans="1:41" ht="15">
      <c r="A73" s="229"/>
      <c r="B73" s="230" t="s">
        <v>65</v>
      </c>
      <c r="C73" s="231"/>
      <c r="D73" s="229"/>
      <c r="E73" s="42"/>
      <c r="F73" s="43"/>
      <c r="G73" s="42"/>
      <c r="H73" s="232">
        <f>SUM(H71,H72*-1)</f>
        <v>-5386.6614910000353</v>
      </c>
      <c r="I73" s="233">
        <f>SUM(I71,I72*-1)</f>
        <v>27662.35</v>
      </c>
      <c r="J73" s="234">
        <f>SUM(J71+J72)</f>
        <v>51993.163684000028</v>
      </c>
    </row>
    <row r="76" spans="1:41" ht="15">
      <c r="G76" s="239"/>
    </row>
    <row r="81" spans="6:10" ht="15">
      <c r="F81" s="242"/>
    </row>
    <row r="84" spans="6:10" ht="15">
      <c r="G84"/>
      <c r="I84"/>
      <c r="J84"/>
    </row>
    <row r="85" spans="6:10" ht="15">
      <c r="G85"/>
      <c r="I85"/>
      <c r="J85"/>
    </row>
  </sheetData>
  <mergeCells count="11">
    <mergeCell ref="A37:J37"/>
    <mergeCell ref="B1:J1"/>
    <mergeCell ref="P2:U2"/>
    <mergeCell ref="X2:AC2"/>
    <mergeCell ref="A5:J5"/>
    <mergeCell ref="A17:J17"/>
    <mergeCell ref="A38:J38"/>
    <mergeCell ref="A48:J48"/>
    <mergeCell ref="A49:J49"/>
    <mergeCell ref="A59:J59"/>
    <mergeCell ref="A60:J60"/>
  </mergeCells>
  <conditionalFormatting sqref="B18:C18 E61:J61 C19:C25 B19:B35 E39:J39 D18:J35 I63:J64 I41:J45 G40:H45 G62:H64 B36:J36 B6:J15 B46:J47 C41:F45 C63:F64 B65:J73 B50:J58">
    <cfRule type="expression" dxfId="152" priority="8">
      <formula>MOD($B6,2)=1</formula>
    </cfRule>
  </conditionalFormatting>
  <conditionalFormatting sqref="C32:C35">
    <cfRule type="expression" dxfId="151" priority="7">
      <formula>MOD($B32,2)=1</formula>
    </cfRule>
  </conditionalFormatting>
  <conditionalFormatting sqref="B61:C62 E62:F62 D61 B63:B64 I62:J62">
    <cfRule type="expression" dxfId="150" priority="6">
      <formula>MOD($B61,2)=1</formula>
    </cfRule>
  </conditionalFormatting>
  <conditionalFormatting sqref="C29:C31">
    <cfRule type="expression" dxfId="149" priority="5">
      <formula>MOD($B29,2)=1</formula>
    </cfRule>
  </conditionalFormatting>
  <conditionalFormatting sqref="C26:C28">
    <cfRule type="expression" dxfId="148" priority="4">
      <formula>MOD($B26,2)=1</formula>
    </cfRule>
  </conditionalFormatting>
  <conditionalFormatting sqref="B39:C40 D39 B41:B45 E40:F40 I40:J40">
    <cfRule type="expression" dxfId="147" priority="3">
      <formula>MOD($B39,2)=1</formula>
    </cfRule>
  </conditionalFormatting>
  <conditionalFormatting sqref="AN40:AN42">
    <cfRule type="expression" dxfId="146" priority="1">
      <formula>MOD($B79,2)=1</formula>
    </cfRule>
  </conditionalFormatting>
  <pageMargins left="0.7" right="0.7" top="0.75" bottom="0.75" header="0.3" footer="0.3"/>
  <pageSetup scale="26"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4999-EA83-4E2E-A08C-1CCE6B5BF63D}">
  <sheetPr codeName="Sheet7"/>
  <dimension ref="A1:N146"/>
  <sheetViews>
    <sheetView showGridLines="0" topLeftCell="A116" zoomScale="70" zoomScaleNormal="70" workbookViewId="0">
      <selection activeCell="L146" sqref="L146"/>
    </sheetView>
  </sheetViews>
  <sheetFormatPr defaultColWidth="9.85546875" defaultRowHeight="14.85"/>
  <cols>
    <col min="1" max="1" width="30.140625" customWidth="1"/>
    <col min="2" max="2" width="25.7109375" style="7" customWidth="1"/>
    <col min="3" max="3" width="28.85546875" style="7" customWidth="1"/>
    <col min="4" max="4" width="37.85546875" customWidth="1"/>
    <col min="5" max="5" width="43.570312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3" width="40.7109375" style="2" customWidth="1"/>
    <col min="14" max="16384" width="9.85546875" style="2"/>
  </cols>
  <sheetData>
    <row r="1" spans="1:13" ht="148.5" customHeight="1">
      <c r="A1" s="333"/>
      <c r="B1" s="398" t="s">
        <v>445</v>
      </c>
      <c r="C1" s="398"/>
      <c r="D1" s="398"/>
      <c r="E1" s="398"/>
      <c r="F1" s="398"/>
      <c r="G1" s="398"/>
      <c r="H1" s="398"/>
      <c r="I1" s="398"/>
      <c r="J1" s="398"/>
      <c r="K1" s="398"/>
      <c r="L1" s="333"/>
      <c r="M1" s="333"/>
    </row>
    <row r="2" spans="1:13" s="6" customFormat="1" ht="15" customHeight="1">
      <c r="A2" s="334" t="s">
        <v>1</v>
      </c>
      <c r="B2" s="334" t="s">
        <v>2</v>
      </c>
      <c r="C2" s="334" t="s">
        <v>3</v>
      </c>
      <c r="D2" s="334" t="s">
        <v>122</v>
      </c>
      <c r="E2" s="334" t="s">
        <v>4</v>
      </c>
      <c r="F2" s="334" t="s">
        <v>446</v>
      </c>
      <c r="G2" s="334" t="s">
        <v>6</v>
      </c>
      <c r="H2" s="334" t="s">
        <v>447</v>
      </c>
      <c r="I2" s="334" t="s">
        <v>448</v>
      </c>
      <c r="J2" s="334" t="s">
        <v>449</v>
      </c>
      <c r="K2" s="334" t="s">
        <v>450</v>
      </c>
      <c r="L2" s="335" t="s">
        <v>451</v>
      </c>
      <c r="M2" s="335" t="s">
        <v>452</v>
      </c>
    </row>
    <row r="3" spans="1:13" ht="15" customHeight="1">
      <c r="A3" s="333"/>
      <c r="B3" s="333"/>
      <c r="C3" s="333"/>
      <c r="D3" s="333"/>
      <c r="E3" s="333"/>
      <c r="F3" s="333"/>
      <c r="G3" s="333"/>
      <c r="H3" s="333"/>
      <c r="I3" s="333"/>
      <c r="J3" s="333"/>
      <c r="K3" s="333"/>
      <c r="L3" s="336"/>
      <c r="M3" s="333"/>
    </row>
    <row r="4" spans="1:13" ht="15" customHeight="1">
      <c r="A4" s="337" t="s">
        <v>15</v>
      </c>
      <c r="B4" s="338"/>
      <c r="C4" s="338"/>
      <c r="D4" s="338"/>
      <c r="E4" s="338"/>
      <c r="F4" s="338"/>
      <c r="G4" s="338"/>
      <c r="H4" s="338"/>
      <c r="I4" s="338"/>
      <c r="J4" s="338"/>
      <c r="K4" s="338"/>
      <c r="L4" s="339"/>
      <c r="M4" s="340"/>
    </row>
    <row r="5" spans="1:13" ht="15" customHeight="1">
      <c r="A5" s="341" t="s">
        <v>453</v>
      </c>
      <c r="B5" s="333"/>
      <c r="C5" s="333"/>
      <c r="D5" s="333"/>
      <c r="E5" s="333"/>
      <c r="F5" s="333"/>
      <c r="G5" s="333"/>
      <c r="H5" s="333"/>
      <c r="I5" s="333"/>
      <c r="J5" s="333"/>
      <c r="K5" s="333"/>
      <c r="L5" s="342"/>
      <c r="M5" s="333"/>
    </row>
    <row r="6" spans="1:13" ht="15" customHeight="1">
      <c r="A6" s="343" t="s">
        <v>454</v>
      </c>
      <c r="B6" s="333">
        <v>85000</v>
      </c>
      <c r="C6" s="333" t="s">
        <v>455</v>
      </c>
      <c r="D6" s="333"/>
      <c r="E6" s="333" t="s">
        <v>456</v>
      </c>
      <c r="F6" s="344">
        <v>8</v>
      </c>
      <c r="G6" s="333">
        <v>50</v>
      </c>
      <c r="H6" s="344">
        <v>400</v>
      </c>
      <c r="I6" s="344">
        <v>452</v>
      </c>
      <c r="J6" s="344">
        <v>339</v>
      </c>
      <c r="K6" s="333">
        <v>400</v>
      </c>
      <c r="L6" s="365">
        <f>240+(109.44-8-0.02*40.8)+(68.64-4-0.02*32.64)</f>
        <v>404.61120000000005</v>
      </c>
      <c r="M6" s="333" t="s">
        <v>457</v>
      </c>
    </row>
    <row r="7" spans="1:13" ht="15" customHeight="1">
      <c r="A7" s="343" t="s">
        <v>458</v>
      </c>
      <c r="B7" s="345">
        <v>85001</v>
      </c>
      <c r="C7" s="345" t="s">
        <v>455</v>
      </c>
      <c r="D7" s="345"/>
      <c r="E7" s="345" t="s">
        <v>456</v>
      </c>
      <c r="F7" s="346">
        <v>8</v>
      </c>
      <c r="G7" s="345">
        <v>40</v>
      </c>
      <c r="H7" s="346">
        <v>320</v>
      </c>
      <c r="I7" s="346">
        <v>361.6</v>
      </c>
      <c r="J7" s="346">
        <v>271.2</v>
      </c>
      <c r="K7" s="345">
        <f>25*8</f>
        <v>200</v>
      </c>
      <c r="L7" s="345">
        <f>25*8</f>
        <v>200</v>
      </c>
      <c r="M7" s="345" t="s">
        <v>459</v>
      </c>
    </row>
    <row r="8" spans="1:13" ht="15" customHeight="1">
      <c r="A8" s="343"/>
      <c r="B8" s="333"/>
      <c r="C8" s="333"/>
      <c r="D8" s="333"/>
      <c r="E8" s="333"/>
      <c r="F8" s="333"/>
      <c r="G8" s="333"/>
      <c r="H8" s="333"/>
      <c r="I8" s="333"/>
      <c r="J8" s="333"/>
      <c r="K8" s="333"/>
      <c r="L8" s="342"/>
      <c r="M8" s="333"/>
    </row>
    <row r="9" spans="1:13" ht="15" customHeight="1">
      <c r="A9" s="341"/>
      <c r="B9" s="348" t="s">
        <v>460</v>
      </c>
      <c r="C9" s="349"/>
      <c r="D9" s="349"/>
      <c r="E9" s="349"/>
      <c r="F9" s="349"/>
      <c r="G9" s="349"/>
      <c r="H9" s="349"/>
      <c r="I9" s="350">
        <v>813.6</v>
      </c>
      <c r="J9" s="350">
        <v>610.20000000000005</v>
      </c>
      <c r="K9" s="370">
        <f>SUM(K6:K7)</f>
        <v>600</v>
      </c>
      <c r="L9" s="370">
        <f>SUM(L6:L7)</f>
        <v>604.61120000000005</v>
      </c>
      <c r="M9" s="341"/>
    </row>
    <row r="10" spans="1:13" ht="15" customHeight="1">
      <c r="A10" s="341" t="s">
        <v>461</v>
      </c>
      <c r="B10" s="333"/>
      <c r="C10" s="333"/>
      <c r="D10" s="333" t="s">
        <v>462</v>
      </c>
      <c r="E10" s="333"/>
      <c r="F10" s="333"/>
      <c r="G10" s="342"/>
      <c r="H10" s="333"/>
      <c r="I10"/>
      <c r="J10"/>
      <c r="K10"/>
      <c r="L10"/>
      <c r="M10"/>
    </row>
    <row r="11" spans="1:13" ht="15" customHeight="1">
      <c r="A11" s="333"/>
      <c r="B11" s="333">
        <v>85100</v>
      </c>
      <c r="C11" s="333" t="s">
        <v>463</v>
      </c>
      <c r="D11" s="333"/>
      <c r="E11" s="333" t="s">
        <v>464</v>
      </c>
      <c r="F11" s="344">
        <v>15</v>
      </c>
      <c r="G11" s="333">
        <v>12</v>
      </c>
      <c r="H11" s="344">
        <v>180</v>
      </c>
      <c r="I11" s="344">
        <v>203.4</v>
      </c>
      <c r="J11" s="344">
        <v>152.55000000000001</v>
      </c>
      <c r="K11" s="333"/>
      <c r="L11" s="342"/>
      <c r="M11" s="333" t="s">
        <v>465</v>
      </c>
    </row>
    <row r="12" spans="1:13" ht="15" customHeight="1">
      <c r="A12" s="333"/>
      <c r="B12" s="345">
        <v>85101</v>
      </c>
      <c r="C12" s="345" t="s">
        <v>466</v>
      </c>
      <c r="D12" s="345"/>
      <c r="E12" s="345" t="s">
        <v>467</v>
      </c>
      <c r="F12" s="346">
        <v>0.5</v>
      </c>
      <c r="G12" s="345">
        <v>250</v>
      </c>
      <c r="H12" s="346">
        <v>125</v>
      </c>
      <c r="I12" s="346">
        <v>141.25</v>
      </c>
      <c r="J12" s="346">
        <v>105.94</v>
      </c>
      <c r="K12" s="345" t="s">
        <v>468</v>
      </c>
      <c r="L12" s="347" t="s">
        <v>468</v>
      </c>
      <c r="M12" s="345" t="s">
        <v>469</v>
      </c>
    </row>
    <row r="13" spans="1:13" s="27" customFormat="1" ht="15" customHeight="1">
      <c r="A13" s="333"/>
      <c r="B13" s="333">
        <v>85102</v>
      </c>
      <c r="C13" s="333" t="s">
        <v>470</v>
      </c>
      <c r="D13" s="333"/>
      <c r="E13" s="333" t="s">
        <v>471</v>
      </c>
      <c r="F13" s="344"/>
      <c r="G13" s="333"/>
      <c r="H13" s="344"/>
      <c r="I13" s="344"/>
      <c r="J13" s="344"/>
      <c r="K13" s="333">
        <v>486.07</v>
      </c>
      <c r="L13" s="342">
        <v>0</v>
      </c>
      <c r="M13" s="333"/>
    </row>
    <row r="14" spans="1:13" ht="15" customHeight="1">
      <c r="A14" s="333"/>
      <c r="B14" s="345">
        <v>85103</v>
      </c>
      <c r="C14" s="345" t="s">
        <v>472</v>
      </c>
      <c r="D14" s="345"/>
      <c r="E14" s="345" t="s">
        <v>473</v>
      </c>
      <c r="F14" s="346">
        <v>2</v>
      </c>
      <c r="G14" s="345">
        <v>96</v>
      </c>
      <c r="H14" s="346">
        <v>192</v>
      </c>
      <c r="I14" s="346">
        <v>216.96</v>
      </c>
      <c r="J14" s="346">
        <v>162.72</v>
      </c>
      <c r="K14" s="345" t="s">
        <v>468</v>
      </c>
      <c r="L14" s="347" t="s">
        <v>468</v>
      </c>
      <c r="M14" s="345" t="s">
        <v>474</v>
      </c>
    </row>
    <row r="15" spans="1:13" ht="15" customHeight="1">
      <c r="A15" s="333"/>
      <c r="B15" s="333"/>
      <c r="C15" s="333"/>
      <c r="D15" s="333"/>
      <c r="E15" s="333"/>
      <c r="F15" s="333"/>
      <c r="G15" s="333"/>
      <c r="H15" s="333"/>
      <c r="I15" s="333"/>
      <c r="J15" s="333"/>
      <c r="K15" s="333"/>
      <c r="L15" s="342"/>
      <c r="M15" s="333"/>
    </row>
    <row r="16" spans="1:13" s="27" customFormat="1" ht="15" customHeight="1">
      <c r="A16" s="341"/>
      <c r="B16" s="348" t="s">
        <v>475</v>
      </c>
      <c r="C16" s="349"/>
      <c r="D16" s="349"/>
      <c r="E16" s="349"/>
      <c r="F16" s="349"/>
      <c r="G16" s="349"/>
      <c r="H16" s="349"/>
      <c r="I16" s="350">
        <v>618.11</v>
      </c>
      <c r="J16" s="350">
        <v>463.58</v>
      </c>
      <c r="K16" s="349">
        <f>SUM(K11:K14)</f>
        <v>486.07</v>
      </c>
      <c r="L16" s="351">
        <f>SUM(L11:L14)</f>
        <v>0</v>
      </c>
      <c r="M16" s="341"/>
    </row>
    <row r="17" spans="1:13" s="27" customFormat="1" ht="15" customHeight="1">
      <c r="A17" s="341" t="s">
        <v>476</v>
      </c>
      <c r="B17" s="333"/>
      <c r="C17" s="333"/>
      <c r="D17" s="333"/>
      <c r="E17" s="333"/>
      <c r="F17" s="333"/>
      <c r="G17" s="333"/>
      <c r="H17" s="333"/>
      <c r="I17" s="333"/>
      <c r="J17" s="333"/>
      <c r="K17" s="333"/>
      <c r="L17" s="342"/>
      <c r="M17" s="333"/>
    </row>
    <row r="18" spans="1:13" customFormat="1" ht="15" customHeight="1">
      <c r="A18" s="333"/>
      <c r="B18" s="333">
        <v>85200</v>
      </c>
      <c r="C18" s="333" t="s">
        <v>477</v>
      </c>
      <c r="D18" s="333"/>
      <c r="E18" s="333" t="s">
        <v>478</v>
      </c>
      <c r="F18" s="344">
        <v>3</v>
      </c>
      <c r="G18" s="333">
        <v>75</v>
      </c>
      <c r="H18" s="344">
        <v>225</v>
      </c>
      <c r="I18" s="344">
        <v>254.25</v>
      </c>
      <c r="J18" s="344">
        <v>190.69</v>
      </c>
      <c r="K18" s="333"/>
      <c r="L18" s="342"/>
      <c r="M18" s="333"/>
    </row>
    <row r="19" spans="1:13" customFormat="1" ht="15" customHeight="1">
      <c r="A19" s="333"/>
      <c r="B19" s="333">
        <v>85201</v>
      </c>
      <c r="C19" s="333" t="s">
        <v>479</v>
      </c>
      <c r="D19" s="333"/>
      <c r="E19" s="333" t="s">
        <v>480</v>
      </c>
      <c r="F19" s="344"/>
      <c r="G19" s="333"/>
      <c r="H19" s="344"/>
      <c r="I19" s="344"/>
      <c r="J19" s="344"/>
      <c r="K19" s="333">
        <v>86.45</v>
      </c>
      <c r="L19" s="342">
        <v>0</v>
      </c>
      <c r="M19" s="333" t="s">
        <v>481</v>
      </c>
    </row>
    <row r="20" spans="1:13" ht="15" customHeight="1">
      <c r="A20" s="333"/>
      <c r="B20" s="333"/>
      <c r="C20" s="333"/>
      <c r="D20" s="333"/>
      <c r="E20" s="333"/>
      <c r="F20" s="333"/>
      <c r="G20" s="333"/>
      <c r="H20" s="333"/>
      <c r="I20" s="333"/>
      <c r="J20" s="333"/>
      <c r="K20" s="333"/>
      <c r="L20" s="342"/>
      <c r="M20" s="333"/>
    </row>
    <row r="21" spans="1:13" ht="15" customHeight="1">
      <c r="A21" s="341"/>
      <c r="B21" s="348" t="s">
        <v>482</v>
      </c>
      <c r="C21" s="349"/>
      <c r="D21" s="349"/>
      <c r="E21" s="349"/>
      <c r="F21" s="349"/>
      <c r="G21" s="349"/>
      <c r="H21" s="349"/>
      <c r="I21" s="350">
        <v>254.25</v>
      </c>
      <c r="J21" s="350">
        <v>190.69</v>
      </c>
      <c r="K21" s="349">
        <f>SUM(K18:K19)</f>
        <v>86.45</v>
      </c>
      <c r="L21" s="349">
        <f>SUM(L18:L19)</f>
        <v>0</v>
      </c>
      <c r="M21" s="341"/>
    </row>
    <row r="22" spans="1:13" ht="15" customHeight="1">
      <c r="A22" s="333"/>
      <c r="B22" s="333"/>
      <c r="C22" s="333"/>
      <c r="D22" s="333"/>
      <c r="E22" s="333"/>
      <c r="F22" s="333"/>
      <c r="G22" s="333"/>
      <c r="H22" s="333"/>
      <c r="I22" s="333"/>
      <c r="J22" s="333"/>
      <c r="K22" s="333"/>
      <c r="L22" s="342"/>
      <c r="M22" s="333"/>
    </row>
    <row r="23" spans="1:13" ht="15" customHeight="1">
      <c r="A23" s="352"/>
      <c r="B23" s="353" t="s">
        <v>42</v>
      </c>
      <c r="C23" s="354"/>
      <c r="D23" s="354"/>
      <c r="E23" s="354"/>
      <c r="F23" s="354"/>
      <c r="G23" s="354"/>
      <c r="H23" s="354"/>
      <c r="I23" s="367">
        <f>SUM(I21,I16,I9,)</f>
        <v>1685.96</v>
      </c>
      <c r="J23" s="367">
        <f>SUM(J21,J16,J9,)</f>
        <v>1264.47</v>
      </c>
      <c r="K23" s="376">
        <f>SUM(K9,K16,K21)</f>
        <v>1172.52</v>
      </c>
      <c r="L23" s="376">
        <f>SUM(L9,L16,L21)</f>
        <v>604.61120000000005</v>
      </c>
      <c r="M23" s="352"/>
    </row>
    <row r="24" spans="1:13" ht="15" customHeight="1">
      <c r="A24" s="333"/>
      <c r="B24" s="333"/>
      <c r="C24" s="333"/>
      <c r="D24" s="333"/>
      <c r="E24" s="333"/>
      <c r="F24" s="333"/>
      <c r="G24" s="333"/>
      <c r="H24" s="333"/>
      <c r="I24" s="333"/>
      <c r="J24" s="333"/>
      <c r="K24" s="333"/>
      <c r="L24" s="342"/>
      <c r="M24" s="333"/>
    </row>
    <row r="25" spans="1:13" ht="15" customHeight="1">
      <c r="A25" s="337" t="s">
        <v>40</v>
      </c>
      <c r="B25" s="338"/>
      <c r="C25" s="338"/>
      <c r="D25" s="338"/>
      <c r="E25" s="338"/>
      <c r="F25" s="338"/>
      <c r="G25" s="338"/>
      <c r="H25" s="338"/>
      <c r="I25" s="338"/>
      <c r="J25" s="338"/>
      <c r="K25" s="338"/>
      <c r="L25" s="355"/>
      <c r="M25" s="340"/>
    </row>
    <row r="26" spans="1:13" ht="15" customHeight="1">
      <c r="A26" s="341" t="s">
        <v>483</v>
      </c>
      <c r="B26" s="401" t="s">
        <v>484</v>
      </c>
      <c r="C26" s="401"/>
      <c r="D26" s="401"/>
      <c r="E26" s="401"/>
      <c r="F26" s="401"/>
      <c r="G26" s="333"/>
      <c r="H26" s="333"/>
      <c r="I26" s="333"/>
      <c r="J26" s="333"/>
      <c r="K26" s="333"/>
      <c r="L26" s="342"/>
      <c r="M26" s="333"/>
    </row>
    <row r="27" spans="1:13" ht="15" customHeight="1">
      <c r="A27" s="341" t="s">
        <v>453</v>
      </c>
      <c r="B27" s="333"/>
      <c r="C27" s="341" t="s">
        <v>485</v>
      </c>
      <c r="D27" s="333"/>
      <c r="E27" s="333"/>
      <c r="F27" s="333"/>
      <c r="G27" s="333"/>
      <c r="H27" s="333"/>
      <c r="I27" s="333"/>
      <c r="J27" s="333"/>
      <c r="K27" s="333"/>
      <c r="L27" s="342"/>
      <c r="M27" s="333"/>
    </row>
    <row r="28" spans="1:13" ht="16.7">
      <c r="A28" s="343" t="s">
        <v>486</v>
      </c>
      <c r="B28" s="402" t="s">
        <v>487</v>
      </c>
      <c r="C28" s="402"/>
      <c r="D28" s="402"/>
      <c r="E28" s="402"/>
      <c r="F28" s="402"/>
      <c r="G28" s="402"/>
      <c r="H28" s="402"/>
      <c r="I28" s="402"/>
      <c r="J28" s="402"/>
      <c r="K28" s="402"/>
      <c r="L28" s="403"/>
      <c r="M28" s="333"/>
    </row>
    <row r="29" spans="1:13" ht="15" customHeight="1">
      <c r="A29" s="343" t="s">
        <v>454</v>
      </c>
      <c r="B29" s="333">
        <v>85300</v>
      </c>
      <c r="C29" s="333" t="s">
        <v>488</v>
      </c>
      <c r="D29" s="333">
        <v>8</v>
      </c>
      <c r="E29" s="333" t="s">
        <v>489</v>
      </c>
      <c r="F29" s="344">
        <v>75</v>
      </c>
      <c r="G29" s="333">
        <v>1</v>
      </c>
      <c r="H29" s="344">
        <v>75</v>
      </c>
      <c r="I29" s="344">
        <v>75</v>
      </c>
      <c r="J29" s="344">
        <v>93.75</v>
      </c>
      <c r="K29" s="333">
        <v>0</v>
      </c>
      <c r="L29" s="342">
        <v>0</v>
      </c>
      <c r="M29" s="333" t="s">
        <v>490</v>
      </c>
    </row>
    <row r="30" spans="1:13" ht="15" customHeight="1">
      <c r="A30" s="333"/>
      <c r="B30" s="345">
        <v>85301</v>
      </c>
      <c r="C30" s="345" t="s">
        <v>491</v>
      </c>
      <c r="D30" s="345">
        <v>6</v>
      </c>
      <c r="E30" s="345" t="s">
        <v>492</v>
      </c>
      <c r="F30" s="346">
        <v>0.25</v>
      </c>
      <c r="G30" s="345">
        <v>40</v>
      </c>
      <c r="H30" s="346">
        <v>10</v>
      </c>
      <c r="I30" s="346">
        <v>11.3</v>
      </c>
      <c r="J30" s="346">
        <v>14.13</v>
      </c>
      <c r="K30" s="345" t="s">
        <v>468</v>
      </c>
      <c r="L30" s="347" t="s">
        <v>468</v>
      </c>
      <c r="M30" s="345" t="s">
        <v>493</v>
      </c>
    </row>
    <row r="31" spans="1:13" ht="15" customHeight="1">
      <c r="A31" s="333"/>
      <c r="B31" s="333">
        <v>85302</v>
      </c>
      <c r="C31" s="333" t="s">
        <v>494</v>
      </c>
      <c r="D31" s="333">
        <v>6</v>
      </c>
      <c r="E31" s="333" t="s">
        <v>495</v>
      </c>
      <c r="F31" s="344">
        <v>4</v>
      </c>
      <c r="G31" s="333">
        <v>5</v>
      </c>
      <c r="H31" s="344">
        <v>20</v>
      </c>
      <c r="I31" s="344">
        <v>20</v>
      </c>
      <c r="J31" s="344">
        <v>25</v>
      </c>
      <c r="K31" s="333">
        <v>0</v>
      </c>
      <c r="L31" s="342">
        <v>0</v>
      </c>
      <c r="M31" s="333" t="s">
        <v>496</v>
      </c>
    </row>
    <row r="32" spans="1:13" ht="15" customHeight="1">
      <c r="A32" s="333"/>
      <c r="B32" s="345">
        <v>85303</v>
      </c>
      <c r="C32" s="345" t="s">
        <v>497</v>
      </c>
      <c r="D32" s="345">
        <v>6</v>
      </c>
      <c r="E32" s="345" t="s">
        <v>498</v>
      </c>
      <c r="F32" s="346">
        <v>15.66</v>
      </c>
      <c r="G32" s="345">
        <v>1</v>
      </c>
      <c r="H32" s="346">
        <v>15.66</v>
      </c>
      <c r="I32" s="346">
        <v>17.7</v>
      </c>
      <c r="J32" s="346">
        <v>22.12</v>
      </c>
      <c r="K32" s="345"/>
      <c r="L32" s="347"/>
      <c r="M32" s="345" t="s">
        <v>496</v>
      </c>
    </row>
    <row r="33" spans="1:13" ht="15" customHeight="1">
      <c r="A33" s="343"/>
      <c r="B33" s="333">
        <v>85304</v>
      </c>
      <c r="C33" s="333" t="s">
        <v>499</v>
      </c>
      <c r="D33" s="333">
        <v>4</v>
      </c>
      <c r="E33" s="333" t="s">
        <v>500</v>
      </c>
      <c r="F33" s="344">
        <v>3.3</v>
      </c>
      <c r="G33" s="333">
        <v>70</v>
      </c>
      <c r="H33" s="344">
        <v>231</v>
      </c>
      <c r="I33" s="344">
        <v>261.02999999999997</v>
      </c>
      <c r="J33" s="344">
        <v>326.29000000000002</v>
      </c>
      <c r="K33" s="333"/>
      <c r="L33" s="342">
        <f>150*1.13</f>
        <v>169.49999999999997</v>
      </c>
      <c r="M33" s="333" t="s">
        <v>501</v>
      </c>
    </row>
    <row r="34" spans="1:13" ht="15" customHeight="1">
      <c r="A34" s="333"/>
      <c r="B34" s="345">
        <v>85305</v>
      </c>
      <c r="C34" s="345" t="s">
        <v>502</v>
      </c>
      <c r="D34" s="345">
        <v>5</v>
      </c>
      <c r="E34" s="345" t="s">
        <v>503</v>
      </c>
      <c r="F34" s="346">
        <v>45</v>
      </c>
      <c r="G34" s="345">
        <v>1</v>
      </c>
      <c r="H34" s="346">
        <v>45</v>
      </c>
      <c r="I34" s="346">
        <v>50.85</v>
      </c>
      <c r="J34" s="346">
        <v>63.56</v>
      </c>
      <c r="K34" s="345">
        <v>0</v>
      </c>
      <c r="L34" s="347">
        <v>0</v>
      </c>
      <c r="M34" s="345" t="s">
        <v>504</v>
      </c>
    </row>
    <row r="35" spans="1:13" ht="15" customHeight="1">
      <c r="A35" s="333"/>
      <c r="B35" s="333">
        <v>85306</v>
      </c>
      <c r="C35" s="333" t="s">
        <v>505</v>
      </c>
      <c r="D35" s="333">
        <v>5</v>
      </c>
      <c r="E35" s="333" t="s">
        <v>503</v>
      </c>
      <c r="F35" s="344">
        <v>45</v>
      </c>
      <c r="G35" s="333">
        <v>1</v>
      </c>
      <c r="H35" s="344">
        <v>45</v>
      </c>
      <c r="I35" s="344">
        <v>50.85</v>
      </c>
      <c r="J35" s="344">
        <v>63.56</v>
      </c>
      <c r="K35" s="333"/>
      <c r="L35" s="342">
        <f>90*1.13</f>
        <v>101.69999999999999</v>
      </c>
      <c r="M35" s="333" t="s">
        <v>506</v>
      </c>
    </row>
    <row r="36" spans="1:13" ht="15" customHeight="1">
      <c r="A36" s="333"/>
      <c r="B36" s="345">
        <v>85307</v>
      </c>
      <c r="C36" s="345" t="s">
        <v>507</v>
      </c>
      <c r="D36" s="345">
        <v>3</v>
      </c>
      <c r="E36" s="345" t="s">
        <v>508</v>
      </c>
      <c r="F36" s="346">
        <v>4</v>
      </c>
      <c r="G36" s="345">
        <v>70</v>
      </c>
      <c r="H36" s="346">
        <v>280</v>
      </c>
      <c r="I36" s="346">
        <v>316.39999999999998</v>
      </c>
      <c r="J36" s="346">
        <v>395.5</v>
      </c>
      <c r="K36" s="345"/>
      <c r="L36" s="347"/>
      <c r="M36" s="345"/>
    </row>
    <row r="37" spans="1:13" ht="15" customHeight="1">
      <c r="A37" s="333"/>
      <c r="B37" s="333">
        <v>85308</v>
      </c>
      <c r="C37" s="333" t="s">
        <v>509</v>
      </c>
      <c r="D37" s="333">
        <v>2</v>
      </c>
      <c r="E37" s="333" t="s">
        <v>510</v>
      </c>
      <c r="F37" s="344">
        <v>25</v>
      </c>
      <c r="G37" s="333">
        <v>12</v>
      </c>
      <c r="H37" s="344">
        <v>300</v>
      </c>
      <c r="I37" s="344">
        <v>339</v>
      </c>
      <c r="J37" s="344">
        <v>423.75</v>
      </c>
      <c r="K37" s="333">
        <f>2.83+475-304.25</f>
        <v>173.57999999999998</v>
      </c>
      <c r="L37" s="342">
        <f>2.83+475-304.25</f>
        <v>173.57999999999998</v>
      </c>
      <c r="M37" s="333" t="s">
        <v>511</v>
      </c>
    </row>
    <row r="38" spans="1:13" ht="15" customHeight="1">
      <c r="A38" s="333"/>
      <c r="B38" s="333">
        <v>85309</v>
      </c>
      <c r="C38" s="333" t="s">
        <v>512</v>
      </c>
      <c r="D38" s="333"/>
      <c r="E38" s="333"/>
      <c r="F38" s="344"/>
      <c r="G38" s="333"/>
      <c r="H38" s="344"/>
      <c r="I38" s="344"/>
      <c r="J38" s="344"/>
      <c r="K38" s="333">
        <v>15.14</v>
      </c>
      <c r="L38" s="342">
        <v>15.14</v>
      </c>
      <c r="M38" s="333" t="s">
        <v>513</v>
      </c>
    </row>
    <row r="39" spans="1:13" ht="15" customHeight="1">
      <c r="A39" s="343" t="s">
        <v>458</v>
      </c>
      <c r="B39" s="345">
        <v>85310</v>
      </c>
      <c r="C39" s="345" t="s">
        <v>491</v>
      </c>
      <c r="D39" s="345">
        <v>6</v>
      </c>
      <c r="E39" s="345" t="s">
        <v>514</v>
      </c>
      <c r="F39" s="346">
        <v>0.25</v>
      </c>
      <c r="G39" s="345">
        <v>40</v>
      </c>
      <c r="H39" s="346">
        <v>10</v>
      </c>
      <c r="I39" s="346">
        <v>11.3</v>
      </c>
      <c r="J39" s="346">
        <v>14.13</v>
      </c>
      <c r="K39" s="345" t="s">
        <v>468</v>
      </c>
      <c r="L39" s="347">
        <v>0</v>
      </c>
      <c r="M39" s="345" t="s">
        <v>493</v>
      </c>
    </row>
    <row r="40" spans="1:13" ht="15" customHeight="1">
      <c r="A40" s="333"/>
      <c r="B40" s="333">
        <v>85311</v>
      </c>
      <c r="C40" s="333" t="s">
        <v>515</v>
      </c>
      <c r="D40" s="333">
        <v>5</v>
      </c>
      <c r="E40" s="333" t="s">
        <v>516</v>
      </c>
      <c r="F40" s="344">
        <v>8.49</v>
      </c>
      <c r="G40" s="333">
        <v>2</v>
      </c>
      <c r="H40" s="344">
        <v>16.98</v>
      </c>
      <c r="I40" s="344">
        <v>19.190000000000001</v>
      </c>
      <c r="J40" s="344">
        <v>23.98</v>
      </c>
      <c r="K40" s="333"/>
      <c r="L40" s="342">
        <v>0</v>
      </c>
      <c r="M40" s="333" t="s">
        <v>517</v>
      </c>
    </row>
    <row r="41" spans="1:13" ht="15" customHeight="1">
      <c r="A41" s="333"/>
      <c r="B41" s="345">
        <v>8531</v>
      </c>
      <c r="C41" s="345" t="s">
        <v>494</v>
      </c>
      <c r="D41" s="345">
        <v>6</v>
      </c>
      <c r="E41" s="345" t="s">
        <v>495</v>
      </c>
      <c r="F41" s="346">
        <v>4</v>
      </c>
      <c r="G41" s="345">
        <v>5</v>
      </c>
      <c r="H41" s="346">
        <v>20</v>
      </c>
      <c r="I41" s="346">
        <v>20</v>
      </c>
      <c r="J41" s="346">
        <v>25</v>
      </c>
      <c r="K41" s="345"/>
      <c r="L41" s="347">
        <v>0</v>
      </c>
      <c r="M41" s="345" t="s">
        <v>496</v>
      </c>
    </row>
    <row r="42" spans="1:13" ht="15" customHeight="1">
      <c r="A42" s="343"/>
      <c r="B42" s="333">
        <v>85313</v>
      </c>
      <c r="C42" s="333" t="s">
        <v>499</v>
      </c>
      <c r="D42" s="333">
        <v>5</v>
      </c>
      <c r="E42" s="333" t="s">
        <v>518</v>
      </c>
      <c r="F42" s="344">
        <v>4.8899999999999997</v>
      </c>
      <c r="G42" s="333">
        <v>13</v>
      </c>
      <c r="H42" s="344">
        <v>63.57</v>
      </c>
      <c r="I42" s="344">
        <v>71.83</v>
      </c>
      <c r="J42" s="344">
        <v>89.79</v>
      </c>
      <c r="K42" s="333"/>
      <c r="L42" s="342">
        <f>150*1.13</f>
        <v>169.49999999999997</v>
      </c>
      <c r="M42" s="333" t="s">
        <v>501</v>
      </c>
    </row>
    <row r="43" spans="1:13" ht="15" customHeight="1">
      <c r="A43" s="333"/>
      <c r="B43" s="345">
        <v>85314</v>
      </c>
      <c r="C43" s="345" t="s">
        <v>502</v>
      </c>
      <c r="D43" s="345">
        <v>5</v>
      </c>
      <c r="E43" s="345" t="s">
        <v>519</v>
      </c>
      <c r="F43" s="346">
        <v>45</v>
      </c>
      <c r="G43" s="345">
        <v>1</v>
      </c>
      <c r="H43" s="346">
        <v>45</v>
      </c>
      <c r="I43" s="346">
        <v>50.85</v>
      </c>
      <c r="J43" s="346">
        <v>63.56</v>
      </c>
      <c r="K43" s="345"/>
      <c r="L43" s="347">
        <v>0</v>
      </c>
      <c r="M43" s="345" t="s">
        <v>504</v>
      </c>
    </row>
    <row r="44" spans="1:13" ht="15" customHeight="1">
      <c r="A44" s="333"/>
      <c r="B44" s="333">
        <v>85315</v>
      </c>
      <c r="C44" s="333" t="s">
        <v>505</v>
      </c>
      <c r="D44" s="333">
        <v>5</v>
      </c>
      <c r="E44" s="333" t="s">
        <v>519</v>
      </c>
      <c r="F44" s="344">
        <v>45</v>
      </c>
      <c r="G44" s="333">
        <v>1</v>
      </c>
      <c r="H44" s="344">
        <v>45</v>
      </c>
      <c r="I44" s="344">
        <v>50.85</v>
      </c>
      <c r="J44" s="344">
        <v>63.56</v>
      </c>
      <c r="K44" s="333"/>
      <c r="L44" s="342">
        <f>90*1.13</f>
        <v>101.69999999999999</v>
      </c>
      <c r="M44" s="333" t="s">
        <v>506</v>
      </c>
    </row>
    <row r="45" spans="1:13" ht="15" customHeight="1">
      <c r="A45" s="333"/>
      <c r="B45" s="345">
        <v>85316</v>
      </c>
      <c r="C45" s="345" t="s">
        <v>507</v>
      </c>
      <c r="D45" s="345">
        <v>3</v>
      </c>
      <c r="E45" s="345" t="s">
        <v>520</v>
      </c>
      <c r="F45" s="346">
        <v>4</v>
      </c>
      <c r="G45" s="345">
        <v>45</v>
      </c>
      <c r="H45" s="346">
        <v>180</v>
      </c>
      <c r="I45" s="346">
        <v>180</v>
      </c>
      <c r="J45" s="346">
        <v>225</v>
      </c>
      <c r="K45" s="345"/>
      <c r="L45" s="347"/>
      <c r="M45" s="345"/>
    </row>
    <row r="46" spans="1:13" ht="15" customHeight="1">
      <c r="A46" s="333"/>
      <c r="B46" s="333">
        <v>85317</v>
      </c>
      <c r="C46" s="333" t="s">
        <v>509</v>
      </c>
      <c r="D46" s="333">
        <v>2</v>
      </c>
      <c r="E46" s="333" t="s">
        <v>510</v>
      </c>
      <c r="F46" s="344">
        <v>25</v>
      </c>
      <c r="G46" s="333">
        <v>12</v>
      </c>
      <c r="H46" s="344">
        <v>300</v>
      </c>
      <c r="I46" s="344">
        <v>339</v>
      </c>
      <c r="J46" s="344">
        <v>423.75</v>
      </c>
      <c r="K46" s="333"/>
      <c r="L46" s="342">
        <f>(245-89)+20.27+22.67+20.22+22.16</f>
        <v>241.32</v>
      </c>
      <c r="M46" s="333" t="s">
        <v>521</v>
      </c>
    </row>
    <row r="47" spans="1:13" ht="15" customHeight="1">
      <c r="A47" s="343" t="s">
        <v>522</v>
      </c>
      <c r="B47" s="345">
        <v>85318</v>
      </c>
      <c r="C47" s="345" t="s">
        <v>523</v>
      </c>
      <c r="D47" s="345">
        <v>6</v>
      </c>
      <c r="E47" s="345" t="s">
        <v>524</v>
      </c>
      <c r="F47" s="346">
        <v>188</v>
      </c>
      <c r="G47" s="345">
        <v>1</v>
      </c>
      <c r="H47" s="346">
        <v>188</v>
      </c>
      <c r="I47" s="346">
        <v>212.44</v>
      </c>
      <c r="J47" s="346">
        <v>265.55</v>
      </c>
      <c r="K47" s="345"/>
      <c r="L47" s="347">
        <v>0</v>
      </c>
      <c r="M47" s="345" t="s">
        <v>525</v>
      </c>
    </row>
    <row r="48" spans="1:13" ht="15" customHeight="1">
      <c r="A48" s="333"/>
      <c r="B48" s="333">
        <v>85319</v>
      </c>
      <c r="C48" s="333" t="s">
        <v>526</v>
      </c>
      <c r="D48" s="333">
        <v>2</v>
      </c>
      <c r="E48" s="333" t="s">
        <v>527</v>
      </c>
      <c r="F48" s="344">
        <v>8</v>
      </c>
      <c r="G48" s="333">
        <v>90</v>
      </c>
      <c r="H48" s="344">
        <v>720</v>
      </c>
      <c r="I48" s="344">
        <v>813.6</v>
      </c>
      <c r="J48" s="344">
        <v>1017</v>
      </c>
      <c r="K48" s="344">
        <v>600</v>
      </c>
      <c r="L48" s="342">
        <f>601.41+200</f>
        <v>801.41</v>
      </c>
      <c r="M48" s="333" t="s">
        <v>528</v>
      </c>
    </row>
    <row r="49" spans="1:13" ht="15" customHeight="1">
      <c r="A49" s="333"/>
      <c r="B49" s="345">
        <v>85320</v>
      </c>
      <c r="C49" s="345" t="s">
        <v>529</v>
      </c>
      <c r="D49" s="345">
        <v>5</v>
      </c>
      <c r="E49" s="345" t="s">
        <v>530</v>
      </c>
      <c r="F49" s="346">
        <v>15</v>
      </c>
      <c r="G49" s="345">
        <v>6</v>
      </c>
      <c r="H49" s="346">
        <v>90</v>
      </c>
      <c r="I49" s="346">
        <v>101.7</v>
      </c>
      <c r="J49" s="346">
        <v>127.13</v>
      </c>
      <c r="K49" s="345"/>
      <c r="L49" s="347">
        <v>19.350000000000001</v>
      </c>
      <c r="M49" s="345" t="s">
        <v>531</v>
      </c>
    </row>
    <row r="50" spans="1:13" ht="15" customHeight="1">
      <c r="A50" s="333"/>
      <c r="B50" s="333"/>
      <c r="C50" s="333"/>
      <c r="D50" s="333"/>
      <c r="E50" s="333"/>
      <c r="F50" s="333"/>
      <c r="G50" s="333"/>
      <c r="H50" s="333"/>
      <c r="I50" s="333"/>
      <c r="J50" s="333"/>
      <c r="K50" s="333"/>
      <c r="L50" s="342"/>
      <c r="M50" s="333"/>
    </row>
    <row r="51" spans="1:13" ht="15" customHeight="1">
      <c r="A51" s="341"/>
      <c r="B51" s="348" t="s">
        <v>460</v>
      </c>
      <c r="C51" s="349"/>
      <c r="D51" s="349"/>
      <c r="E51" s="349"/>
      <c r="F51" s="349"/>
      <c r="G51" s="349"/>
      <c r="H51" s="349"/>
      <c r="I51" s="350">
        <v>3012.89</v>
      </c>
      <c r="J51" s="350">
        <v>3766.11</v>
      </c>
      <c r="K51" s="349">
        <f>SUM(K29:K49)</f>
        <v>788.72</v>
      </c>
      <c r="L51" s="351">
        <f>SUM(L29:L49)</f>
        <v>1793.1999999999998</v>
      </c>
      <c r="M51" s="341"/>
    </row>
    <row r="52" spans="1:13" ht="15" customHeight="1">
      <c r="A52" s="341" t="s">
        <v>476</v>
      </c>
      <c r="B52" s="333"/>
      <c r="C52" s="333"/>
      <c r="D52" s="333"/>
      <c r="E52" s="333"/>
      <c r="F52" s="333"/>
      <c r="G52" s="333"/>
      <c r="H52" s="333"/>
      <c r="I52" s="333"/>
      <c r="J52" s="333"/>
      <c r="K52" s="333"/>
      <c r="L52" s="342"/>
      <c r="M52" s="333"/>
    </row>
    <row r="53" spans="1:13" ht="15" customHeight="1">
      <c r="A53" s="343" t="s">
        <v>532</v>
      </c>
      <c r="B53" s="333">
        <v>85400</v>
      </c>
      <c r="C53" s="333" t="s">
        <v>533</v>
      </c>
      <c r="D53" s="333">
        <v>3</v>
      </c>
      <c r="E53" s="333" t="s">
        <v>534</v>
      </c>
      <c r="F53" s="344">
        <v>500</v>
      </c>
      <c r="G53" s="333">
        <v>1</v>
      </c>
      <c r="H53" s="344">
        <v>500</v>
      </c>
      <c r="I53" s="344">
        <v>500</v>
      </c>
      <c r="J53" s="344">
        <v>625</v>
      </c>
      <c r="K53" s="333"/>
      <c r="L53" s="342">
        <v>0</v>
      </c>
      <c r="M53" s="333" t="s">
        <v>535</v>
      </c>
    </row>
    <row r="54" spans="1:13" ht="15" customHeight="1">
      <c r="A54" s="333"/>
      <c r="B54" s="345">
        <v>85401</v>
      </c>
      <c r="C54" s="345" t="s">
        <v>509</v>
      </c>
      <c r="D54" s="345">
        <v>4</v>
      </c>
      <c r="E54" s="345" t="s">
        <v>536</v>
      </c>
      <c r="F54" s="346">
        <v>25</v>
      </c>
      <c r="G54" s="345">
        <v>8</v>
      </c>
      <c r="H54" s="346">
        <v>200</v>
      </c>
      <c r="I54" s="346">
        <v>226</v>
      </c>
      <c r="J54" s="346">
        <v>282.5</v>
      </c>
      <c r="K54" s="345"/>
      <c r="L54" s="347">
        <v>0</v>
      </c>
      <c r="M54" s="345" t="s">
        <v>537</v>
      </c>
    </row>
    <row r="55" spans="1:13" ht="15" customHeight="1">
      <c r="A55" s="333"/>
      <c r="B55" s="333">
        <v>85402</v>
      </c>
      <c r="C55" s="333" t="s">
        <v>538</v>
      </c>
      <c r="D55" s="333">
        <v>7</v>
      </c>
      <c r="E55" s="333" t="s">
        <v>539</v>
      </c>
      <c r="F55" s="344">
        <v>22.74</v>
      </c>
      <c r="G55" s="333">
        <v>1</v>
      </c>
      <c r="H55" s="344">
        <v>22.74</v>
      </c>
      <c r="I55" s="344">
        <v>25.7</v>
      </c>
      <c r="J55" s="344">
        <v>32.119999999999997</v>
      </c>
      <c r="K55" s="333"/>
      <c r="L55" s="342">
        <v>0</v>
      </c>
      <c r="M55" s="333"/>
    </row>
    <row r="56" spans="1:13" ht="15" customHeight="1">
      <c r="A56" s="333"/>
      <c r="B56" s="345">
        <v>85403</v>
      </c>
      <c r="C56" s="345" t="s">
        <v>540</v>
      </c>
      <c r="D56" s="345">
        <v>8</v>
      </c>
      <c r="E56" s="345" t="s">
        <v>541</v>
      </c>
      <c r="F56" s="346">
        <v>9.99</v>
      </c>
      <c r="G56" s="345">
        <v>1</v>
      </c>
      <c r="H56" s="346">
        <v>9.99</v>
      </c>
      <c r="I56" s="346">
        <v>11.29</v>
      </c>
      <c r="J56" s="346">
        <v>14.11</v>
      </c>
      <c r="K56" s="345"/>
      <c r="L56" s="347">
        <v>0</v>
      </c>
      <c r="M56" s="345"/>
    </row>
    <row r="57" spans="1:13" ht="15" customHeight="1">
      <c r="A57" s="333"/>
      <c r="B57" s="333">
        <v>85404</v>
      </c>
      <c r="C57" s="333" t="s">
        <v>542</v>
      </c>
      <c r="D57" s="333">
        <v>6</v>
      </c>
      <c r="E57" s="333" t="s">
        <v>543</v>
      </c>
      <c r="F57" s="344">
        <v>8.5</v>
      </c>
      <c r="G57" s="333">
        <v>15</v>
      </c>
      <c r="H57" s="344">
        <v>127.5</v>
      </c>
      <c r="I57" s="344">
        <v>144.08000000000001</v>
      </c>
      <c r="J57" s="344">
        <v>180.09</v>
      </c>
      <c r="K57" s="333"/>
      <c r="L57" s="342">
        <v>0</v>
      </c>
      <c r="M57" s="333"/>
    </row>
    <row r="58" spans="1:13" ht="15" customHeight="1">
      <c r="A58" s="343" t="s">
        <v>544</v>
      </c>
      <c r="B58" s="374">
        <v>85406</v>
      </c>
      <c r="C58" s="345" t="s">
        <v>479</v>
      </c>
      <c r="D58" s="345"/>
      <c r="E58" s="345" t="s">
        <v>480</v>
      </c>
      <c r="F58" s="346"/>
      <c r="G58" s="345"/>
      <c r="H58" s="346"/>
      <c r="I58" s="346"/>
      <c r="J58" s="346"/>
      <c r="K58" s="345">
        <v>86.45</v>
      </c>
      <c r="L58" s="347">
        <v>86.45</v>
      </c>
      <c r="M58" s="345"/>
    </row>
    <row r="59" spans="1:13" ht="15" customHeight="1">
      <c r="A59" s="343"/>
      <c r="B59" s="141">
        <v>85407</v>
      </c>
      <c r="C59" s="333" t="s">
        <v>455</v>
      </c>
      <c r="D59" s="333">
        <v>2</v>
      </c>
      <c r="E59" s="333" t="s">
        <v>545</v>
      </c>
      <c r="F59" s="344">
        <v>8</v>
      </c>
      <c r="G59" s="333">
        <v>40</v>
      </c>
      <c r="H59" s="344">
        <v>320</v>
      </c>
      <c r="I59" s="344">
        <v>361.6</v>
      </c>
      <c r="J59" s="344">
        <v>452</v>
      </c>
      <c r="K59" s="333">
        <v>248</v>
      </c>
      <c r="L59" s="342">
        <v>248</v>
      </c>
      <c r="M59" s="333" t="s">
        <v>546</v>
      </c>
    </row>
    <row r="60" spans="1:13" ht="15" customHeight="1">
      <c r="A60" s="343" t="s">
        <v>547</v>
      </c>
      <c r="B60" s="374">
        <v>85408</v>
      </c>
      <c r="C60" s="345" t="s">
        <v>548</v>
      </c>
      <c r="D60" s="345">
        <v>2</v>
      </c>
      <c r="E60" s="345" t="s">
        <v>549</v>
      </c>
      <c r="F60" s="346">
        <v>325</v>
      </c>
      <c r="G60" s="345">
        <v>1</v>
      </c>
      <c r="H60" s="346">
        <v>325</v>
      </c>
      <c r="I60" s="346">
        <v>367.25</v>
      </c>
      <c r="J60" s="346">
        <v>459.06</v>
      </c>
      <c r="K60" s="346">
        <v>100</v>
      </c>
      <c r="L60" s="347">
        <v>100</v>
      </c>
      <c r="M60" s="345" t="s">
        <v>550</v>
      </c>
    </row>
    <row r="61" spans="1:13" ht="15" customHeight="1">
      <c r="A61" s="343"/>
      <c r="B61" s="141">
        <v>85409</v>
      </c>
      <c r="C61" s="333" t="s">
        <v>551</v>
      </c>
      <c r="D61" s="333">
        <v>2</v>
      </c>
      <c r="E61" s="333" t="s">
        <v>552</v>
      </c>
      <c r="F61" s="344">
        <v>50</v>
      </c>
      <c r="G61" s="333">
        <v>1</v>
      </c>
      <c r="H61" s="344">
        <v>50</v>
      </c>
      <c r="I61" s="344">
        <v>56.5</v>
      </c>
      <c r="J61" s="344">
        <v>70.63</v>
      </c>
      <c r="K61" s="333">
        <v>0</v>
      </c>
      <c r="L61" s="342">
        <v>0</v>
      </c>
      <c r="M61" s="333" t="s">
        <v>553</v>
      </c>
    </row>
    <row r="62" spans="1:13" ht="15" customHeight="1">
      <c r="A62" s="333"/>
      <c r="B62" s="374">
        <v>85410</v>
      </c>
      <c r="C62" s="345" t="s">
        <v>554</v>
      </c>
      <c r="D62" s="345">
        <v>2</v>
      </c>
      <c r="E62" s="345" t="s">
        <v>555</v>
      </c>
      <c r="F62" s="346">
        <v>50</v>
      </c>
      <c r="G62" s="345">
        <v>1</v>
      </c>
      <c r="H62" s="346">
        <v>50</v>
      </c>
      <c r="I62" s="346">
        <v>56.5</v>
      </c>
      <c r="J62" s="346">
        <v>70.63</v>
      </c>
      <c r="K62" s="345"/>
      <c r="L62" s="347"/>
      <c r="M62" s="345" t="s">
        <v>556</v>
      </c>
    </row>
    <row r="63" spans="1:13" ht="15" customHeight="1">
      <c r="A63" s="333"/>
      <c r="B63" s="141">
        <v>85411</v>
      </c>
      <c r="C63" s="333" t="s">
        <v>557</v>
      </c>
      <c r="D63" s="333">
        <v>2</v>
      </c>
      <c r="E63" s="333" t="s">
        <v>558</v>
      </c>
      <c r="F63" s="344">
        <v>20</v>
      </c>
      <c r="G63" s="333">
        <v>1</v>
      </c>
      <c r="H63" s="344">
        <v>20</v>
      </c>
      <c r="I63" s="344">
        <v>22.6</v>
      </c>
      <c r="J63" s="344">
        <v>28.25</v>
      </c>
      <c r="K63" s="333" t="s">
        <v>468</v>
      </c>
      <c r="L63" s="342" t="s">
        <v>468</v>
      </c>
      <c r="M63" s="333" t="s">
        <v>559</v>
      </c>
    </row>
    <row r="64" spans="1:13" ht="15" customHeight="1">
      <c r="A64" s="333"/>
      <c r="B64" s="374">
        <v>85412</v>
      </c>
      <c r="C64" s="345" t="s">
        <v>560</v>
      </c>
      <c r="D64" s="345">
        <v>3</v>
      </c>
      <c r="E64" s="345" t="s">
        <v>561</v>
      </c>
      <c r="F64" s="346">
        <v>44.12</v>
      </c>
      <c r="G64" s="345">
        <v>1</v>
      </c>
      <c r="H64" s="346">
        <v>44.12</v>
      </c>
      <c r="I64" s="346">
        <v>49.86</v>
      </c>
      <c r="J64" s="346">
        <v>62.32</v>
      </c>
      <c r="K64" s="345"/>
      <c r="L64" s="347"/>
      <c r="M64" s="333" t="s">
        <v>562</v>
      </c>
    </row>
    <row r="65" spans="1:13" ht="15" customHeight="1">
      <c r="A65" s="343"/>
      <c r="B65" s="141">
        <v>85413</v>
      </c>
      <c r="C65" s="333" t="s">
        <v>410</v>
      </c>
      <c r="D65" s="333">
        <v>2</v>
      </c>
      <c r="E65" s="333" t="s">
        <v>563</v>
      </c>
      <c r="F65" s="344">
        <v>35</v>
      </c>
      <c r="G65" s="333">
        <v>1</v>
      </c>
      <c r="H65" s="344">
        <v>35</v>
      </c>
      <c r="I65" s="344">
        <v>39.549999999999997</v>
      </c>
      <c r="J65" s="344">
        <v>49.44</v>
      </c>
      <c r="K65" s="333"/>
      <c r="L65" s="342">
        <v>40</v>
      </c>
      <c r="M65" s="333" t="s">
        <v>564</v>
      </c>
    </row>
    <row r="66" spans="1:13" ht="15" customHeight="1">
      <c r="A66" s="343"/>
      <c r="B66" s="141">
        <v>85414</v>
      </c>
      <c r="C66" s="333" t="s">
        <v>565</v>
      </c>
      <c r="D66" s="333"/>
      <c r="E66" s="333" t="s">
        <v>566</v>
      </c>
      <c r="F66" s="344"/>
      <c r="G66" s="333"/>
      <c r="H66" s="344"/>
      <c r="I66" s="344"/>
      <c r="J66" s="344"/>
      <c r="K66" s="333"/>
      <c r="L66" s="342">
        <v>169.9</v>
      </c>
      <c r="M66" s="333" t="s">
        <v>567</v>
      </c>
    </row>
    <row r="67" spans="1:13" ht="15" customHeight="1">
      <c r="A67" s="333"/>
      <c r="B67" s="374">
        <v>85415</v>
      </c>
      <c r="C67" s="345" t="s">
        <v>568</v>
      </c>
      <c r="D67" s="345">
        <v>2</v>
      </c>
      <c r="E67" s="345" t="s">
        <v>569</v>
      </c>
      <c r="F67" s="346">
        <v>30</v>
      </c>
      <c r="G67" s="345">
        <v>1</v>
      </c>
      <c r="H67" s="346">
        <v>30</v>
      </c>
      <c r="I67" s="346">
        <v>33.9</v>
      </c>
      <c r="J67" s="346">
        <v>42.38</v>
      </c>
      <c r="K67" s="345">
        <v>0</v>
      </c>
      <c r="L67" s="347">
        <v>0</v>
      </c>
      <c r="M67" s="345" t="s">
        <v>570</v>
      </c>
    </row>
    <row r="68" spans="1:13" ht="15" customHeight="1">
      <c r="A68" s="333"/>
      <c r="B68" s="141">
        <v>8541</v>
      </c>
      <c r="C68" s="333" t="s">
        <v>571</v>
      </c>
      <c r="D68" s="333">
        <v>4</v>
      </c>
      <c r="E68" s="333" t="s">
        <v>572</v>
      </c>
      <c r="F68" s="344">
        <v>60</v>
      </c>
      <c r="G68" s="333">
        <v>1</v>
      </c>
      <c r="H68" s="344">
        <v>60</v>
      </c>
      <c r="I68" s="344">
        <v>67.8</v>
      </c>
      <c r="J68" s="344">
        <v>84.75</v>
      </c>
      <c r="K68" s="333">
        <v>0</v>
      </c>
      <c r="L68" s="342">
        <v>0</v>
      </c>
      <c r="M68" s="333" t="s">
        <v>573</v>
      </c>
    </row>
    <row r="69" spans="1:13" ht="15" customHeight="1">
      <c r="A69" s="343" t="s">
        <v>574</v>
      </c>
      <c r="B69" s="374">
        <v>85417</v>
      </c>
      <c r="C69" s="345" t="s">
        <v>575</v>
      </c>
      <c r="D69" s="345">
        <v>4</v>
      </c>
      <c r="E69" s="345" t="s">
        <v>576</v>
      </c>
      <c r="F69" s="346">
        <v>10</v>
      </c>
      <c r="G69" s="345">
        <v>30</v>
      </c>
      <c r="H69" s="346">
        <v>300</v>
      </c>
      <c r="I69" s="346">
        <v>339</v>
      </c>
      <c r="J69" s="346">
        <v>423.75</v>
      </c>
      <c r="K69" s="345">
        <v>0</v>
      </c>
      <c r="L69" s="347">
        <v>0</v>
      </c>
      <c r="M69" s="345" t="s">
        <v>577</v>
      </c>
    </row>
    <row r="70" spans="1:13" ht="15" customHeight="1">
      <c r="A70" s="343"/>
      <c r="B70" s="141">
        <v>85418</v>
      </c>
      <c r="C70" s="333" t="s">
        <v>578</v>
      </c>
      <c r="D70" s="333">
        <v>4</v>
      </c>
      <c r="E70" s="333" t="s">
        <v>579</v>
      </c>
      <c r="F70" s="344">
        <v>80</v>
      </c>
      <c r="G70" s="333">
        <v>1</v>
      </c>
      <c r="H70" s="344">
        <v>80</v>
      </c>
      <c r="I70" s="344">
        <v>90.4</v>
      </c>
      <c r="J70" s="344">
        <v>113</v>
      </c>
      <c r="K70" s="333">
        <v>0</v>
      </c>
      <c r="L70" s="342">
        <v>0</v>
      </c>
      <c r="M70" s="345" t="s">
        <v>580</v>
      </c>
    </row>
    <row r="71" spans="1:13" ht="15" customHeight="1">
      <c r="A71" s="343" t="s">
        <v>581</v>
      </c>
      <c r="B71" s="374">
        <v>85419</v>
      </c>
      <c r="C71" s="345" t="s">
        <v>582</v>
      </c>
      <c r="D71" s="345">
        <v>2</v>
      </c>
      <c r="E71" s="345" t="s">
        <v>583</v>
      </c>
      <c r="F71" s="346">
        <v>1.5</v>
      </c>
      <c r="G71" s="345">
        <v>25</v>
      </c>
      <c r="H71" s="346">
        <v>37.5</v>
      </c>
      <c r="I71" s="346">
        <v>42.38</v>
      </c>
      <c r="J71" s="346">
        <v>52.97</v>
      </c>
      <c r="K71" s="345">
        <v>0</v>
      </c>
      <c r="L71" s="347">
        <v>0</v>
      </c>
      <c r="M71" s="345" t="s">
        <v>517</v>
      </c>
    </row>
    <row r="72" spans="1:13" ht="15" customHeight="1">
      <c r="A72" s="343"/>
      <c r="B72" s="374">
        <v>85420</v>
      </c>
      <c r="C72" s="345" t="s">
        <v>584</v>
      </c>
      <c r="D72" s="345"/>
      <c r="E72" s="345" t="s">
        <v>585</v>
      </c>
      <c r="F72" s="346"/>
      <c r="G72" s="345"/>
      <c r="H72" s="346"/>
      <c r="I72" s="346"/>
      <c r="J72" s="346"/>
      <c r="K72" s="347">
        <v>50.85</v>
      </c>
      <c r="L72" s="347">
        <v>50.85</v>
      </c>
      <c r="M72" s="345" t="s">
        <v>586</v>
      </c>
    </row>
    <row r="73" spans="1:13" ht="15" customHeight="1">
      <c r="A73" s="343"/>
      <c r="B73" s="374">
        <v>85421</v>
      </c>
      <c r="C73" s="345" t="s">
        <v>587</v>
      </c>
      <c r="D73" s="345"/>
      <c r="E73" s="345" t="s">
        <v>588</v>
      </c>
      <c r="F73" s="346"/>
      <c r="G73" s="345"/>
      <c r="H73" s="346"/>
      <c r="I73" s="346"/>
      <c r="J73" s="346"/>
      <c r="K73" s="345">
        <v>50</v>
      </c>
      <c r="L73" s="347">
        <v>50</v>
      </c>
      <c r="M73" s="345" t="s">
        <v>589</v>
      </c>
    </row>
    <row r="74" spans="1:13" ht="15" customHeight="1">
      <c r="A74" s="343" t="s">
        <v>590</v>
      </c>
      <c r="B74" s="141">
        <v>85422</v>
      </c>
      <c r="C74" s="333" t="s">
        <v>509</v>
      </c>
      <c r="D74" s="333">
        <v>3</v>
      </c>
      <c r="E74" s="333" t="s">
        <v>591</v>
      </c>
      <c r="F74" s="344">
        <v>15</v>
      </c>
      <c r="G74" s="333">
        <v>8</v>
      </c>
      <c r="H74" s="344">
        <v>120</v>
      </c>
      <c r="I74" s="344">
        <v>135.6</v>
      </c>
      <c r="J74" s="344">
        <v>169.5</v>
      </c>
      <c r="K74" s="333">
        <v>0</v>
      </c>
      <c r="L74" s="342">
        <v>0</v>
      </c>
      <c r="M74" s="333" t="s">
        <v>592</v>
      </c>
    </row>
    <row r="75" spans="1:13" ht="15" customHeight="1">
      <c r="A75" s="343" t="s">
        <v>593</v>
      </c>
      <c r="B75" s="374">
        <v>85423</v>
      </c>
      <c r="C75" s="345" t="s">
        <v>594</v>
      </c>
      <c r="D75" s="345">
        <v>6</v>
      </c>
      <c r="E75" s="345" t="s">
        <v>595</v>
      </c>
      <c r="F75" s="346">
        <v>1100</v>
      </c>
      <c r="G75" s="345">
        <v>1</v>
      </c>
      <c r="H75" s="346">
        <v>1100</v>
      </c>
      <c r="I75" s="346">
        <v>1243</v>
      </c>
      <c r="J75" s="346">
        <v>1553.75</v>
      </c>
      <c r="K75" s="345">
        <v>0</v>
      </c>
      <c r="L75" s="347">
        <v>0</v>
      </c>
      <c r="M75" s="345"/>
    </row>
    <row r="76" spans="1:13" ht="15" customHeight="1">
      <c r="A76" s="343"/>
      <c r="B76" s="141">
        <v>85424</v>
      </c>
      <c r="C76" s="333" t="s">
        <v>596</v>
      </c>
      <c r="D76" s="333">
        <v>7</v>
      </c>
      <c r="E76" s="333" t="s">
        <v>597</v>
      </c>
      <c r="F76" s="344">
        <v>200</v>
      </c>
      <c r="G76" s="333">
        <v>1</v>
      </c>
      <c r="H76" s="344">
        <v>200</v>
      </c>
      <c r="I76" s="344">
        <v>226</v>
      </c>
      <c r="J76" s="344">
        <v>282.5</v>
      </c>
      <c r="K76" s="333">
        <v>0</v>
      </c>
      <c r="L76" s="342">
        <v>0</v>
      </c>
      <c r="M76" s="333"/>
    </row>
    <row r="77" spans="1:13" ht="15" customHeight="1">
      <c r="A77" s="343" t="s">
        <v>598</v>
      </c>
      <c r="B77" s="374">
        <v>85425</v>
      </c>
      <c r="C77" s="345" t="s">
        <v>599</v>
      </c>
      <c r="D77" s="345">
        <v>3</v>
      </c>
      <c r="E77" s="345" t="s">
        <v>600</v>
      </c>
      <c r="F77" s="346">
        <v>300</v>
      </c>
      <c r="G77" s="345">
        <v>1</v>
      </c>
      <c r="H77" s="346">
        <v>300</v>
      </c>
      <c r="I77" s="346">
        <v>339</v>
      </c>
      <c r="J77" s="346">
        <v>423.75</v>
      </c>
      <c r="K77" s="345">
        <v>0</v>
      </c>
      <c r="L77" s="347">
        <v>0</v>
      </c>
      <c r="M77" s="345" t="s">
        <v>601</v>
      </c>
    </row>
    <row r="78" spans="1:13" ht="15" customHeight="1">
      <c r="A78" s="343" t="s">
        <v>602</v>
      </c>
      <c r="B78" s="141">
        <v>85426</v>
      </c>
      <c r="C78" s="333" t="s">
        <v>603</v>
      </c>
      <c r="D78" s="333">
        <v>3</v>
      </c>
      <c r="E78" s="333" t="s">
        <v>604</v>
      </c>
      <c r="F78" s="344">
        <v>550</v>
      </c>
      <c r="G78" s="333">
        <v>1</v>
      </c>
      <c r="H78" s="344">
        <v>550</v>
      </c>
      <c r="I78" s="344">
        <v>621.5</v>
      </c>
      <c r="J78" s="344">
        <v>776.88</v>
      </c>
      <c r="K78" s="333"/>
      <c r="L78" s="342" t="s">
        <v>605</v>
      </c>
      <c r="M78" s="333"/>
    </row>
    <row r="79" spans="1:13" ht="15" customHeight="1">
      <c r="A79" s="343" t="s">
        <v>606</v>
      </c>
      <c r="B79" s="374">
        <v>85427</v>
      </c>
      <c r="C79" s="345" t="s">
        <v>607</v>
      </c>
      <c r="D79" s="345">
        <v>4</v>
      </c>
      <c r="E79" s="345" t="s">
        <v>608</v>
      </c>
      <c r="F79" s="346">
        <v>450</v>
      </c>
      <c r="G79" s="345">
        <v>1</v>
      </c>
      <c r="H79" s="346">
        <v>450</v>
      </c>
      <c r="I79" s="346">
        <v>450</v>
      </c>
      <c r="J79" s="346">
        <v>562.5</v>
      </c>
      <c r="K79" s="345">
        <v>57.04</v>
      </c>
      <c r="L79" s="347">
        <v>57.04</v>
      </c>
      <c r="M79" s="345" t="s">
        <v>609</v>
      </c>
    </row>
    <row r="80" spans="1:13" ht="15" customHeight="1">
      <c r="A80" s="343" t="s">
        <v>610</v>
      </c>
      <c r="B80" s="141">
        <v>85428</v>
      </c>
      <c r="C80" s="333" t="s">
        <v>611</v>
      </c>
      <c r="D80" s="333">
        <v>6</v>
      </c>
      <c r="E80" s="333" t="s">
        <v>612</v>
      </c>
      <c r="F80" s="344">
        <v>4.8899999999999997</v>
      </c>
      <c r="G80" s="333">
        <v>9</v>
      </c>
      <c r="H80" s="344">
        <v>44.01</v>
      </c>
      <c r="I80" s="344">
        <v>49.73</v>
      </c>
      <c r="J80" s="344">
        <v>62.16</v>
      </c>
      <c r="K80" s="333" t="s">
        <v>468</v>
      </c>
      <c r="L80" s="342" t="s">
        <v>468</v>
      </c>
      <c r="M80" s="333" t="s">
        <v>613</v>
      </c>
    </row>
    <row r="81" spans="1:14" ht="15" customHeight="1">
      <c r="A81" s="333"/>
      <c r="B81" s="374">
        <v>85429</v>
      </c>
      <c r="C81" s="345" t="s">
        <v>488</v>
      </c>
      <c r="D81" s="345">
        <v>4</v>
      </c>
      <c r="E81" s="345" t="s">
        <v>614</v>
      </c>
      <c r="F81" s="346">
        <v>15</v>
      </c>
      <c r="G81" s="345">
        <v>2</v>
      </c>
      <c r="H81" s="346">
        <v>30</v>
      </c>
      <c r="I81" s="346">
        <v>33.9</v>
      </c>
      <c r="J81" s="346">
        <v>42.38</v>
      </c>
      <c r="K81" s="345" t="s">
        <v>468</v>
      </c>
      <c r="L81" s="347" t="s">
        <v>468</v>
      </c>
      <c r="M81" s="345" t="s">
        <v>613</v>
      </c>
    </row>
    <row r="82" spans="1:14" ht="15" customHeight="1">
      <c r="A82" s="343" t="s">
        <v>615</v>
      </c>
      <c r="B82" s="141">
        <v>85430</v>
      </c>
      <c r="C82" s="333" t="s">
        <v>616</v>
      </c>
      <c r="D82" s="333">
        <v>7</v>
      </c>
      <c r="E82" s="333" t="s">
        <v>617</v>
      </c>
      <c r="F82" s="344">
        <v>250</v>
      </c>
      <c r="G82" s="333">
        <v>1</v>
      </c>
      <c r="H82" s="344">
        <v>250</v>
      </c>
      <c r="I82" s="344">
        <v>282.5</v>
      </c>
      <c r="J82" s="344">
        <v>353.13</v>
      </c>
      <c r="K82" s="333"/>
      <c r="L82" s="342">
        <v>0</v>
      </c>
      <c r="M82" s="333" t="s">
        <v>618</v>
      </c>
    </row>
    <row r="83" spans="1:14" ht="15" customHeight="1">
      <c r="A83" s="333"/>
      <c r="B83" s="374">
        <v>85431</v>
      </c>
      <c r="C83" s="345" t="s">
        <v>619</v>
      </c>
      <c r="D83" s="345">
        <v>8</v>
      </c>
      <c r="E83" s="345" t="s">
        <v>620</v>
      </c>
      <c r="F83" s="346">
        <v>150</v>
      </c>
      <c r="G83" s="345">
        <v>1</v>
      </c>
      <c r="H83" s="346">
        <v>150</v>
      </c>
      <c r="I83" s="346">
        <v>169.5</v>
      </c>
      <c r="J83" s="346">
        <v>211.88</v>
      </c>
      <c r="K83" s="345"/>
      <c r="L83" s="347">
        <v>0</v>
      </c>
      <c r="M83" s="345"/>
    </row>
    <row r="84" spans="1:14" ht="15" customHeight="1">
      <c r="A84" s="333"/>
      <c r="B84" s="141">
        <v>8543</v>
      </c>
      <c r="C84" s="333" t="s">
        <v>596</v>
      </c>
      <c r="D84" s="333">
        <v>8</v>
      </c>
      <c r="E84" s="333" t="s">
        <v>621</v>
      </c>
      <c r="F84" s="344">
        <v>100</v>
      </c>
      <c r="G84" s="333">
        <v>1</v>
      </c>
      <c r="H84" s="344">
        <v>100</v>
      </c>
      <c r="I84" s="344">
        <v>113</v>
      </c>
      <c r="J84" s="344">
        <v>141.25</v>
      </c>
      <c r="K84" s="333"/>
      <c r="L84" s="342">
        <v>0</v>
      </c>
      <c r="M84" s="333"/>
    </row>
    <row r="85" spans="1:14" ht="15" customHeight="1">
      <c r="A85" s="343" t="s">
        <v>622</v>
      </c>
      <c r="B85" s="345">
        <v>85433</v>
      </c>
      <c r="C85" s="345" t="s">
        <v>599</v>
      </c>
      <c r="D85" s="345">
        <v>1</v>
      </c>
      <c r="E85" s="345" t="s">
        <v>623</v>
      </c>
      <c r="F85" s="346">
        <v>500</v>
      </c>
      <c r="G85" s="345">
        <v>1</v>
      </c>
      <c r="H85" s="346">
        <v>500</v>
      </c>
      <c r="I85" s="346">
        <v>565</v>
      </c>
      <c r="J85" s="346">
        <v>706.25</v>
      </c>
      <c r="K85" s="345">
        <v>32.86</v>
      </c>
      <c r="L85" s="347">
        <v>32.86</v>
      </c>
      <c r="M85" s="345" t="s">
        <v>624</v>
      </c>
      <c r="N85" s="2" t="s">
        <v>38</v>
      </c>
    </row>
    <row r="86" spans="1:14" ht="15" customHeight="1">
      <c r="A86" s="343" t="s">
        <v>625</v>
      </c>
      <c r="B86" s="333">
        <v>85434</v>
      </c>
      <c r="C86" s="333" t="s">
        <v>509</v>
      </c>
      <c r="D86" s="333">
        <v>5</v>
      </c>
      <c r="E86" s="333" t="s">
        <v>626</v>
      </c>
      <c r="F86" s="344">
        <v>15</v>
      </c>
      <c r="G86" s="333">
        <v>8</v>
      </c>
      <c r="H86" s="344">
        <v>120</v>
      </c>
      <c r="I86" s="344">
        <v>135.6</v>
      </c>
      <c r="J86" s="344">
        <v>169.5</v>
      </c>
      <c r="K86" s="333"/>
      <c r="L86" s="342">
        <v>0</v>
      </c>
      <c r="M86" s="333" t="s">
        <v>627</v>
      </c>
    </row>
    <row r="87" spans="1:14" ht="15" customHeight="1">
      <c r="A87" s="343"/>
      <c r="B87" s="345">
        <v>85435</v>
      </c>
      <c r="C87" s="345" t="s">
        <v>628</v>
      </c>
      <c r="D87" s="345">
        <v>4</v>
      </c>
      <c r="E87" s="345" t="s">
        <v>629</v>
      </c>
      <c r="F87" s="346">
        <v>3</v>
      </c>
      <c r="G87" s="345">
        <v>75</v>
      </c>
      <c r="H87" s="346">
        <v>225</v>
      </c>
      <c r="I87" s="346">
        <v>254.25</v>
      </c>
      <c r="J87" s="346">
        <v>317.81</v>
      </c>
      <c r="K87" s="345"/>
      <c r="L87" s="347">
        <v>0</v>
      </c>
      <c r="M87" s="345" t="s">
        <v>630</v>
      </c>
    </row>
    <row r="88" spans="1:14" ht="15" customHeight="1">
      <c r="A88" s="343" t="s">
        <v>631</v>
      </c>
      <c r="B88" s="333">
        <v>85436</v>
      </c>
      <c r="C88" s="333" t="s">
        <v>632</v>
      </c>
      <c r="D88" s="333">
        <v>6</v>
      </c>
      <c r="E88" s="333" t="s">
        <v>633</v>
      </c>
      <c r="F88" s="344">
        <v>5</v>
      </c>
      <c r="G88" s="333">
        <v>15</v>
      </c>
      <c r="H88" s="344">
        <v>75</v>
      </c>
      <c r="I88" s="344">
        <v>84.75</v>
      </c>
      <c r="J88" s="344">
        <v>105.94</v>
      </c>
      <c r="K88" s="333">
        <v>0</v>
      </c>
      <c r="L88" s="342">
        <v>0</v>
      </c>
      <c r="M88" s="333" t="s">
        <v>634</v>
      </c>
    </row>
    <row r="89" spans="1:14" ht="15" customHeight="1">
      <c r="A89" s="343" t="s">
        <v>522</v>
      </c>
      <c r="B89" s="345">
        <v>85437</v>
      </c>
      <c r="C89" s="345" t="s">
        <v>635</v>
      </c>
      <c r="D89" s="345">
        <v>5</v>
      </c>
      <c r="E89" s="345" t="s">
        <v>636</v>
      </c>
      <c r="F89" s="346">
        <v>40</v>
      </c>
      <c r="G89" s="345">
        <v>15</v>
      </c>
      <c r="H89" s="346">
        <v>600</v>
      </c>
      <c r="I89" s="346">
        <v>678</v>
      </c>
      <c r="J89" s="346">
        <v>847.5</v>
      </c>
      <c r="K89" s="345">
        <v>624</v>
      </c>
      <c r="L89" s="347">
        <v>624</v>
      </c>
      <c r="M89" s="345" t="s">
        <v>637</v>
      </c>
    </row>
    <row r="90" spans="1:14" ht="15" customHeight="1">
      <c r="A90" s="333"/>
      <c r="B90" s="333">
        <v>85438</v>
      </c>
      <c r="C90" s="333" t="s">
        <v>638</v>
      </c>
      <c r="D90" s="333">
        <v>3</v>
      </c>
      <c r="E90" s="333" t="s">
        <v>636</v>
      </c>
      <c r="F90" s="344">
        <v>10</v>
      </c>
      <c r="G90" s="333">
        <v>15</v>
      </c>
      <c r="H90" s="344">
        <v>150</v>
      </c>
      <c r="I90" s="344">
        <v>169.5</v>
      </c>
      <c r="J90" s="344">
        <v>211.88</v>
      </c>
      <c r="K90" s="333"/>
      <c r="L90" s="342"/>
      <c r="M90" s="333"/>
    </row>
    <row r="91" spans="1:14" ht="15" customHeight="1">
      <c r="A91" s="333"/>
      <c r="B91" s="333"/>
      <c r="C91" s="333"/>
      <c r="D91" s="333"/>
      <c r="E91" s="333"/>
      <c r="F91" s="333"/>
      <c r="G91" s="333"/>
      <c r="H91" s="333"/>
      <c r="I91" s="333"/>
      <c r="J91" s="333"/>
      <c r="K91" s="333"/>
      <c r="L91" s="342"/>
      <c r="M91" s="333"/>
    </row>
    <row r="92" spans="1:14" ht="15" customHeight="1">
      <c r="A92" s="341"/>
      <c r="B92" s="348" t="s">
        <v>482</v>
      </c>
      <c r="C92" s="349"/>
      <c r="D92" s="349"/>
      <c r="E92" s="349"/>
      <c r="F92" s="349"/>
      <c r="G92" s="349"/>
      <c r="H92" s="349"/>
      <c r="I92" s="350">
        <v>8352.4699999999993</v>
      </c>
      <c r="J92" s="350">
        <v>10440.59</v>
      </c>
      <c r="K92" s="349">
        <f>SUM(K53:K90)</f>
        <v>1249.1999999999998</v>
      </c>
      <c r="L92" s="351">
        <f>SUM(L53:L90)</f>
        <v>1459.1</v>
      </c>
      <c r="M92" s="341"/>
    </row>
    <row r="93" spans="1:14" ht="15" customHeight="1">
      <c r="A93" s="341" t="s">
        <v>639</v>
      </c>
      <c r="B93" s="333"/>
      <c r="C93" s="333"/>
      <c r="D93" s="333"/>
      <c r="E93" s="333"/>
      <c r="F93" s="333"/>
      <c r="G93" s="333"/>
      <c r="H93" s="333"/>
      <c r="I93" s="333"/>
      <c r="J93" s="333"/>
      <c r="K93" s="333"/>
      <c r="L93" s="342"/>
      <c r="M93" s="333"/>
    </row>
    <row r="94" spans="1:14" ht="15" customHeight="1">
      <c r="A94" s="343" t="s">
        <v>640</v>
      </c>
      <c r="B94" s="333">
        <v>85500</v>
      </c>
      <c r="C94" s="333" t="s">
        <v>326</v>
      </c>
      <c r="D94" s="333">
        <v>3</v>
      </c>
      <c r="E94" s="333" t="s">
        <v>641</v>
      </c>
      <c r="F94" s="344">
        <v>0.25</v>
      </c>
      <c r="G94" s="333">
        <v>50</v>
      </c>
      <c r="H94" s="344">
        <v>12.5</v>
      </c>
      <c r="I94" s="344">
        <v>14.13</v>
      </c>
      <c r="J94" s="344">
        <v>17.66</v>
      </c>
      <c r="K94" s="333" t="s">
        <v>468</v>
      </c>
      <c r="L94" s="342" t="s">
        <v>468</v>
      </c>
      <c r="M94" s="333" t="s">
        <v>642</v>
      </c>
    </row>
    <row r="95" spans="1:14" ht="15" customHeight="1">
      <c r="A95" s="333"/>
      <c r="B95" s="345">
        <v>85501</v>
      </c>
      <c r="C95" s="345" t="s">
        <v>643</v>
      </c>
      <c r="D95" s="345">
        <v>4</v>
      </c>
      <c r="E95" s="345" t="s">
        <v>644</v>
      </c>
      <c r="F95" s="346">
        <v>100</v>
      </c>
      <c r="G95" s="345">
        <v>1</v>
      </c>
      <c r="H95" s="346">
        <v>100</v>
      </c>
      <c r="I95" s="346">
        <v>100</v>
      </c>
      <c r="J95" s="346">
        <v>125</v>
      </c>
      <c r="K95" s="346">
        <v>100</v>
      </c>
      <c r="L95" s="356">
        <v>100</v>
      </c>
      <c r="M95" s="345"/>
    </row>
    <row r="96" spans="1:14" ht="15" customHeight="1">
      <c r="A96" s="333"/>
      <c r="B96" s="333"/>
      <c r="C96" s="333"/>
      <c r="D96" s="333"/>
      <c r="E96" s="333"/>
      <c r="F96" s="333"/>
      <c r="G96" s="333"/>
      <c r="H96" s="333"/>
      <c r="I96" s="333"/>
      <c r="J96" s="333"/>
      <c r="K96" s="333"/>
      <c r="L96" s="342"/>
      <c r="M96" s="333"/>
    </row>
    <row r="97" spans="1:13" ht="15" customHeight="1">
      <c r="A97" s="341"/>
      <c r="B97" s="348" t="s">
        <v>645</v>
      </c>
      <c r="C97" s="349"/>
      <c r="D97" s="349"/>
      <c r="E97" s="349"/>
      <c r="F97" s="349"/>
      <c r="G97" s="349"/>
      <c r="H97" s="349"/>
      <c r="I97" s="350">
        <v>114.13</v>
      </c>
      <c r="J97" s="350">
        <v>142.66</v>
      </c>
      <c r="K97" s="351">
        <f>SUM(K94:K95)</f>
        <v>100</v>
      </c>
      <c r="L97" s="351">
        <f>SUM(L94:L95)</f>
        <v>100</v>
      </c>
      <c r="M97" s="341"/>
    </row>
    <row r="98" spans="1:13" ht="15" customHeight="1">
      <c r="A98" s="341" t="s">
        <v>461</v>
      </c>
      <c r="B98" s="333"/>
      <c r="C98" s="333"/>
      <c r="D98" s="333"/>
      <c r="E98" s="333"/>
      <c r="F98" s="333"/>
      <c r="G98" s="333"/>
      <c r="H98" s="333"/>
      <c r="I98" s="333"/>
      <c r="J98" s="333"/>
      <c r="K98" s="333"/>
      <c r="L98" s="342"/>
      <c r="M98" s="333"/>
    </row>
    <row r="99" spans="1:13" ht="15" customHeight="1">
      <c r="A99" s="343" t="s">
        <v>646</v>
      </c>
      <c r="B99" s="333">
        <v>85600</v>
      </c>
      <c r="C99" s="333" t="s">
        <v>647</v>
      </c>
      <c r="D99" s="333">
        <v>3</v>
      </c>
      <c r="E99" s="333" t="s">
        <v>648</v>
      </c>
      <c r="F99" s="344">
        <v>20.86</v>
      </c>
      <c r="G99" s="333">
        <v>8</v>
      </c>
      <c r="H99" s="344">
        <v>166.88</v>
      </c>
      <c r="I99" s="344">
        <v>188.57</v>
      </c>
      <c r="J99" s="344">
        <v>235.72</v>
      </c>
      <c r="K99" s="333">
        <v>0</v>
      </c>
      <c r="L99" s="342">
        <v>0</v>
      </c>
      <c r="M99" s="333" t="s">
        <v>649</v>
      </c>
    </row>
    <row r="100" spans="1:13" ht="15" customHeight="1">
      <c r="A100" s="333"/>
      <c r="B100" s="345">
        <v>85601</v>
      </c>
      <c r="C100" s="345" t="s">
        <v>650</v>
      </c>
      <c r="D100" s="345">
        <v>3</v>
      </c>
      <c r="E100" s="357" t="s">
        <v>651</v>
      </c>
      <c r="F100" s="346">
        <v>150</v>
      </c>
      <c r="G100" s="345">
        <v>1</v>
      </c>
      <c r="H100" s="346">
        <v>150</v>
      </c>
      <c r="I100" s="346">
        <v>169.5</v>
      </c>
      <c r="J100" s="346">
        <v>211.88</v>
      </c>
      <c r="K100" s="346">
        <v>150</v>
      </c>
      <c r="L100" s="356">
        <v>150</v>
      </c>
      <c r="M100" s="345" t="s">
        <v>652</v>
      </c>
    </row>
    <row r="101" spans="1:13" ht="15" customHeight="1">
      <c r="A101" s="333"/>
      <c r="B101" s="333">
        <v>85602</v>
      </c>
      <c r="C101" s="333" t="s">
        <v>653</v>
      </c>
      <c r="D101" s="333">
        <v>8</v>
      </c>
      <c r="E101" s="333" t="s">
        <v>654</v>
      </c>
      <c r="F101" s="344">
        <v>100</v>
      </c>
      <c r="G101" s="333">
        <v>1</v>
      </c>
      <c r="H101" s="344">
        <v>100</v>
      </c>
      <c r="I101" s="344">
        <v>100</v>
      </c>
      <c r="J101" s="344">
        <v>125</v>
      </c>
      <c r="K101" s="333">
        <v>0</v>
      </c>
      <c r="L101" s="342">
        <v>0</v>
      </c>
      <c r="M101" s="333" t="s">
        <v>655</v>
      </c>
    </row>
    <row r="102" spans="1:13" ht="15" customHeight="1">
      <c r="A102" s="333"/>
      <c r="B102" s="345">
        <v>85603</v>
      </c>
      <c r="C102" s="345" t="s">
        <v>656</v>
      </c>
      <c r="D102" s="345">
        <v>2</v>
      </c>
      <c r="E102" s="345" t="s">
        <v>657</v>
      </c>
      <c r="F102" s="346"/>
      <c r="G102" s="345"/>
      <c r="H102" s="346"/>
      <c r="I102" s="346"/>
      <c r="J102" s="346"/>
      <c r="K102" s="345">
        <v>486.07</v>
      </c>
      <c r="L102" s="347">
        <v>486.07</v>
      </c>
      <c r="M102" s="345"/>
    </row>
    <row r="103" spans="1:13" ht="15" customHeight="1">
      <c r="A103" s="343" t="s">
        <v>658</v>
      </c>
      <c r="B103" s="333">
        <v>85604</v>
      </c>
      <c r="C103" s="333" t="s">
        <v>659</v>
      </c>
      <c r="D103" s="333">
        <v>4</v>
      </c>
      <c r="E103" s="333" t="s">
        <v>660</v>
      </c>
      <c r="F103" s="344">
        <v>25</v>
      </c>
      <c r="G103" s="333">
        <v>4</v>
      </c>
      <c r="H103" s="344">
        <v>100</v>
      </c>
      <c r="I103" s="344">
        <v>100</v>
      </c>
      <c r="J103" s="344">
        <v>125</v>
      </c>
      <c r="K103" s="333">
        <v>0</v>
      </c>
      <c r="L103" s="342">
        <v>0</v>
      </c>
      <c r="M103" s="333" t="s">
        <v>661</v>
      </c>
    </row>
    <row r="104" spans="1:13" ht="15" customHeight="1">
      <c r="A104" s="333"/>
      <c r="B104" s="345">
        <v>85605</v>
      </c>
      <c r="C104" s="345" t="s">
        <v>662</v>
      </c>
      <c r="D104" s="345">
        <v>4</v>
      </c>
      <c r="E104" s="345" t="s">
        <v>663</v>
      </c>
      <c r="F104" s="346">
        <v>75</v>
      </c>
      <c r="G104" s="345">
        <v>1</v>
      </c>
      <c r="H104" s="346">
        <v>75</v>
      </c>
      <c r="I104" s="346">
        <v>84.75</v>
      </c>
      <c r="J104" s="346">
        <v>105.94</v>
      </c>
      <c r="K104" s="371">
        <v>15</v>
      </c>
      <c r="L104" s="372">
        <v>15</v>
      </c>
      <c r="M104" s="345" t="s">
        <v>664</v>
      </c>
    </row>
    <row r="105" spans="1:13" ht="15" customHeight="1">
      <c r="A105" s="343" t="s">
        <v>665</v>
      </c>
      <c r="B105" s="333">
        <v>85606</v>
      </c>
      <c r="C105" s="333" t="s">
        <v>472</v>
      </c>
      <c r="D105" s="333">
        <v>7</v>
      </c>
      <c r="E105" s="333" t="s">
        <v>666</v>
      </c>
      <c r="F105" s="344">
        <v>11</v>
      </c>
      <c r="G105" s="333">
        <v>2</v>
      </c>
      <c r="H105" s="344">
        <v>22</v>
      </c>
      <c r="I105" s="344">
        <v>24.86</v>
      </c>
      <c r="J105" s="344">
        <v>31.08</v>
      </c>
      <c r="K105" s="333">
        <f>19.2+15.81</f>
        <v>35.01</v>
      </c>
      <c r="L105" s="333">
        <f>19.2+15.81</f>
        <v>35.01</v>
      </c>
      <c r="M105" s="333" t="s">
        <v>667</v>
      </c>
    </row>
    <row r="106" spans="1:13" ht="15" customHeight="1">
      <c r="A106" s="333"/>
      <c r="B106" s="345">
        <v>85607</v>
      </c>
      <c r="C106" s="345" t="s">
        <v>668</v>
      </c>
      <c r="D106" s="345">
        <v>5</v>
      </c>
      <c r="E106" s="345" t="s">
        <v>669</v>
      </c>
      <c r="F106" s="346">
        <v>188</v>
      </c>
      <c r="G106" s="345">
        <v>1</v>
      </c>
      <c r="H106" s="346">
        <v>188</v>
      </c>
      <c r="I106" s="346">
        <v>212.44</v>
      </c>
      <c r="J106" s="346">
        <v>265.55</v>
      </c>
      <c r="K106" s="345">
        <v>124.29</v>
      </c>
      <c r="L106" s="347">
        <v>124.29</v>
      </c>
      <c r="M106" s="345" t="s">
        <v>670</v>
      </c>
    </row>
    <row r="107" spans="1:13" ht="15" customHeight="1">
      <c r="A107" s="333"/>
      <c r="B107" s="333"/>
      <c r="C107" s="333"/>
      <c r="D107" s="333"/>
      <c r="E107" s="333"/>
      <c r="F107" s="333"/>
      <c r="G107" s="333"/>
      <c r="H107" s="333"/>
      <c r="I107" s="333"/>
      <c r="J107" s="333"/>
      <c r="K107" s="333"/>
      <c r="L107" s="342"/>
      <c r="M107" s="333"/>
    </row>
    <row r="108" spans="1:13" ht="15" customHeight="1">
      <c r="A108" s="341"/>
      <c r="B108" s="348" t="s">
        <v>475</v>
      </c>
      <c r="C108" s="349"/>
      <c r="D108" s="349"/>
      <c r="E108" s="349"/>
      <c r="F108" s="349"/>
      <c r="G108" s="349"/>
      <c r="H108" s="349"/>
      <c r="I108" s="350">
        <v>930.12</v>
      </c>
      <c r="J108" s="350">
        <v>1162.6600000000001</v>
      </c>
      <c r="K108" s="350">
        <f>SUM(K99:K106)</f>
        <v>810.36999999999989</v>
      </c>
      <c r="L108" s="358">
        <f>SUM(L99:L106)</f>
        <v>810.36999999999989</v>
      </c>
      <c r="M108" s="341"/>
    </row>
    <row r="109" spans="1:13" ht="15" customHeight="1">
      <c r="A109" s="341" t="s">
        <v>671</v>
      </c>
      <c r="B109" s="333"/>
      <c r="C109" s="333"/>
      <c r="D109" s="333"/>
      <c r="E109" s="333"/>
      <c r="F109" s="333"/>
      <c r="G109" s="333"/>
      <c r="H109" s="333"/>
      <c r="I109" s="333"/>
      <c r="J109" s="333"/>
      <c r="K109" s="333"/>
      <c r="L109" s="342"/>
      <c r="M109" s="333" t="s">
        <v>672</v>
      </c>
    </row>
    <row r="110" spans="1:13" ht="15" customHeight="1">
      <c r="A110" s="343" t="s">
        <v>673</v>
      </c>
      <c r="B110" s="333">
        <v>85700</v>
      </c>
      <c r="C110" s="333" t="s">
        <v>674</v>
      </c>
      <c r="D110" s="333">
        <v>1</v>
      </c>
      <c r="E110" s="333" t="s">
        <v>675</v>
      </c>
      <c r="F110" s="344">
        <v>337.3</v>
      </c>
      <c r="G110" s="333">
        <v>1</v>
      </c>
      <c r="H110" s="344">
        <v>337.3</v>
      </c>
      <c r="I110" s="344">
        <v>381.15</v>
      </c>
      <c r="J110" s="344">
        <v>476.44</v>
      </c>
      <c r="K110" s="359">
        <v>381.15</v>
      </c>
      <c r="L110" s="359">
        <v>381.15</v>
      </c>
      <c r="M110" s="333"/>
    </row>
    <row r="111" spans="1:13" ht="15" customHeight="1">
      <c r="A111" s="333"/>
      <c r="B111" s="345">
        <v>85701</v>
      </c>
      <c r="C111" s="345" t="s">
        <v>676</v>
      </c>
      <c r="D111" s="345">
        <v>1</v>
      </c>
      <c r="E111" s="345" t="s">
        <v>677</v>
      </c>
      <c r="F111" s="346">
        <v>0.65</v>
      </c>
      <c r="G111" s="345">
        <v>3465</v>
      </c>
      <c r="H111" s="346">
        <v>2252.25</v>
      </c>
      <c r="I111" s="346">
        <v>2545.04</v>
      </c>
      <c r="J111" s="346">
        <v>3181.3</v>
      </c>
      <c r="K111" s="356">
        <v>2000.62</v>
      </c>
      <c r="L111" s="356">
        <f>2000.62+2398.2</f>
        <v>4398.82</v>
      </c>
      <c r="M111" s="345" t="s">
        <v>678</v>
      </c>
    </row>
    <row r="112" spans="1:13" ht="15" customHeight="1">
      <c r="A112" s="343" t="s">
        <v>679</v>
      </c>
      <c r="B112" s="333">
        <v>85702</v>
      </c>
      <c r="C112" s="333" t="s">
        <v>680</v>
      </c>
      <c r="D112" s="333">
        <v>4</v>
      </c>
      <c r="E112" s="333" t="s">
        <v>681</v>
      </c>
      <c r="F112" s="344">
        <v>150</v>
      </c>
      <c r="G112" s="333">
        <v>2</v>
      </c>
      <c r="H112" s="344">
        <v>300</v>
      </c>
      <c r="I112" s="344">
        <v>339</v>
      </c>
      <c r="J112" s="344">
        <v>423.75</v>
      </c>
      <c r="K112" s="366">
        <v>400</v>
      </c>
      <c r="L112" s="342">
        <v>0</v>
      </c>
      <c r="M112" s="333" t="s">
        <v>682</v>
      </c>
    </row>
    <row r="113" spans="1:13" ht="15" customHeight="1">
      <c r="A113" s="343"/>
      <c r="B113" s="345">
        <v>85703</v>
      </c>
      <c r="C113" s="345" t="s">
        <v>683</v>
      </c>
      <c r="D113" s="345">
        <v>4</v>
      </c>
      <c r="E113" s="345" t="s">
        <v>684</v>
      </c>
      <c r="F113" s="346">
        <v>400</v>
      </c>
      <c r="G113" s="345">
        <v>1</v>
      </c>
      <c r="H113" s="346">
        <v>400</v>
      </c>
      <c r="I113" s="346">
        <v>452</v>
      </c>
      <c r="J113" s="346">
        <v>565</v>
      </c>
      <c r="K113" s="345">
        <v>0</v>
      </c>
      <c r="L113" s="347">
        <v>0</v>
      </c>
      <c r="M113" s="345" t="s">
        <v>685</v>
      </c>
    </row>
    <row r="114" spans="1:13" ht="15" customHeight="1">
      <c r="A114" s="343"/>
      <c r="B114" s="333">
        <v>85704</v>
      </c>
      <c r="C114" s="333" t="s">
        <v>686</v>
      </c>
      <c r="D114" s="333">
        <v>3</v>
      </c>
      <c r="E114" s="333" t="s">
        <v>687</v>
      </c>
      <c r="F114" s="344">
        <v>160</v>
      </c>
      <c r="G114" s="333">
        <v>30</v>
      </c>
      <c r="H114" s="344">
        <v>4800</v>
      </c>
      <c r="I114" s="344">
        <v>5424</v>
      </c>
      <c r="J114" s="344">
        <v>6780</v>
      </c>
      <c r="K114" s="333">
        <v>950</v>
      </c>
      <c r="L114" s="342">
        <v>950</v>
      </c>
      <c r="M114" s="333" t="s">
        <v>688</v>
      </c>
    </row>
    <row r="115" spans="1:13" ht="15" customHeight="1">
      <c r="A115" s="343"/>
      <c r="B115" s="345">
        <v>85705</v>
      </c>
      <c r="C115" s="345" t="s">
        <v>689</v>
      </c>
      <c r="D115" s="345">
        <v>3</v>
      </c>
      <c r="E115" s="345" t="s">
        <v>690</v>
      </c>
      <c r="F115" s="346">
        <v>450</v>
      </c>
      <c r="G115" s="345">
        <v>2</v>
      </c>
      <c r="H115" s="346">
        <v>900</v>
      </c>
      <c r="I115" s="346">
        <v>1017</v>
      </c>
      <c r="J115" s="346">
        <v>1271.25</v>
      </c>
      <c r="K115" s="345">
        <v>0</v>
      </c>
      <c r="L115" s="347">
        <v>0</v>
      </c>
      <c r="M115" s="345" t="s">
        <v>691</v>
      </c>
    </row>
    <row r="116" spans="1:13" ht="15" customHeight="1">
      <c r="A116" s="343"/>
      <c r="B116" s="333">
        <v>85706</v>
      </c>
      <c r="C116" s="333" t="s">
        <v>692</v>
      </c>
      <c r="D116" s="333">
        <v>5</v>
      </c>
      <c r="E116" s="333" t="s">
        <v>693</v>
      </c>
      <c r="F116" s="344">
        <v>10</v>
      </c>
      <c r="G116" s="333">
        <v>2</v>
      </c>
      <c r="H116" s="344">
        <v>20</v>
      </c>
      <c r="I116" s="344">
        <v>20</v>
      </c>
      <c r="J116" s="344">
        <v>25</v>
      </c>
      <c r="K116" s="333">
        <v>0</v>
      </c>
      <c r="L116" s="342">
        <v>0</v>
      </c>
      <c r="M116" s="333" t="s">
        <v>694</v>
      </c>
    </row>
    <row r="117" spans="1:13" ht="15" customHeight="1">
      <c r="A117" s="343" t="s">
        <v>695</v>
      </c>
      <c r="B117" s="345">
        <v>85707</v>
      </c>
      <c r="C117" s="345" t="s">
        <v>696</v>
      </c>
      <c r="D117" s="345">
        <v>3</v>
      </c>
      <c r="E117" s="345" t="s">
        <v>697</v>
      </c>
      <c r="F117" s="346">
        <v>1500</v>
      </c>
      <c r="G117" s="345">
        <v>1</v>
      </c>
      <c r="H117" s="346">
        <v>1500</v>
      </c>
      <c r="I117" s="346">
        <v>1500</v>
      </c>
      <c r="J117" s="346">
        <v>1875</v>
      </c>
      <c r="K117" s="345">
        <f>1.15*(450+500+2*550)</f>
        <v>2357.5</v>
      </c>
      <c r="L117" s="347">
        <v>0</v>
      </c>
      <c r="M117" s="345" t="s">
        <v>698</v>
      </c>
    </row>
    <row r="118" spans="1:13" ht="15" customHeight="1">
      <c r="A118" s="343"/>
      <c r="B118" s="333">
        <v>85708</v>
      </c>
      <c r="C118" s="333" t="s">
        <v>699</v>
      </c>
      <c r="D118" s="333">
        <v>3</v>
      </c>
      <c r="E118" s="333" t="s">
        <v>700</v>
      </c>
      <c r="F118" s="344">
        <v>2375</v>
      </c>
      <c r="G118" s="333">
        <v>1</v>
      </c>
      <c r="H118" s="344">
        <v>2375</v>
      </c>
      <c r="I118" s="344">
        <v>1425.75</v>
      </c>
      <c r="J118" s="344">
        <v>1782.19</v>
      </c>
      <c r="K118" s="333"/>
      <c r="L118" s="342">
        <f>732.2+270.01</f>
        <v>1002.21</v>
      </c>
      <c r="M118" s="333" t="s">
        <v>701</v>
      </c>
    </row>
    <row r="119" spans="1:13" ht="15" customHeight="1">
      <c r="A119" s="333"/>
      <c r="B119" s="345">
        <v>85709</v>
      </c>
      <c r="C119" s="345" t="s">
        <v>702</v>
      </c>
      <c r="D119" s="345">
        <v>4</v>
      </c>
      <c r="E119" s="345" t="s">
        <v>703</v>
      </c>
      <c r="F119" s="346">
        <v>200</v>
      </c>
      <c r="G119" s="345">
        <v>4</v>
      </c>
      <c r="H119" s="346">
        <v>800</v>
      </c>
      <c r="I119" s="346">
        <v>904</v>
      </c>
      <c r="J119" s="346">
        <v>1130</v>
      </c>
      <c r="K119" s="345"/>
      <c r="L119" s="347">
        <v>0</v>
      </c>
      <c r="M119" s="345" t="s">
        <v>704</v>
      </c>
    </row>
    <row r="120" spans="1:13" ht="15" customHeight="1">
      <c r="A120" s="333"/>
      <c r="B120" s="333">
        <v>85710</v>
      </c>
      <c r="C120" s="333" t="s">
        <v>705</v>
      </c>
      <c r="D120" s="333">
        <v>4</v>
      </c>
      <c r="E120" s="333" t="s">
        <v>706</v>
      </c>
      <c r="F120" s="344">
        <v>530</v>
      </c>
      <c r="G120" s="333">
        <v>1</v>
      </c>
      <c r="H120" s="344">
        <v>530</v>
      </c>
      <c r="I120" s="344">
        <v>598.9</v>
      </c>
      <c r="J120" s="344">
        <v>748.63</v>
      </c>
      <c r="K120" s="333"/>
      <c r="L120" s="342">
        <v>0</v>
      </c>
      <c r="M120" s="333" t="s">
        <v>704</v>
      </c>
    </row>
    <row r="121" spans="1:13" ht="15" customHeight="1">
      <c r="A121" s="333"/>
      <c r="B121" s="345">
        <v>85711</v>
      </c>
      <c r="C121" s="345" t="s">
        <v>707</v>
      </c>
      <c r="D121" s="345">
        <v>6</v>
      </c>
      <c r="E121" s="345" t="s">
        <v>708</v>
      </c>
      <c r="F121" s="346">
        <v>325</v>
      </c>
      <c r="G121" s="345">
        <v>6</v>
      </c>
      <c r="H121" s="346">
        <v>1950</v>
      </c>
      <c r="I121" s="346">
        <v>2203.5</v>
      </c>
      <c r="J121" s="346">
        <v>2754.38</v>
      </c>
      <c r="K121" s="345"/>
      <c r="L121" s="347">
        <v>0</v>
      </c>
      <c r="M121" s="345" t="s">
        <v>709</v>
      </c>
    </row>
    <row r="122" spans="1:13" ht="15" customHeight="1">
      <c r="A122" s="333"/>
      <c r="B122" s="333"/>
      <c r="C122" s="333"/>
      <c r="D122" s="333"/>
      <c r="E122" s="333"/>
      <c r="F122" s="333"/>
      <c r="G122" s="333"/>
      <c r="H122" s="333"/>
      <c r="I122" s="333"/>
      <c r="J122" s="333"/>
      <c r="K122" s="333"/>
      <c r="L122" s="342"/>
      <c r="M122" s="333"/>
    </row>
    <row r="123" spans="1:13" ht="15" customHeight="1">
      <c r="A123" s="341"/>
      <c r="B123" s="345">
        <v>85707</v>
      </c>
      <c r="C123" s="360"/>
      <c r="D123" s="360"/>
      <c r="E123" s="360"/>
      <c r="F123" s="360"/>
      <c r="G123" s="360"/>
      <c r="H123" s="360"/>
      <c r="I123" s="361">
        <v>14007.94</v>
      </c>
      <c r="J123" s="361">
        <v>17509.93</v>
      </c>
      <c r="K123" s="361">
        <f>SUM(K110:K121)</f>
        <v>6089.27</v>
      </c>
      <c r="L123" s="362">
        <f>SUM(L110:L121)</f>
        <v>6732.1799999999994</v>
      </c>
      <c r="M123" s="363"/>
    </row>
    <row r="124" spans="1:13" ht="15" customHeight="1">
      <c r="A124" s="341" t="s">
        <v>710</v>
      </c>
      <c r="B124" s="333"/>
      <c r="C124" s="333"/>
      <c r="D124" s="333"/>
      <c r="E124" s="333"/>
      <c r="F124" s="333"/>
      <c r="G124" s="333"/>
      <c r="H124" s="333"/>
      <c r="I124" s="333"/>
      <c r="J124" s="333"/>
      <c r="K124" s="333"/>
      <c r="L124" s="342"/>
      <c r="M124" s="333"/>
    </row>
    <row r="125" spans="1:13" ht="15" customHeight="1">
      <c r="A125" s="343"/>
      <c r="B125" s="333">
        <v>85800</v>
      </c>
      <c r="C125" s="333" t="s">
        <v>711</v>
      </c>
      <c r="D125" s="333">
        <v>7</v>
      </c>
      <c r="E125" s="333" t="s">
        <v>712</v>
      </c>
      <c r="F125" s="344">
        <v>150</v>
      </c>
      <c r="G125" s="333">
        <v>1</v>
      </c>
      <c r="H125" s="344">
        <v>150</v>
      </c>
      <c r="I125" s="344">
        <v>169.5</v>
      </c>
      <c r="J125" s="344">
        <v>211.88</v>
      </c>
      <c r="K125" s="333">
        <v>0</v>
      </c>
      <c r="L125" s="342">
        <v>0</v>
      </c>
      <c r="M125" s="333" t="s">
        <v>713</v>
      </c>
    </row>
    <row r="126" spans="1:13" ht="15" customHeight="1">
      <c r="A126" s="333"/>
      <c r="B126" s="333"/>
      <c r="C126" s="333"/>
      <c r="D126" s="333"/>
      <c r="E126" s="333"/>
      <c r="F126" s="333"/>
      <c r="G126" s="333"/>
      <c r="H126" s="333"/>
      <c r="I126" s="333"/>
      <c r="J126" s="333"/>
      <c r="K126" s="333"/>
      <c r="L126" s="342"/>
      <c r="M126" s="333"/>
    </row>
    <row r="127" spans="1:13" ht="15" customHeight="1">
      <c r="A127" s="341"/>
      <c r="B127" s="348" t="s">
        <v>714</v>
      </c>
      <c r="C127" s="349"/>
      <c r="D127" s="349"/>
      <c r="E127" s="349"/>
      <c r="F127" s="349"/>
      <c r="G127" s="349"/>
      <c r="H127" s="349"/>
      <c r="I127" s="350">
        <v>169.5</v>
      </c>
      <c r="J127" s="350">
        <v>211.88</v>
      </c>
      <c r="K127" s="349" t="s">
        <v>468</v>
      </c>
      <c r="L127" s="351" t="s">
        <v>468</v>
      </c>
      <c r="M127" s="341"/>
    </row>
    <row r="128" spans="1:13" ht="15" customHeight="1">
      <c r="A128" s="341" t="s">
        <v>715</v>
      </c>
      <c r="B128" s="333"/>
      <c r="C128" s="333"/>
      <c r="D128" s="333"/>
      <c r="E128" s="333"/>
      <c r="F128" s="333"/>
      <c r="G128" s="333"/>
      <c r="H128" s="333"/>
      <c r="I128" s="333"/>
      <c r="J128" s="333"/>
      <c r="K128" s="333"/>
      <c r="L128" s="342"/>
      <c r="M128" s="333"/>
    </row>
    <row r="129" spans="1:13" ht="15" customHeight="1">
      <c r="A129" s="343"/>
      <c r="B129" s="333">
        <v>85900</v>
      </c>
      <c r="C129" s="333" t="s">
        <v>716</v>
      </c>
      <c r="D129" s="333">
        <v>8</v>
      </c>
      <c r="E129" s="333" t="s">
        <v>717</v>
      </c>
      <c r="F129" s="344">
        <v>100</v>
      </c>
      <c r="G129" s="333">
        <v>1</v>
      </c>
      <c r="H129" s="344">
        <v>100</v>
      </c>
      <c r="I129" s="344">
        <v>113</v>
      </c>
      <c r="J129" s="344">
        <v>141.25</v>
      </c>
      <c r="K129" s="333">
        <v>0</v>
      </c>
      <c r="L129" s="342">
        <v>0</v>
      </c>
      <c r="M129" s="333" t="s">
        <v>718</v>
      </c>
    </row>
    <row r="130" spans="1:13" ht="15" customHeight="1">
      <c r="A130" s="333"/>
      <c r="B130" s="333"/>
      <c r="C130" s="333"/>
      <c r="D130" s="333"/>
      <c r="E130" s="333"/>
      <c r="F130" s="333"/>
      <c r="G130" s="333"/>
      <c r="H130" s="333"/>
      <c r="I130" s="333"/>
      <c r="J130" s="333"/>
      <c r="K130" s="333"/>
      <c r="L130" s="342"/>
      <c r="M130" s="333"/>
    </row>
    <row r="131" spans="1:13" ht="15" customHeight="1">
      <c r="A131" s="341"/>
      <c r="B131" s="348" t="s">
        <v>719</v>
      </c>
      <c r="C131" s="349"/>
      <c r="D131" s="349"/>
      <c r="E131" s="349"/>
      <c r="F131" s="349"/>
      <c r="G131" s="349"/>
      <c r="H131" s="349"/>
      <c r="I131" s="350">
        <v>113</v>
      </c>
      <c r="J131" s="350">
        <v>141.25</v>
      </c>
      <c r="K131" s="349" t="s">
        <v>468</v>
      </c>
      <c r="L131" s="351" t="s">
        <v>468</v>
      </c>
      <c r="M131" s="341"/>
    </row>
    <row r="132" spans="1:13" ht="15" customHeight="1">
      <c r="A132" s="341" t="s">
        <v>522</v>
      </c>
      <c r="B132" s="333"/>
      <c r="C132" s="333"/>
      <c r="D132" s="333"/>
      <c r="E132" s="333"/>
      <c r="F132" s="333"/>
      <c r="G132" s="333"/>
      <c r="H132" s="333"/>
      <c r="I132" s="333"/>
      <c r="J132" s="333"/>
      <c r="K132" s="333"/>
      <c r="L132" s="342"/>
      <c r="M132" s="333"/>
    </row>
    <row r="133" spans="1:13" ht="15" customHeight="1">
      <c r="A133" s="343" t="s">
        <v>720</v>
      </c>
      <c r="B133" s="333">
        <v>86000</v>
      </c>
      <c r="C133" s="333" t="s">
        <v>340</v>
      </c>
      <c r="D133" s="333">
        <v>2</v>
      </c>
      <c r="E133" s="333" t="s">
        <v>721</v>
      </c>
      <c r="F133" s="344">
        <v>30</v>
      </c>
      <c r="G133" s="333">
        <v>2</v>
      </c>
      <c r="H133" s="344">
        <v>60</v>
      </c>
      <c r="I133" s="344">
        <v>67.8</v>
      </c>
      <c r="J133" s="344">
        <v>84.75</v>
      </c>
      <c r="K133" s="333">
        <v>12.43</v>
      </c>
      <c r="L133" s="342">
        <v>12.43</v>
      </c>
      <c r="M133" s="333"/>
    </row>
    <row r="134" spans="1:13" ht="15" customHeight="1">
      <c r="A134" s="333"/>
      <c r="B134" s="345">
        <v>86001</v>
      </c>
      <c r="C134" s="345" t="s">
        <v>722</v>
      </c>
      <c r="D134" s="345">
        <v>3</v>
      </c>
      <c r="E134" s="345" t="s">
        <v>721</v>
      </c>
      <c r="F134" s="346">
        <v>7.97</v>
      </c>
      <c r="G134" s="345">
        <v>2</v>
      </c>
      <c r="H134" s="346">
        <v>15.94</v>
      </c>
      <c r="I134" s="346">
        <v>18.010000000000002</v>
      </c>
      <c r="J134" s="346">
        <v>22.52</v>
      </c>
      <c r="K134" s="345">
        <v>15.81</v>
      </c>
      <c r="L134" s="347">
        <v>15.81</v>
      </c>
      <c r="M134" s="345"/>
    </row>
    <row r="135" spans="1:13" ht="15" customHeight="1">
      <c r="A135" s="333"/>
      <c r="B135" s="345">
        <v>86002</v>
      </c>
      <c r="C135" s="345" t="s">
        <v>723</v>
      </c>
      <c r="D135" s="345"/>
      <c r="E135" s="345" t="s">
        <v>586</v>
      </c>
      <c r="F135" s="346"/>
      <c r="G135" s="345"/>
      <c r="H135" s="346"/>
      <c r="I135" s="346"/>
      <c r="J135" s="346"/>
      <c r="K135" s="345">
        <v>10.17</v>
      </c>
      <c r="L135" s="347">
        <v>10.17</v>
      </c>
      <c r="M135" s="345"/>
    </row>
    <row r="136" spans="1:13" ht="15" customHeight="1">
      <c r="A136" s="343" t="s">
        <v>724</v>
      </c>
      <c r="B136" s="345">
        <v>86003</v>
      </c>
      <c r="C136" s="345" t="s">
        <v>725</v>
      </c>
      <c r="D136" s="345"/>
      <c r="E136" s="345" t="s">
        <v>726</v>
      </c>
      <c r="F136" s="346"/>
      <c r="G136" s="345"/>
      <c r="H136" s="346"/>
      <c r="I136" s="346"/>
      <c r="J136" s="346"/>
      <c r="K136" s="345">
        <v>100</v>
      </c>
      <c r="L136" s="347">
        <v>100</v>
      </c>
      <c r="M136" s="345" t="s">
        <v>727</v>
      </c>
    </row>
    <row r="137" spans="1:13" ht="15" customHeight="1">
      <c r="A137" s="343"/>
      <c r="B137" s="345">
        <v>86004</v>
      </c>
      <c r="C137" s="345" t="s">
        <v>725</v>
      </c>
      <c r="D137" s="345"/>
      <c r="E137" s="345" t="s">
        <v>728</v>
      </c>
      <c r="F137" s="346"/>
      <c r="G137" s="345"/>
      <c r="H137" s="346"/>
      <c r="I137" s="346"/>
      <c r="J137" s="346"/>
      <c r="K137" s="345">
        <v>60</v>
      </c>
      <c r="L137" s="347">
        <v>60</v>
      </c>
      <c r="M137" s="345" t="s">
        <v>729</v>
      </c>
    </row>
    <row r="138" spans="1:13" ht="15" customHeight="1">
      <c r="A138" s="333"/>
      <c r="B138" s="333"/>
      <c r="C138" s="333"/>
      <c r="D138" s="333"/>
      <c r="E138" s="333"/>
      <c r="F138" s="333"/>
      <c r="G138" s="333"/>
      <c r="H138" s="333"/>
      <c r="I138" s="333"/>
      <c r="J138" s="333"/>
      <c r="K138" s="333"/>
      <c r="L138" s="342"/>
      <c r="M138" s="333"/>
    </row>
    <row r="139" spans="1:13" ht="15" customHeight="1">
      <c r="A139" s="341"/>
      <c r="B139" s="348" t="s">
        <v>730</v>
      </c>
      <c r="C139" s="349"/>
      <c r="D139" s="349"/>
      <c r="E139" s="349"/>
      <c r="F139" s="349"/>
      <c r="G139" s="349"/>
      <c r="H139" s="349"/>
      <c r="I139" s="350">
        <v>85.81</v>
      </c>
      <c r="J139" s="350">
        <v>107.27</v>
      </c>
      <c r="K139" s="349">
        <f>SUM(K133:K137)</f>
        <v>198.41</v>
      </c>
      <c r="L139" s="351">
        <f>SUM(L133:L137)</f>
        <v>198.41</v>
      </c>
      <c r="M139" s="341"/>
    </row>
    <row r="140" spans="1:13" ht="15" customHeight="1">
      <c r="A140" s="333"/>
      <c r="B140" s="333"/>
      <c r="C140" s="333"/>
      <c r="D140" s="333"/>
      <c r="E140" s="333"/>
      <c r="F140" s="333"/>
      <c r="G140" s="333"/>
      <c r="H140" s="333"/>
      <c r="I140" s="333"/>
      <c r="J140" s="333"/>
      <c r="K140" s="333"/>
      <c r="L140" s="342"/>
      <c r="M140" s="333"/>
    </row>
    <row r="141" spans="1:13" ht="15" customHeight="1">
      <c r="A141" s="352"/>
      <c r="B141" s="353" t="s">
        <v>120</v>
      </c>
      <c r="C141" s="354"/>
      <c r="D141" s="354"/>
      <c r="E141" s="354"/>
      <c r="F141" s="354"/>
      <c r="G141" s="354"/>
      <c r="H141" s="354"/>
      <c r="I141" s="367">
        <f>SUM(I139,I131,I127,I123,I108,I97,I92,I51)</f>
        <v>26785.86</v>
      </c>
      <c r="J141" s="367">
        <f>SUM(J139,J131,J127,J123,J108,J97,J92,J51)</f>
        <v>33482.35</v>
      </c>
      <c r="K141" s="367">
        <f>SUM(K51,K92,K97,K108,K123,K127,K131,K139)</f>
        <v>9235.9700000000012</v>
      </c>
      <c r="L141" s="367">
        <f>SUM(L139,L131,L127,L123,L108,L97,L92,L51)</f>
        <v>11093.259999999998</v>
      </c>
      <c r="M141" s="352"/>
    </row>
    <row r="142" spans="1:13" ht="15" customHeight="1">
      <c r="A142" s="333"/>
      <c r="B142" s="333"/>
      <c r="C142" s="333"/>
      <c r="D142" s="333"/>
      <c r="E142" s="333"/>
      <c r="F142" s="333"/>
      <c r="G142" s="333"/>
      <c r="H142" s="333"/>
      <c r="I142" s="333"/>
      <c r="J142" s="333"/>
      <c r="K142" s="333"/>
      <c r="L142" s="342"/>
      <c r="M142" s="333"/>
    </row>
    <row r="143" spans="1:13" ht="15" customHeight="1">
      <c r="A143" s="337" t="s">
        <v>56</v>
      </c>
      <c r="B143" s="338"/>
      <c r="C143" s="338"/>
      <c r="D143" s="338"/>
      <c r="E143" s="338"/>
      <c r="F143" s="338"/>
      <c r="G143" s="338"/>
      <c r="H143" s="338"/>
      <c r="I143" s="338"/>
      <c r="J143" s="338"/>
      <c r="K143" s="338"/>
      <c r="L143" s="355"/>
      <c r="M143" s="340"/>
    </row>
    <row r="144" spans="1:13" ht="16.7">
      <c r="A144" s="341"/>
      <c r="B144" s="341" t="s">
        <v>58</v>
      </c>
      <c r="C144" s="341"/>
      <c r="D144" s="341"/>
      <c r="E144" s="341"/>
      <c r="F144" s="341"/>
      <c r="G144" s="341"/>
      <c r="H144" s="341"/>
      <c r="I144" s="368">
        <f>SUM(I23)</f>
        <v>1685.96</v>
      </c>
      <c r="J144" s="368">
        <f>SUM(J23)</f>
        <v>1264.47</v>
      </c>
      <c r="K144" s="377">
        <f>K23</f>
        <v>1172.52</v>
      </c>
      <c r="L144" s="377">
        <f>L23</f>
        <v>604.61120000000005</v>
      </c>
      <c r="M144" s="341"/>
    </row>
    <row r="145" spans="1:13" ht="16.7">
      <c r="A145" s="341"/>
      <c r="B145" s="341" t="s">
        <v>62</v>
      </c>
      <c r="C145" s="341"/>
      <c r="D145" s="341"/>
      <c r="E145" s="341"/>
      <c r="F145" s="341"/>
      <c r="G145" s="341"/>
      <c r="H145" s="341"/>
      <c r="I145" s="368">
        <f>I141</f>
        <v>26785.86</v>
      </c>
      <c r="J145" s="368">
        <f>J141</f>
        <v>33482.35</v>
      </c>
      <c r="K145" s="368">
        <f>K141</f>
        <v>9235.9700000000012</v>
      </c>
      <c r="L145" s="368">
        <f>L141</f>
        <v>11093.259999999998</v>
      </c>
      <c r="M145" s="341"/>
    </row>
    <row r="146" spans="1:13" ht="16.7">
      <c r="A146" s="364"/>
      <c r="B146" s="364" t="s">
        <v>65</v>
      </c>
      <c r="C146" s="364"/>
      <c r="D146" s="364"/>
      <c r="E146" s="364"/>
      <c r="F146" s="364"/>
      <c r="G146" s="364"/>
      <c r="H146" s="364"/>
      <c r="I146" s="369">
        <f>I144-I145</f>
        <v>-25099.9</v>
      </c>
      <c r="J146" s="369">
        <f>J144-J145</f>
        <v>-32217.879999999997</v>
      </c>
      <c r="K146" s="369">
        <f>K144-K145</f>
        <v>-8063.4500000000007</v>
      </c>
      <c r="L146" s="369">
        <f>L144-L145</f>
        <v>-10488.648799999999</v>
      </c>
      <c r="M146" s="341"/>
    </row>
  </sheetData>
  <mergeCells count="3">
    <mergeCell ref="B1:K1"/>
    <mergeCell ref="B26:F26"/>
    <mergeCell ref="B28:L28"/>
  </mergeCells>
  <pageMargins left="0.7" right="0.7" top="0.75" bottom="0.75" header="0.3" footer="0.3"/>
  <pageSetup scale="26"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F302-C84B-4A86-97A1-1247940C6213}">
  <sheetPr codeName="Sheet6"/>
  <dimension ref="A1:M32"/>
  <sheetViews>
    <sheetView showGridLines="0" zoomScaleNormal="100" workbookViewId="0">
      <pane ySplit="2" topLeftCell="A14" activePane="bottomLeft" state="frozen"/>
      <selection pane="bottomLeft" activeCell="L23" sqref="L23"/>
    </sheetView>
  </sheetViews>
  <sheetFormatPr defaultColWidth="9.85546875" defaultRowHeight="14.85"/>
  <cols>
    <col min="1" max="1" width="17.140625" customWidth="1"/>
    <col min="2" max="2" width="23.85546875" style="7" bestFit="1" customWidth="1"/>
    <col min="3" max="3" width="18.5703125" style="7" bestFit="1" customWidth="1"/>
    <col min="4" max="4" width="14" bestFit="1" customWidth="1"/>
    <col min="5" max="5" width="64.140625" bestFit="1" customWidth="1"/>
    <col min="6" max="6" width="14.28515625" style="8" bestFit="1" customWidth="1"/>
    <col min="7" max="7" width="10.7109375" style="9" bestFit="1" customWidth="1"/>
    <col min="8" max="8" width="13.140625" style="8" bestFit="1" customWidth="1"/>
    <col min="9" max="9" width="13.42578125" style="8" bestFit="1" customWidth="1"/>
    <col min="10" max="10" width="22.42578125" style="8" bestFit="1" customWidth="1"/>
    <col min="11" max="11" width="15.140625" style="8" bestFit="1" customWidth="1"/>
    <col min="12" max="12" width="17" style="1" customWidth="1"/>
    <col min="13" max="16384" width="9.85546875" style="2"/>
  </cols>
  <sheetData>
    <row r="1" spans="1:13" ht="148.5" customHeight="1">
      <c r="B1" s="389" t="s">
        <v>731</v>
      </c>
      <c r="C1" s="389"/>
      <c r="D1" s="389"/>
      <c r="E1" s="389"/>
      <c r="F1" s="389"/>
      <c r="G1" s="389"/>
      <c r="H1" s="389"/>
      <c r="I1" s="389"/>
      <c r="J1" s="389"/>
      <c r="K1" s="389"/>
    </row>
    <row r="2" spans="1:13" s="6" customFormat="1" ht="15" customHeight="1">
      <c r="A2" s="3" t="s">
        <v>1</v>
      </c>
      <c r="B2" s="3" t="s">
        <v>2</v>
      </c>
      <c r="C2" s="3" t="s">
        <v>3</v>
      </c>
      <c r="D2" s="3" t="s">
        <v>122</v>
      </c>
      <c r="E2" s="3" t="s">
        <v>4</v>
      </c>
      <c r="F2" s="4" t="s">
        <v>5</v>
      </c>
      <c r="G2" s="3" t="s">
        <v>6</v>
      </c>
      <c r="H2" s="4" t="s">
        <v>7</v>
      </c>
      <c r="I2" s="4" t="s">
        <v>8</v>
      </c>
      <c r="J2" s="4" t="s">
        <v>123</v>
      </c>
      <c r="K2" s="4" t="s">
        <v>9</v>
      </c>
      <c r="L2" s="5" t="s">
        <v>10</v>
      </c>
    </row>
    <row r="3" spans="1:13" ht="15" customHeight="1">
      <c r="L3" s="10"/>
    </row>
    <row r="4" spans="1:13" ht="15" customHeight="1">
      <c r="A4" s="11" t="s">
        <v>15</v>
      </c>
      <c r="B4" s="12"/>
      <c r="C4" s="12"/>
      <c r="D4" s="13"/>
      <c r="E4" s="13"/>
      <c r="F4" s="14"/>
      <c r="G4" s="15"/>
      <c r="H4" s="14"/>
      <c r="I4" s="14"/>
      <c r="J4" s="14"/>
      <c r="K4" s="14"/>
      <c r="L4" s="16"/>
    </row>
    <row r="5" spans="1:13" ht="15" customHeight="1">
      <c r="L5" s="19"/>
    </row>
    <row r="6" spans="1:13" s="53" customFormat="1" ht="15" customHeight="1">
      <c r="A6" s="28"/>
      <c r="B6" s="29" t="s">
        <v>42</v>
      </c>
      <c r="C6" s="30"/>
      <c r="D6" s="31"/>
      <c r="E6" s="31"/>
      <c r="F6" s="32"/>
      <c r="G6" s="33"/>
      <c r="H6" s="32"/>
      <c r="I6" s="32">
        <v>0</v>
      </c>
      <c r="J6" s="32">
        <v>0</v>
      </c>
      <c r="K6" s="32">
        <v>0</v>
      </c>
      <c r="L6" s="34">
        <v>0</v>
      </c>
    </row>
    <row r="7" spans="1:13" ht="15" customHeight="1">
      <c r="L7" s="19"/>
    </row>
    <row r="8" spans="1:13" ht="15" customHeight="1">
      <c r="A8" s="11" t="s">
        <v>40</v>
      </c>
      <c r="B8" s="12"/>
      <c r="C8" s="12"/>
      <c r="D8" s="13"/>
      <c r="E8" s="13"/>
      <c r="F8" s="14"/>
      <c r="G8" s="15"/>
      <c r="H8" s="14"/>
      <c r="I8" s="14"/>
      <c r="J8" s="14"/>
      <c r="K8" s="14"/>
      <c r="L8" s="16"/>
    </row>
    <row r="9" spans="1:13" ht="15" customHeight="1">
      <c r="A9" s="17" t="s">
        <v>732</v>
      </c>
      <c r="L9" s="19"/>
    </row>
    <row r="10" spans="1:13" ht="15" customHeight="1">
      <c r="B10" s="7">
        <v>40101</v>
      </c>
      <c r="C10" s="7" t="s">
        <v>733</v>
      </c>
      <c r="D10" s="61">
        <v>10</v>
      </c>
      <c r="E10" t="s">
        <v>734</v>
      </c>
      <c r="F10" s="8">
        <v>40</v>
      </c>
      <c r="G10" s="9">
        <f>3*(12*2+4)</f>
        <v>84</v>
      </c>
      <c r="H10" s="8">
        <f>F10*G10</f>
        <v>3360</v>
      </c>
      <c r="I10" s="8">
        <f>H10*1.13</f>
        <v>3796.7999999999997</v>
      </c>
      <c r="J10" s="8">
        <f>I10*1.25</f>
        <v>4746</v>
      </c>
      <c r="L10" s="19">
        <f>3*(40*(12+8+1+6+24))</f>
        <v>6120</v>
      </c>
    </row>
    <row r="11" spans="1:13" ht="15" customHeight="1">
      <c r="B11" s="7">
        <v>40102</v>
      </c>
      <c r="C11" s="7" t="s">
        <v>735</v>
      </c>
      <c r="D11" s="7">
        <v>5</v>
      </c>
      <c r="E11" t="s">
        <v>736</v>
      </c>
      <c r="F11" s="8">
        <v>40</v>
      </c>
      <c r="G11" s="9">
        <v>6</v>
      </c>
      <c r="H11" s="8">
        <f t="shared" ref="H11" si="0">F11*G11</f>
        <v>240</v>
      </c>
      <c r="I11" s="8">
        <f t="shared" ref="I11" si="1">H11*1.13</f>
        <v>271.2</v>
      </c>
      <c r="J11" s="8">
        <f t="shared" ref="J11" si="2">I11*1.25</f>
        <v>339</v>
      </c>
      <c r="L11" s="19"/>
    </row>
    <row r="12" spans="1:13" ht="15" customHeight="1">
      <c r="L12" s="19"/>
    </row>
    <row r="13" spans="1:13" s="27" customFormat="1" ht="15" customHeight="1">
      <c r="A13" s="17"/>
      <c r="B13" s="21" t="s">
        <v>737</v>
      </c>
      <c r="C13" s="22"/>
      <c r="D13" s="23"/>
      <c r="E13" s="23"/>
      <c r="F13" s="24"/>
      <c r="G13" s="25"/>
      <c r="H13" s="24"/>
      <c r="I13" s="24">
        <f>SUM(I10:I11)</f>
        <v>4067.9999999999995</v>
      </c>
      <c r="J13" s="24">
        <f>SUM(J10:J11)</f>
        <v>5085</v>
      </c>
      <c r="K13" s="24">
        <f>SUM(K10:K11)</f>
        <v>0</v>
      </c>
      <c r="L13" s="26">
        <f>SUM(L10:L11)</f>
        <v>6120</v>
      </c>
    </row>
    <row r="14" spans="1:13" s="27" customFormat="1" ht="15" customHeight="1">
      <c r="A14" s="17"/>
      <c r="B14" s="295"/>
      <c r="C14" s="295"/>
      <c r="D14" s="17"/>
      <c r="E14" s="17"/>
      <c r="F14" s="106"/>
      <c r="G14" s="37"/>
      <c r="H14" s="106"/>
      <c r="I14" s="106"/>
      <c r="J14" s="106"/>
      <c r="K14" s="106"/>
      <c r="L14" s="39"/>
    </row>
    <row r="15" spans="1:13" ht="15" customHeight="1">
      <c r="A15" s="17" t="s">
        <v>738</v>
      </c>
      <c r="L15" s="19"/>
    </row>
    <row r="16" spans="1:13" ht="15" customHeight="1">
      <c r="B16" s="7">
        <v>40201</v>
      </c>
      <c r="C16" s="7" t="s">
        <v>739</v>
      </c>
      <c r="D16" s="7">
        <v>10</v>
      </c>
      <c r="E16" t="s">
        <v>740</v>
      </c>
      <c r="F16" s="8">
        <v>50</v>
      </c>
      <c r="G16" s="9">
        <v>12</v>
      </c>
      <c r="H16" s="8">
        <f>F16*G16</f>
        <v>600</v>
      </c>
      <c r="I16" s="8">
        <f>H16*1.13</f>
        <v>677.99999999999989</v>
      </c>
      <c r="J16" s="8">
        <f>I16*1.25</f>
        <v>847.49999999999989</v>
      </c>
      <c r="L16" s="19">
        <v>0</v>
      </c>
      <c r="M16" s="2" t="s">
        <v>741</v>
      </c>
    </row>
    <row r="17" spans="1:12" ht="15" customHeight="1">
      <c r="B17" s="7">
        <v>40202</v>
      </c>
      <c r="C17" s="7" t="s">
        <v>742</v>
      </c>
      <c r="D17" s="7">
        <v>10</v>
      </c>
      <c r="E17" t="s">
        <v>743</v>
      </c>
      <c r="F17" s="8">
        <v>129.83000000000001</v>
      </c>
      <c r="G17" s="9">
        <v>12</v>
      </c>
      <c r="H17" s="8">
        <f t="shared" ref="H17:H18" si="3">F17*G17</f>
        <v>1557.96</v>
      </c>
      <c r="I17" s="8">
        <f t="shared" ref="I17:I18" si="4">H17*1.13</f>
        <v>1760.4947999999999</v>
      </c>
      <c r="J17" s="8">
        <f t="shared" ref="J17:J18" si="5">I17*1.25</f>
        <v>2200.6185</v>
      </c>
      <c r="L17" s="19">
        <v>0</v>
      </c>
    </row>
    <row r="18" spans="1:12" ht="15" customHeight="1">
      <c r="B18" s="7">
        <v>40203</v>
      </c>
      <c r="C18" s="7" t="s">
        <v>744</v>
      </c>
      <c r="D18" s="7">
        <v>1</v>
      </c>
      <c r="E18" t="s">
        <v>745</v>
      </c>
      <c r="F18" s="8">
        <v>88.99</v>
      </c>
      <c r="G18" s="9">
        <v>1</v>
      </c>
      <c r="H18" s="8">
        <f t="shared" si="3"/>
        <v>88.99</v>
      </c>
      <c r="I18" s="8">
        <f t="shared" si="4"/>
        <v>100.55869999999999</v>
      </c>
      <c r="J18" s="8">
        <f t="shared" si="5"/>
        <v>125.69837499999998</v>
      </c>
      <c r="L18" s="19">
        <v>0</v>
      </c>
    </row>
    <row r="19" spans="1:12" ht="15" customHeight="1">
      <c r="D19" s="7"/>
      <c r="L19" s="19"/>
    </row>
    <row r="20" spans="1:12" s="27" customFormat="1" ht="15" customHeight="1">
      <c r="A20" s="17"/>
      <c r="B20" s="21" t="s">
        <v>746</v>
      </c>
      <c r="C20" s="22"/>
      <c r="D20" s="22"/>
      <c r="E20" s="23"/>
      <c r="F20" s="24"/>
      <c r="G20" s="25"/>
      <c r="H20" s="24"/>
      <c r="I20" s="24">
        <f>SUM(I16:I18)</f>
        <v>2539.0535</v>
      </c>
      <c r="J20" s="24">
        <f>SUM(J16:J18)</f>
        <v>3173.816875</v>
      </c>
      <c r="K20" s="24">
        <f>SUM(K16:K18)</f>
        <v>0</v>
      </c>
      <c r="L20" s="26">
        <f>SUM(L16:L18)</f>
        <v>0</v>
      </c>
    </row>
    <row r="21" spans="1:12" s="27" customFormat="1" ht="15" customHeight="1">
      <c r="A21" s="17"/>
      <c r="B21" s="295"/>
      <c r="C21" s="295"/>
      <c r="D21" s="295"/>
      <c r="E21" s="17"/>
      <c r="F21" s="106"/>
      <c r="G21" s="37"/>
      <c r="H21" s="106"/>
      <c r="I21" s="106"/>
      <c r="J21" s="106"/>
      <c r="K21" s="106"/>
      <c r="L21" s="39"/>
    </row>
    <row r="22" spans="1:12" ht="15" customHeight="1">
      <c r="A22" s="17" t="s">
        <v>747</v>
      </c>
      <c r="D22" s="7"/>
      <c r="L22" s="19"/>
    </row>
    <row r="23" spans="1:12" ht="15" customHeight="1">
      <c r="B23" s="7">
        <v>40301</v>
      </c>
      <c r="C23" s="7" t="s">
        <v>748</v>
      </c>
      <c r="D23" s="7">
        <v>8</v>
      </c>
      <c r="E23" t="s">
        <v>749</v>
      </c>
      <c r="F23" s="8">
        <v>1949.25</v>
      </c>
      <c r="G23" s="9">
        <v>1</v>
      </c>
      <c r="H23" s="8">
        <f>F23*G23</f>
        <v>1949.25</v>
      </c>
      <c r="I23" s="8">
        <f>H23*1.13</f>
        <v>2202.6524999999997</v>
      </c>
      <c r="J23" s="8">
        <f>I23*1.25</f>
        <v>2753.3156249999997</v>
      </c>
      <c r="L23" s="19">
        <v>0</v>
      </c>
    </row>
    <row r="24" spans="1:12" ht="15" customHeight="1">
      <c r="L24" s="19"/>
    </row>
    <row r="25" spans="1:12" s="27" customFormat="1" ht="15" customHeight="1">
      <c r="A25" s="17"/>
      <c r="B25" s="21" t="s">
        <v>746</v>
      </c>
      <c r="C25" s="22"/>
      <c r="D25" s="23"/>
      <c r="E25" s="23"/>
      <c r="F25" s="24"/>
      <c r="G25" s="25"/>
      <c r="H25" s="24"/>
      <c r="I25" s="24">
        <f>SUM(I23:I23)</f>
        <v>2202.6524999999997</v>
      </c>
      <c r="J25" s="24">
        <f>SUM(J23:J23)</f>
        <v>2753.3156249999997</v>
      </c>
      <c r="K25" s="24">
        <f>SUM(K23:K23)</f>
        <v>0</v>
      </c>
      <c r="L25" s="26">
        <f>SUM(L23:L23)</f>
        <v>0</v>
      </c>
    </row>
    <row r="26" spans="1:12" ht="15" customHeight="1">
      <c r="L26" s="19"/>
    </row>
    <row r="27" spans="1:12" s="53" customFormat="1" ht="15" customHeight="1">
      <c r="A27" s="28"/>
      <c r="B27" s="29" t="s">
        <v>120</v>
      </c>
      <c r="C27" s="30"/>
      <c r="D27" s="31"/>
      <c r="E27" s="31"/>
      <c r="F27" s="32"/>
      <c r="G27" s="33"/>
      <c r="H27" s="32"/>
      <c r="I27" s="32">
        <f>SUM(I13,I20,I25)</f>
        <v>8809.7060000000001</v>
      </c>
      <c r="J27" s="32">
        <f>SUM(J13,J20,J25)</f>
        <v>11012.1325</v>
      </c>
      <c r="K27" s="32">
        <v>0</v>
      </c>
      <c r="L27" s="34">
        <f>SUM(L13,L20,L25)</f>
        <v>6120</v>
      </c>
    </row>
    <row r="28" spans="1:12" ht="15" customHeight="1">
      <c r="L28" s="19"/>
    </row>
    <row r="29" spans="1:12" ht="15" customHeight="1">
      <c r="A29" s="11" t="s">
        <v>56</v>
      </c>
      <c r="B29" s="12"/>
      <c r="C29" s="12"/>
      <c r="D29" s="13"/>
      <c r="E29" s="13"/>
      <c r="F29" s="14"/>
      <c r="G29" s="15"/>
      <c r="H29" s="14"/>
      <c r="I29" s="14"/>
      <c r="J29" s="14"/>
      <c r="K29" s="14"/>
      <c r="L29" s="16"/>
    </row>
    <row r="30" spans="1:12" s="27" customFormat="1" ht="15" customHeight="1">
      <c r="A30" s="17"/>
      <c r="B30" s="295" t="s">
        <v>58</v>
      </c>
      <c r="C30" s="295"/>
      <c r="D30" s="17"/>
      <c r="E30" s="17"/>
      <c r="F30" s="36"/>
      <c r="G30" s="37"/>
      <c r="H30" s="36"/>
      <c r="I30" s="36">
        <f>I6</f>
        <v>0</v>
      </c>
      <c r="J30" s="36">
        <f>J6</f>
        <v>0</v>
      </c>
      <c r="K30" s="36">
        <f>K6</f>
        <v>0</v>
      </c>
      <c r="L30" s="38">
        <f>L6</f>
        <v>0</v>
      </c>
    </row>
    <row r="31" spans="1:12" s="27" customFormat="1" ht="15" customHeight="1">
      <c r="A31" s="17"/>
      <c r="B31" s="295" t="s">
        <v>62</v>
      </c>
      <c r="C31" s="295"/>
      <c r="D31" s="17"/>
      <c r="E31" s="17"/>
      <c r="F31" s="36"/>
      <c r="G31" s="37"/>
      <c r="H31" s="36"/>
      <c r="I31" s="36">
        <f>I27</f>
        <v>8809.7060000000001</v>
      </c>
      <c r="J31" s="36">
        <f>J27</f>
        <v>11012.1325</v>
      </c>
      <c r="K31" s="36">
        <f>K27</f>
        <v>0</v>
      </c>
      <c r="L31" s="39">
        <f>L27</f>
        <v>6120</v>
      </c>
    </row>
    <row r="32" spans="1:12" s="27" customFormat="1" ht="15" customHeight="1">
      <c r="A32" s="40"/>
      <c r="B32" s="41" t="s">
        <v>65</v>
      </c>
      <c r="C32" s="41"/>
      <c r="D32" s="40"/>
      <c r="E32" s="40"/>
      <c r="F32" s="42"/>
      <c r="G32" s="43"/>
      <c r="H32" s="42"/>
      <c r="I32" s="42">
        <f>SUM(I30,I31*-1)</f>
        <v>-8809.7060000000001</v>
      </c>
      <c r="J32" s="42">
        <f t="shared" ref="J32:L32" si="6">SUM(J30,J31*-1)</f>
        <v>-11012.1325</v>
      </c>
      <c r="K32" s="42">
        <f t="shared" si="6"/>
        <v>0</v>
      </c>
      <c r="L32" s="44">
        <f t="shared" si="6"/>
        <v>-6120</v>
      </c>
    </row>
  </sheetData>
  <mergeCells count="1">
    <mergeCell ref="B1:K1"/>
  </mergeCells>
  <conditionalFormatting sqref="B19:L21 B10:L14 B5:L7 B17:D18 F17:L18 E18 B24:L32">
    <cfRule type="expression" dxfId="93" priority="7">
      <formula>MOD($B5,2)=1</formula>
    </cfRule>
  </conditionalFormatting>
  <conditionalFormatting sqref="B15:L16">
    <cfRule type="expression" dxfId="92" priority="5">
      <formula>MOD($B15,2)=1</formula>
    </cfRule>
  </conditionalFormatting>
  <conditionalFormatting sqref="E17">
    <cfRule type="expression" dxfId="91" priority="4">
      <formula>MOD($B17,2)=1</formula>
    </cfRule>
  </conditionalFormatting>
  <conditionalFormatting sqref="B22:L23">
    <cfRule type="expression" dxfId="90" priority="1">
      <formula>MOD($B22,2)=1</formula>
    </cfRule>
  </conditionalFormatting>
  <pageMargins left="0.7" right="0.7" top="0.75" bottom="0.75" header="0.3" footer="0.3"/>
  <pageSetup scale="26" fitToWidth="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696B-BED6-4A29-B7E6-927FB4AE693E}">
  <sheetPr codeName="Sheet13"/>
  <dimension ref="A1:M70"/>
  <sheetViews>
    <sheetView showGridLines="0" zoomScale="80" zoomScaleNormal="80" workbookViewId="0">
      <pane ySplit="2" topLeftCell="A37" activePane="bottomLeft" state="frozen"/>
      <selection pane="bottomLeft" activeCell="L64" sqref="L64"/>
    </sheetView>
  </sheetViews>
  <sheetFormatPr defaultColWidth="9.85546875" defaultRowHeight="14.85"/>
  <cols>
    <col min="1" max="1" width="30.140625" customWidth="1"/>
    <col min="2" max="3" width="23.5703125" style="7" customWidth="1"/>
    <col min="4" max="4" width="16.7109375" customWidth="1"/>
    <col min="5" max="5" width="36.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750</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L5" s="19"/>
    </row>
    <row r="6" spans="1:12" s="53" customFormat="1" ht="15" customHeight="1">
      <c r="A6" s="28"/>
      <c r="B6" s="29" t="s">
        <v>42</v>
      </c>
      <c r="C6" s="30"/>
      <c r="D6" s="31"/>
      <c r="E6" s="31"/>
      <c r="F6" s="32"/>
      <c r="G6" s="33"/>
      <c r="H6" s="32"/>
      <c r="I6" s="32">
        <v>0</v>
      </c>
      <c r="J6" s="32">
        <v>0</v>
      </c>
      <c r="K6" s="32">
        <v>0</v>
      </c>
      <c r="L6" s="34">
        <v>0</v>
      </c>
    </row>
    <row r="7" spans="1:12" ht="15" customHeight="1">
      <c r="L7" s="298"/>
    </row>
    <row r="8" spans="1:12" ht="15" customHeight="1">
      <c r="A8" s="11" t="s">
        <v>40</v>
      </c>
      <c r="B8" s="12"/>
      <c r="C8" s="12"/>
      <c r="D8" s="13"/>
      <c r="E8" s="13"/>
      <c r="F8" s="14"/>
      <c r="G8" s="15"/>
      <c r="H8" s="14"/>
      <c r="I8" s="14"/>
      <c r="J8" s="14"/>
      <c r="K8" s="14"/>
      <c r="L8" s="16"/>
    </row>
    <row r="9" spans="1:12" ht="15" customHeight="1">
      <c r="A9" s="27"/>
      <c r="B9" s="263"/>
      <c r="C9" s="263"/>
      <c r="D9" s="2"/>
      <c r="E9" s="2"/>
      <c r="F9" s="264"/>
      <c r="G9" s="238"/>
      <c r="H9" s="264"/>
      <c r="I9" s="264"/>
      <c r="J9" s="264"/>
      <c r="K9" s="264"/>
      <c r="L9" s="294"/>
    </row>
    <row r="10" spans="1:12" ht="15" customHeight="1">
      <c r="A10" s="17" t="s">
        <v>751</v>
      </c>
      <c r="L10" s="19"/>
    </row>
    <row r="11" spans="1:12" ht="15" customHeight="1">
      <c r="B11" s="7">
        <v>85100</v>
      </c>
      <c r="C11" s="7" t="s">
        <v>752</v>
      </c>
      <c r="D11" s="7"/>
      <c r="E11" t="s">
        <v>753</v>
      </c>
      <c r="F11" s="8">
        <v>18</v>
      </c>
      <c r="G11" s="9">
        <v>27</v>
      </c>
      <c r="H11" s="8">
        <f>F11*G11</f>
        <v>486</v>
      </c>
      <c r="I11" s="8">
        <f>H11*1.13</f>
        <v>549.17999999999995</v>
      </c>
      <c r="J11" s="8">
        <f>I11*1.25</f>
        <v>686.47499999999991</v>
      </c>
      <c r="L11" s="19">
        <v>125</v>
      </c>
    </row>
    <row r="12" spans="1:12" ht="15" customHeight="1">
      <c r="B12" s="7">
        <v>85101</v>
      </c>
      <c r="C12" s="7" t="s">
        <v>754</v>
      </c>
      <c r="D12" s="7"/>
      <c r="E12" t="s">
        <v>755</v>
      </c>
      <c r="F12" s="8">
        <v>18</v>
      </c>
      <c r="G12" s="9">
        <v>25</v>
      </c>
      <c r="H12" s="8">
        <f t="shared" ref="H12:H15" si="0">F12*G12</f>
        <v>450</v>
      </c>
      <c r="I12" s="8">
        <f t="shared" ref="I12:I15" si="1">H12*1.13</f>
        <v>508.49999999999994</v>
      </c>
      <c r="J12" s="8">
        <f t="shared" ref="J12:J15" si="2">I12*1.25</f>
        <v>635.62499999999989</v>
      </c>
      <c r="L12" s="19">
        <v>0</v>
      </c>
    </row>
    <row r="13" spans="1:12" ht="15" customHeight="1">
      <c r="B13" s="7">
        <v>85102</v>
      </c>
      <c r="C13" s="7" t="s">
        <v>754</v>
      </c>
      <c r="D13" s="7"/>
      <c r="E13" t="s">
        <v>756</v>
      </c>
      <c r="F13" s="8">
        <v>18</v>
      </c>
      <c r="G13" s="9">
        <v>23</v>
      </c>
      <c r="H13" s="8">
        <f t="shared" si="0"/>
        <v>414</v>
      </c>
      <c r="I13" s="8">
        <f t="shared" si="1"/>
        <v>467.81999999999994</v>
      </c>
      <c r="J13" s="8">
        <f t="shared" si="2"/>
        <v>584.77499999999986</v>
      </c>
      <c r="L13" s="19">
        <v>0</v>
      </c>
    </row>
    <row r="14" spans="1:12" ht="15" customHeight="1">
      <c r="B14" s="7">
        <v>85103</v>
      </c>
      <c r="C14" s="7" t="s">
        <v>754</v>
      </c>
      <c r="D14" s="7"/>
      <c r="E14" t="s">
        <v>757</v>
      </c>
      <c r="F14" s="8">
        <v>18</v>
      </c>
      <c r="G14" s="9">
        <v>23</v>
      </c>
      <c r="H14" s="8">
        <f t="shared" si="0"/>
        <v>414</v>
      </c>
      <c r="I14" s="8">
        <f>H14*1.13</f>
        <v>467.81999999999994</v>
      </c>
      <c r="J14" s="8">
        <f>I14*1.25</f>
        <v>584.77499999999986</v>
      </c>
      <c r="L14" s="19">
        <v>0</v>
      </c>
    </row>
    <row r="15" spans="1:12" ht="15" customHeight="1">
      <c r="B15" s="7">
        <v>85104</v>
      </c>
      <c r="C15" s="7" t="s">
        <v>754</v>
      </c>
      <c r="D15" s="7"/>
      <c r="E15" t="s">
        <v>758</v>
      </c>
      <c r="F15" s="8">
        <v>18</v>
      </c>
      <c r="G15" s="9">
        <v>2</v>
      </c>
      <c r="H15" s="8">
        <f t="shared" si="0"/>
        <v>36</v>
      </c>
      <c r="I15" s="8">
        <f t="shared" si="1"/>
        <v>40.679999999999993</v>
      </c>
      <c r="J15" s="8">
        <f t="shared" si="2"/>
        <v>50.849999999999994</v>
      </c>
      <c r="L15" s="19">
        <v>0</v>
      </c>
    </row>
    <row r="16" spans="1:12" ht="15" customHeight="1">
      <c r="B16" s="7">
        <v>85105</v>
      </c>
      <c r="C16" s="7" t="s">
        <v>754</v>
      </c>
      <c r="D16" s="7"/>
      <c r="E16" t="s">
        <v>759</v>
      </c>
      <c r="F16" s="8">
        <v>18</v>
      </c>
      <c r="G16" s="9">
        <v>2</v>
      </c>
      <c r="H16" s="8">
        <f>G16*F16</f>
        <v>36</v>
      </c>
      <c r="I16" s="8">
        <f>H16*1.13</f>
        <v>40.679999999999993</v>
      </c>
      <c r="J16" s="8">
        <f>I16*1.25</f>
        <v>50.849999999999994</v>
      </c>
      <c r="L16" s="19">
        <v>0</v>
      </c>
    </row>
    <row r="17" spans="1:13" ht="15" customHeight="1">
      <c r="B17" s="7">
        <v>85105</v>
      </c>
      <c r="C17" s="7" t="s">
        <v>754</v>
      </c>
      <c r="E17" t="s">
        <v>760</v>
      </c>
      <c r="F17" s="199">
        <v>18</v>
      </c>
      <c r="G17">
        <v>2</v>
      </c>
      <c r="H17" s="199">
        <v>36</v>
      </c>
      <c r="I17" s="199">
        <v>40.68</v>
      </c>
      <c r="J17" s="199">
        <v>50.85</v>
      </c>
      <c r="K17"/>
      <c r="L17" s="299">
        <v>0</v>
      </c>
    </row>
    <row r="18" spans="1:13" ht="15" customHeight="1">
      <c r="A18" s="2"/>
      <c r="B18" s="263"/>
      <c r="C18" s="263"/>
      <c r="D18" s="263"/>
      <c r="E18" s="2"/>
      <c r="F18" s="237"/>
      <c r="G18" s="238"/>
      <c r="H18" s="237"/>
      <c r="I18" s="237"/>
      <c r="J18" s="237"/>
      <c r="K18" s="237"/>
      <c r="L18" s="294"/>
    </row>
    <row r="19" spans="1:13" s="27" customFormat="1" ht="15" customHeight="1">
      <c r="A19" s="17"/>
      <c r="B19" s="21" t="s">
        <v>296</v>
      </c>
      <c r="C19" s="22"/>
      <c r="D19" s="23"/>
      <c r="E19" s="23"/>
      <c r="F19" s="24"/>
      <c r="G19" s="25"/>
      <c r="H19" s="24"/>
      <c r="I19" s="24">
        <f>SUM(I11:I17)</f>
        <v>2115.3599999999997</v>
      </c>
      <c r="J19" s="24">
        <f>SUM(J11:J17)</f>
        <v>2644.1999999999994</v>
      </c>
      <c r="K19" s="24">
        <f>SUM(K11:K15)</f>
        <v>0</v>
      </c>
      <c r="L19" s="26">
        <f>SUM(L11:L17)</f>
        <v>125</v>
      </c>
    </row>
    <row r="20" spans="1:13" s="27" customFormat="1" ht="15" customHeight="1">
      <c r="A20" s="17"/>
      <c r="B20" s="295"/>
      <c r="C20" s="295"/>
      <c r="D20" s="17"/>
      <c r="E20" s="17"/>
      <c r="F20" s="106"/>
      <c r="G20" s="37"/>
      <c r="H20" s="106"/>
      <c r="I20" s="106"/>
      <c r="J20" s="106"/>
      <c r="K20" s="106"/>
      <c r="L20" s="39"/>
    </row>
    <row r="21" spans="1:13" ht="15" customHeight="1">
      <c r="A21" s="17" t="s">
        <v>761</v>
      </c>
      <c r="L21" s="19"/>
    </row>
    <row r="22" spans="1:13" ht="15" customHeight="1">
      <c r="B22" s="7">
        <v>85200</v>
      </c>
      <c r="C22" s="7" t="s">
        <v>762</v>
      </c>
      <c r="D22" s="7"/>
      <c r="E22" t="s">
        <v>763</v>
      </c>
      <c r="F22" s="8">
        <v>80</v>
      </c>
      <c r="G22" s="9">
        <v>10</v>
      </c>
      <c r="H22" s="8">
        <f>F22*G22</f>
        <v>800</v>
      </c>
      <c r="I22" s="8">
        <f>H22*1.13</f>
        <v>903.99999999999989</v>
      </c>
      <c r="J22" s="8">
        <f>I22*1.25</f>
        <v>1129.9999999999998</v>
      </c>
      <c r="L22" s="19">
        <v>125</v>
      </c>
    </row>
    <row r="23" spans="1:13" ht="15" customHeight="1">
      <c r="B23" s="7">
        <v>85201</v>
      </c>
      <c r="C23" s="7" t="s">
        <v>764</v>
      </c>
      <c r="D23" s="7"/>
      <c r="E23" t="s">
        <v>765</v>
      </c>
      <c r="F23" s="8">
        <v>60</v>
      </c>
      <c r="G23" s="9">
        <v>6</v>
      </c>
      <c r="H23" s="8">
        <f t="shared" ref="H23:H25" si="3">F23*G23</f>
        <v>360</v>
      </c>
      <c r="I23" s="8">
        <f t="shared" ref="I23:I25" si="4">H23*1.13</f>
        <v>406.79999999999995</v>
      </c>
      <c r="J23" s="8">
        <f t="shared" ref="J23:J25" si="5">I23*1.25</f>
        <v>508.49999999999994</v>
      </c>
      <c r="L23" s="19">
        <v>400</v>
      </c>
      <c r="M23" s="2" t="s">
        <v>136</v>
      </c>
    </row>
    <row r="24" spans="1:13" ht="15" customHeight="1">
      <c r="B24" s="7">
        <v>85202</v>
      </c>
      <c r="C24" s="7" t="s">
        <v>255</v>
      </c>
      <c r="D24" s="7"/>
      <c r="E24" t="s">
        <v>766</v>
      </c>
      <c r="F24" s="8">
        <v>673.35</v>
      </c>
      <c r="G24" s="9">
        <v>1</v>
      </c>
      <c r="H24" s="8">
        <f t="shared" si="3"/>
        <v>673.35</v>
      </c>
      <c r="I24" s="8">
        <f t="shared" si="4"/>
        <v>760.88549999999998</v>
      </c>
      <c r="J24" s="8">
        <f t="shared" si="5"/>
        <v>951.10687499999995</v>
      </c>
      <c r="L24" s="19">
        <v>800</v>
      </c>
      <c r="M24" s="2" t="s">
        <v>136</v>
      </c>
    </row>
    <row r="25" spans="1:13" ht="15" customHeight="1">
      <c r="B25" s="7">
        <v>85203</v>
      </c>
      <c r="C25" s="7" t="s">
        <v>767</v>
      </c>
      <c r="D25" s="7"/>
      <c r="E25" t="s">
        <v>768</v>
      </c>
      <c r="F25" s="8">
        <v>200</v>
      </c>
      <c r="G25" s="9">
        <v>1</v>
      </c>
      <c r="H25" s="8">
        <f t="shared" si="3"/>
        <v>200</v>
      </c>
      <c r="I25" s="8">
        <f t="shared" si="4"/>
        <v>225.99999999999997</v>
      </c>
      <c r="J25" s="8">
        <f t="shared" si="5"/>
        <v>282.49999999999994</v>
      </c>
      <c r="L25" s="19">
        <v>250</v>
      </c>
      <c r="M25" s="2" t="s">
        <v>136</v>
      </c>
    </row>
    <row r="26" spans="1:13" ht="15" customHeight="1">
      <c r="B26" s="7">
        <v>85204</v>
      </c>
      <c r="C26" s="7" t="s">
        <v>769</v>
      </c>
      <c r="D26" s="7"/>
      <c r="E26" t="s">
        <v>770</v>
      </c>
      <c r="F26" s="8">
        <v>30</v>
      </c>
      <c r="G26" s="9">
        <v>5</v>
      </c>
      <c r="H26" s="8">
        <v>150</v>
      </c>
      <c r="I26" s="8">
        <v>169.5</v>
      </c>
      <c r="J26" s="8">
        <v>211.88</v>
      </c>
      <c r="L26" s="19">
        <v>225</v>
      </c>
    </row>
    <row r="27" spans="1:13" ht="15" customHeight="1">
      <c r="D27" s="7"/>
      <c r="L27" s="19"/>
    </row>
    <row r="28" spans="1:13" s="27" customFormat="1" ht="15" customHeight="1">
      <c r="A28" s="17"/>
      <c r="B28" s="21" t="s">
        <v>308</v>
      </c>
      <c r="C28" s="22"/>
      <c r="D28" s="23"/>
      <c r="E28" s="23"/>
      <c r="F28" s="24"/>
      <c r="G28" s="25"/>
      <c r="H28" s="24"/>
      <c r="I28" s="24">
        <f>SUM(I22:I26)</f>
        <v>2467.1854999999996</v>
      </c>
      <c r="J28" s="24">
        <f>SUM(J22:J26)</f>
        <v>3083.9868749999996</v>
      </c>
      <c r="K28" s="24">
        <f>SUM(K22:K25)</f>
        <v>0</v>
      </c>
      <c r="L28" s="26">
        <f>SUM(L22:L26)</f>
        <v>1800</v>
      </c>
    </row>
    <row r="29" spans="1:13" s="27" customFormat="1" ht="15" customHeight="1">
      <c r="A29" s="17"/>
      <c r="B29" s="295"/>
      <c r="C29" s="295"/>
      <c r="D29" s="17"/>
      <c r="E29" s="17"/>
      <c r="F29" s="106"/>
      <c r="G29" s="37"/>
      <c r="H29" s="106"/>
      <c r="I29" s="106"/>
      <c r="J29" s="106"/>
      <c r="K29" s="106"/>
      <c r="L29" s="39"/>
    </row>
    <row r="30" spans="1:13" ht="15" customHeight="1">
      <c r="A30" s="17" t="s">
        <v>771</v>
      </c>
      <c r="B30" s="7">
        <v>85300</v>
      </c>
      <c r="C30" s="7" t="s">
        <v>772</v>
      </c>
      <c r="D30" s="7"/>
      <c r="E30" t="s">
        <v>773</v>
      </c>
      <c r="F30" s="8">
        <v>8</v>
      </c>
      <c r="G30" s="9">
        <v>20</v>
      </c>
      <c r="H30" s="8">
        <v>160</v>
      </c>
      <c r="I30" s="8">
        <v>180.8</v>
      </c>
      <c r="J30" s="8">
        <v>226</v>
      </c>
      <c r="L30" s="19">
        <v>180</v>
      </c>
      <c r="M30" s="2" t="s">
        <v>136</v>
      </c>
    </row>
    <row r="31" spans="1:13" ht="15" customHeight="1">
      <c r="B31" s="7">
        <v>85301</v>
      </c>
      <c r="C31" s="7" t="s">
        <v>774</v>
      </c>
      <c r="D31" s="7"/>
      <c r="E31" s="305" t="s">
        <v>775</v>
      </c>
      <c r="F31" s="8">
        <v>64.5</v>
      </c>
      <c r="G31" s="9">
        <v>4</v>
      </c>
      <c r="H31" s="8">
        <f>F31*G31</f>
        <v>258</v>
      </c>
      <c r="I31" s="8">
        <f>H31*1.13</f>
        <v>291.53999999999996</v>
      </c>
      <c r="J31" s="8">
        <f>I31*1.25</f>
        <v>364.42499999999995</v>
      </c>
      <c r="L31" s="19">
        <v>0</v>
      </c>
    </row>
    <row r="32" spans="1:13" ht="15" customHeight="1">
      <c r="B32" s="7">
        <v>85302</v>
      </c>
      <c r="C32" s="7" t="s">
        <v>776</v>
      </c>
      <c r="D32" s="7"/>
      <c r="E32" t="s">
        <v>777</v>
      </c>
      <c r="F32" s="8">
        <v>19</v>
      </c>
      <c r="G32" s="9">
        <v>4</v>
      </c>
      <c r="H32" s="8">
        <f t="shared" ref="H32:H34" si="6">F32*G32</f>
        <v>76</v>
      </c>
      <c r="I32" s="8">
        <f t="shared" ref="I32:I33" si="7">H32*1.13</f>
        <v>85.88</v>
      </c>
      <c r="J32" s="8">
        <f t="shared" ref="J32:J34" si="8">I32*1.25</f>
        <v>107.35</v>
      </c>
      <c r="L32" s="19">
        <v>45</v>
      </c>
      <c r="M32" s="2" t="s">
        <v>136</v>
      </c>
    </row>
    <row r="33" spans="1:13" ht="15" customHeight="1">
      <c r="B33" s="7">
        <v>85303</v>
      </c>
      <c r="C33" s="7" t="s">
        <v>778</v>
      </c>
      <c r="D33" s="7"/>
      <c r="E33" t="s">
        <v>779</v>
      </c>
      <c r="F33" s="8">
        <v>20</v>
      </c>
      <c r="G33" s="9">
        <v>14</v>
      </c>
      <c r="H33" s="8">
        <f t="shared" si="6"/>
        <v>280</v>
      </c>
      <c r="I33" s="8">
        <f t="shared" si="7"/>
        <v>316.39999999999998</v>
      </c>
      <c r="J33" s="8">
        <f t="shared" si="8"/>
        <v>395.5</v>
      </c>
      <c r="L33" s="19">
        <v>50</v>
      </c>
    </row>
    <row r="34" spans="1:13" ht="15" customHeight="1">
      <c r="B34" s="7">
        <v>85304</v>
      </c>
      <c r="C34" s="7" t="s">
        <v>780</v>
      </c>
      <c r="D34" s="7"/>
      <c r="E34" t="s">
        <v>781</v>
      </c>
      <c r="F34" s="8">
        <v>45</v>
      </c>
      <c r="G34" s="9">
        <v>4</v>
      </c>
      <c r="H34" s="8">
        <f t="shared" si="6"/>
        <v>180</v>
      </c>
      <c r="I34" s="8">
        <v>203.4</v>
      </c>
      <c r="J34" s="8">
        <f t="shared" si="8"/>
        <v>254.25</v>
      </c>
      <c r="L34" s="19">
        <v>0</v>
      </c>
    </row>
    <row r="35" spans="1:13" ht="15" customHeight="1">
      <c r="L35" s="19"/>
    </row>
    <row r="36" spans="1:13" s="27" customFormat="1" ht="15" customHeight="1">
      <c r="A36" s="17"/>
      <c r="B36" s="21" t="s">
        <v>312</v>
      </c>
      <c r="C36" s="22"/>
      <c r="D36" s="23"/>
      <c r="E36" s="23"/>
      <c r="F36" s="24"/>
      <c r="G36" s="25"/>
      <c r="H36" s="24"/>
      <c r="I36" s="24">
        <f>SUM(I31:I34)</f>
        <v>897.21999999999991</v>
      </c>
      <c r="J36" s="24">
        <f>SUM(J31:J34)</f>
        <v>1121.5250000000001</v>
      </c>
      <c r="K36" s="24">
        <f>SUM(K31:K34)</f>
        <v>0</v>
      </c>
      <c r="L36" s="26">
        <f>SUM(L30:L34)</f>
        <v>275</v>
      </c>
    </row>
    <row r="37" spans="1:13" s="27" customFormat="1" ht="15" customHeight="1">
      <c r="A37" s="17"/>
      <c r="B37" s="295"/>
      <c r="C37" s="295"/>
      <c r="D37" s="17"/>
      <c r="E37" s="17"/>
      <c r="F37" s="106"/>
      <c r="G37" s="37"/>
      <c r="H37" s="106"/>
      <c r="I37" s="106"/>
      <c r="J37" s="106"/>
      <c r="K37" s="106"/>
      <c r="L37" s="39"/>
    </row>
    <row r="38" spans="1:13" ht="15" customHeight="1">
      <c r="A38" s="17" t="s">
        <v>782</v>
      </c>
      <c r="B38" s="7">
        <v>85400</v>
      </c>
      <c r="C38" s="7" t="s">
        <v>772</v>
      </c>
      <c r="D38" s="7"/>
      <c r="E38" t="s">
        <v>783</v>
      </c>
      <c r="F38" s="8">
        <v>8</v>
      </c>
      <c r="G38" s="9">
        <v>38</v>
      </c>
      <c r="H38" s="8">
        <v>304</v>
      </c>
      <c r="I38" s="8">
        <v>343.52</v>
      </c>
      <c r="J38" s="8">
        <v>429.4</v>
      </c>
      <c r="L38" s="19">
        <v>340</v>
      </c>
      <c r="M38" s="2" t="s">
        <v>136</v>
      </c>
    </row>
    <row r="39" spans="1:13" ht="15" customHeight="1">
      <c r="A39" s="17"/>
      <c r="D39" s="7"/>
      <c r="L39" s="19"/>
    </row>
    <row r="40" spans="1:13" ht="15" customHeight="1">
      <c r="B40" s="145" t="s">
        <v>784</v>
      </c>
      <c r="C40" s="146"/>
      <c r="D40" s="147"/>
      <c r="E40" s="147"/>
      <c r="F40" s="148"/>
      <c r="G40" s="149"/>
      <c r="H40" s="148"/>
      <c r="I40" s="150">
        <v>343.52</v>
      </c>
      <c r="J40" s="150">
        <v>429.4</v>
      </c>
      <c r="K40" s="148"/>
      <c r="L40" s="300">
        <f>SUM(L38)</f>
        <v>340</v>
      </c>
    </row>
    <row r="41" spans="1:13" ht="15" customHeight="1">
      <c r="B41" s="295"/>
      <c r="F41" s="185"/>
      <c r="H41" s="185"/>
      <c r="I41" s="106"/>
      <c r="J41" s="106"/>
      <c r="K41" s="185"/>
      <c r="L41" s="19"/>
    </row>
    <row r="42" spans="1:13" ht="15" customHeight="1">
      <c r="A42" s="17" t="s">
        <v>785</v>
      </c>
      <c r="B42" s="7">
        <v>85500</v>
      </c>
      <c r="C42" s="7" t="s">
        <v>786</v>
      </c>
      <c r="D42" s="7"/>
      <c r="E42" t="s">
        <v>787</v>
      </c>
      <c r="F42" s="8">
        <v>25</v>
      </c>
      <c r="G42" s="9">
        <v>4</v>
      </c>
      <c r="H42" s="8">
        <v>100</v>
      </c>
      <c r="I42" s="8">
        <v>113</v>
      </c>
      <c r="J42" s="8">
        <v>141.25</v>
      </c>
      <c r="L42" s="19">
        <v>160</v>
      </c>
    </row>
    <row r="43" spans="1:13" ht="15" customHeight="1">
      <c r="B43" s="7">
        <v>85501</v>
      </c>
      <c r="C43" s="296" t="s">
        <v>788</v>
      </c>
      <c r="D43" s="7"/>
      <c r="E43" t="s">
        <v>789</v>
      </c>
      <c r="F43" s="8">
        <v>25</v>
      </c>
      <c r="G43" s="9">
        <v>4</v>
      </c>
      <c r="H43" s="8">
        <v>100</v>
      </c>
      <c r="I43" s="8">
        <v>113</v>
      </c>
      <c r="J43" s="8">
        <v>141.25</v>
      </c>
      <c r="L43" s="19">
        <v>160</v>
      </c>
    </row>
    <row r="44" spans="1:13" ht="15" customHeight="1">
      <c r="B44" s="7">
        <v>85502</v>
      </c>
      <c r="C44" s="151" t="s">
        <v>772</v>
      </c>
      <c r="D44" s="7"/>
      <c r="E44" t="s">
        <v>790</v>
      </c>
      <c r="F44" s="8">
        <v>8</v>
      </c>
      <c r="G44" s="9">
        <v>4</v>
      </c>
      <c r="H44" s="8">
        <v>32</v>
      </c>
      <c r="I44" s="36">
        <v>36.159999999999997</v>
      </c>
      <c r="J44" s="36">
        <v>45.2</v>
      </c>
      <c r="L44" s="19">
        <v>0</v>
      </c>
    </row>
    <row r="45" spans="1:13" ht="15" customHeight="1">
      <c r="B45" s="7">
        <v>85503</v>
      </c>
      <c r="C45" s="296" t="s">
        <v>774</v>
      </c>
      <c r="D45" s="243"/>
      <c r="E45" s="45" t="s">
        <v>791</v>
      </c>
      <c r="F45" s="129">
        <v>15</v>
      </c>
      <c r="G45" s="130">
        <v>4</v>
      </c>
      <c r="H45" s="129">
        <v>60</v>
      </c>
      <c r="I45" s="297">
        <v>67.8</v>
      </c>
      <c r="J45" s="297">
        <v>84.75</v>
      </c>
      <c r="K45" s="129"/>
      <c r="L45" s="131">
        <v>0</v>
      </c>
    </row>
    <row r="46" spans="1:13" ht="15" customHeight="1">
      <c r="B46" s="7">
        <v>85504</v>
      </c>
      <c r="C46" s="151" t="s">
        <v>792</v>
      </c>
      <c r="E46" t="s">
        <v>793</v>
      </c>
      <c r="F46" s="199">
        <v>9.5</v>
      </c>
      <c r="G46">
        <v>8</v>
      </c>
      <c r="H46" s="199">
        <v>76</v>
      </c>
      <c r="I46" s="199">
        <v>85.88</v>
      </c>
      <c r="J46" s="199">
        <v>107.35</v>
      </c>
      <c r="K46"/>
      <c r="L46" s="299">
        <v>0</v>
      </c>
    </row>
    <row r="47" spans="1:13" ht="15" customHeight="1">
      <c r="C47" s="151"/>
      <c r="D47" s="7"/>
      <c r="I47" s="36"/>
      <c r="J47" s="36"/>
      <c r="L47" s="19"/>
    </row>
    <row r="48" spans="1:13" ht="15" customHeight="1">
      <c r="A48" s="17"/>
      <c r="B48" s="145" t="s">
        <v>794</v>
      </c>
      <c r="C48" s="152"/>
      <c r="D48" s="147"/>
      <c r="E48" s="147"/>
      <c r="F48" s="148"/>
      <c r="G48" s="149"/>
      <c r="H48" s="148"/>
      <c r="I48" s="150">
        <v>415.84</v>
      </c>
      <c r="J48" s="150">
        <v>519.79999999999995</v>
      </c>
      <c r="K48" s="148"/>
      <c r="L48" s="375">
        <f>SUM(L42:L46)</f>
        <v>320</v>
      </c>
    </row>
    <row r="49" spans="1:13" ht="15" customHeight="1">
      <c r="A49" s="17"/>
      <c r="B49" s="295"/>
      <c r="C49" s="301"/>
      <c r="F49"/>
      <c r="G49"/>
      <c r="H49"/>
      <c r="I49"/>
      <c r="J49"/>
      <c r="K49"/>
      <c r="L49" s="302"/>
    </row>
    <row r="50" spans="1:13" ht="15" customHeight="1">
      <c r="A50" s="153" t="s">
        <v>795</v>
      </c>
      <c r="B50"/>
      <c r="C50"/>
      <c r="F50"/>
      <c r="G50"/>
      <c r="H50"/>
      <c r="I50"/>
      <c r="J50"/>
      <c r="K50"/>
      <c r="L50" s="299"/>
    </row>
    <row r="51" spans="1:13" ht="15" customHeight="1">
      <c r="B51" s="7">
        <v>86600</v>
      </c>
      <c r="C51" t="s">
        <v>796</v>
      </c>
      <c r="D51" s="7"/>
      <c r="E51" t="s">
        <v>797</v>
      </c>
      <c r="F51" s="199">
        <v>30</v>
      </c>
      <c r="G51">
        <v>4</v>
      </c>
      <c r="H51" s="199">
        <v>120</v>
      </c>
      <c r="I51" s="199">
        <v>135.6</v>
      </c>
      <c r="J51" s="199">
        <v>169.5</v>
      </c>
      <c r="K51"/>
      <c r="L51" s="299">
        <v>240</v>
      </c>
    </row>
    <row r="52" spans="1:13" ht="15" customHeight="1">
      <c r="B52" s="243">
        <v>86601</v>
      </c>
      <c r="C52" s="45" t="s">
        <v>798</v>
      </c>
      <c r="D52" s="243"/>
      <c r="E52" s="45" t="s">
        <v>799</v>
      </c>
      <c r="F52" s="303">
        <v>30</v>
      </c>
      <c r="G52" s="45">
        <v>6</v>
      </c>
      <c r="H52" s="303">
        <v>180</v>
      </c>
      <c r="I52" s="303">
        <v>203.4</v>
      </c>
      <c r="J52" s="303">
        <v>254.25</v>
      </c>
      <c r="K52" s="45"/>
      <c r="L52" s="304">
        <v>0</v>
      </c>
    </row>
    <row r="53" spans="1:13" ht="15" customHeight="1">
      <c r="B53" s="7">
        <v>86602</v>
      </c>
      <c r="C53" t="s">
        <v>800</v>
      </c>
      <c r="D53" s="7"/>
      <c r="E53" t="s">
        <v>801</v>
      </c>
      <c r="F53" s="199">
        <v>0</v>
      </c>
      <c r="G53">
        <v>0</v>
      </c>
      <c r="H53" s="199">
        <v>0</v>
      </c>
      <c r="I53" s="199">
        <v>0</v>
      </c>
      <c r="J53" s="199">
        <v>0</v>
      </c>
      <c r="K53"/>
      <c r="L53" s="299">
        <v>0</v>
      </c>
    </row>
    <row r="54" spans="1:13" ht="15" customHeight="1">
      <c r="B54" s="243">
        <v>86603</v>
      </c>
      <c r="C54" s="45" t="s">
        <v>802</v>
      </c>
      <c r="D54" s="243"/>
      <c r="E54" s="45" t="s">
        <v>803</v>
      </c>
      <c r="F54" s="303">
        <v>30</v>
      </c>
      <c r="G54" s="45">
        <v>5</v>
      </c>
      <c r="H54" s="303">
        <v>150</v>
      </c>
      <c r="I54" s="303">
        <v>169.5</v>
      </c>
      <c r="J54" s="303">
        <v>211.88</v>
      </c>
      <c r="K54" s="45"/>
      <c r="L54" s="304">
        <v>0</v>
      </c>
    </row>
    <row r="55" spans="1:13" ht="15" customHeight="1">
      <c r="B55" s="7">
        <v>86604</v>
      </c>
      <c r="C55" t="s">
        <v>774</v>
      </c>
      <c r="D55" s="7"/>
      <c r="E55" t="s">
        <v>804</v>
      </c>
      <c r="F55" s="199">
        <v>156.65</v>
      </c>
      <c r="G55">
        <v>6</v>
      </c>
      <c r="H55" s="199">
        <v>939.9</v>
      </c>
      <c r="I55" s="199">
        <v>1062.0899999999999</v>
      </c>
      <c r="J55" s="199">
        <v>1327.61</v>
      </c>
      <c r="K55"/>
      <c r="L55" s="299">
        <v>50</v>
      </c>
    </row>
    <row r="56" spans="1:13" ht="15" customHeight="1">
      <c r="B56" s="243">
        <v>86605</v>
      </c>
      <c r="C56" s="45" t="s">
        <v>805</v>
      </c>
      <c r="D56" s="243"/>
      <c r="E56" s="45" t="s">
        <v>806</v>
      </c>
      <c r="F56" s="303">
        <v>80</v>
      </c>
      <c r="G56" s="45">
        <v>6</v>
      </c>
      <c r="H56" s="303">
        <v>480</v>
      </c>
      <c r="I56" s="303">
        <v>542.4</v>
      </c>
      <c r="J56" s="303">
        <v>678</v>
      </c>
      <c r="K56" s="45"/>
      <c r="L56" s="304">
        <v>0</v>
      </c>
    </row>
    <row r="57" spans="1:13" ht="15" customHeight="1">
      <c r="B57" s="7">
        <v>86606</v>
      </c>
      <c r="C57" t="s">
        <v>807</v>
      </c>
      <c r="D57" s="7"/>
      <c r="E57" t="s">
        <v>808</v>
      </c>
      <c r="F57" s="199">
        <v>50</v>
      </c>
      <c r="G57">
        <v>1</v>
      </c>
      <c r="H57" s="199">
        <v>50</v>
      </c>
      <c r="I57" s="199">
        <v>56.5</v>
      </c>
      <c r="J57" s="199">
        <v>70.63</v>
      </c>
      <c r="K57"/>
      <c r="L57" s="299">
        <v>0</v>
      </c>
    </row>
    <row r="58" spans="1:13" ht="15" customHeight="1">
      <c r="B58" s="243">
        <v>86607</v>
      </c>
      <c r="C58" s="45" t="s">
        <v>776</v>
      </c>
      <c r="D58" s="243"/>
      <c r="E58" s="45" t="s">
        <v>809</v>
      </c>
      <c r="F58" s="303">
        <v>28.5</v>
      </c>
      <c r="G58" s="45">
        <v>7</v>
      </c>
      <c r="H58" s="303">
        <v>199.5</v>
      </c>
      <c r="I58" s="303">
        <v>225.44</v>
      </c>
      <c r="J58" s="303">
        <v>281.79000000000002</v>
      </c>
      <c r="K58" s="45"/>
      <c r="L58" s="304">
        <v>0</v>
      </c>
    </row>
    <row r="59" spans="1:13" ht="15" customHeight="1">
      <c r="B59" s="7">
        <v>86608</v>
      </c>
      <c r="C59" t="s">
        <v>810</v>
      </c>
      <c r="D59" s="7"/>
      <c r="E59" t="s">
        <v>811</v>
      </c>
      <c r="F59" s="199">
        <v>100</v>
      </c>
      <c r="G59">
        <v>1</v>
      </c>
      <c r="H59" s="199">
        <v>100</v>
      </c>
      <c r="I59" s="199">
        <v>113</v>
      </c>
      <c r="J59" s="199">
        <v>141.25</v>
      </c>
      <c r="K59"/>
      <c r="L59" s="299">
        <v>0</v>
      </c>
    </row>
    <row r="60" spans="1:13" ht="15" customHeight="1">
      <c r="C60"/>
      <c r="D60" s="7"/>
      <c r="F60" s="199"/>
      <c r="G60"/>
      <c r="H60" s="199"/>
      <c r="I60" s="199"/>
      <c r="J60" s="199"/>
      <c r="K60"/>
      <c r="L60" s="299"/>
    </row>
    <row r="61" spans="1:13" ht="15" customHeight="1">
      <c r="B61" s="145" t="s">
        <v>812</v>
      </c>
      <c r="C61" s="152"/>
      <c r="D61" s="147"/>
      <c r="E61" s="147"/>
      <c r="F61" s="148"/>
      <c r="G61" s="149"/>
      <c r="H61" s="148"/>
      <c r="I61" s="150">
        <v>2790.43</v>
      </c>
      <c r="J61" s="150">
        <v>3488.05</v>
      </c>
      <c r="K61" s="148"/>
      <c r="L61" s="375">
        <f>SUM(L51:L60)</f>
        <v>290</v>
      </c>
    </row>
    <row r="62" spans="1:13" ht="15" customHeight="1">
      <c r="A62" s="28"/>
      <c r="C62" s="307"/>
      <c r="D62" s="28"/>
      <c r="E62" s="28"/>
      <c r="F62" s="308"/>
      <c r="G62" s="310"/>
      <c r="H62" s="308"/>
      <c r="L62" s="306"/>
    </row>
    <row r="63" spans="1:13" s="53" customFormat="1" ht="15" customHeight="1">
      <c r="A63"/>
      <c r="B63" s="311" t="s">
        <v>120</v>
      </c>
      <c r="C63" s="312"/>
      <c r="D63" s="313"/>
      <c r="E63" s="313"/>
      <c r="F63" s="314"/>
      <c r="G63" s="315"/>
      <c r="H63" s="314"/>
      <c r="I63" s="316">
        <f>SUM(I61,I48,I40,I36,I19,I28)</f>
        <v>9029.5554999999986</v>
      </c>
      <c r="J63" s="316">
        <f>SUM(J61,J48,J40,J36,J19,J28)</f>
        <v>11286.961874999997</v>
      </c>
      <c r="K63" s="316">
        <v>0</v>
      </c>
      <c r="L63" s="316">
        <f>SUM(L61+L48+L40+L36+L28+L19)</f>
        <v>3150</v>
      </c>
      <c r="M63" s="317"/>
    </row>
    <row r="64" spans="1:13" s="53" customFormat="1" ht="15" customHeight="1">
      <c r="A64"/>
      <c r="B64" s="307"/>
      <c r="C64" s="7"/>
      <c r="D64"/>
      <c r="E64"/>
      <c r="F64" s="8"/>
      <c r="G64" s="9"/>
      <c r="H64" s="8"/>
      <c r="I64" s="308"/>
      <c r="J64" s="308"/>
      <c r="K64" s="308"/>
      <c r="L64" s="309"/>
    </row>
    <row r="65" spans="1:12" ht="15" customHeight="1">
      <c r="A65" s="11" t="s">
        <v>56</v>
      </c>
      <c r="B65" s="12"/>
      <c r="C65" s="12"/>
      <c r="D65" s="13"/>
      <c r="E65" s="13"/>
      <c r="F65" s="14"/>
      <c r="G65" s="15"/>
      <c r="H65" s="14"/>
      <c r="I65" s="14"/>
      <c r="J65" s="14"/>
      <c r="K65" s="14"/>
      <c r="L65" s="16"/>
    </row>
    <row r="66" spans="1:12" ht="15" customHeight="1">
      <c r="A66" s="17"/>
      <c r="B66" s="295" t="s">
        <v>58</v>
      </c>
      <c r="C66" s="295"/>
      <c r="D66" s="17"/>
      <c r="E66" s="17"/>
      <c r="F66" s="36"/>
      <c r="G66" s="37"/>
      <c r="H66" s="36"/>
      <c r="I66" s="36">
        <v>0</v>
      </c>
      <c r="J66" s="36">
        <v>0</v>
      </c>
      <c r="K66" s="36"/>
      <c r="L66" s="38">
        <f>L6</f>
        <v>0</v>
      </c>
    </row>
    <row r="67" spans="1:12" s="27" customFormat="1" ht="15" customHeight="1">
      <c r="A67" s="17"/>
      <c r="B67" s="295" t="s">
        <v>62</v>
      </c>
      <c r="C67" s="295"/>
      <c r="D67" s="17"/>
      <c r="E67" s="17"/>
      <c r="F67" s="36"/>
      <c r="G67" s="37"/>
      <c r="H67" s="36"/>
      <c r="I67" s="36">
        <f>I63</f>
        <v>9029.5554999999986</v>
      </c>
      <c r="J67" s="36">
        <f>J63</f>
        <v>11286.961874999997</v>
      </c>
      <c r="K67" s="36">
        <f>K63</f>
        <v>0</v>
      </c>
      <c r="L67" s="39">
        <f>L63</f>
        <v>3150</v>
      </c>
    </row>
    <row r="68" spans="1:12" s="27" customFormat="1" ht="15" customHeight="1">
      <c r="A68" s="40"/>
      <c r="B68" s="41" t="s">
        <v>65</v>
      </c>
      <c r="C68" s="41"/>
      <c r="D68" s="40"/>
      <c r="E68" s="40"/>
      <c r="F68" s="42"/>
      <c r="G68" s="43"/>
      <c r="H68" s="42"/>
      <c r="I68" s="42">
        <f>SUM(I66,I67*-1)</f>
        <v>-9029.5554999999986</v>
      </c>
      <c r="J68" s="42">
        <f t="shared" ref="J68:K68" si="9">SUM(J66,J67*-1)</f>
        <v>-11286.961874999997</v>
      </c>
      <c r="K68" s="42">
        <f t="shared" si="9"/>
        <v>0</v>
      </c>
      <c r="L68" s="44">
        <f>SUM(L66,L67*-1)</f>
        <v>-3150</v>
      </c>
    </row>
    <row r="69" spans="1:12" s="27" customFormat="1" ht="15" customHeight="1">
      <c r="A69"/>
      <c r="B69"/>
      <c r="C69" s="7"/>
      <c r="D69"/>
      <c r="E69"/>
      <c r="F69" s="8"/>
      <c r="G69" s="9"/>
      <c r="H69" s="8"/>
      <c r="I69" s="8"/>
      <c r="J69" s="8"/>
      <c r="K69" s="8"/>
      <c r="L69" s="1"/>
    </row>
    <row r="70" spans="1:12">
      <c r="B70"/>
    </row>
  </sheetData>
  <mergeCells count="1">
    <mergeCell ref="B1:K1"/>
  </mergeCells>
  <conditionalFormatting sqref="B38:L42 D43:L43 B43 B11:L16 B25:L29 B24:C24 E24:L24 B67:B68 B48:B49 C65:L65 B61:B65 B18:L23 I63:L64">
    <cfRule type="expression" dxfId="89" priority="5">
      <formula>MOD($B11,2)=1</formula>
    </cfRule>
  </conditionalFormatting>
  <conditionalFormatting sqref="B5:L7">
    <cfRule type="expression" dxfId="88" priority="3">
      <formula>MOD($B5,2)=1</formula>
    </cfRule>
  </conditionalFormatting>
  <conditionalFormatting sqref="B30:L30 B32:L37 B31:D31 F31:L31">
    <cfRule type="expression" dxfId="87" priority="2">
      <formula>MOD($B30,2)=1</formula>
    </cfRule>
  </conditionalFormatting>
  <conditionalFormatting sqref="C66:L68 C62:H62">
    <cfRule type="expression" dxfId="86" priority="6">
      <formula>MOD($B63,2)=1</formula>
    </cfRule>
  </conditionalFormatting>
  <conditionalFormatting sqref="B44:B47">
    <cfRule type="expression" dxfId="85" priority="7">
      <formula>MOD($B24,2)=1</formula>
    </cfRule>
  </conditionalFormatting>
  <conditionalFormatting sqref="D44:L44">
    <cfRule type="expression" dxfId="84" priority="8">
      <formula>MOD($B48,2)=1</formula>
    </cfRule>
  </conditionalFormatting>
  <conditionalFormatting sqref="C63:L64">
    <cfRule type="expression" dxfId="83" priority="9">
      <formula>MOD(#REF!,2)=1</formula>
    </cfRule>
  </conditionalFormatting>
  <conditionalFormatting sqref="B66">
    <cfRule type="expression" dxfId="82" priority="1">
      <formula>MOD($B66,2)=1</formula>
    </cfRule>
  </conditionalFormatting>
  <conditionalFormatting sqref="D61:L61">
    <cfRule type="expression" dxfId="81" priority="10">
      <formula>MOD($B63,2)=1</formula>
    </cfRule>
  </conditionalFormatting>
  <conditionalFormatting sqref="D45:L45 D47:L47">
    <cfRule type="expression" dxfId="80" priority="11">
      <formula>MOD($B51,2)=1</formula>
    </cfRule>
  </conditionalFormatting>
  <conditionalFormatting sqref="D48:L48">
    <cfRule type="expression" dxfId="79" priority="45">
      <formula>MOD($B51,2)=1</formula>
    </cfRule>
  </conditionalFormatting>
  <pageMargins left="0.7" right="0.7" top="0.75" bottom="0.75" header="0.3" footer="0.3"/>
  <pageSetup scale="26"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55783-63E0-4ABE-AE9B-37385E1E9415}">
  <sheetPr codeName="Sheet12"/>
  <dimension ref="A1:L26"/>
  <sheetViews>
    <sheetView showGridLines="0" zoomScale="70" zoomScaleNormal="70" workbookViewId="0">
      <pane ySplit="2" topLeftCell="A3" activePane="bottomLeft" state="frozen"/>
      <selection pane="bottomLeft" activeCell="L22" sqref="L22"/>
    </sheetView>
  </sheetViews>
  <sheetFormatPr defaultColWidth="9.85546875" defaultRowHeight="14.85"/>
  <cols>
    <col min="1" max="1" width="30.140625" customWidth="1"/>
    <col min="2" max="3" width="23.5703125" style="7" customWidth="1"/>
    <col min="4" max="4" width="37.85546875" customWidth="1"/>
    <col min="5" max="5" width="36.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813</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L5" s="19"/>
    </row>
    <row r="6" spans="1:12" s="53" customFormat="1" ht="15" customHeight="1">
      <c r="A6" s="28"/>
      <c r="B6" s="29" t="s">
        <v>42</v>
      </c>
      <c r="C6" s="30"/>
      <c r="D6" s="31"/>
      <c r="E6" s="31"/>
      <c r="F6" s="32">
        <v>0</v>
      </c>
      <c r="G6" s="33"/>
      <c r="H6" s="32"/>
      <c r="I6" s="32">
        <v>0</v>
      </c>
      <c r="J6" s="32">
        <v>0</v>
      </c>
      <c r="K6" s="32">
        <v>0</v>
      </c>
      <c r="L6" s="34">
        <v>0</v>
      </c>
    </row>
    <row r="7" spans="1:12" ht="15" customHeight="1">
      <c r="L7" s="19"/>
    </row>
    <row r="8" spans="1:12" ht="15" customHeight="1">
      <c r="A8" s="11" t="s">
        <v>40</v>
      </c>
      <c r="B8" s="12"/>
      <c r="C8" s="12"/>
      <c r="D8" s="13"/>
      <c r="E8" s="13"/>
      <c r="F8" s="14"/>
      <c r="G8" s="15"/>
      <c r="H8" s="14"/>
      <c r="I8" s="14"/>
      <c r="J8" s="14"/>
      <c r="K8" s="14"/>
      <c r="L8" s="16"/>
    </row>
    <row r="9" spans="1:12" ht="15" customHeight="1">
      <c r="A9" s="73" t="s">
        <v>814</v>
      </c>
      <c r="E9" s="48"/>
      <c r="L9" s="19"/>
    </row>
    <row r="10" spans="1:12" ht="15" customHeight="1">
      <c r="B10" s="7">
        <v>85100</v>
      </c>
      <c r="C10" s="379" t="s">
        <v>815</v>
      </c>
      <c r="E10" s="48" t="s">
        <v>816</v>
      </c>
      <c r="F10" s="8">
        <v>10</v>
      </c>
      <c r="G10" s="9">
        <v>40</v>
      </c>
      <c r="H10" s="8">
        <f>F10*G10</f>
        <v>400</v>
      </c>
      <c r="I10" s="8">
        <f>H10*1.13</f>
        <v>451.99999999999994</v>
      </c>
      <c r="J10" s="8">
        <f>I10*1.25</f>
        <v>564.99999999999989</v>
      </c>
      <c r="K10" s="8">
        <v>0</v>
      </c>
      <c r="L10" s="19">
        <v>0</v>
      </c>
    </row>
    <row r="11" spans="1:12" ht="15" customHeight="1">
      <c r="B11" s="7">
        <v>85101</v>
      </c>
      <c r="C11" s="379" t="s">
        <v>817</v>
      </c>
      <c r="D11" s="7"/>
      <c r="E11" s="48" t="s">
        <v>818</v>
      </c>
      <c r="F11" s="8">
        <v>20</v>
      </c>
      <c r="G11" s="9">
        <v>15</v>
      </c>
      <c r="H11" s="8">
        <f t="shared" ref="H11:H13" si="0">F11*G11</f>
        <v>300</v>
      </c>
      <c r="I11" s="8">
        <f t="shared" ref="I11:I13" si="1">H11*1.13</f>
        <v>338.99999999999994</v>
      </c>
      <c r="J11" s="8">
        <f t="shared" ref="J11:J13" si="2">I11*1.25</f>
        <v>423.74999999999994</v>
      </c>
      <c r="K11" s="8">
        <v>0</v>
      </c>
      <c r="L11" s="19">
        <v>0</v>
      </c>
    </row>
    <row r="12" spans="1:12" ht="15" customHeight="1">
      <c r="B12" s="7">
        <v>85102</v>
      </c>
      <c r="C12" s="379" t="s">
        <v>326</v>
      </c>
      <c r="E12" s="48" t="s">
        <v>819</v>
      </c>
      <c r="F12" s="8">
        <v>0.4</v>
      </c>
      <c r="G12" s="9">
        <v>100</v>
      </c>
      <c r="H12" s="8">
        <f t="shared" si="0"/>
        <v>40</v>
      </c>
      <c r="I12" s="8">
        <f t="shared" si="1"/>
        <v>45.199999999999996</v>
      </c>
      <c r="J12" s="8">
        <f t="shared" si="2"/>
        <v>56.499999999999993</v>
      </c>
      <c r="K12" s="8">
        <v>0</v>
      </c>
      <c r="L12" s="19">
        <v>0</v>
      </c>
    </row>
    <row r="13" spans="1:12" ht="15" customHeight="1">
      <c r="B13" s="7">
        <v>85103</v>
      </c>
      <c r="C13" s="379" t="s">
        <v>820</v>
      </c>
      <c r="E13" s="48" t="s">
        <v>821</v>
      </c>
      <c r="F13" s="8">
        <v>120</v>
      </c>
      <c r="G13" s="9">
        <v>4</v>
      </c>
      <c r="H13" s="8">
        <f t="shared" si="0"/>
        <v>480</v>
      </c>
      <c r="I13" s="8">
        <f t="shared" si="1"/>
        <v>542.4</v>
      </c>
      <c r="J13" s="8">
        <f t="shared" si="2"/>
        <v>678</v>
      </c>
      <c r="K13" s="8">
        <v>0</v>
      </c>
      <c r="L13" s="19">
        <v>0</v>
      </c>
    </row>
    <row r="14" spans="1:12" ht="15" customHeight="1">
      <c r="C14" s="47"/>
      <c r="E14" s="48"/>
      <c r="L14" s="19"/>
    </row>
    <row r="15" spans="1:12" s="27" customFormat="1" ht="15" customHeight="1">
      <c r="A15" s="17"/>
      <c r="B15" s="330" t="s">
        <v>822</v>
      </c>
      <c r="C15" s="22"/>
      <c r="D15" s="23"/>
      <c r="E15" s="23"/>
      <c r="F15" s="24"/>
      <c r="G15" s="25"/>
      <c r="H15" s="24"/>
      <c r="I15" s="24">
        <f>SUM(I10:I13)</f>
        <v>1378.6</v>
      </c>
      <c r="J15" s="24">
        <f>SUM(J10:J13)</f>
        <v>1723.2499999999998</v>
      </c>
      <c r="K15" s="24">
        <f>SUM(K10:K13)</f>
        <v>0</v>
      </c>
      <c r="L15" s="26">
        <f>SUM(L10:L13)</f>
        <v>0</v>
      </c>
    </row>
    <row r="16" spans="1:12" ht="15" customHeight="1">
      <c r="A16" s="73" t="s">
        <v>823</v>
      </c>
      <c r="E16" s="48"/>
      <c r="L16" s="19"/>
    </row>
    <row r="17" spans="1:12" ht="15" customHeight="1">
      <c r="B17" s="7">
        <v>85200</v>
      </c>
      <c r="C17" s="47" t="s">
        <v>824</v>
      </c>
      <c r="E17" s="48" t="s">
        <v>825</v>
      </c>
      <c r="F17" s="8">
        <v>20</v>
      </c>
      <c r="G17" s="9">
        <v>4</v>
      </c>
      <c r="H17" s="8">
        <f>F17*G17</f>
        <v>80</v>
      </c>
      <c r="I17" s="8">
        <f>H17*1.13</f>
        <v>90.399999999999991</v>
      </c>
      <c r="J17" s="8">
        <f>I17*1.25</f>
        <v>112.99999999999999</v>
      </c>
      <c r="K17" s="8">
        <v>0</v>
      </c>
      <c r="L17" s="19">
        <v>100</v>
      </c>
    </row>
    <row r="18" spans="1:12" ht="15" customHeight="1">
      <c r="C18" s="47"/>
      <c r="E18" s="48"/>
      <c r="L18" s="19"/>
    </row>
    <row r="19" spans="1:12" s="27" customFormat="1" ht="15" customHeight="1">
      <c r="A19" s="17"/>
      <c r="B19" s="330" t="s">
        <v>826</v>
      </c>
      <c r="C19" s="22"/>
      <c r="D19" s="23"/>
      <c r="E19" s="23"/>
      <c r="F19" s="24"/>
      <c r="G19" s="25"/>
      <c r="H19" s="24"/>
      <c r="I19" s="24">
        <f>SUM(I17:I17)</f>
        <v>90.399999999999991</v>
      </c>
      <c r="J19" s="24">
        <f>SUM(J17:J17)</f>
        <v>112.99999999999999</v>
      </c>
      <c r="K19" s="24">
        <f>SUM(K17:K17)</f>
        <v>0</v>
      </c>
      <c r="L19" s="26">
        <f>SUM(L17:L17)</f>
        <v>100</v>
      </c>
    </row>
    <row r="20" spans="1:12" s="27" customFormat="1" ht="15" customHeight="1">
      <c r="A20" s="17"/>
      <c r="B20" s="295"/>
      <c r="C20" s="295"/>
      <c r="D20" s="17"/>
      <c r="E20" s="17"/>
      <c r="F20" s="106"/>
      <c r="G20" s="37"/>
      <c r="H20" s="106"/>
      <c r="I20" s="106"/>
      <c r="J20" s="106"/>
      <c r="K20" s="106"/>
      <c r="L20" s="39"/>
    </row>
    <row r="21" spans="1:12" s="53" customFormat="1" ht="15" customHeight="1">
      <c r="A21" s="28"/>
      <c r="B21" s="29" t="s">
        <v>120</v>
      </c>
      <c r="C21" s="30"/>
      <c r="D21" s="31"/>
      <c r="E21" s="31"/>
      <c r="F21" s="32"/>
      <c r="G21" s="33"/>
      <c r="H21" s="32"/>
      <c r="I21" s="32">
        <f>I15</f>
        <v>1378.6</v>
      </c>
      <c r="J21" s="32">
        <f>J15</f>
        <v>1723.2499999999998</v>
      </c>
      <c r="K21" s="32">
        <v>0</v>
      </c>
      <c r="L21" s="34">
        <f>SUM(L19)</f>
        <v>100</v>
      </c>
    </row>
    <row r="22" spans="1:12" ht="15" customHeight="1">
      <c r="L22" s="19"/>
    </row>
    <row r="23" spans="1:12" ht="15" customHeight="1">
      <c r="A23" s="11" t="s">
        <v>56</v>
      </c>
      <c r="B23" s="12"/>
      <c r="C23" s="12"/>
      <c r="D23" s="13"/>
      <c r="E23" s="13"/>
      <c r="F23" s="14"/>
      <c r="G23" s="15"/>
      <c r="H23" s="14"/>
      <c r="I23" s="14"/>
      <c r="J23" s="14"/>
      <c r="K23" s="14"/>
      <c r="L23" s="16"/>
    </row>
    <row r="24" spans="1:12" s="27" customFormat="1" ht="15" customHeight="1">
      <c r="A24" s="17"/>
      <c r="B24" s="295" t="s">
        <v>58</v>
      </c>
      <c r="C24" s="295"/>
      <c r="D24" s="17"/>
      <c r="E24" s="17"/>
      <c r="F24" s="36"/>
      <c r="G24" s="37"/>
      <c r="H24" s="36"/>
      <c r="I24" s="36">
        <f>I6</f>
        <v>0</v>
      </c>
      <c r="J24" s="36">
        <f>J6</f>
        <v>0</v>
      </c>
      <c r="K24" s="36">
        <f>K6</f>
        <v>0</v>
      </c>
      <c r="L24" s="38">
        <f>L6</f>
        <v>0</v>
      </c>
    </row>
    <row r="25" spans="1:12" s="27" customFormat="1" ht="15" customHeight="1">
      <c r="A25" s="17"/>
      <c r="B25" s="295" t="s">
        <v>62</v>
      </c>
      <c r="C25" s="295"/>
      <c r="D25" s="17"/>
      <c r="E25" s="17"/>
      <c r="F25" s="36"/>
      <c r="G25" s="37"/>
      <c r="H25" s="36"/>
      <c r="I25" s="36">
        <f>I21</f>
        <v>1378.6</v>
      </c>
      <c r="J25" s="36">
        <f>J21</f>
        <v>1723.2499999999998</v>
      </c>
      <c r="K25" s="36">
        <f>K21</f>
        <v>0</v>
      </c>
      <c r="L25" s="39">
        <f>L21</f>
        <v>100</v>
      </c>
    </row>
    <row r="26" spans="1:12" s="27" customFormat="1" ht="15" customHeight="1">
      <c r="A26" s="40"/>
      <c r="B26" s="41" t="s">
        <v>65</v>
      </c>
      <c r="C26" s="41"/>
      <c r="D26" s="40"/>
      <c r="E26" s="40"/>
      <c r="F26" s="42"/>
      <c r="G26" s="43"/>
      <c r="H26" s="42"/>
      <c r="I26" s="42">
        <f>SUM(I24,I25*-1)</f>
        <v>-1378.6</v>
      </c>
      <c r="J26" s="42">
        <f t="shared" ref="J26:L26" si="3">SUM(J24,J25*-1)</f>
        <v>-1723.2499999999998</v>
      </c>
      <c r="K26" s="42">
        <f t="shared" si="3"/>
        <v>0</v>
      </c>
      <c r="L26" s="44">
        <f t="shared" si="3"/>
        <v>-100</v>
      </c>
    </row>
  </sheetData>
  <mergeCells count="1">
    <mergeCell ref="B1:K1"/>
  </mergeCells>
  <conditionalFormatting sqref="B10:L15 B17:L26">
    <cfRule type="expression" dxfId="78" priority="4">
      <formula>MOD($B10,2)=1</formula>
    </cfRule>
  </conditionalFormatting>
  <conditionalFormatting sqref="B5:L7">
    <cfRule type="expression" dxfId="77" priority="2">
      <formula>MOD($B5,2)=1</formula>
    </cfRule>
  </conditionalFormatting>
  <pageMargins left="0.7" right="0.7" top="0.75" bottom="0.75" header="0.3" footer="0.3"/>
  <pageSetup scale="26" fitToWidth="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91C9-44E1-4FF3-BF85-A73BD676C884}">
  <sheetPr codeName="Sheet5"/>
  <dimension ref="A1:L49"/>
  <sheetViews>
    <sheetView showGridLines="0" zoomScale="85" zoomScaleNormal="85" workbookViewId="0">
      <pane ySplit="2" topLeftCell="A30" activePane="bottomLeft" state="frozen"/>
      <selection pane="bottomLeft" activeCell="L45" sqref="L45"/>
    </sheetView>
  </sheetViews>
  <sheetFormatPr defaultColWidth="9.85546875" defaultRowHeight="14.85"/>
  <cols>
    <col min="1" max="1" width="30.140625" customWidth="1"/>
    <col min="2" max="3" width="23.5703125" style="7" customWidth="1"/>
    <col min="4" max="4" width="37.85546875" customWidth="1"/>
    <col min="5" max="5" width="36.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827</v>
      </c>
      <c r="C1" s="389"/>
      <c r="D1" s="389"/>
      <c r="E1" s="389"/>
      <c r="F1" s="389"/>
      <c r="G1" s="389"/>
      <c r="H1" s="389"/>
      <c r="I1" s="389"/>
      <c r="J1" s="389"/>
      <c r="K1" s="389"/>
    </row>
    <row r="2" spans="1:12" s="6" customFormat="1" ht="15" customHeight="1">
      <c r="A2" s="3" t="s">
        <v>1</v>
      </c>
      <c r="B2" s="3" t="s">
        <v>2</v>
      </c>
      <c r="C2" s="3" t="s">
        <v>3</v>
      </c>
      <c r="D2" s="105"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L5" s="19"/>
    </row>
    <row r="6" spans="1:12" s="53" customFormat="1" ht="15" customHeight="1">
      <c r="A6" s="28"/>
      <c r="B6" s="29" t="s">
        <v>42</v>
      </c>
      <c r="C6" s="30"/>
      <c r="D6" s="31"/>
      <c r="E6" s="31"/>
      <c r="F6" s="32"/>
      <c r="G6" s="33"/>
      <c r="H6" s="32"/>
      <c r="I6" s="32">
        <v>0</v>
      </c>
      <c r="J6" s="32">
        <v>0</v>
      </c>
      <c r="K6" s="32">
        <v>0</v>
      </c>
      <c r="L6" s="34">
        <v>0</v>
      </c>
    </row>
    <row r="7" spans="1:12" ht="15" customHeight="1">
      <c r="L7" s="19"/>
    </row>
    <row r="8" spans="1:12" ht="15" customHeight="1">
      <c r="A8" s="11" t="s">
        <v>40</v>
      </c>
      <c r="B8" s="12"/>
      <c r="C8" s="12"/>
      <c r="D8" s="13"/>
      <c r="E8" s="13"/>
      <c r="F8" s="14"/>
      <c r="G8" s="15"/>
      <c r="H8" s="14"/>
      <c r="I8" s="14"/>
      <c r="J8" s="14"/>
      <c r="K8" s="14"/>
      <c r="L8" s="16"/>
    </row>
    <row r="9" spans="1:12" ht="15" customHeight="1">
      <c r="A9" s="17" t="s">
        <v>828</v>
      </c>
      <c r="L9" s="19"/>
    </row>
    <row r="10" spans="1:12" ht="15" customHeight="1">
      <c r="B10" s="7">
        <v>75001</v>
      </c>
      <c r="C10" s="7" t="s">
        <v>829</v>
      </c>
      <c r="D10">
        <v>2</v>
      </c>
      <c r="E10" t="s">
        <v>830</v>
      </c>
      <c r="F10" s="8">
        <v>9</v>
      </c>
      <c r="G10" s="9">
        <v>10</v>
      </c>
      <c r="H10" s="8">
        <f>F10*G10</f>
        <v>90</v>
      </c>
      <c r="I10" s="8">
        <f>H10*1.13</f>
        <v>101.69999999999999</v>
      </c>
      <c r="J10" s="8">
        <f>I10*1.25</f>
        <v>127.12499999999999</v>
      </c>
      <c r="K10" s="8">
        <v>0</v>
      </c>
      <c r="L10" s="19">
        <v>0</v>
      </c>
    </row>
    <row r="11" spans="1:12" ht="15" customHeight="1">
      <c r="B11" s="7">
        <v>75002</v>
      </c>
      <c r="C11" s="7" t="s">
        <v>829</v>
      </c>
      <c r="D11">
        <v>2</v>
      </c>
      <c r="E11" t="s">
        <v>830</v>
      </c>
      <c r="F11" s="8">
        <v>9</v>
      </c>
      <c r="G11" s="9">
        <v>10</v>
      </c>
      <c r="H11" s="8">
        <f t="shared" ref="H11:H14" si="0">F11*G11</f>
        <v>90</v>
      </c>
      <c r="I11" s="8">
        <f t="shared" ref="I11:I14" si="1">H11*1.13</f>
        <v>101.69999999999999</v>
      </c>
      <c r="J11" s="8">
        <f t="shared" ref="J11:J14" si="2">I11*1.25</f>
        <v>127.12499999999999</v>
      </c>
      <c r="L11" s="19">
        <v>0</v>
      </c>
    </row>
    <row r="12" spans="1:12" ht="15" customHeight="1">
      <c r="B12" s="7">
        <f>B11+1</f>
        <v>75003</v>
      </c>
      <c r="C12" s="7" t="s">
        <v>829</v>
      </c>
      <c r="D12">
        <v>2</v>
      </c>
      <c r="E12" t="s">
        <v>830</v>
      </c>
      <c r="F12" s="8">
        <v>9</v>
      </c>
      <c r="G12" s="9">
        <v>11</v>
      </c>
      <c r="H12" s="8">
        <f t="shared" si="0"/>
        <v>99</v>
      </c>
      <c r="I12" s="8">
        <f t="shared" si="1"/>
        <v>111.86999999999999</v>
      </c>
      <c r="J12" s="8">
        <f t="shared" si="2"/>
        <v>139.83749999999998</v>
      </c>
      <c r="L12" s="19">
        <v>0</v>
      </c>
    </row>
    <row r="13" spans="1:12" ht="15" customHeight="1">
      <c r="B13" s="7">
        <f t="shared" ref="B13:B23" si="3">B12+1</f>
        <v>75004</v>
      </c>
      <c r="C13" s="7" t="s">
        <v>829</v>
      </c>
      <c r="D13">
        <v>2</v>
      </c>
      <c r="E13" t="s">
        <v>830</v>
      </c>
      <c r="F13" s="8">
        <v>9</v>
      </c>
      <c r="G13" s="9">
        <v>11</v>
      </c>
      <c r="H13" s="8">
        <f t="shared" si="0"/>
        <v>99</v>
      </c>
      <c r="I13" s="8">
        <f t="shared" si="1"/>
        <v>111.86999999999999</v>
      </c>
      <c r="J13" s="8">
        <f t="shared" si="2"/>
        <v>139.83749999999998</v>
      </c>
      <c r="L13" s="19">
        <v>0</v>
      </c>
    </row>
    <row r="14" spans="1:12" ht="15" customHeight="1">
      <c r="B14" s="7">
        <f t="shared" si="3"/>
        <v>75005</v>
      </c>
      <c r="C14" s="7" t="s">
        <v>829</v>
      </c>
      <c r="D14">
        <v>2</v>
      </c>
      <c r="E14" t="s">
        <v>831</v>
      </c>
      <c r="F14" s="8">
        <v>9</v>
      </c>
      <c r="G14" s="9">
        <v>11</v>
      </c>
      <c r="H14" s="8">
        <f t="shared" si="0"/>
        <v>99</v>
      </c>
      <c r="I14" s="8">
        <f t="shared" si="1"/>
        <v>111.86999999999999</v>
      </c>
      <c r="J14" s="8">
        <f t="shared" si="2"/>
        <v>139.83749999999998</v>
      </c>
      <c r="L14" s="19">
        <v>0</v>
      </c>
    </row>
    <row r="15" spans="1:12" ht="15" customHeight="1">
      <c r="B15" s="7">
        <f t="shared" si="3"/>
        <v>75006</v>
      </c>
      <c r="C15" s="7" t="s">
        <v>829</v>
      </c>
      <c r="D15">
        <v>2</v>
      </c>
      <c r="E15" t="s">
        <v>831</v>
      </c>
      <c r="F15" s="8">
        <v>9</v>
      </c>
      <c r="G15" s="9">
        <v>11</v>
      </c>
      <c r="H15" s="8">
        <v>99</v>
      </c>
      <c r="I15" s="8">
        <v>111.87</v>
      </c>
      <c r="J15" s="8">
        <v>139.84</v>
      </c>
      <c r="L15" s="19">
        <v>0</v>
      </c>
    </row>
    <row r="16" spans="1:12" ht="15" customHeight="1">
      <c r="B16" s="7">
        <f t="shared" si="3"/>
        <v>75007</v>
      </c>
      <c r="C16" s="7" t="s">
        <v>829</v>
      </c>
      <c r="D16">
        <v>2</v>
      </c>
      <c r="E16" t="s">
        <v>831</v>
      </c>
      <c r="F16" s="8">
        <v>9</v>
      </c>
      <c r="G16" s="9">
        <v>11</v>
      </c>
      <c r="H16" s="8">
        <v>99</v>
      </c>
      <c r="I16" s="8">
        <v>111.87</v>
      </c>
      <c r="J16" s="8">
        <v>139.84</v>
      </c>
      <c r="L16" s="19">
        <v>0</v>
      </c>
    </row>
    <row r="17" spans="1:12" ht="15" customHeight="1">
      <c r="B17" s="7">
        <f t="shared" si="3"/>
        <v>75008</v>
      </c>
      <c r="C17" s="7" t="s">
        <v>829</v>
      </c>
      <c r="D17">
        <v>2</v>
      </c>
      <c r="E17" t="s">
        <v>831</v>
      </c>
      <c r="F17" s="8">
        <v>9</v>
      </c>
      <c r="G17" s="9">
        <v>11</v>
      </c>
      <c r="H17" s="8">
        <v>99</v>
      </c>
      <c r="I17" s="8">
        <v>111.87</v>
      </c>
      <c r="J17" s="8">
        <v>139.84</v>
      </c>
      <c r="L17" s="19">
        <v>0</v>
      </c>
    </row>
    <row r="18" spans="1:12" ht="15" customHeight="1">
      <c r="B18" s="7">
        <f t="shared" si="3"/>
        <v>75009</v>
      </c>
      <c r="C18" s="7" t="s">
        <v>829</v>
      </c>
      <c r="D18">
        <v>2</v>
      </c>
      <c r="E18" t="s">
        <v>831</v>
      </c>
      <c r="F18" s="8">
        <v>9</v>
      </c>
      <c r="G18" s="9">
        <v>11</v>
      </c>
      <c r="H18" s="8">
        <v>99</v>
      </c>
      <c r="I18" s="8">
        <v>111.87</v>
      </c>
      <c r="J18" s="8">
        <v>139.84</v>
      </c>
      <c r="L18" s="19">
        <v>0</v>
      </c>
    </row>
    <row r="19" spans="1:12" ht="15" customHeight="1">
      <c r="B19" s="7">
        <f t="shared" si="3"/>
        <v>75010</v>
      </c>
      <c r="C19" s="7" t="s">
        <v>829</v>
      </c>
      <c r="D19">
        <v>2</v>
      </c>
      <c r="E19" t="s">
        <v>831</v>
      </c>
      <c r="F19" s="8">
        <v>9</v>
      </c>
      <c r="G19" s="9">
        <v>11</v>
      </c>
      <c r="H19" s="8">
        <v>99</v>
      </c>
      <c r="I19" s="8">
        <v>111.87</v>
      </c>
      <c r="J19" s="8">
        <v>139.84</v>
      </c>
      <c r="L19" s="19">
        <v>0</v>
      </c>
    </row>
    <row r="20" spans="1:12" ht="15" customHeight="1">
      <c r="B20" s="7">
        <f t="shared" si="3"/>
        <v>75011</v>
      </c>
      <c r="C20" s="7" t="s">
        <v>829</v>
      </c>
      <c r="D20">
        <v>2</v>
      </c>
      <c r="E20" t="s">
        <v>831</v>
      </c>
      <c r="F20" s="8">
        <v>9</v>
      </c>
      <c r="G20" s="9">
        <v>11</v>
      </c>
      <c r="H20" s="8">
        <v>99</v>
      </c>
      <c r="I20" s="8">
        <v>111.87</v>
      </c>
      <c r="J20" s="8">
        <v>139.84</v>
      </c>
      <c r="L20" s="19">
        <v>0</v>
      </c>
    </row>
    <row r="21" spans="1:12" ht="15" customHeight="1">
      <c r="B21" s="7">
        <f t="shared" si="3"/>
        <v>75012</v>
      </c>
      <c r="C21" s="7" t="s">
        <v>829</v>
      </c>
      <c r="D21">
        <v>2</v>
      </c>
      <c r="E21" t="s">
        <v>831</v>
      </c>
      <c r="F21" s="8">
        <v>9</v>
      </c>
      <c r="G21" s="9">
        <v>11</v>
      </c>
      <c r="H21" s="8">
        <v>99</v>
      </c>
      <c r="I21" s="8">
        <v>111.87</v>
      </c>
      <c r="J21" s="8">
        <v>139.84</v>
      </c>
      <c r="L21" s="19">
        <f>25*50</f>
        <v>1250</v>
      </c>
    </row>
    <row r="22" spans="1:12" ht="15" customHeight="1">
      <c r="B22" s="7">
        <f t="shared" si="3"/>
        <v>75013</v>
      </c>
      <c r="C22" s="7" t="s">
        <v>832</v>
      </c>
      <c r="D22">
        <v>1</v>
      </c>
      <c r="E22" t="s">
        <v>833</v>
      </c>
      <c r="F22" s="8">
        <v>50</v>
      </c>
      <c r="G22" s="9">
        <v>12</v>
      </c>
      <c r="H22" s="8">
        <f>F22*G22</f>
        <v>600</v>
      </c>
      <c r="I22" s="8">
        <f>H22*1.13</f>
        <v>677.99999999999989</v>
      </c>
      <c r="J22" s="8">
        <f>I22*1.25</f>
        <v>847.49999999999989</v>
      </c>
      <c r="K22" s="8">
        <v>500</v>
      </c>
      <c r="L22" s="19">
        <f>500+50</f>
        <v>550</v>
      </c>
    </row>
    <row r="23" spans="1:12" ht="15" customHeight="1">
      <c r="B23" s="7">
        <f t="shared" si="3"/>
        <v>75014</v>
      </c>
      <c r="C23" s="7" t="s">
        <v>834</v>
      </c>
      <c r="D23">
        <v>3</v>
      </c>
      <c r="E23" t="s">
        <v>835</v>
      </c>
      <c r="F23" s="8">
        <v>13.99</v>
      </c>
      <c r="G23" s="9">
        <v>1</v>
      </c>
      <c r="H23" s="8">
        <f>F23*G23</f>
        <v>13.99</v>
      </c>
      <c r="I23" s="8">
        <f>H23*1.13</f>
        <v>15.808699999999998</v>
      </c>
      <c r="J23" s="8">
        <f>I23*1.25</f>
        <v>19.760874999999999</v>
      </c>
      <c r="L23" s="19">
        <v>0</v>
      </c>
    </row>
    <row r="24" spans="1:12" s="27" customFormat="1" ht="15" customHeight="1">
      <c r="A24" s="17"/>
      <c r="B24" s="21" t="s">
        <v>836</v>
      </c>
      <c r="C24" s="22"/>
      <c r="D24" s="23"/>
      <c r="E24" s="23"/>
      <c r="F24" s="24"/>
      <c r="G24" s="25"/>
      <c r="H24" s="24"/>
      <c r="I24" s="24">
        <f>SUM(I10:I23)</f>
        <v>2015.9087</v>
      </c>
      <c r="J24" s="24">
        <f>SUM(J10:J23)</f>
        <v>2519.9033749999994</v>
      </c>
      <c r="K24" s="24">
        <f>SUM(K10:K23)</f>
        <v>500</v>
      </c>
      <c r="L24" s="26">
        <f>SUM(L10:L23)</f>
        <v>1800</v>
      </c>
    </row>
    <row r="25" spans="1:12" ht="15" customHeight="1">
      <c r="A25" s="17" t="s">
        <v>837</v>
      </c>
      <c r="L25" s="19"/>
    </row>
    <row r="26" spans="1:12" ht="15" customHeight="1">
      <c r="B26" s="7">
        <v>75101</v>
      </c>
      <c r="C26" s="7" t="s">
        <v>838</v>
      </c>
      <c r="D26">
        <v>2</v>
      </c>
      <c r="E26" t="s">
        <v>839</v>
      </c>
      <c r="F26" s="8">
        <v>30</v>
      </c>
      <c r="G26" s="9">
        <v>5</v>
      </c>
      <c r="H26" s="8">
        <f>F26*G26</f>
        <v>150</v>
      </c>
      <c r="I26" s="8">
        <f>H26*1.13</f>
        <v>169.49999999999997</v>
      </c>
      <c r="J26" s="8">
        <f>I26*1.25</f>
        <v>211.87499999999997</v>
      </c>
      <c r="K26" s="8">
        <v>30</v>
      </c>
      <c r="L26" s="19">
        <v>75</v>
      </c>
    </row>
    <row r="27" spans="1:12" ht="15" customHeight="1">
      <c r="B27" s="7">
        <f>B26+1</f>
        <v>75102</v>
      </c>
      <c r="C27" s="7" t="s">
        <v>840</v>
      </c>
      <c r="D27">
        <v>1</v>
      </c>
      <c r="E27" t="s">
        <v>841</v>
      </c>
      <c r="F27" s="8">
        <v>70</v>
      </c>
      <c r="G27" s="9">
        <v>2</v>
      </c>
      <c r="H27" s="8">
        <f t="shared" ref="H27:H29" si="4">F27*G27</f>
        <v>140</v>
      </c>
      <c r="I27" s="8">
        <f t="shared" ref="I27:I33" si="5">H27*1.13</f>
        <v>158.19999999999999</v>
      </c>
      <c r="J27" s="8">
        <f t="shared" ref="J27:J33" si="6">I27*1.25</f>
        <v>197.75</v>
      </c>
      <c r="K27" s="8">
        <v>0</v>
      </c>
      <c r="L27" s="19">
        <v>0</v>
      </c>
    </row>
    <row r="28" spans="1:12" ht="15" customHeight="1">
      <c r="B28" s="7">
        <f t="shared" ref="B28:B38" si="7">B27+1</f>
        <v>75103</v>
      </c>
      <c r="C28" s="7" t="s">
        <v>842</v>
      </c>
      <c r="D28">
        <v>1</v>
      </c>
      <c r="E28" t="s">
        <v>841</v>
      </c>
      <c r="F28" s="8">
        <v>70</v>
      </c>
      <c r="G28" s="9">
        <v>4</v>
      </c>
      <c r="H28" s="8">
        <f t="shared" si="4"/>
        <v>280</v>
      </c>
      <c r="I28" s="8">
        <f t="shared" si="5"/>
        <v>316.39999999999998</v>
      </c>
      <c r="J28" s="8">
        <f t="shared" si="6"/>
        <v>395.5</v>
      </c>
      <c r="K28" s="8">
        <v>0</v>
      </c>
      <c r="L28" s="19">
        <v>0</v>
      </c>
    </row>
    <row r="29" spans="1:12" ht="15" customHeight="1">
      <c r="B29" s="7">
        <f t="shared" si="7"/>
        <v>75104</v>
      </c>
      <c r="C29" s="7" t="s">
        <v>843</v>
      </c>
      <c r="D29">
        <v>1</v>
      </c>
      <c r="E29" t="s">
        <v>841</v>
      </c>
      <c r="F29" s="8">
        <v>70</v>
      </c>
      <c r="G29" s="9">
        <v>2</v>
      </c>
      <c r="H29" s="8">
        <f t="shared" si="4"/>
        <v>140</v>
      </c>
      <c r="I29" s="8">
        <f t="shared" si="5"/>
        <v>158.19999999999999</v>
      </c>
      <c r="J29" s="8">
        <f t="shared" si="6"/>
        <v>197.75</v>
      </c>
      <c r="K29" s="8">
        <v>0</v>
      </c>
      <c r="L29" s="19">
        <v>0</v>
      </c>
    </row>
    <row r="30" spans="1:12" ht="15" customHeight="1">
      <c r="B30" s="7">
        <f t="shared" si="7"/>
        <v>75105</v>
      </c>
      <c r="C30" s="7" t="s">
        <v>844</v>
      </c>
      <c r="D30">
        <v>2</v>
      </c>
      <c r="E30" t="s">
        <v>845</v>
      </c>
      <c r="F30" s="8">
        <v>9</v>
      </c>
      <c r="G30" s="9">
        <v>18</v>
      </c>
      <c r="H30" s="8">
        <f>G30*F30</f>
        <v>162</v>
      </c>
      <c r="I30" s="8">
        <f t="shared" si="5"/>
        <v>183.05999999999997</v>
      </c>
      <c r="J30" s="8">
        <f t="shared" si="6"/>
        <v>228.82499999999996</v>
      </c>
      <c r="K30" s="8">
        <v>0</v>
      </c>
      <c r="L30" s="19">
        <v>0</v>
      </c>
    </row>
    <row r="31" spans="1:12" ht="15" customHeight="1">
      <c r="B31" s="7">
        <f t="shared" si="7"/>
        <v>75106</v>
      </c>
      <c r="C31" s="7" t="s">
        <v>844</v>
      </c>
      <c r="D31">
        <v>2</v>
      </c>
      <c r="E31" t="s">
        <v>845</v>
      </c>
      <c r="F31" s="8">
        <v>9</v>
      </c>
      <c r="G31" s="9">
        <v>18</v>
      </c>
      <c r="H31" s="8">
        <f>F31*G31</f>
        <v>162</v>
      </c>
      <c r="I31" s="8">
        <f t="shared" si="5"/>
        <v>183.05999999999997</v>
      </c>
      <c r="J31" s="8">
        <f t="shared" si="6"/>
        <v>228.82499999999996</v>
      </c>
      <c r="K31" s="8">
        <v>0</v>
      </c>
      <c r="L31" s="19">
        <v>0</v>
      </c>
    </row>
    <row r="32" spans="1:12" ht="15" customHeight="1">
      <c r="B32" s="7">
        <f t="shared" si="7"/>
        <v>75107</v>
      </c>
      <c r="C32" s="7" t="s">
        <v>846</v>
      </c>
      <c r="D32">
        <v>1</v>
      </c>
      <c r="E32" t="s">
        <v>847</v>
      </c>
      <c r="F32" s="8">
        <v>1.6</v>
      </c>
      <c r="G32" s="9">
        <v>40</v>
      </c>
      <c r="H32" s="8">
        <f>F32*G32</f>
        <v>64</v>
      </c>
      <c r="I32" s="8">
        <f t="shared" si="5"/>
        <v>72.319999999999993</v>
      </c>
      <c r="J32" s="8">
        <f t="shared" si="6"/>
        <v>90.399999999999991</v>
      </c>
      <c r="K32" s="8">
        <v>0</v>
      </c>
      <c r="L32" s="19">
        <v>0</v>
      </c>
    </row>
    <row r="33" spans="1:12" ht="15" customHeight="1">
      <c r="B33" s="7">
        <f t="shared" si="7"/>
        <v>75108</v>
      </c>
      <c r="C33" s="7" t="s">
        <v>848</v>
      </c>
      <c r="D33">
        <v>1</v>
      </c>
      <c r="E33" t="s">
        <v>849</v>
      </c>
      <c r="F33" s="8">
        <v>75</v>
      </c>
      <c r="G33" s="9">
        <v>1</v>
      </c>
      <c r="H33" s="8">
        <f>F33*G33</f>
        <v>75</v>
      </c>
      <c r="I33" s="8">
        <f t="shared" si="5"/>
        <v>84.749999999999986</v>
      </c>
      <c r="J33" s="8">
        <f t="shared" si="6"/>
        <v>105.93749999999999</v>
      </c>
      <c r="L33" s="19">
        <v>125</v>
      </c>
    </row>
    <row r="34" spans="1:12" ht="15" customHeight="1">
      <c r="B34" s="7">
        <f t="shared" si="7"/>
        <v>75109</v>
      </c>
      <c r="C34" s="7" t="s">
        <v>850</v>
      </c>
      <c r="D34">
        <v>2</v>
      </c>
      <c r="E34" t="s">
        <v>851</v>
      </c>
      <c r="F34" s="8">
        <v>9.49</v>
      </c>
      <c r="G34" s="9">
        <v>3</v>
      </c>
      <c r="H34" s="8">
        <f>F34*G34</f>
        <v>28.47</v>
      </c>
      <c r="I34" s="8">
        <f>H34*1.13</f>
        <v>32.171099999999996</v>
      </c>
      <c r="J34" s="8">
        <f>I34*1.25</f>
        <v>40.213874999999994</v>
      </c>
      <c r="K34" s="8">
        <v>0</v>
      </c>
      <c r="L34" s="19">
        <v>0</v>
      </c>
    </row>
    <row r="35" spans="1:12" ht="15" customHeight="1">
      <c r="B35" s="7">
        <f t="shared" si="7"/>
        <v>75110</v>
      </c>
      <c r="C35" s="7" t="s">
        <v>255</v>
      </c>
      <c r="D35">
        <v>2</v>
      </c>
      <c r="E35" t="s">
        <v>852</v>
      </c>
      <c r="F35" s="8">
        <v>9</v>
      </c>
      <c r="G35" s="9">
        <v>20</v>
      </c>
      <c r="H35" s="8">
        <f t="shared" ref="H35:H38" si="8">F35*G35</f>
        <v>180</v>
      </c>
      <c r="I35" s="8">
        <f t="shared" ref="I35:I38" si="9">H35*1.13</f>
        <v>203.39999999999998</v>
      </c>
      <c r="J35" s="8">
        <f t="shared" ref="J35:J38" si="10">I35*1.25</f>
        <v>254.24999999999997</v>
      </c>
      <c r="L35" s="19">
        <v>0</v>
      </c>
    </row>
    <row r="36" spans="1:12" ht="15" customHeight="1">
      <c r="B36" s="7">
        <f t="shared" si="7"/>
        <v>75111</v>
      </c>
      <c r="C36" s="7" t="s">
        <v>255</v>
      </c>
      <c r="D36">
        <v>2</v>
      </c>
      <c r="E36" t="s">
        <v>853</v>
      </c>
      <c r="F36" s="8">
        <v>9</v>
      </c>
      <c r="G36" s="9">
        <v>20</v>
      </c>
      <c r="H36" s="8">
        <f t="shared" si="8"/>
        <v>180</v>
      </c>
      <c r="I36" s="8">
        <f t="shared" si="9"/>
        <v>203.39999999999998</v>
      </c>
      <c r="J36" s="8">
        <f t="shared" si="10"/>
        <v>254.24999999999997</v>
      </c>
      <c r="L36" s="19">
        <v>0</v>
      </c>
    </row>
    <row r="37" spans="1:12" ht="15" customHeight="1">
      <c r="B37" s="7">
        <f t="shared" si="7"/>
        <v>75112</v>
      </c>
      <c r="C37" s="7" t="s">
        <v>255</v>
      </c>
      <c r="D37">
        <v>2</v>
      </c>
      <c r="E37" t="s">
        <v>854</v>
      </c>
      <c r="F37" s="8">
        <v>9</v>
      </c>
      <c r="G37" s="9">
        <v>20</v>
      </c>
      <c r="H37" s="8">
        <f t="shared" si="8"/>
        <v>180</v>
      </c>
      <c r="I37" s="8">
        <f t="shared" si="9"/>
        <v>203.39999999999998</v>
      </c>
      <c r="J37" s="8">
        <f t="shared" si="10"/>
        <v>254.24999999999997</v>
      </c>
      <c r="L37" s="19">
        <v>0</v>
      </c>
    </row>
    <row r="38" spans="1:12" ht="15" customHeight="1">
      <c r="B38" s="7">
        <f t="shared" si="7"/>
        <v>75113</v>
      </c>
      <c r="C38" s="7" t="s">
        <v>255</v>
      </c>
      <c r="D38">
        <v>2</v>
      </c>
      <c r="E38" t="s">
        <v>855</v>
      </c>
      <c r="F38" s="8">
        <v>9</v>
      </c>
      <c r="G38" s="9">
        <v>20</v>
      </c>
      <c r="H38" s="8">
        <f t="shared" si="8"/>
        <v>180</v>
      </c>
      <c r="I38" s="8">
        <f t="shared" si="9"/>
        <v>203.39999999999998</v>
      </c>
      <c r="J38" s="8">
        <f t="shared" si="10"/>
        <v>254.24999999999997</v>
      </c>
      <c r="L38" s="8"/>
    </row>
    <row r="39" spans="1:12" ht="15" customHeight="1">
      <c r="C39" s="7" t="s">
        <v>587</v>
      </c>
      <c r="E39" t="s">
        <v>856</v>
      </c>
      <c r="F39" s="8">
        <v>20</v>
      </c>
      <c r="G39" s="9">
        <v>1</v>
      </c>
      <c r="H39" s="8">
        <f>F39*G39</f>
        <v>20</v>
      </c>
      <c r="I39" s="8">
        <f>H39*1.13</f>
        <v>22.599999999999998</v>
      </c>
      <c r="J39" s="8">
        <f>I39*1.25</f>
        <v>28.249999999999996</v>
      </c>
      <c r="K39" s="8">
        <v>20</v>
      </c>
      <c r="L39" s="8">
        <v>20</v>
      </c>
    </row>
    <row r="40" spans="1:12" ht="15" customHeight="1">
      <c r="B40" s="7">
        <v>75114</v>
      </c>
      <c r="C40" s="7" t="s">
        <v>587</v>
      </c>
      <c r="E40" t="s">
        <v>857</v>
      </c>
      <c r="F40" s="8">
        <v>20</v>
      </c>
      <c r="G40" s="9">
        <v>15</v>
      </c>
      <c r="H40" s="8">
        <f>F40*G40</f>
        <v>300</v>
      </c>
      <c r="I40" s="8">
        <f>H40*1.13</f>
        <v>338.99999999999994</v>
      </c>
      <c r="J40" s="8">
        <f>I40*1.25</f>
        <v>423.74999999999994</v>
      </c>
      <c r="K40" s="8">
        <v>420</v>
      </c>
      <c r="L40" s="8">
        <v>420</v>
      </c>
    </row>
    <row r="41" spans="1:12" ht="15" customHeight="1">
      <c r="L41" s="19"/>
    </row>
    <row r="42" spans="1:12" s="27" customFormat="1" ht="15" customHeight="1">
      <c r="A42" s="17"/>
      <c r="B42" s="21" t="s">
        <v>858</v>
      </c>
      <c r="C42" s="22"/>
      <c r="D42" s="23"/>
      <c r="E42" s="23"/>
      <c r="F42" s="24"/>
      <c r="G42" s="25"/>
      <c r="H42" s="24"/>
      <c r="I42" s="24">
        <f>SUM(I26:I38)</f>
        <v>2171.2611000000002</v>
      </c>
      <c r="J42" s="24">
        <f>SUM(J26:J38)</f>
        <v>2714.0763750000001</v>
      </c>
      <c r="K42" s="24">
        <f>SUM(K26:K40)</f>
        <v>470</v>
      </c>
      <c r="L42" s="26">
        <f>SUM(L26:L40)</f>
        <v>640</v>
      </c>
    </row>
    <row r="43" spans="1:12" ht="15" customHeight="1">
      <c r="L43" s="19"/>
    </row>
    <row r="44" spans="1:12" s="53" customFormat="1" ht="15" customHeight="1">
      <c r="A44" s="28"/>
      <c r="B44" s="29" t="s">
        <v>120</v>
      </c>
      <c r="C44" s="30"/>
      <c r="D44" s="31"/>
      <c r="E44" s="31"/>
      <c r="F44" s="32"/>
      <c r="G44" s="33"/>
      <c r="H44" s="32"/>
      <c r="I44" s="32">
        <f>SUM(I24,I42)</f>
        <v>4187.1697999999997</v>
      </c>
      <c r="J44" s="32">
        <f>SUM(J24,J42)</f>
        <v>5233.9797499999995</v>
      </c>
      <c r="K44" s="32">
        <v>0</v>
      </c>
      <c r="L44" s="34">
        <f>SUM(L24+L42)</f>
        <v>2440</v>
      </c>
    </row>
    <row r="45" spans="1:12" ht="15" customHeight="1">
      <c r="L45" s="19"/>
    </row>
    <row r="46" spans="1:12" ht="15" customHeight="1">
      <c r="A46" s="11" t="s">
        <v>56</v>
      </c>
      <c r="B46" s="12"/>
      <c r="C46" s="12"/>
      <c r="D46" s="13"/>
      <c r="E46" s="13"/>
      <c r="F46" s="14"/>
      <c r="G46" s="15"/>
      <c r="H46" s="14"/>
      <c r="I46" s="14"/>
      <c r="J46" s="14"/>
      <c r="K46" s="14"/>
      <c r="L46" s="16"/>
    </row>
    <row r="47" spans="1:12" s="27" customFormat="1" ht="15" customHeight="1">
      <c r="A47" s="17"/>
      <c r="B47" s="295" t="s">
        <v>58</v>
      </c>
      <c r="C47" s="295"/>
      <c r="D47" s="17"/>
      <c r="E47" s="17"/>
      <c r="F47" s="36"/>
      <c r="G47" s="37"/>
      <c r="H47" s="36"/>
      <c r="I47" s="36">
        <f>I6</f>
        <v>0</v>
      </c>
      <c r="J47" s="36">
        <f>J6</f>
        <v>0</v>
      </c>
      <c r="K47" s="36">
        <f>K6</f>
        <v>0</v>
      </c>
      <c r="L47" s="38">
        <f>L6</f>
        <v>0</v>
      </c>
    </row>
    <row r="48" spans="1:12" s="27" customFormat="1" ht="15" customHeight="1">
      <c r="A48" s="17"/>
      <c r="B48" s="295" t="s">
        <v>62</v>
      </c>
      <c r="C48" s="295"/>
      <c r="D48" s="17"/>
      <c r="E48" s="17"/>
      <c r="F48" s="36"/>
      <c r="G48" s="37"/>
      <c r="H48" s="36"/>
      <c r="I48" s="36">
        <f>I44</f>
        <v>4187.1697999999997</v>
      </c>
      <c r="J48" s="36">
        <f>J44</f>
        <v>5233.9797499999995</v>
      </c>
      <c r="K48" s="36">
        <f>K44</f>
        <v>0</v>
      </c>
      <c r="L48" s="39">
        <f>L44</f>
        <v>2440</v>
      </c>
    </row>
    <row r="49" spans="1:12" s="27" customFormat="1" ht="15" customHeight="1">
      <c r="A49" s="40"/>
      <c r="B49" s="41" t="s">
        <v>65</v>
      </c>
      <c r="C49" s="41"/>
      <c r="D49" s="40"/>
      <c r="E49" s="40"/>
      <c r="F49" s="42"/>
      <c r="G49" s="43"/>
      <c r="H49" s="42"/>
      <c r="I49" s="42">
        <f>SUM(I47,I48*-1)</f>
        <v>-4187.1697999999997</v>
      </c>
      <c r="J49" s="42">
        <f t="shared" ref="J49:L49" si="11">SUM(J47,J48*-1)</f>
        <v>-5233.9797499999995</v>
      </c>
      <c r="K49" s="42">
        <f t="shared" si="11"/>
        <v>0</v>
      </c>
      <c r="L49" s="44">
        <f t="shared" si="11"/>
        <v>-2440</v>
      </c>
    </row>
  </sheetData>
  <mergeCells count="1">
    <mergeCell ref="B1:K1"/>
  </mergeCells>
  <conditionalFormatting sqref="B10:L49">
    <cfRule type="expression" dxfId="76" priority="3">
      <formula>MOD($B10,2)=1</formula>
    </cfRule>
  </conditionalFormatting>
  <conditionalFormatting sqref="B5:L7">
    <cfRule type="expression" dxfId="75" priority="1">
      <formula>MOD($B5,2)=1</formula>
    </cfRule>
  </conditionalFormatting>
  <pageMargins left="0.7" right="0.7" top="0.75" bottom="0.75" header="0.3" footer="0.3"/>
  <pageSetup scale="26" fitToWidth="0"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F015-88B4-444E-A494-5FD42B68597E}">
  <sheetPr codeName="Sheet2"/>
  <dimension ref="A1:L34"/>
  <sheetViews>
    <sheetView showGridLines="0" zoomScale="70" zoomScaleNormal="70" workbookViewId="0">
      <pane ySplit="2" topLeftCell="A14" activePane="bottomLeft" state="frozen"/>
      <selection pane="bottomLeft" activeCell="L34" sqref="L34"/>
    </sheetView>
  </sheetViews>
  <sheetFormatPr defaultColWidth="9.85546875" defaultRowHeight="14.85"/>
  <cols>
    <col min="1" max="1" width="38.5703125" customWidth="1"/>
    <col min="2" max="2" width="23.5703125" style="7" customWidth="1"/>
    <col min="3" max="3" width="32.42578125" style="47" customWidth="1"/>
    <col min="4" max="4" width="12.42578125" customWidth="1"/>
    <col min="5" max="5" width="55" style="48"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859</v>
      </c>
      <c r="C1" s="389"/>
      <c r="D1" s="389"/>
      <c r="E1" s="389"/>
      <c r="F1" s="389"/>
      <c r="G1" s="389"/>
      <c r="H1" s="389"/>
      <c r="I1" s="389"/>
      <c r="J1" s="389"/>
      <c r="K1" s="389"/>
    </row>
    <row r="2" spans="1:12" s="6" customFormat="1" ht="15" customHeight="1">
      <c r="A2" s="3" t="s">
        <v>1</v>
      </c>
      <c r="B2" s="3" t="s">
        <v>2</v>
      </c>
      <c r="C2" s="46" t="s">
        <v>3</v>
      </c>
      <c r="D2" s="3" t="s">
        <v>122</v>
      </c>
      <c r="E2" s="46" t="s">
        <v>4</v>
      </c>
      <c r="F2" s="4" t="s">
        <v>5</v>
      </c>
      <c r="G2" s="3" t="s">
        <v>6</v>
      </c>
      <c r="H2" s="4" t="s">
        <v>7</v>
      </c>
      <c r="I2" s="4" t="s">
        <v>8</v>
      </c>
      <c r="J2" s="4" t="s">
        <v>123</v>
      </c>
      <c r="K2" s="4" t="s">
        <v>9</v>
      </c>
      <c r="L2" s="5" t="s">
        <v>10</v>
      </c>
    </row>
    <row r="3" spans="1:12" ht="15" customHeight="1">
      <c r="L3" s="10"/>
    </row>
    <row r="4" spans="1:12" ht="15" customHeight="1">
      <c r="A4" s="11" t="s">
        <v>15</v>
      </c>
      <c r="B4" s="12"/>
      <c r="C4" s="49"/>
      <c r="D4" s="13"/>
      <c r="E4" s="50"/>
      <c r="F4" s="14"/>
      <c r="G4" s="15"/>
      <c r="H4" s="14"/>
      <c r="I4" s="14"/>
      <c r="J4" s="14"/>
      <c r="K4" s="14"/>
      <c r="L4" s="16"/>
    </row>
    <row r="5" spans="1:12" ht="15" customHeight="1">
      <c r="A5" s="17" t="s">
        <v>15</v>
      </c>
      <c r="L5" s="18"/>
    </row>
    <row r="6" spans="1:12" s="53" customFormat="1" ht="15" customHeight="1">
      <c r="A6" s="28"/>
      <c r="B6" s="29" t="s">
        <v>42</v>
      </c>
      <c r="C6" s="51"/>
      <c r="D6" s="31"/>
      <c r="E6" s="52"/>
      <c r="F6" s="32"/>
      <c r="G6" s="33"/>
      <c r="H6" s="32"/>
      <c r="I6" s="32">
        <v>0</v>
      </c>
      <c r="J6" s="32">
        <v>0</v>
      </c>
      <c r="K6" s="32">
        <v>0</v>
      </c>
      <c r="L6" s="34">
        <v>0</v>
      </c>
    </row>
    <row r="7" spans="1:12" ht="15" customHeight="1">
      <c r="L7" s="19"/>
    </row>
    <row r="8" spans="1:12" ht="15" customHeight="1">
      <c r="A8" s="11" t="s">
        <v>40</v>
      </c>
      <c r="B8" s="12"/>
      <c r="C8" s="49"/>
      <c r="D8" s="13"/>
      <c r="E8" s="50"/>
      <c r="F8" s="14"/>
      <c r="G8" s="15"/>
      <c r="H8" s="14"/>
      <c r="I8" s="14"/>
      <c r="J8" s="14"/>
      <c r="K8" s="14"/>
      <c r="L8" s="16"/>
    </row>
    <row r="9" spans="1:12" ht="15" customHeight="1">
      <c r="A9" s="17" t="s">
        <v>860</v>
      </c>
      <c r="L9" s="19"/>
    </row>
    <row r="10" spans="1:12" ht="30" customHeight="1">
      <c r="B10" s="54">
        <v>45100</v>
      </c>
      <c r="C10" s="55" t="s">
        <v>861</v>
      </c>
      <c r="D10" s="56">
        <v>1</v>
      </c>
      <c r="E10" s="57" t="s">
        <v>862</v>
      </c>
      <c r="F10" s="58">
        <v>40</v>
      </c>
      <c r="G10" s="59">
        <v>24</v>
      </c>
      <c r="H10" s="58">
        <f>F10*G10</f>
        <v>960</v>
      </c>
      <c r="I10" s="58">
        <f>H10*1.13</f>
        <v>1084.8</v>
      </c>
      <c r="J10" s="58">
        <f>I10*1.25</f>
        <v>1356</v>
      </c>
      <c r="K10" s="58"/>
      <c r="L10" s="60">
        <f>(F10*6)+(F10*5)</f>
        <v>440</v>
      </c>
    </row>
    <row r="11" spans="1:12" ht="32.25" customHeight="1">
      <c r="B11" s="7">
        <v>45102</v>
      </c>
      <c r="C11" s="47" t="s">
        <v>863</v>
      </c>
      <c r="D11" s="61">
        <v>2</v>
      </c>
      <c r="E11" s="48" t="s">
        <v>864</v>
      </c>
      <c r="F11" s="8">
        <v>40</v>
      </c>
      <c r="G11" s="9">
        <f>9</f>
        <v>9</v>
      </c>
      <c r="H11" s="8">
        <f t="shared" ref="H11:H15" si="0">F11*G11</f>
        <v>360</v>
      </c>
      <c r="I11" s="8">
        <f t="shared" ref="I11:I12" si="1">H11*1.13</f>
        <v>406.79999999999995</v>
      </c>
      <c r="J11" s="8">
        <f t="shared" ref="J11:J15" si="2">I11*1.25</f>
        <v>508.49999999999994</v>
      </c>
      <c r="K11" s="8">
        <f>(9*30)+(3*30)</f>
        <v>360</v>
      </c>
      <c r="L11" s="19">
        <f>K11</f>
        <v>360</v>
      </c>
    </row>
    <row r="12" spans="1:12" s="68" customFormat="1" ht="64.5" customHeight="1">
      <c r="A12" s="62"/>
      <c r="B12" s="61">
        <v>45103</v>
      </c>
      <c r="C12" s="63" t="s">
        <v>865</v>
      </c>
      <c r="D12" s="61">
        <v>1</v>
      </c>
      <c r="E12" s="64" t="s">
        <v>866</v>
      </c>
      <c r="F12" s="65">
        <v>15</v>
      </c>
      <c r="G12" s="66">
        <f>102+9+15+8+23</f>
        <v>157</v>
      </c>
      <c r="H12" s="65">
        <f t="shared" si="0"/>
        <v>2355</v>
      </c>
      <c r="I12" s="65">
        <f t="shared" si="1"/>
        <v>2661.1499999999996</v>
      </c>
      <c r="J12" s="65">
        <f t="shared" si="2"/>
        <v>3326.4374999999995</v>
      </c>
      <c r="K12" s="65"/>
      <c r="L12" s="67">
        <f>F12*100+25</f>
        <v>1525</v>
      </c>
    </row>
    <row r="13" spans="1:12" s="68" customFormat="1" ht="35.25" customHeight="1">
      <c r="A13" s="62"/>
      <c r="B13" s="7">
        <v>45104</v>
      </c>
      <c r="C13" s="63" t="s">
        <v>867</v>
      </c>
      <c r="D13" s="61">
        <v>3</v>
      </c>
      <c r="E13" s="64" t="s">
        <v>868</v>
      </c>
      <c r="F13" s="65">
        <v>12</v>
      </c>
      <c r="G13" s="66">
        <f>24</f>
        <v>24</v>
      </c>
      <c r="H13" s="65">
        <f>F13*G13</f>
        <v>288</v>
      </c>
      <c r="I13" s="65">
        <f>H13*1.13</f>
        <v>325.43999999999994</v>
      </c>
      <c r="J13" s="65">
        <f>I13*1.25</f>
        <v>406.79999999999995</v>
      </c>
      <c r="K13" s="65"/>
      <c r="L13" s="67"/>
    </row>
    <row r="14" spans="1:12" ht="28.5" customHeight="1">
      <c r="B14" s="61">
        <v>45105</v>
      </c>
      <c r="C14" s="63" t="s">
        <v>869</v>
      </c>
      <c r="D14" s="61">
        <v>2</v>
      </c>
      <c r="E14" s="48" t="s">
        <v>870</v>
      </c>
      <c r="F14" s="8">
        <v>12</v>
      </c>
      <c r="G14" s="9">
        <f>9*4</f>
        <v>36</v>
      </c>
      <c r="H14" s="8">
        <f t="shared" si="0"/>
        <v>432</v>
      </c>
      <c r="I14" s="8">
        <f>H14*1.13</f>
        <v>488.15999999999997</v>
      </c>
      <c r="J14" s="8">
        <f t="shared" si="2"/>
        <v>610.19999999999993</v>
      </c>
      <c r="L14" s="67">
        <f>509.4</f>
        <v>509.4</v>
      </c>
    </row>
    <row r="15" spans="1:12" s="68" customFormat="1" ht="77.25" customHeight="1">
      <c r="A15" s="62"/>
      <c r="B15" s="61">
        <v>45106</v>
      </c>
      <c r="C15" s="63" t="s">
        <v>871</v>
      </c>
      <c r="D15" s="61">
        <v>4</v>
      </c>
      <c r="E15" s="64" t="s">
        <v>872</v>
      </c>
      <c r="F15" s="65">
        <f>12.5*6</f>
        <v>75</v>
      </c>
      <c r="G15" s="66">
        <f>4</f>
        <v>4</v>
      </c>
      <c r="H15" s="65">
        <f t="shared" si="0"/>
        <v>300</v>
      </c>
      <c r="I15" s="65">
        <f t="shared" ref="I15" si="3">H15*1.13</f>
        <v>338.99999999999994</v>
      </c>
      <c r="J15" s="65">
        <f t="shared" si="2"/>
        <v>423.74999999999994</v>
      </c>
      <c r="K15" s="373">
        <f>(3.32*0.5+2.42+4.64*0.5+4.26*0.5+2.67+1.93+1.95+1.47+1.92+7.96)</f>
        <v>26.43</v>
      </c>
      <c r="L15" s="67">
        <f>(4.57+22.05+20.34+46.17)+(3.32*0.5+2.42+4.64*0.5+4.26*0.5+2.67+1.93+1.95+1.47+1.92+7.96)</f>
        <v>119.56</v>
      </c>
    </row>
    <row r="16" spans="1:12" ht="15" customHeight="1">
      <c r="L16" s="19"/>
    </row>
    <row r="17" spans="1:12" s="27" customFormat="1" ht="15" customHeight="1">
      <c r="A17" s="17"/>
      <c r="B17" s="330" t="s">
        <v>873</v>
      </c>
      <c r="C17" s="69"/>
      <c r="D17" s="23"/>
      <c r="E17" s="70"/>
      <c r="F17" s="24"/>
      <c r="G17" s="25"/>
      <c r="H17" s="24"/>
      <c r="I17" s="24">
        <f>SUM(I10:I15)</f>
        <v>5305.3499999999995</v>
      </c>
      <c r="J17" s="24">
        <f>SUM(J10:J15)</f>
        <v>6631.6875</v>
      </c>
      <c r="K17" s="24">
        <f>SUM(K10:K15)</f>
        <v>386.43</v>
      </c>
      <c r="L17" s="26">
        <f>SUM(L10:L15)</f>
        <v>2953.96</v>
      </c>
    </row>
    <row r="18" spans="1:12" ht="15" customHeight="1">
      <c r="A18" s="17" t="s">
        <v>874</v>
      </c>
      <c r="L18" s="19"/>
    </row>
    <row r="19" spans="1:12" ht="15" customHeight="1">
      <c r="B19" s="7">
        <v>45201</v>
      </c>
      <c r="C19" s="47" t="s">
        <v>875</v>
      </c>
      <c r="D19" s="61">
        <v>2</v>
      </c>
      <c r="E19" s="48" t="s">
        <v>876</v>
      </c>
      <c r="F19" s="8">
        <v>15</v>
      </c>
      <c r="G19" s="9">
        <v>12</v>
      </c>
      <c r="H19" s="8">
        <f>F19*G19</f>
        <v>180</v>
      </c>
      <c r="I19" s="8">
        <f>H19*1.13</f>
        <v>203.39999999999998</v>
      </c>
      <c r="J19" s="8">
        <f>I19*1.25</f>
        <v>254.24999999999997</v>
      </c>
      <c r="L19" s="67">
        <f>15+45+60</f>
        <v>120</v>
      </c>
    </row>
    <row r="20" spans="1:12" ht="15" customHeight="1">
      <c r="L20" s="19"/>
    </row>
    <row r="21" spans="1:12" s="27" customFormat="1" ht="15" customHeight="1">
      <c r="A21" s="17"/>
      <c r="B21" s="330" t="s">
        <v>877</v>
      </c>
      <c r="C21" s="69"/>
      <c r="D21" s="23"/>
      <c r="E21" s="70"/>
      <c r="F21" s="24"/>
      <c r="G21" s="25"/>
      <c r="H21" s="24"/>
      <c r="I21" s="24">
        <f>SUM(I19:I19)</f>
        <v>203.39999999999998</v>
      </c>
      <c r="J21" s="24">
        <f>SUM(J19:J19)</f>
        <v>254.24999999999997</v>
      </c>
      <c r="K21" s="24">
        <f>SUM(K19:K19)</f>
        <v>0</v>
      </c>
      <c r="L21" s="26">
        <f>SUM(L19:L19)</f>
        <v>120</v>
      </c>
    </row>
    <row r="22" spans="1:12" ht="15" customHeight="1">
      <c r="A22" s="17" t="s">
        <v>878</v>
      </c>
      <c r="L22" s="19"/>
    </row>
    <row r="23" spans="1:12" s="68" customFormat="1" ht="28.5" customHeight="1">
      <c r="A23" s="62"/>
      <c r="B23" s="61">
        <v>45301</v>
      </c>
      <c r="C23" s="63" t="s">
        <v>879</v>
      </c>
      <c r="D23" s="61">
        <v>1</v>
      </c>
      <c r="E23" s="64" t="s">
        <v>880</v>
      </c>
      <c r="F23" s="65">
        <v>35</v>
      </c>
      <c r="G23" s="66">
        <v>2</v>
      </c>
      <c r="H23" s="65">
        <f>F23*G23</f>
        <v>70</v>
      </c>
      <c r="I23" s="65">
        <f>H23*1.13</f>
        <v>79.099999999999994</v>
      </c>
      <c r="J23" s="65">
        <f>I23*1.25</f>
        <v>98.875</v>
      </c>
      <c r="K23" s="65"/>
      <c r="L23" s="67"/>
    </row>
    <row r="24" spans="1:12" ht="15" customHeight="1">
      <c r="B24" s="61">
        <v>45302</v>
      </c>
      <c r="C24" s="63" t="s">
        <v>881</v>
      </c>
      <c r="D24" s="61">
        <v>1</v>
      </c>
      <c r="E24" s="64" t="s">
        <v>882</v>
      </c>
      <c r="F24" s="65">
        <v>15</v>
      </c>
      <c r="G24" s="66">
        <v>1</v>
      </c>
      <c r="H24" s="65">
        <f>F24*G24</f>
        <v>15</v>
      </c>
      <c r="I24" s="65">
        <f>H24*1.13</f>
        <v>16.95</v>
      </c>
      <c r="J24" s="65">
        <f>I24*1.25</f>
        <v>21.1875</v>
      </c>
      <c r="K24" s="65"/>
      <c r="L24" s="67"/>
    </row>
    <row r="25" spans="1:12" ht="15" customHeight="1">
      <c r="B25" s="7">
        <v>45303</v>
      </c>
      <c r="C25" s="47" t="s">
        <v>883</v>
      </c>
      <c r="D25" s="61">
        <v>5</v>
      </c>
      <c r="E25" s="48" t="s">
        <v>884</v>
      </c>
      <c r="F25" s="8">
        <v>50</v>
      </c>
      <c r="G25" s="9">
        <v>1</v>
      </c>
      <c r="H25" s="8">
        <f t="shared" ref="H25" si="4">F25*G25</f>
        <v>50</v>
      </c>
      <c r="I25" s="8">
        <f t="shared" ref="I25" si="5">H25*1.13</f>
        <v>56.499999999999993</v>
      </c>
      <c r="J25" s="8">
        <f>I25*1.25</f>
        <v>70.624999999999986</v>
      </c>
      <c r="L25" s="19">
        <f>14.41</f>
        <v>14.41</v>
      </c>
    </row>
    <row r="26" spans="1:12" s="27" customFormat="1" ht="15" customHeight="1">
      <c r="A26" s="17"/>
      <c r="B26" s="7"/>
      <c r="C26" s="47"/>
      <c r="D26"/>
      <c r="E26" s="48"/>
      <c r="F26" s="8"/>
      <c r="G26" s="9"/>
      <c r="H26" s="8"/>
      <c r="I26" s="8"/>
      <c r="J26" s="8"/>
      <c r="K26" s="8"/>
      <c r="L26" s="19"/>
    </row>
    <row r="27" spans="1:12" ht="15" customHeight="1">
      <c r="B27" s="330" t="s">
        <v>885</v>
      </c>
      <c r="C27" s="69"/>
      <c r="D27" s="23"/>
      <c r="E27" s="70"/>
      <c r="F27" s="24"/>
      <c r="G27" s="25"/>
      <c r="H27" s="24"/>
      <c r="I27" s="24">
        <f>SUM(I23:I25)</f>
        <v>152.54999999999998</v>
      </c>
      <c r="J27" s="24">
        <f>SUM(J23:J25)</f>
        <v>190.6875</v>
      </c>
      <c r="K27" s="24">
        <f>SUM(K23:K25)</f>
        <v>0</v>
      </c>
      <c r="L27" s="26">
        <f>SUM(L23:L25)</f>
        <v>14.41</v>
      </c>
    </row>
    <row r="28" spans="1:12" s="53" customFormat="1" ht="15" customHeight="1">
      <c r="A28" s="28"/>
      <c r="B28" s="7"/>
      <c r="C28" s="47"/>
      <c r="D28"/>
      <c r="E28" s="48"/>
      <c r="F28" s="8"/>
      <c r="G28" s="9"/>
      <c r="H28" s="8"/>
      <c r="I28" s="8"/>
      <c r="J28" s="8"/>
      <c r="K28" s="8"/>
      <c r="L28" s="19"/>
    </row>
    <row r="29" spans="1:12" ht="15" customHeight="1">
      <c r="A29" s="28"/>
      <c r="B29" s="29" t="s">
        <v>120</v>
      </c>
      <c r="C29" s="51"/>
      <c r="D29" s="31"/>
      <c r="E29" s="52"/>
      <c r="F29" s="32"/>
      <c r="G29" s="33"/>
      <c r="H29" s="32"/>
      <c r="I29" s="32">
        <f>SUM(I27,I21,I17)</f>
        <v>5661.2999999999993</v>
      </c>
      <c r="J29" s="32">
        <f>SUM(J27,J21,J17)</f>
        <v>7076.625</v>
      </c>
      <c r="K29" s="32">
        <f>SUM(K27,K21,K17)</f>
        <v>386.43</v>
      </c>
      <c r="L29" s="71">
        <f>SUM(L27,L21,L17)</f>
        <v>3088.37</v>
      </c>
    </row>
    <row r="30" spans="1:12" ht="15" customHeight="1">
      <c r="L30" s="19"/>
    </row>
    <row r="31" spans="1:12" s="27" customFormat="1" ht="15" customHeight="1">
      <c r="A31" s="11" t="s">
        <v>56</v>
      </c>
      <c r="B31" s="12"/>
      <c r="C31" s="49"/>
      <c r="D31" s="13"/>
      <c r="E31" s="50"/>
      <c r="F31" s="14"/>
      <c r="G31" s="15"/>
      <c r="H31" s="14"/>
      <c r="I31" s="14"/>
      <c r="J31" s="14"/>
      <c r="K31" s="14"/>
      <c r="L31" s="16"/>
    </row>
    <row r="32" spans="1:12" s="27" customFormat="1" ht="15" customHeight="1">
      <c r="A32" s="17"/>
      <c r="B32" s="295" t="s">
        <v>58</v>
      </c>
      <c r="C32" s="72"/>
      <c r="D32" s="17"/>
      <c r="E32" s="73"/>
      <c r="F32" s="36"/>
      <c r="G32" s="37"/>
      <c r="H32" s="36"/>
      <c r="I32" s="36">
        <f>I6</f>
        <v>0</v>
      </c>
      <c r="J32" s="36">
        <f>J6</f>
        <v>0</v>
      </c>
      <c r="K32" s="36">
        <f>K6</f>
        <v>0</v>
      </c>
      <c r="L32" s="38">
        <f>L6</f>
        <v>0</v>
      </c>
    </row>
    <row r="33" spans="1:12" s="27" customFormat="1" ht="15" customHeight="1">
      <c r="A33" s="17"/>
      <c r="B33" s="295" t="s">
        <v>62</v>
      </c>
      <c r="C33" s="72"/>
      <c r="D33" s="17"/>
      <c r="E33" s="73"/>
      <c r="F33" s="36"/>
      <c r="G33" s="37"/>
      <c r="H33" s="36"/>
      <c r="I33" s="36">
        <f>I29</f>
        <v>5661.2999999999993</v>
      </c>
      <c r="J33" s="36">
        <f>J29</f>
        <v>7076.625</v>
      </c>
      <c r="K33" s="36">
        <f>K29</f>
        <v>386.43</v>
      </c>
      <c r="L33" s="39">
        <f>L29</f>
        <v>3088.37</v>
      </c>
    </row>
    <row r="34" spans="1:12" ht="15" customHeight="1">
      <c r="A34" s="40"/>
      <c r="B34" s="41" t="s">
        <v>65</v>
      </c>
      <c r="C34" s="74"/>
      <c r="D34" s="40"/>
      <c r="E34" s="75"/>
      <c r="F34" s="42"/>
      <c r="G34" s="43"/>
      <c r="H34" s="42"/>
      <c r="I34" s="42">
        <f>SUM(I32,I33*-1)</f>
        <v>-5661.2999999999993</v>
      </c>
      <c r="J34" s="42">
        <f t="shared" ref="J34:L34" si="6">SUM(J32,J33*-1)</f>
        <v>-7076.625</v>
      </c>
      <c r="K34" s="42">
        <f t="shared" si="6"/>
        <v>-386.43</v>
      </c>
      <c r="L34" s="44">
        <f t="shared" si="6"/>
        <v>-3088.37</v>
      </c>
    </row>
  </sheetData>
  <mergeCells count="1">
    <mergeCell ref="B1:K1"/>
  </mergeCells>
  <conditionalFormatting sqref="B6:L7 B10:L11 B16:L18 B26:L34 B20:L24 B19:K19 B13:L14">
    <cfRule type="expression" dxfId="74" priority="5">
      <formula>MOD($B6,2)=1</formula>
    </cfRule>
  </conditionalFormatting>
  <conditionalFormatting sqref="B12:L12">
    <cfRule type="expression" dxfId="73" priority="4">
      <formula>MOD($B12,2)=1</formula>
    </cfRule>
  </conditionalFormatting>
  <conditionalFormatting sqref="B15:J15 L15">
    <cfRule type="expression" dxfId="72" priority="3">
      <formula>MOD($B15,2)=1</formula>
    </cfRule>
  </conditionalFormatting>
  <conditionalFormatting sqref="B25:L25">
    <cfRule type="expression" dxfId="71" priority="2">
      <formula>MOD($B25,2)=1</formula>
    </cfRule>
  </conditionalFormatting>
  <conditionalFormatting sqref="L19">
    <cfRule type="expression" dxfId="70" priority="1">
      <formula>MOD($B19,2)=1</formula>
    </cfRule>
  </conditionalFormatting>
  <pageMargins left="0.7" right="0.7" top="0.75" bottom="0.75" header="0.3" footer="0.3"/>
  <pageSetup scale="26" fitToWidth="0" fitToHeight="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5099-5820-4948-857A-2B63C837F083}">
  <sheetPr codeName="Sheet1"/>
  <dimension ref="A1:M56"/>
  <sheetViews>
    <sheetView showGridLines="0" zoomScale="70" zoomScaleNormal="70" workbookViewId="0">
      <pane ySplit="2" topLeftCell="A3" activePane="bottomLeft" state="frozen"/>
      <selection pane="bottomLeft" activeCell="M40" sqref="M40"/>
    </sheetView>
  </sheetViews>
  <sheetFormatPr defaultColWidth="9.140625" defaultRowHeight="14.85"/>
  <cols>
    <col min="1" max="1" width="31.5703125" customWidth="1"/>
    <col min="2" max="2" width="24.7109375" style="7" customWidth="1"/>
    <col min="3" max="3" width="34.5703125" style="7" customWidth="1"/>
    <col min="4" max="4" width="39.7109375" customWidth="1"/>
    <col min="5" max="5" width="38.7109375" customWidth="1"/>
    <col min="6" max="6" width="16.28515625" style="8" customWidth="1"/>
    <col min="7" max="7" width="16.28515625" style="9" customWidth="1"/>
    <col min="8" max="8" width="20.5703125" style="8" customWidth="1"/>
    <col min="9" max="9" width="19.42578125" style="8" customWidth="1"/>
    <col min="10" max="11" width="22" style="8" customWidth="1"/>
    <col min="12" max="12" width="22.28515625" style="1" customWidth="1"/>
    <col min="13" max="16384" width="9.140625" style="2"/>
  </cols>
  <sheetData>
    <row r="1" spans="1:12" ht="148.5" customHeight="1">
      <c r="B1" s="399" t="s">
        <v>886</v>
      </c>
      <c r="C1" s="399"/>
      <c r="D1" s="399"/>
      <c r="E1" s="399"/>
      <c r="F1" s="399"/>
      <c r="G1" s="399"/>
      <c r="H1" s="399"/>
      <c r="I1" s="399"/>
      <c r="J1" s="399"/>
      <c r="K1" s="39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4.25" customHeight="1">
      <c r="L3" s="10"/>
    </row>
    <row r="4" spans="1:12" ht="15" customHeight="1">
      <c r="A4" s="11" t="s">
        <v>15</v>
      </c>
      <c r="B4" s="12"/>
      <c r="C4" s="12"/>
      <c r="D4" s="13"/>
      <c r="E4" s="13"/>
      <c r="F4" s="14"/>
      <c r="G4" s="15"/>
      <c r="H4" s="14"/>
      <c r="I4" s="14"/>
      <c r="J4" s="14"/>
      <c r="K4" s="14"/>
      <c r="L4" s="16"/>
    </row>
    <row r="5" spans="1:12">
      <c r="L5" s="19"/>
    </row>
    <row r="6" spans="1:12" s="53" customFormat="1">
      <c r="A6" s="28"/>
      <c r="B6" s="29" t="s">
        <v>42</v>
      </c>
      <c r="C6" s="30"/>
      <c r="D6" s="31"/>
      <c r="E6" s="31"/>
      <c r="F6" s="32"/>
      <c r="G6" s="33"/>
      <c r="H6" s="32"/>
      <c r="I6" s="32">
        <v>0</v>
      </c>
      <c r="J6" s="32">
        <v>0</v>
      </c>
      <c r="K6" s="32">
        <v>0</v>
      </c>
      <c r="L6" s="34">
        <v>0</v>
      </c>
    </row>
    <row r="7" spans="1:12">
      <c r="L7" s="19"/>
    </row>
    <row r="8" spans="1:12" ht="15" customHeight="1">
      <c r="A8" s="11" t="s">
        <v>40</v>
      </c>
      <c r="B8" s="12"/>
      <c r="C8" s="12"/>
      <c r="D8" s="13"/>
      <c r="E8" s="13"/>
      <c r="F8" s="14"/>
      <c r="G8" s="15"/>
      <c r="H8" s="14"/>
      <c r="I8" s="14"/>
      <c r="J8" s="14"/>
      <c r="K8" s="14"/>
      <c r="L8" s="16"/>
    </row>
    <row r="9" spans="1:12" ht="16.7">
      <c r="A9" s="318" t="s">
        <v>887</v>
      </c>
      <c r="B9" s="319"/>
      <c r="C9" s="319"/>
      <c r="D9" s="319"/>
      <c r="E9" s="320"/>
      <c r="F9" s="271"/>
      <c r="G9" s="321"/>
      <c r="H9" s="271"/>
      <c r="I9" s="271"/>
      <c r="J9" s="271"/>
      <c r="K9" s="271"/>
      <c r="L9" s="272"/>
    </row>
    <row r="10" spans="1:12" ht="15.95">
      <c r="A10" s="320"/>
      <c r="B10" s="319">
        <v>60100</v>
      </c>
      <c r="C10" s="319" t="s">
        <v>888</v>
      </c>
      <c r="D10" s="319">
        <v>1</v>
      </c>
      <c r="E10" s="320" t="s">
        <v>889</v>
      </c>
      <c r="F10" s="271">
        <v>1500</v>
      </c>
      <c r="G10" s="321">
        <v>1</v>
      </c>
      <c r="H10" s="271">
        <f>F10*G10</f>
        <v>1500</v>
      </c>
      <c r="I10" s="271">
        <f>H10*1.13</f>
        <v>1694.9999999999998</v>
      </c>
      <c r="J10" s="271">
        <f>I10*1.25</f>
        <v>2118.7499999999995</v>
      </c>
      <c r="K10" s="271">
        <v>0</v>
      </c>
      <c r="L10" s="272">
        <f>K10</f>
        <v>0</v>
      </c>
    </row>
    <row r="11" spans="1:12" ht="15.95">
      <c r="A11" s="320"/>
      <c r="B11" s="319">
        <v>60101</v>
      </c>
      <c r="C11" s="319" t="s">
        <v>890</v>
      </c>
      <c r="D11" s="319">
        <v>1</v>
      </c>
      <c r="E11" s="320" t="s">
        <v>891</v>
      </c>
      <c r="F11" s="271">
        <v>20</v>
      </c>
      <c r="G11" s="321">
        <v>5</v>
      </c>
      <c r="H11" s="271">
        <f>F11*G11</f>
        <v>100</v>
      </c>
      <c r="I11" s="271">
        <f>H11*1.13</f>
        <v>112.99999999999999</v>
      </c>
      <c r="J11" s="271">
        <f>I11*1.25</f>
        <v>141.24999999999997</v>
      </c>
      <c r="K11" s="271">
        <f>13.98+13.98+11.98+12.99+11.98+13.98+13.98+12.98</f>
        <v>105.85000000000001</v>
      </c>
      <c r="L11" s="272">
        <f t="shared" ref="L11:L14" si="0">K11</f>
        <v>105.85000000000001</v>
      </c>
    </row>
    <row r="12" spans="1:12" ht="15.95">
      <c r="A12" s="320"/>
      <c r="B12" s="319">
        <v>60102</v>
      </c>
      <c r="C12" s="319" t="s">
        <v>892</v>
      </c>
      <c r="D12" s="319">
        <v>1</v>
      </c>
      <c r="E12" s="320" t="s">
        <v>893</v>
      </c>
      <c r="F12" s="271">
        <v>25</v>
      </c>
      <c r="G12" s="321">
        <v>25</v>
      </c>
      <c r="H12" s="271">
        <f>F12*G12</f>
        <v>625</v>
      </c>
      <c r="I12" s="271">
        <f>H12*1.13</f>
        <v>706.24999999999989</v>
      </c>
      <c r="J12" s="271">
        <f>I12*1.25</f>
        <v>882.81249999999989</v>
      </c>
      <c r="K12" s="271">
        <f>12.99+14.99+25.98+9.98+21.56+11.98+9.98+13.98+13.98</f>
        <v>135.42000000000002</v>
      </c>
      <c r="L12" s="272">
        <f t="shared" si="0"/>
        <v>135.42000000000002</v>
      </c>
    </row>
    <row r="13" spans="1:12" ht="15.95">
      <c r="A13" s="320"/>
      <c r="B13" s="319">
        <v>60103</v>
      </c>
      <c r="C13" s="319" t="s">
        <v>894</v>
      </c>
      <c r="D13" s="319">
        <v>3</v>
      </c>
      <c r="E13" s="320" t="s">
        <v>895</v>
      </c>
      <c r="F13" s="271">
        <v>25</v>
      </c>
      <c r="G13" s="321">
        <v>3</v>
      </c>
      <c r="H13" s="271">
        <f>F13*G13</f>
        <v>75</v>
      </c>
      <c r="I13" s="271">
        <f>H13*1.13</f>
        <v>84.749999999999986</v>
      </c>
      <c r="J13" s="271">
        <f>I13*1.25</f>
        <v>105.93749999999999</v>
      </c>
      <c r="K13" s="271">
        <f>12.99+13.98</f>
        <v>26.97</v>
      </c>
      <c r="L13" s="272">
        <f t="shared" si="0"/>
        <v>26.97</v>
      </c>
    </row>
    <row r="14" spans="1:12" ht="15.95">
      <c r="A14" s="320"/>
      <c r="B14" s="319">
        <v>60104</v>
      </c>
      <c r="C14" s="319" t="s">
        <v>896</v>
      </c>
      <c r="D14" s="319">
        <v>1</v>
      </c>
      <c r="E14" s="320" t="s">
        <v>897</v>
      </c>
      <c r="F14" s="271">
        <v>6789.9</v>
      </c>
      <c r="G14" s="321">
        <v>1</v>
      </c>
      <c r="H14" s="271">
        <f>F14*G14</f>
        <v>6789.9</v>
      </c>
      <c r="I14" s="271">
        <f>H14</f>
        <v>6789.9</v>
      </c>
      <c r="J14" s="271">
        <f>I14*1.25</f>
        <v>8487.375</v>
      </c>
      <c r="K14" s="271">
        <v>0</v>
      </c>
      <c r="L14" s="272">
        <f t="shared" si="0"/>
        <v>0</v>
      </c>
    </row>
    <row r="15" spans="1:12" ht="15.95">
      <c r="A15" s="320"/>
      <c r="B15" s="319"/>
      <c r="C15" s="319"/>
      <c r="D15" s="319"/>
      <c r="E15" s="320"/>
      <c r="F15" s="271"/>
      <c r="G15" s="321"/>
      <c r="H15" s="271"/>
      <c r="I15" s="271"/>
      <c r="J15" s="271"/>
      <c r="K15" s="271"/>
      <c r="L15" s="272"/>
    </row>
    <row r="16" spans="1:12" s="27" customFormat="1" ht="16.7">
      <c r="A16" s="318"/>
      <c r="B16" s="322" t="str">
        <f>"Total "&amp;A9</f>
        <v>Total Email &amp; Domains</v>
      </c>
      <c r="C16" s="323"/>
      <c r="D16" s="323"/>
      <c r="E16" s="324"/>
      <c r="F16" s="273"/>
      <c r="G16" s="325"/>
      <c r="H16" s="273"/>
      <c r="I16" s="273">
        <f>SUM(I10:I14)</f>
        <v>9388.9</v>
      </c>
      <c r="J16" s="273">
        <f>SUM(J10:J14)</f>
        <v>11736.125</v>
      </c>
      <c r="K16" s="273">
        <f>SUM(K10:K11)</f>
        <v>105.85000000000001</v>
      </c>
      <c r="L16" s="274">
        <f>SUM(L10:L14)</f>
        <v>268.24</v>
      </c>
    </row>
    <row r="17" spans="1:12" ht="16.7">
      <c r="A17" s="318" t="s">
        <v>898</v>
      </c>
      <c r="B17" s="319"/>
      <c r="C17" s="319"/>
      <c r="D17" s="319"/>
      <c r="E17" s="320"/>
      <c r="F17" s="271"/>
      <c r="G17" s="321"/>
      <c r="H17" s="271"/>
      <c r="I17" s="271"/>
      <c r="J17" s="271"/>
      <c r="K17" s="271"/>
      <c r="L17" s="272"/>
    </row>
    <row r="18" spans="1:12" ht="15.95">
      <c r="A18" s="320"/>
      <c r="B18" s="319">
        <v>60200</v>
      </c>
      <c r="C18" s="319" t="s">
        <v>899</v>
      </c>
      <c r="D18" s="319">
        <v>1</v>
      </c>
      <c r="E18" s="320" t="s">
        <v>900</v>
      </c>
      <c r="F18" s="271">
        <v>350</v>
      </c>
      <c r="G18" s="321">
        <v>12</v>
      </c>
      <c r="H18" s="271">
        <f t="shared" ref="H18:H24" si="1">F18*G18</f>
        <v>4200</v>
      </c>
      <c r="I18" s="271">
        <f t="shared" ref="I18:I24" si="2">H18*1.13</f>
        <v>4746</v>
      </c>
      <c r="J18" s="271">
        <f t="shared" ref="J18:J24" si="3">I18*1.25</f>
        <v>5932.5</v>
      </c>
      <c r="K18" s="271">
        <f>29.97+(6 * 309.6) + 3.39 + (3.22+2.39+3.93+3.93+2.37+1.43+1.52+0.58)</f>
        <v>1910.3300000000002</v>
      </c>
      <c r="L18" s="272">
        <f>K18+78.58</f>
        <v>1988.91</v>
      </c>
    </row>
    <row r="19" spans="1:12" ht="15.95">
      <c r="A19" s="320"/>
      <c r="B19" s="319">
        <v>60201</v>
      </c>
      <c r="C19" s="319" t="s">
        <v>901</v>
      </c>
      <c r="D19" s="319">
        <v>1</v>
      </c>
      <c r="E19" s="326" t="s">
        <v>902</v>
      </c>
      <c r="F19" s="271">
        <v>3.25</v>
      </c>
      <c r="G19" s="320">
        <v>12</v>
      </c>
      <c r="H19" s="271">
        <f t="shared" si="1"/>
        <v>39</v>
      </c>
      <c r="I19" s="271">
        <f t="shared" si="2"/>
        <v>44.069999999999993</v>
      </c>
      <c r="J19" s="271">
        <f t="shared" si="3"/>
        <v>55.087499999999991</v>
      </c>
      <c r="K19" s="271">
        <v>0</v>
      </c>
      <c r="L19" s="272">
        <f t="shared" ref="L19:L24" si="4">K19</f>
        <v>0</v>
      </c>
    </row>
    <row r="20" spans="1:12" ht="15.95">
      <c r="A20" s="320"/>
      <c r="B20" s="319">
        <v>60202</v>
      </c>
      <c r="C20" s="319" t="s">
        <v>903</v>
      </c>
      <c r="D20" s="319">
        <v>1</v>
      </c>
      <c r="E20" s="320" t="s">
        <v>904</v>
      </c>
      <c r="F20" s="271">
        <v>10</v>
      </c>
      <c r="G20" s="321">
        <v>12</v>
      </c>
      <c r="H20" s="271">
        <f t="shared" si="1"/>
        <v>120</v>
      </c>
      <c r="I20" s="271">
        <f t="shared" si="2"/>
        <v>135.6</v>
      </c>
      <c r="J20" s="271">
        <f t="shared" si="3"/>
        <v>169.5</v>
      </c>
      <c r="K20" s="271">
        <f>14.98* 11</f>
        <v>164.78</v>
      </c>
      <c r="L20" s="272">
        <f>K20+37.47+14.95</f>
        <v>217.2</v>
      </c>
    </row>
    <row r="21" spans="1:12" ht="15.95">
      <c r="A21" s="320"/>
      <c r="B21" s="319">
        <v>60203</v>
      </c>
      <c r="C21" s="319" t="s">
        <v>905</v>
      </c>
      <c r="D21" s="319">
        <v>1</v>
      </c>
      <c r="E21" s="320" t="s">
        <v>906</v>
      </c>
      <c r="F21" s="271">
        <v>25</v>
      </c>
      <c r="G21" s="321">
        <v>12</v>
      </c>
      <c r="H21" s="271">
        <f t="shared" si="1"/>
        <v>300</v>
      </c>
      <c r="I21" s="271">
        <f t="shared" si="2"/>
        <v>338.99999999999994</v>
      </c>
      <c r="J21" s="271">
        <f t="shared" si="3"/>
        <v>423.74999999999994</v>
      </c>
      <c r="K21" s="271">
        <v>0</v>
      </c>
      <c r="L21" s="272">
        <f t="shared" si="4"/>
        <v>0</v>
      </c>
    </row>
    <row r="22" spans="1:12" ht="15.95">
      <c r="A22" s="320"/>
      <c r="B22" s="319">
        <v>60204</v>
      </c>
      <c r="C22" s="319" t="s">
        <v>907</v>
      </c>
      <c r="D22" s="319">
        <v>1</v>
      </c>
      <c r="E22" s="320" t="s">
        <v>908</v>
      </c>
      <c r="F22" s="271">
        <v>200</v>
      </c>
      <c r="G22" s="321">
        <v>12</v>
      </c>
      <c r="H22" s="271">
        <f t="shared" si="1"/>
        <v>2400</v>
      </c>
      <c r="I22" s="271">
        <f t="shared" si="2"/>
        <v>2711.9999999999995</v>
      </c>
      <c r="J22" s="271">
        <f t="shared" si="3"/>
        <v>3389.9999999999995</v>
      </c>
      <c r="K22" s="271">
        <f>200*7</f>
        <v>1400</v>
      </c>
      <c r="L22" s="272">
        <f>K22+200</f>
        <v>1600</v>
      </c>
    </row>
    <row r="23" spans="1:12" s="27" customFormat="1" ht="15.95">
      <c r="A23" s="320"/>
      <c r="B23" s="319">
        <v>60205</v>
      </c>
      <c r="C23" s="319" t="s">
        <v>909</v>
      </c>
      <c r="D23" s="319">
        <v>1</v>
      </c>
      <c r="E23" s="320" t="s">
        <v>910</v>
      </c>
      <c r="F23" s="271">
        <v>40</v>
      </c>
      <c r="G23" s="321">
        <v>12</v>
      </c>
      <c r="H23" s="271">
        <f t="shared" si="1"/>
        <v>480</v>
      </c>
      <c r="I23" s="271">
        <f t="shared" si="2"/>
        <v>542.4</v>
      </c>
      <c r="J23" s="271">
        <f t="shared" si="3"/>
        <v>678</v>
      </c>
      <c r="K23" s="271">
        <f>341.8</f>
        <v>341.8</v>
      </c>
      <c r="L23" s="272">
        <f t="shared" si="4"/>
        <v>341.8</v>
      </c>
    </row>
    <row r="24" spans="1:12" ht="15.95">
      <c r="A24" s="320"/>
      <c r="B24" s="319">
        <v>60206</v>
      </c>
      <c r="C24" s="319" t="s">
        <v>911</v>
      </c>
      <c r="D24" s="319">
        <v>1</v>
      </c>
      <c r="E24" s="320" t="s">
        <v>912</v>
      </c>
      <c r="F24" s="271">
        <v>140</v>
      </c>
      <c r="G24" s="321">
        <v>5</v>
      </c>
      <c r="H24" s="271">
        <f t="shared" si="1"/>
        <v>700</v>
      </c>
      <c r="I24" s="271">
        <f t="shared" si="2"/>
        <v>790.99999999999989</v>
      </c>
      <c r="J24" s="271">
        <f t="shared" si="3"/>
        <v>988.74999999999989</v>
      </c>
      <c r="K24" s="271">
        <f>78.37+69.1+116.47+116.07+116.07+112.97+117.43+121.72+116.76+144.71</f>
        <v>1109.67</v>
      </c>
      <c r="L24" s="272">
        <f t="shared" si="4"/>
        <v>1109.67</v>
      </c>
    </row>
    <row r="25" spans="1:12" s="53" customFormat="1" ht="16.7">
      <c r="A25" s="327"/>
      <c r="B25" s="319"/>
      <c r="C25" s="319"/>
      <c r="D25" s="319"/>
      <c r="E25" s="327"/>
      <c r="F25" s="271"/>
      <c r="G25" s="321"/>
      <c r="H25" s="271"/>
      <c r="I25" s="271"/>
      <c r="J25" s="271"/>
      <c r="K25" s="271"/>
      <c r="L25" s="272"/>
    </row>
    <row r="26" spans="1:12" ht="16.7">
      <c r="A26" s="327"/>
      <c r="B26" s="322" t="str">
        <f>"Total "&amp;A17</f>
        <v>Total Infrastructure</v>
      </c>
      <c r="C26" s="323"/>
      <c r="D26" s="323"/>
      <c r="E26" s="324"/>
      <c r="F26" s="273"/>
      <c r="G26" s="325"/>
      <c r="H26" s="273"/>
      <c r="I26" s="273">
        <f>SUM(I18:I24)</f>
        <v>9310.07</v>
      </c>
      <c r="J26" s="273">
        <f>SUM(J18:J24)</f>
        <v>11637.5875</v>
      </c>
      <c r="K26" s="273">
        <f>SUM(K18:K22)</f>
        <v>3475.11</v>
      </c>
      <c r="L26" s="274">
        <f>SUM(L18:L24)</f>
        <v>5257.58</v>
      </c>
    </row>
    <row r="27" spans="1:12" ht="15" customHeight="1">
      <c r="A27" s="318" t="s">
        <v>913</v>
      </c>
      <c r="B27" s="319"/>
      <c r="C27" s="319"/>
      <c r="D27" s="319"/>
      <c r="E27" s="320"/>
      <c r="F27" s="271"/>
      <c r="G27" s="321"/>
      <c r="H27" s="271"/>
      <c r="I27" s="271"/>
      <c r="J27" s="271"/>
      <c r="K27" s="271"/>
      <c r="L27" s="272"/>
    </row>
    <row r="28" spans="1:12" s="27" customFormat="1" ht="15.95">
      <c r="A28" s="320"/>
      <c r="B28" s="319">
        <v>60302</v>
      </c>
      <c r="C28" s="319" t="s">
        <v>635</v>
      </c>
      <c r="D28" s="319">
        <v>8</v>
      </c>
      <c r="E28" s="320" t="s">
        <v>635</v>
      </c>
      <c r="F28" s="271">
        <v>40</v>
      </c>
      <c r="G28" s="321">
        <v>13</v>
      </c>
      <c r="H28" s="271">
        <f>F28*G28</f>
        <v>520</v>
      </c>
      <c r="I28" s="271">
        <f>H28*1.13</f>
        <v>587.59999999999991</v>
      </c>
      <c r="J28" s="271">
        <f>I28*1.25</f>
        <v>734.49999999999989</v>
      </c>
      <c r="K28" s="271">
        <v>0</v>
      </c>
      <c r="L28" s="272">
        <v>583.51</v>
      </c>
    </row>
    <row r="29" spans="1:12" s="27" customFormat="1" ht="15.95">
      <c r="A29" s="320"/>
      <c r="B29" s="319">
        <v>60303</v>
      </c>
      <c r="C29" s="319" t="s">
        <v>455</v>
      </c>
      <c r="D29" s="319">
        <v>5</v>
      </c>
      <c r="E29" s="320" t="s">
        <v>914</v>
      </c>
      <c r="F29" s="271">
        <v>8</v>
      </c>
      <c r="G29" s="321">
        <v>13</v>
      </c>
      <c r="H29" s="271">
        <f>F29*G29</f>
        <v>104</v>
      </c>
      <c r="I29" s="271">
        <f>H29*1.13</f>
        <v>117.51999999999998</v>
      </c>
      <c r="J29" s="271">
        <f>I29*1.25</f>
        <v>146.89999999999998</v>
      </c>
      <c r="K29" s="271">
        <v>0</v>
      </c>
      <c r="L29" s="272">
        <f>K29+104</f>
        <v>104</v>
      </c>
    </row>
    <row r="30" spans="1:12" s="27" customFormat="1" ht="15.95">
      <c r="A30" s="320"/>
      <c r="B30" s="319">
        <v>60304</v>
      </c>
      <c r="C30" s="319" t="s">
        <v>915</v>
      </c>
      <c r="D30" s="319">
        <v>10</v>
      </c>
      <c r="E30" s="320" t="s">
        <v>916</v>
      </c>
      <c r="F30" s="271">
        <v>40</v>
      </c>
      <c r="G30" s="321">
        <v>3</v>
      </c>
      <c r="H30" s="271">
        <f>F30*G30</f>
        <v>120</v>
      </c>
      <c r="I30" s="271">
        <f>H30*1.13</f>
        <v>135.6</v>
      </c>
      <c r="J30" s="271">
        <f>I30*1.25</f>
        <v>169.5</v>
      </c>
      <c r="K30" s="271">
        <v>0</v>
      </c>
      <c r="L30" s="272">
        <f>K30+150</f>
        <v>150</v>
      </c>
    </row>
    <row r="31" spans="1:12" ht="16.7">
      <c r="A31" s="318"/>
      <c r="B31" s="319"/>
      <c r="C31" s="319"/>
      <c r="D31" s="319"/>
      <c r="E31" s="320"/>
      <c r="F31" s="271"/>
      <c r="G31" s="321"/>
      <c r="H31" s="271"/>
      <c r="I31" s="271"/>
      <c r="J31" s="271"/>
      <c r="K31" s="271"/>
      <c r="L31" s="272"/>
    </row>
    <row r="32" spans="1:12" ht="16.7">
      <c r="A32" s="320"/>
      <c r="B32" s="322" t="str">
        <f>"Total "&amp;A27</f>
        <v>Total General Team</v>
      </c>
      <c r="C32" s="323"/>
      <c r="D32" s="323"/>
      <c r="E32" s="324"/>
      <c r="F32" s="273"/>
      <c r="G32" s="325"/>
      <c r="H32" s="273"/>
      <c r="I32" s="273">
        <f>SUM(I28:I30)</f>
        <v>840.71999999999991</v>
      </c>
      <c r="J32" s="273">
        <f>SUM(J28:J30)</f>
        <v>1050.8999999999999</v>
      </c>
      <c r="K32" s="273">
        <f>SUM(K28:K28)</f>
        <v>0</v>
      </c>
      <c r="L32" s="274">
        <f>SUM(L28:L30)</f>
        <v>837.51</v>
      </c>
    </row>
    <row r="33" spans="1:13" ht="16.7">
      <c r="A33" s="318" t="s">
        <v>917</v>
      </c>
      <c r="B33" s="319"/>
      <c r="C33" s="319"/>
      <c r="D33" s="319"/>
      <c r="E33" s="320"/>
      <c r="F33" s="271"/>
      <c r="G33" s="321"/>
      <c r="H33" s="271"/>
      <c r="I33" s="271"/>
      <c r="J33" s="271"/>
      <c r="K33" s="271"/>
      <c r="L33" s="272"/>
    </row>
    <row r="34" spans="1:13" ht="16.7">
      <c r="A34" s="318"/>
      <c r="B34" s="319">
        <v>60400</v>
      </c>
      <c r="C34" s="319" t="s">
        <v>918</v>
      </c>
      <c r="D34" s="319">
        <v>2</v>
      </c>
      <c r="E34" s="320" t="s">
        <v>919</v>
      </c>
      <c r="F34" s="271">
        <v>122</v>
      </c>
      <c r="G34" s="321">
        <v>1</v>
      </c>
      <c r="H34" s="271">
        <f t="shared" ref="H34:H40" si="5">F34*G34</f>
        <v>122</v>
      </c>
      <c r="I34" s="271">
        <f t="shared" ref="I34:I40" si="6">H34*1.13</f>
        <v>137.85999999999999</v>
      </c>
      <c r="J34" s="271">
        <f t="shared" ref="J34:J40" si="7">I34*1.25</f>
        <v>172.32499999999999</v>
      </c>
      <c r="K34" s="271">
        <v>0</v>
      </c>
      <c r="L34" s="272">
        <f>K34</f>
        <v>0</v>
      </c>
    </row>
    <row r="35" spans="1:13" ht="16.7">
      <c r="A35" s="318"/>
      <c r="B35" s="319">
        <v>60401</v>
      </c>
      <c r="C35" s="319" t="s">
        <v>920</v>
      </c>
      <c r="D35" s="319">
        <v>2</v>
      </c>
      <c r="E35" s="320" t="s">
        <v>921</v>
      </c>
      <c r="F35" s="271">
        <v>35</v>
      </c>
      <c r="G35" s="321">
        <v>1</v>
      </c>
      <c r="H35" s="271">
        <f t="shared" si="5"/>
        <v>35</v>
      </c>
      <c r="I35" s="271">
        <f t="shared" si="6"/>
        <v>39.549999999999997</v>
      </c>
      <c r="J35" s="271">
        <f t="shared" si="7"/>
        <v>49.4375</v>
      </c>
      <c r="K35" s="271">
        <v>0</v>
      </c>
      <c r="L35" s="272">
        <f t="shared" ref="L35:L40" si="8">K35</f>
        <v>0</v>
      </c>
    </row>
    <row r="36" spans="1:13" ht="15.95">
      <c r="A36" s="320"/>
      <c r="B36" s="319">
        <v>60402</v>
      </c>
      <c r="C36" s="319" t="s">
        <v>922</v>
      </c>
      <c r="D36" s="319">
        <v>5</v>
      </c>
      <c r="E36" s="320" t="s">
        <v>923</v>
      </c>
      <c r="F36" s="271">
        <v>60</v>
      </c>
      <c r="G36" s="321">
        <v>4</v>
      </c>
      <c r="H36" s="271">
        <f t="shared" si="5"/>
        <v>240</v>
      </c>
      <c r="I36" s="271">
        <f t="shared" si="6"/>
        <v>271.2</v>
      </c>
      <c r="J36" s="271">
        <f t="shared" si="7"/>
        <v>339</v>
      </c>
      <c r="K36" s="271">
        <v>0</v>
      </c>
      <c r="L36" s="272">
        <f t="shared" si="8"/>
        <v>0</v>
      </c>
    </row>
    <row r="37" spans="1:13" ht="15.95">
      <c r="A37" s="320"/>
      <c r="B37" s="319">
        <v>60403</v>
      </c>
      <c r="C37" s="319" t="s">
        <v>924</v>
      </c>
      <c r="D37" s="319">
        <v>7</v>
      </c>
      <c r="E37" s="320" t="s">
        <v>925</v>
      </c>
      <c r="F37" s="271">
        <v>50</v>
      </c>
      <c r="G37" s="321">
        <v>2</v>
      </c>
      <c r="H37" s="271">
        <f t="shared" si="5"/>
        <v>100</v>
      </c>
      <c r="I37" s="271">
        <f t="shared" si="6"/>
        <v>112.99999999999999</v>
      </c>
      <c r="J37" s="271">
        <f t="shared" si="7"/>
        <v>141.24999999999997</v>
      </c>
      <c r="K37" s="271">
        <v>0</v>
      </c>
      <c r="L37" s="272">
        <f>K37+81.24</f>
        <v>81.239999999999995</v>
      </c>
    </row>
    <row r="38" spans="1:13" ht="15.95">
      <c r="A38" s="320"/>
      <c r="B38" s="319">
        <v>60404</v>
      </c>
      <c r="C38" s="319" t="s">
        <v>926</v>
      </c>
      <c r="D38" s="319">
        <v>10</v>
      </c>
      <c r="E38" s="320" t="s">
        <v>926</v>
      </c>
      <c r="F38" s="271">
        <v>100</v>
      </c>
      <c r="G38" s="321">
        <v>1</v>
      </c>
      <c r="H38" s="271">
        <f t="shared" si="5"/>
        <v>100</v>
      </c>
      <c r="I38" s="271">
        <f t="shared" si="6"/>
        <v>112.99999999999999</v>
      </c>
      <c r="J38" s="271">
        <f t="shared" si="7"/>
        <v>141.24999999999997</v>
      </c>
      <c r="K38" s="271">
        <v>0</v>
      </c>
      <c r="L38" s="272">
        <f t="shared" si="8"/>
        <v>0</v>
      </c>
    </row>
    <row r="39" spans="1:13" ht="15.95">
      <c r="A39" s="320"/>
      <c r="B39" s="319">
        <v>60405</v>
      </c>
      <c r="C39" s="319" t="s">
        <v>927</v>
      </c>
      <c r="D39" s="319">
        <v>10</v>
      </c>
      <c r="E39" s="320" t="s">
        <v>928</v>
      </c>
      <c r="F39" s="271">
        <v>40</v>
      </c>
      <c r="G39" s="321">
        <v>16</v>
      </c>
      <c r="H39" s="271">
        <f t="shared" si="5"/>
        <v>640</v>
      </c>
      <c r="I39" s="271">
        <f t="shared" si="6"/>
        <v>723.19999999999993</v>
      </c>
      <c r="J39" s="271">
        <f t="shared" si="7"/>
        <v>903.99999999999989</v>
      </c>
      <c r="K39" s="271">
        <v>0</v>
      </c>
      <c r="L39" s="272">
        <v>300</v>
      </c>
      <c r="M39" s="2" t="s">
        <v>136</v>
      </c>
    </row>
    <row r="40" spans="1:13" ht="16.7">
      <c r="A40" s="318"/>
      <c r="B40" s="319">
        <v>60406</v>
      </c>
      <c r="C40" s="319" t="s">
        <v>929</v>
      </c>
      <c r="D40" s="319">
        <v>10</v>
      </c>
      <c r="E40" s="320" t="s">
        <v>930</v>
      </c>
      <c r="F40" s="271">
        <f>25*4</f>
        <v>100</v>
      </c>
      <c r="G40" s="321">
        <v>5</v>
      </c>
      <c r="H40" s="271">
        <f t="shared" si="5"/>
        <v>500</v>
      </c>
      <c r="I40" s="271">
        <f t="shared" si="6"/>
        <v>565</v>
      </c>
      <c r="J40" s="271">
        <f t="shared" si="7"/>
        <v>706.25</v>
      </c>
      <c r="K40" s="271">
        <v>0</v>
      </c>
      <c r="L40" s="272">
        <f t="shared" si="8"/>
        <v>0</v>
      </c>
    </row>
    <row r="41" spans="1:13" ht="15.95">
      <c r="A41" s="320"/>
      <c r="B41" s="319"/>
      <c r="C41" s="319"/>
      <c r="D41" s="319"/>
      <c r="E41" s="320"/>
      <c r="F41" s="271"/>
      <c r="G41" s="321"/>
      <c r="H41" s="271"/>
      <c r="I41" s="271"/>
      <c r="J41" s="271"/>
      <c r="K41" s="271"/>
      <c r="L41" s="272"/>
    </row>
    <row r="42" spans="1:13" ht="16.7">
      <c r="A42" s="320"/>
      <c r="B42" s="322" t="str">
        <f>"Total "&amp;A33</f>
        <v>Total ESSDev Team</v>
      </c>
      <c r="C42" s="323"/>
      <c r="D42" s="323"/>
      <c r="E42" s="324"/>
      <c r="F42" s="273"/>
      <c r="G42" s="325"/>
      <c r="H42" s="273"/>
      <c r="I42" s="273">
        <f>SUM(I34:I40)</f>
        <v>1962.81</v>
      </c>
      <c r="J42" s="273">
        <f>SUM(J36:J40)</f>
        <v>2231.75</v>
      </c>
      <c r="K42" s="273">
        <f>SUM(K36:K38)</f>
        <v>0</v>
      </c>
      <c r="L42" s="274">
        <f>SUM(L34:L40)</f>
        <v>381.24</v>
      </c>
    </row>
    <row r="43" spans="1:13" ht="16.7">
      <c r="A43" s="318" t="s">
        <v>931</v>
      </c>
      <c r="B43" s="319"/>
      <c r="C43" s="319"/>
      <c r="D43" s="319"/>
      <c r="E43" s="320"/>
      <c r="F43" s="271"/>
      <c r="G43" s="321"/>
      <c r="H43" s="271"/>
      <c r="I43" s="271"/>
      <c r="J43" s="271"/>
      <c r="K43" s="271"/>
      <c r="L43" s="272"/>
    </row>
    <row r="44" spans="1:13" ht="15.95">
      <c r="A44" s="320"/>
      <c r="B44" s="319">
        <v>60501</v>
      </c>
      <c r="C44" s="319" t="s">
        <v>922</v>
      </c>
      <c r="D44" s="319">
        <v>4</v>
      </c>
      <c r="E44" s="320" t="s">
        <v>932</v>
      </c>
      <c r="F44" s="271">
        <v>200</v>
      </c>
      <c r="G44" s="321">
        <v>1</v>
      </c>
      <c r="H44" s="271">
        <f>F44*G44</f>
        <v>200</v>
      </c>
      <c r="I44" s="271">
        <f>H44*1.13</f>
        <v>225.99999999999997</v>
      </c>
      <c r="J44" s="271">
        <f>I44*1.25</f>
        <v>282.49999999999994</v>
      </c>
      <c r="K44" s="271">
        <v>0</v>
      </c>
      <c r="L44" s="272">
        <v>0</v>
      </c>
    </row>
    <row r="45" spans="1:13" ht="16.7">
      <c r="A45" s="318"/>
      <c r="B45" s="319">
        <v>60502</v>
      </c>
      <c r="C45" s="319" t="s">
        <v>933</v>
      </c>
      <c r="D45" s="319">
        <v>10</v>
      </c>
      <c r="E45" s="320" t="s">
        <v>934</v>
      </c>
      <c r="F45" s="271">
        <v>40</v>
      </c>
      <c r="G45" s="321">
        <v>10</v>
      </c>
      <c r="H45" s="271">
        <f>F45*G45</f>
        <v>400</v>
      </c>
      <c r="I45" s="271">
        <f>H45*1.13</f>
        <v>451.99999999999994</v>
      </c>
      <c r="J45" s="271">
        <f>I45*1.25</f>
        <v>564.99999999999989</v>
      </c>
      <c r="K45" s="8">
        <f>36.36+34.78+30+25.96+25.96+50.96</f>
        <v>204.02</v>
      </c>
      <c r="L45" s="272">
        <f>K45+30+200</f>
        <v>434.02</v>
      </c>
    </row>
    <row r="46" spans="1:13" ht="15.95">
      <c r="A46" s="320"/>
      <c r="B46" s="319">
        <v>60503</v>
      </c>
      <c r="C46" s="319" t="s">
        <v>935</v>
      </c>
      <c r="D46" s="319">
        <v>10</v>
      </c>
      <c r="E46" s="328" t="s">
        <v>935</v>
      </c>
      <c r="F46" s="271">
        <v>25</v>
      </c>
      <c r="G46" s="321">
        <v>5</v>
      </c>
      <c r="H46" s="271">
        <f>F46*G46</f>
        <v>125</v>
      </c>
      <c r="I46" s="271">
        <f>H46*1.13</f>
        <v>141.25</v>
      </c>
      <c r="J46" s="271">
        <f>I46*1.25</f>
        <v>176.5625</v>
      </c>
      <c r="K46" s="271">
        <v>0</v>
      </c>
      <c r="L46" s="272">
        <v>0</v>
      </c>
    </row>
    <row r="47" spans="1:13" ht="15.95">
      <c r="A47" s="320"/>
      <c r="B47" s="319">
        <v>60504</v>
      </c>
      <c r="C47" s="319" t="s">
        <v>936</v>
      </c>
      <c r="D47" s="319">
        <v>5</v>
      </c>
      <c r="E47" s="328" t="s">
        <v>937</v>
      </c>
      <c r="F47" s="271">
        <v>21.99</v>
      </c>
      <c r="G47" s="321">
        <v>1</v>
      </c>
      <c r="H47" s="271">
        <f>F47*G47</f>
        <v>21.99</v>
      </c>
      <c r="I47" s="271">
        <f>H47*1.13</f>
        <v>24.848699999999997</v>
      </c>
      <c r="J47" s="271">
        <f>I47*1.25</f>
        <v>31.060874999999996</v>
      </c>
      <c r="K47" s="271">
        <v>0</v>
      </c>
      <c r="L47" s="272">
        <v>0</v>
      </c>
    </row>
    <row r="48" spans="1:13" ht="16.7">
      <c r="A48" s="329"/>
      <c r="B48" s="319"/>
      <c r="C48" s="319"/>
      <c r="D48" s="319"/>
      <c r="E48" s="320"/>
      <c r="F48" s="271"/>
      <c r="G48" s="321"/>
      <c r="H48" s="271"/>
      <c r="I48" s="271"/>
      <c r="J48" s="271"/>
      <c r="K48" s="271"/>
      <c r="L48" s="272"/>
    </row>
    <row r="49" spans="1:12" ht="16.7">
      <c r="A49" s="318"/>
      <c r="B49" s="322" t="str">
        <f>"Total "&amp;A43</f>
        <v>Total IT Operations</v>
      </c>
      <c r="C49" s="323"/>
      <c r="D49" s="323"/>
      <c r="E49" s="324"/>
      <c r="F49" s="273"/>
      <c r="G49" s="325"/>
      <c r="H49" s="273"/>
      <c r="I49" s="273">
        <f>SUM(I44:I47)</f>
        <v>844.09869999999989</v>
      </c>
      <c r="J49" s="273">
        <f>SUM(J44:J47)</f>
        <v>1055.1233749999997</v>
      </c>
      <c r="K49" s="273">
        <f>SUM(K44:K45)</f>
        <v>204.02</v>
      </c>
      <c r="L49" s="273">
        <f>SUM(L44:L47)</f>
        <v>434.02</v>
      </c>
    </row>
    <row r="50" spans="1:12">
      <c r="L50" s="19"/>
    </row>
    <row r="51" spans="1:12">
      <c r="A51" s="28"/>
      <c r="B51" s="29" t="s">
        <v>120</v>
      </c>
      <c r="C51" s="30"/>
      <c r="D51" s="31"/>
      <c r="E51" s="31"/>
      <c r="F51" s="32"/>
      <c r="G51" s="33"/>
      <c r="H51" s="32"/>
      <c r="I51" s="32">
        <f>SUM(I49,I42,I32,I26,I16)</f>
        <v>22346.598699999999</v>
      </c>
      <c r="J51" s="32">
        <f>SUM(J49,J42,J32,J26,J16)</f>
        <v>27711.485874999998</v>
      </c>
      <c r="K51" s="32">
        <f>K16+K26</f>
        <v>3580.96</v>
      </c>
      <c r="L51" s="32">
        <f>L16+L26+L32+L42+L49</f>
        <v>7178.59</v>
      </c>
    </row>
    <row r="52" spans="1:12">
      <c r="L52" s="19"/>
    </row>
    <row r="53" spans="1:12">
      <c r="A53" s="11" t="s">
        <v>56</v>
      </c>
      <c r="B53" s="12"/>
      <c r="C53" s="12"/>
      <c r="D53" s="13"/>
      <c r="E53" s="13"/>
      <c r="F53" s="14"/>
      <c r="G53" s="15"/>
      <c r="H53" s="14"/>
      <c r="I53" s="14"/>
      <c r="J53" s="14"/>
      <c r="K53" s="14"/>
      <c r="L53" s="16"/>
    </row>
    <row r="54" spans="1:12">
      <c r="A54" s="17"/>
      <c r="B54" s="295" t="s">
        <v>58</v>
      </c>
      <c r="C54" s="295"/>
      <c r="D54" s="17"/>
      <c r="E54" s="17"/>
      <c r="F54" s="36"/>
      <c r="G54" s="37"/>
      <c r="H54" s="36"/>
      <c r="I54" s="36">
        <f>I6</f>
        <v>0</v>
      </c>
      <c r="J54" s="36">
        <f>J6</f>
        <v>0</v>
      </c>
      <c r="K54" s="36">
        <f>K6</f>
        <v>0</v>
      </c>
      <c r="L54" s="38">
        <f>L6</f>
        <v>0</v>
      </c>
    </row>
    <row r="55" spans="1:12">
      <c r="A55" s="17"/>
      <c r="B55" s="295" t="s">
        <v>62</v>
      </c>
      <c r="C55" s="295"/>
      <c r="D55" s="17"/>
      <c r="E55" s="17"/>
      <c r="F55" s="36"/>
      <c r="G55" s="37"/>
      <c r="H55" s="36"/>
      <c r="I55" s="36">
        <f>I51</f>
        <v>22346.598699999999</v>
      </c>
      <c r="J55" s="36">
        <f>J51</f>
        <v>27711.485874999998</v>
      </c>
      <c r="K55" s="36">
        <f>K51</f>
        <v>3580.96</v>
      </c>
      <c r="L55" s="39">
        <f>L51</f>
        <v>7178.59</v>
      </c>
    </row>
    <row r="56" spans="1:12">
      <c r="A56" s="40"/>
      <c r="B56" s="41" t="s">
        <v>65</v>
      </c>
      <c r="C56" s="41"/>
      <c r="D56" s="40"/>
      <c r="E56" s="40"/>
      <c r="F56" s="42"/>
      <c r="G56" s="43"/>
      <c r="H56" s="42"/>
      <c r="I56" s="42">
        <f>SUM(I54,I55*-1)</f>
        <v>-22346.598699999999</v>
      </c>
      <c r="J56" s="42">
        <f t="shared" ref="J56:L56" si="9">SUM(J54,J55*-1)</f>
        <v>-27711.485874999998</v>
      </c>
      <c r="K56" s="42">
        <f t="shared" si="9"/>
        <v>-3580.96</v>
      </c>
      <c r="L56" s="44">
        <f t="shared" si="9"/>
        <v>-7178.59</v>
      </c>
    </row>
  </sheetData>
  <mergeCells count="1">
    <mergeCell ref="B1:K1"/>
  </mergeCells>
  <conditionalFormatting sqref="B50:L56">
    <cfRule type="expression" dxfId="69" priority="22">
      <formula>MOD($B50,2)=1</formula>
    </cfRule>
  </conditionalFormatting>
  <conditionalFormatting sqref="B5:L7">
    <cfRule type="expression" dxfId="68" priority="21">
      <formula>MOD($B5,2)=1</formula>
    </cfRule>
  </conditionalFormatting>
  <conditionalFormatting sqref="C29:G29 H45:J45">
    <cfRule type="expression" dxfId="67" priority="2" stopIfTrue="1">
      <formula>MOD($B29,2)=1</formula>
    </cfRule>
  </conditionalFormatting>
  <conditionalFormatting sqref="C11:G14 B13:B14">
    <cfRule type="expression" dxfId="66" priority="14" stopIfTrue="1">
      <formula>MOD($B11,2)=1</formula>
    </cfRule>
  </conditionalFormatting>
  <conditionalFormatting sqref="B12 H12:K12">
    <cfRule type="expression" dxfId="65" priority="10" stopIfTrue="1">
      <formula>MOD($B12,2)=1</formula>
    </cfRule>
  </conditionalFormatting>
  <conditionalFormatting sqref="H13:K14">
    <cfRule type="expression" dxfId="64" priority="11" stopIfTrue="1">
      <formula>MOD($B13,2)=1</formula>
    </cfRule>
  </conditionalFormatting>
  <conditionalFormatting sqref="B16">
    <cfRule type="expression" dxfId="63" priority="12" stopIfTrue="1">
      <formula>MOD($B16,2)=1</formula>
    </cfRule>
  </conditionalFormatting>
  <conditionalFormatting sqref="C23:G24">
    <cfRule type="expression" dxfId="62" priority="15" stopIfTrue="1">
      <formula>MOD($B23,2)=1</formula>
    </cfRule>
  </conditionalFormatting>
  <conditionalFormatting sqref="H23:J24">
    <cfRule type="expression" dxfId="61" priority="16" stopIfTrue="1">
      <formula>MOD($B23,2)=1</formula>
    </cfRule>
  </conditionalFormatting>
  <conditionalFormatting sqref="B26">
    <cfRule type="expression" dxfId="60" priority="18" stopIfTrue="1">
      <formula>MOD($B26,2)=1</formula>
    </cfRule>
  </conditionalFormatting>
  <conditionalFormatting sqref="C26:L26">
    <cfRule type="expression" dxfId="59" priority="17" stopIfTrue="1">
      <formula>MOD($B26,2)=1</formula>
    </cfRule>
  </conditionalFormatting>
  <conditionalFormatting sqref="B27:L27 B31 H31:L31 C32:L32">
    <cfRule type="expression" dxfId="58" priority="6" stopIfTrue="1">
      <formula>MOD($B27,2)=1</formula>
    </cfRule>
  </conditionalFormatting>
  <conditionalFormatting sqref="B29 H29:K29">
    <cfRule type="expression" dxfId="57" priority="3" stopIfTrue="1">
      <formula>MOD($B29,2)=1</formula>
    </cfRule>
  </conditionalFormatting>
  <conditionalFormatting sqref="B30 H30:K30">
    <cfRule type="expression" dxfId="56" priority="4" stopIfTrue="1">
      <formula>MOD($B30,2)=1</formula>
    </cfRule>
  </conditionalFormatting>
  <conditionalFormatting sqref="C30:G30">
    <cfRule type="expression" dxfId="55" priority="5" stopIfTrue="1">
      <formula>MOD($B30,2)=1</formula>
    </cfRule>
  </conditionalFormatting>
  <conditionalFormatting sqref="B32">
    <cfRule type="expression" dxfId="54" priority="20" stopIfTrue="1">
      <formula>MOD($B32,2)=1</formula>
    </cfRule>
  </conditionalFormatting>
  <conditionalFormatting sqref="B34:B40">
    <cfRule type="expression" dxfId="53" priority="19" stopIfTrue="1">
      <formula>MOD($B34,2)=1</formula>
    </cfRule>
  </conditionalFormatting>
  <conditionalFormatting sqref="C42:L42">
    <cfRule type="expression" dxfId="52" priority="7" stopIfTrue="1">
      <formula>MOD($B42,2)=1</formula>
    </cfRule>
  </conditionalFormatting>
  <conditionalFormatting sqref="B43:L43 B48:L48 K46 C49:L49">
    <cfRule type="expression" dxfId="51" priority="8" stopIfTrue="1">
      <formula>MOD($B43,2)=1</formula>
    </cfRule>
  </conditionalFormatting>
  <conditionalFormatting sqref="C45:G45">
    <cfRule type="expression" dxfId="50" priority="9" stopIfTrue="1">
      <formula>MOD($B45,2)=1</formula>
    </cfRule>
  </conditionalFormatting>
  <conditionalFormatting sqref="B10:L10 B11 H11:K11 B15:L15 C16:L16 B17:L18 B23:B25 K23:K24 C25:L25 B28:L28 C31:G31 B33:L33 B41:L41 B44:L44 B45:B47 C47:L47 C46:J46 L46 L11:L14 B19:K22 L19:L24 L29:L30 C34:L40">
    <cfRule type="expression" dxfId="49" priority="13" stopIfTrue="1">
      <formula>MOD($B10,2)=1</formula>
    </cfRule>
  </conditionalFormatting>
  <conditionalFormatting sqref="L45">
    <cfRule type="expression" dxfId="48" priority="1" stopIfTrue="1">
      <formula>MOD($B45,2)=1</formula>
    </cfRule>
  </conditionalFormatting>
  <pageMargins left="0.7" right="0.7" top="0.75" bottom="0.75" header="0.3" footer="0.3"/>
  <pageSetup scale="26" fitToWidth="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6445-ABB6-446F-BFA6-1B9C907F1503}">
  <sheetPr codeName="Sheet1"/>
  <dimension ref="A1:L103"/>
  <sheetViews>
    <sheetView showGridLines="0" zoomScale="70" zoomScaleNormal="70" workbookViewId="0">
      <pane ySplit="2" topLeftCell="A84" activePane="bottomLeft" state="frozen"/>
      <selection pane="bottomLeft" activeCell="L11" sqref="L11"/>
    </sheetView>
  </sheetViews>
  <sheetFormatPr defaultColWidth="9.85546875" defaultRowHeight="14.85"/>
  <cols>
    <col min="1" max="1" width="30.140625" customWidth="1"/>
    <col min="2" max="3" width="23.5703125" style="7" customWidth="1"/>
    <col min="4" max="4" width="37.85546875" customWidth="1"/>
    <col min="5" max="5" width="36.85546875" customWidth="1"/>
    <col min="6" max="6" width="15.42578125" style="8" customWidth="1"/>
    <col min="7" max="7" width="15.42578125" style="9" customWidth="1"/>
    <col min="8" max="8" width="19.5703125" style="8" customWidth="1"/>
    <col min="9" max="9" width="18.5703125" style="8" customWidth="1"/>
    <col min="10" max="11" width="20.85546875" style="8" customWidth="1"/>
    <col min="12" max="12" width="21.28515625" style="1" customWidth="1"/>
    <col min="13" max="16384" width="9.85546875" style="2"/>
  </cols>
  <sheetData>
    <row r="1" spans="1:12" ht="148.5" customHeight="1">
      <c r="B1" s="389" t="s">
        <v>938</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A5" s="17" t="s">
        <v>939</v>
      </c>
      <c r="L5" s="18"/>
    </row>
    <row r="6" spans="1:12" ht="15" customHeight="1">
      <c r="B6" s="7">
        <v>20000</v>
      </c>
      <c r="C6" s="285" t="s">
        <v>940</v>
      </c>
      <c r="E6" t="s">
        <v>941</v>
      </c>
      <c r="F6" s="8">
        <v>8</v>
      </c>
      <c r="G6" s="9">
        <v>30</v>
      </c>
      <c r="H6" s="8">
        <f t="shared" ref="H6:H7" si="0">F6*G6</f>
        <v>240</v>
      </c>
      <c r="I6" s="8">
        <f t="shared" ref="I6:I8" si="1">H6*1.13</f>
        <v>271.2</v>
      </c>
      <c r="J6" s="8">
        <f>I6*0.75</f>
        <v>203.39999999999998</v>
      </c>
      <c r="K6" s="8">
        <v>0</v>
      </c>
      <c r="L6" s="19">
        <v>0</v>
      </c>
    </row>
    <row r="7" spans="1:12" ht="15" customHeight="1">
      <c r="B7" s="7">
        <v>20001</v>
      </c>
      <c r="C7" s="20" t="s">
        <v>942</v>
      </c>
      <c r="D7" s="7"/>
      <c r="E7" t="s">
        <v>943</v>
      </c>
      <c r="F7" s="8">
        <v>0</v>
      </c>
      <c r="G7" s="9">
        <v>15</v>
      </c>
      <c r="H7" s="8">
        <f t="shared" si="0"/>
        <v>0</v>
      </c>
      <c r="I7" s="8">
        <f t="shared" si="1"/>
        <v>0</v>
      </c>
      <c r="J7" s="8">
        <f t="shared" ref="J7:J8" si="2">I7*0.75</f>
        <v>0</v>
      </c>
      <c r="K7" s="8">
        <v>0</v>
      </c>
      <c r="L7" s="19">
        <v>0</v>
      </c>
    </row>
    <row r="8" spans="1:12" ht="15" customHeight="1">
      <c r="B8" s="7">
        <v>20002</v>
      </c>
      <c r="C8" s="285" t="s">
        <v>944</v>
      </c>
      <c r="D8" s="7"/>
      <c r="E8" t="s">
        <v>945</v>
      </c>
      <c r="F8" s="8">
        <v>1500</v>
      </c>
      <c r="G8" s="9">
        <v>1</v>
      </c>
      <c r="H8" s="8">
        <f>G8*F8</f>
        <v>1500</v>
      </c>
      <c r="I8" s="8">
        <f t="shared" si="1"/>
        <v>1694.9999999999998</v>
      </c>
      <c r="J8" s="8">
        <f t="shared" si="2"/>
        <v>1271.2499999999998</v>
      </c>
      <c r="K8" s="8">
        <v>1500</v>
      </c>
      <c r="L8" s="19">
        <v>1500</v>
      </c>
    </row>
    <row r="9" spans="1:12" ht="15" customHeight="1">
      <c r="L9" s="19"/>
    </row>
    <row r="10" spans="1:12" s="27" customFormat="1" ht="15" customHeight="1">
      <c r="A10" s="17"/>
      <c r="B10" s="21" t="s">
        <v>946</v>
      </c>
      <c r="C10" s="22"/>
      <c r="D10" s="23"/>
      <c r="E10" s="23"/>
      <c r="F10" s="24"/>
      <c r="G10" s="25"/>
      <c r="H10" s="24"/>
      <c r="I10" s="24">
        <f>SUM(I6:I7)</f>
        <v>271.2</v>
      </c>
      <c r="J10" s="24">
        <f>SUM(J6:J7)</f>
        <v>203.39999999999998</v>
      </c>
      <c r="K10" s="24">
        <f>SUM(K6:K7)</f>
        <v>0</v>
      </c>
      <c r="L10" s="26">
        <f>SUM(L6:L8)</f>
        <v>1500</v>
      </c>
    </row>
    <row r="11" spans="1:12" ht="15" customHeight="1">
      <c r="A11" s="17" t="s">
        <v>947</v>
      </c>
      <c r="L11" s="18"/>
    </row>
    <row r="12" spans="1:12" ht="15" customHeight="1">
      <c r="B12" s="7">
        <v>20100</v>
      </c>
      <c r="C12" s="285" t="s">
        <v>948</v>
      </c>
      <c r="F12" s="8">
        <v>10</v>
      </c>
      <c r="G12" s="9">
        <v>40</v>
      </c>
      <c r="H12" s="8">
        <f t="shared" ref="H12:H16" si="3">F12*G12</f>
        <v>400</v>
      </c>
      <c r="I12" s="8">
        <f t="shared" ref="I12:I16" si="4">H12*1.13</f>
        <v>451.99999999999994</v>
      </c>
      <c r="J12" s="8">
        <f>I12*0.75</f>
        <v>338.99999999999994</v>
      </c>
      <c r="K12" s="8">
        <v>370</v>
      </c>
      <c r="L12" s="19">
        <v>370</v>
      </c>
    </row>
    <row r="13" spans="1:12" ht="15" customHeight="1">
      <c r="B13" s="7">
        <v>20101</v>
      </c>
      <c r="C13" s="285" t="s">
        <v>949</v>
      </c>
      <c r="D13" s="7"/>
      <c r="F13" s="8">
        <v>15</v>
      </c>
      <c r="G13" s="9">
        <v>30</v>
      </c>
      <c r="H13" s="8">
        <f t="shared" si="3"/>
        <v>450</v>
      </c>
      <c r="I13" s="8">
        <f t="shared" si="4"/>
        <v>508.49999999999994</v>
      </c>
      <c r="J13" s="8">
        <f t="shared" ref="J13:J16" si="5">I13*0.75</f>
        <v>381.37499999999994</v>
      </c>
      <c r="K13" s="8">
        <v>450</v>
      </c>
      <c r="L13" s="19">
        <v>450</v>
      </c>
    </row>
    <row r="14" spans="1:12" s="27" customFormat="1" ht="15" customHeight="1">
      <c r="A14"/>
      <c r="B14" s="7">
        <v>20102</v>
      </c>
      <c r="C14" s="285" t="s">
        <v>950</v>
      </c>
      <c r="D14"/>
      <c r="E14"/>
      <c r="F14" s="8">
        <v>50</v>
      </c>
      <c r="G14" s="9">
        <v>30</v>
      </c>
      <c r="H14" s="8">
        <f t="shared" si="3"/>
        <v>1500</v>
      </c>
      <c r="I14" s="8">
        <f t="shared" si="4"/>
        <v>1694.9999999999998</v>
      </c>
      <c r="J14" s="8">
        <f t="shared" si="5"/>
        <v>1271.2499999999998</v>
      </c>
      <c r="K14" s="8">
        <v>0</v>
      </c>
      <c r="L14" s="19">
        <v>0</v>
      </c>
    </row>
    <row r="15" spans="1:12" ht="15" customHeight="1">
      <c r="B15" s="7">
        <v>20103</v>
      </c>
      <c r="C15" s="285" t="s">
        <v>951</v>
      </c>
      <c r="F15" s="8">
        <v>1000</v>
      </c>
      <c r="G15" s="9">
        <v>1</v>
      </c>
      <c r="H15" s="8">
        <f t="shared" si="3"/>
        <v>1000</v>
      </c>
      <c r="I15" s="8">
        <f t="shared" si="4"/>
        <v>1130</v>
      </c>
      <c r="J15" s="8">
        <f t="shared" si="5"/>
        <v>847.5</v>
      </c>
      <c r="K15" s="8">
        <v>1000</v>
      </c>
      <c r="L15" s="19">
        <v>1000</v>
      </c>
    </row>
    <row r="16" spans="1:12" ht="15" customHeight="1">
      <c r="B16" s="7">
        <v>20104</v>
      </c>
      <c r="C16" s="285" t="s">
        <v>952</v>
      </c>
      <c r="E16" t="s">
        <v>953</v>
      </c>
      <c r="F16" s="8">
        <v>0</v>
      </c>
      <c r="G16" s="9">
        <v>29</v>
      </c>
      <c r="H16" s="8">
        <f t="shared" si="3"/>
        <v>0</v>
      </c>
      <c r="I16" s="8">
        <f t="shared" si="4"/>
        <v>0</v>
      </c>
      <c r="J16" s="8">
        <f t="shared" si="5"/>
        <v>0</v>
      </c>
      <c r="K16" s="8">
        <v>0</v>
      </c>
      <c r="L16" s="19">
        <v>0</v>
      </c>
    </row>
    <row r="17" spans="1:12" ht="15" customHeight="1">
      <c r="L17" s="19"/>
    </row>
    <row r="18" spans="1:12" ht="15" customHeight="1">
      <c r="A18" s="17"/>
      <c r="B18" s="21" t="s">
        <v>946</v>
      </c>
      <c r="C18" s="22"/>
      <c r="D18" s="23"/>
      <c r="E18" s="23"/>
      <c r="F18" s="24"/>
      <c r="G18" s="25"/>
      <c r="H18" s="24"/>
      <c r="I18" s="24">
        <f>SUM(I12:I16)</f>
        <v>3785.4999999999995</v>
      </c>
      <c r="J18" s="24">
        <f>SUM(J12:J16)</f>
        <v>2839.1249999999995</v>
      </c>
      <c r="K18" s="24">
        <f>SUM(K12:K16)</f>
        <v>1820</v>
      </c>
      <c r="L18" s="26">
        <f>SUM(L12:L16)</f>
        <v>1820</v>
      </c>
    </row>
    <row r="19" spans="1:12" s="27" customFormat="1" ht="15" customHeight="1">
      <c r="A19"/>
      <c r="B19" s="7"/>
      <c r="C19" s="7"/>
      <c r="D19"/>
      <c r="E19"/>
      <c r="F19" s="8"/>
      <c r="G19" s="9"/>
      <c r="H19" s="8"/>
      <c r="I19" s="8"/>
      <c r="J19" s="8"/>
      <c r="K19" s="8"/>
      <c r="L19" s="19"/>
    </row>
    <row r="20" spans="1:12" ht="15" customHeight="1">
      <c r="A20" s="28"/>
      <c r="B20" s="29" t="s">
        <v>42</v>
      </c>
      <c r="C20" s="30"/>
      <c r="D20" s="31"/>
      <c r="E20" s="31"/>
      <c r="F20" s="32"/>
      <c r="G20" s="33"/>
      <c r="H20" s="32"/>
      <c r="I20" s="32">
        <f>I10+I18</f>
        <v>4056.6999999999994</v>
      </c>
      <c r="J20" s="32">
        <f>J18+J10</f>
        <v>3042.5249999999996</v>
      </c>
      <c r="K20" s="32"/>
      <c r="L20" s="34"/>
    </row>
    <row r="21" spans="1:12" ht="15" customHeight="1">
      <c r="L21" s="19"/>
    </row>
    <row r="22" spans="1:12" ht="15" customHeight="1">
      <c r="A22" s="11" t="s">
        <v>40</v>
      </c>
      <c r="B22" s="12"/>
      <c r="C22" s="12"/>
      <c r="D22" s="13"/>
      <c r="E22" s="13"/>
      <c r="F22" s="14"/>
      <c r="G22" s="15"/>
      <c r="H22" s="14"/>
      <c r="I22" s="14"/>
      <c r="J22" s="14"/>
      <c r="K22" s="14"/>
      <c r="L22" s="16"/>
    </row>
    <row r="23" spans="1:12" ht="15" customHeight="1">
      <c r="A23" s="17" t="s">
        <v>939</v>
      </c>
      <c r="L23" s="19"/>
    </row>
    <row r="24" spans="1:12" ht="15" customHeight="1">
      <c r="B24" s="7">
        <v>20200</v>
      </c>
      <c r="C24" s="285" t="s">
        <v>954</v>
      </c>
      <c r="D24">
        <v>5</v>
      </c>
      <c r="E24" t="s">
        <v>955</v>
      </c>
      <c r="F24" s="8">
        <v>1100</v>
      </c>
      <c r="G24" s="9">
        <v>1</v>
      </c>
      <c r="H24" s="8">
        <f>F24*G24</f>
        <v>1100</v>
      </c>
      <c r="I24" s="8">
        <f>H24*1.13</f>
        <v>1242.9999999999998</v>
      </c>
      <c r="J24" s="8">
        <f>I24*1.25</f>
        <v>1553.7499999999998</v>
      </c>
      <c r="K24" s="8">
        <v>0</v>
      </c>
      <c r="L24" s="19">
        <v>0</v>
      </c>
    </row>
    <row r="25" spans="1:12" ht="15" customHeight="1">
      <c r="B25" s="7">
        <v>20201</v>
      </c>
      <c r="C25" s="285" t="s">
        <v>596</v>
      </c>
      <c r="D25" s="9">
        <v>6</v>
      </c>
      <c r="E25" t="s">
        <v>956</v>
      </c>
      <c r="F25" s="8">
        <v>15</v>
      </c>
      <c r="G25" s="9">
        <v>10</v>
      </c>
      <c r="H25" s="8">
        <f t="shared" ref="H25:H28" si="6">F25*G25</f>
        <v>150</v>
      </c>
      <c r="I25" s="8">
        <f t="shared" ref="I25:I28" si="7">H25*1.13</f>
        <v>169.49999999999997</v>
      </c>
      <c r="J25" s="8">
        <f t="shared" ref="J25:J28" si="8">I25*1.25</f>
        <v>211.87499999999997</v>
      </c>
      <c r="K25" s="8">
        <v>150</v>
      </c>
      <c r="L25" s="19">
        <v>150</v>
      </c>
    </row>
    <row r="26" spans="1:12" ht="15" customHeight="1">
      <c r="B26" s="7">
        <v>20202</v>
      </c>
      <c r="C26" s="285" t="s">
        <v>957</v>
      </c>
      <c r="D26">
        <v>1</v>
      </c>
      <c r="E26" t="s">
        <v>958</v>
      </c>
      <c r="F26" s="8">
        <v>50</v>
      </c>
      <c r="G26" s="9">
        <v>3</v>
      </c>
      <c r="H26" s="8">
        <f t="shared" si="6"/>
        <v>150</v>
      </c>
      <c r="I26" s="8">
        <f t="shared" si="7"/>
        <v>169.49999999999997</v>
      </c>
      <c r="J26" s="8">
        <f t="shared" si="8"/>
        <v>211.87499999999997</v>
      </c>
      <c r="K26" s="8">
        <v>0</v>
      </c>
      <c r="L26" s="19">
        <v>0</v>
      </c>
    </row>
    <row r="27" spans="1:12" ht="15" customHeight="1">
      <c r="B27" s="7">
        <v>20203</v>
      </c>
      <c r="C27" s="285" t="s">
        <v>959</v>
      </c>
      <c r="D27">
        <v>2</v>
      </c>
      <c r="E27" t="s">
        <v>958</v>
      </c>
      <c r="F27" s="8">
        <v>80</v>
      </c>
      <c r="G27" s="9">
        <v>2</v>
      </c>
      <c r="H27" s="8">
        <f t="shared" si="6"/>
        <v>160</v>
      </c>
      <c r="I27" s="8">
        <f t="shared" si="7"/>
        <v>180.79999999999998</v>
      </c>
      <c r="J27" s="8">
        <f t="shared" si="8"/>
        <v>225.99999999999997</v>
      </c>
      <c r="K27" s="8">
        <v>0</v>
      </c>
      <c r="L27" s="19">
        <v>0</v>
      </c>
    </row>
    <row r="28" spans="1:12" ht="15" customHeight="1">
      <c r="B28" s="7">
        <v>20204</v>
      </c>
      <c r="C28" s="285" t="s">
        <v>960</v>
      </c>
      <c r="D28">
        <v>2</v>
      </c>
      <c r="E28" t="s">
        <v>958</v>
      </c>
      <c r="F28" s="8">
        <v>100</v>
      </c>
      <c r="G28" s="9">
        <v>3</v>
      </c>
      <c r="H28" s="8">
        <f t="shared" si="6"/>
        <v>300</v>
      </c>
      <c r="I28" s="8">
        <f t="shared" si="7"/>
        <v>338.99999999999994</v>
      </c>
      <c r="J28" s="8">
        <f t="shared" si="8"/>
        <v>423.74999999999994</v>
      </c>
      <c r="K28" s="8">
        <v>0</v>
      </c>
      <c r="L28" s="19">
        <v>0</v>
      </c>
    </row>
    <row r="29" spans="1:12" ht="15" customHeight="1">
      <c r="B29" s="7">
        <v>20205</v>
      </c>
      <c r="C29" s="285" t="s">
        <v>961</v>
      </c>
      <c r="D29">
        <v>10</v>
      </c>
      <c r="E29" t="s">
        <v>962</v>
      </c>
      <c r="F29" s="8">
        <v>2</v>
      </c>
      <c r="G29" s="9">
        <v>6</v>
      </c>
      <c r="H29" s="8">
        <f>F29*G29</f>
        <v>12</v>
      </c>
      <c r="I29" s="8">
        <f>H29*1.13</f>
        <v>13.559999999999999</v>
      </c>
      <c r="J29" s="8">
        <f>I29*1.25</f>
        <v>16.95</v>
      </c>
      <c r="K29" s="8">
        <v>0</v>
      </c>
      <c r="L29" s="19">
        <v>0</v>
      </c>
    </row>
    <row r="30" spans="1:12" ht="15" customHeight="1">
      <c r="B30" s="7">
        <v>20206</v>
      </c>
      <c r="C30" s="285" t="s">
        <v>963</v>
      </c>
      <c r="D30">
        <v>10</v>
      </c>
      <c r="E30" t="s">
        <v>964</v>
      </c>
      <c r="F30" s="8">
        <v>1</v>
      </c>
      <c r="G30" s="9">
        <v>6</v>
      </c>
      <c r="H30" s="8">
        <f t="shared" ref="H30:H34" si="9">F30*G30</f>
        <v>6</v>
      </c>
      <c r="I30" s="8">
        <f t="shared" ref="I30:I34" si="10">H30*1.13</f>
        <v>6.7799999999999994</v>
      </c>
      <c r="J30" s="8">
        <f t="shared" ref="J30:J34" si="11">I30*1.25</f>
        <v>8.4749999999999996</v>
      </c>
      <c r="K30" s="8">
        <v>0</v>
      </c>
      <c r="L30" s="19">
        <v>0</v>
      </c>
    </row>
    <row r="31" spans="1:12" ht="15" customHeight="1">
      <c r="B31" s="7">
        <v>20207</v>
      </c>
      <c r="C31" s="285" t="s">
        <v>957</v>
      </c>
      <c r="D31">
        <v>5</v>
      </c>
      <c r="E31" t="s">
        <v>965</v>
      </c>
      <c r="F31" s="8">
        <v>50</v>
      </c>
      <c r="G31" s="9">
        <v>3</v>
      </c>
      <c r="H31" s="8">
        <f t="shared" si="9"/>
        <v>150</v>
      </c>
      <c r="I31" s="8">
        <f t="shared" si="10"/>
        <v>169.49999999999997</v>
      </c>
      <c r="J31" s="8">
        <f t="shared" si="11"/>
        <v>211.87499999999997</v>
      </c>
      <c r="K31" s="8">
        <v>0</v>
      </c>
      <c r="L31" s="19">
        <v>0</v>
      </c>
    </row>
    <row r="32" spans="1:12" ht="15" customHeight="1">
      <c r="B32" s="7">
        <v>20208</v>
      </c>
      <c r="C32" s="285" t="s">
        <v>959</v>
      </c>
      <c r="D32">
        <v>7</v>
      </c>
      <c r="E32" t="s">
        <v>965</v>
      </c>
      <c r="F32" s="8">
        <v>80</v>
      </c>
      <c r="G32" s="9">
        <v>2</v>
      </c>
      <c r="H32" s="8">
        <f t="shared" si="9"/>
        <v>160</v>
      </c>
      <c r="I32" s="8">
        <f t="shared" si="10"/>
        <v>180.79999999999998</v>
      </c>
      <c r="J32" s="8">
        <f t="shared" si="11"/>
        <v>225.99999999999997</v>
      </c>
      <c r="K32" s="8">
        <v>0</v>
      </c>
      <c r="L32" s="19">
        <v>0</v>
      </c>
    </row>
    <row r="33" spans="1:12" ht="15" customHeight="1">
      <c r="B33" s="7">
        <v>20209</v>
      </c>
      <c r="C33" s="285" t="s">
        <v>960</v>
      </c>
      <c r="D33">
        <v>7</v>
      </c>
      <c r="E33" t="s">
        <v>965</v>
      </c>
      <c r="F33" s="8">
        <v>60</v>
      </c>
      <c r="G33" s="9">
        <v>3</v>
      </c>
      <c r="H33" s="8">
        <f t="shared" si="9"/>
        <v>180</v>
      </c>
      <c r="I33" s="8">
        <f t="shared" si="10"/>
        <v>203.39999999999998</v>
      </c>
      <c r="J33" s="8">
        <f t="shared" si="11"/>
        <v>254.24999999999997</v>
      </c>
      <c r="K33" s="8">
        <v>0</v>
      </c>
      <c r="L33" s="19">
        <v>0</v>
      </c>
    </row>
    <row r="34" spans="1:12" ht="15" customHeight="1">
      <c r="B34" s="7">
        <v>20210</v>
      </c>
      <c r="C34" s="285" t="s">
        <v>966</v>
      </c>
      <c r="D34">
        <v>9</v>
      </c>
      <c r="E34" t="s">
        <v>967</v>
      </c>
      <c r="F34" s="8">
        <v>25</v>
      </c>
      <c r="G34" s="9">
        <v>1</v>
      </c>
      <c r="H34" s="8">
        <f t="shared" si="9"/>
        <v>25</v>
      </c>
      <c r="I34" s="8">
        <f t="shared" si="10"/>
        <v>28.249999999999996</v>
      </c>
      <c r="J34" s="8">
        <f t="shared" si="11"/>
        <v>35.312499999999993</v>
      </c>
      <c r="K34" s="8">
        <v>0</v>
      </c>
      <c r="L34" s="19">
        <v>0</v>
      </c>
    </row>
    <row r="35" spans="1:12" ht="15" customHeight="1">
      <c r="B35" s="7">
        <v>20211</v>
      </c>
      <c r="C35" s="285" t="s">
        <v>968</v>
      </c>
      <c r="D35">
        <v>7</v>
      </c>
      <c r="E35" t="s">
        <v>969</v>
      </c>
      <c r="F35" s="8">
        <v>25</v>
      </c>
      <c r="G35" s="9">
        <v>29</v>
      </c>
      <c r="H35" s="8">
        <f t="shared" ref="H35:H36" si="12">F35*G35</f>
        <v>725</v>
      </c>
      <c r="I35" s="8">
        <f t="shared" ref="I35:I36" si="13">H35*1.13</f>
        <v>819.24999999999989</v>
      </c>
      <c r="J35" s="8">
        <f t="shared" ref="J35:J36" si="14">I35*1.25</f>
        <v>1024.0624999999998</v>
      </c>
      <c r="K35" s="8">
        <v>725</v>
      </c>
      <c r="L35" s="19">
        <v>725</v>
      </c>
    </row>
    <row r="36" spans="1:12" ht="15" customHeight="1">
      <c r="B36" s="7">
        <v>20212</v>
      </c>
      <c r="C36" s="285" t="s">
        <v>970</v>
      </c>
      <c r="D36">
        <v>9</v>
      </c>
      <c r="E36" t="s">
        <v>969</v>
      </c>
      <c r="F36" s="8">
        <v>50</v>
      </c>
      <c r="G36" s="9">
        <v>2</v>
      </c>
      <c r="H36" s="8">
        <f t="shared" si="12"/>
        <v>100</v>
      </c>
      <c r="I36" s="8">
        <f t="shared" si="13"/>
        <v>112.99999999999999</v>
      </c>
      <c r="J36" s="8">
        <f t="shared" si="14"/>
        <v>141.24999999999997</v>
      </c>
      <c r="K36" s="8">
        <v>100</v>
      </c>
      <c r="L36" s="19">
        <v>100</v>
      </c>
    </row>
    <row r="37" spans="1:12" ht="15" customHeight="1">
      <c r="B37" s="7">
        <v>20213</v>
      </c>
      <c r="C37" s="285" t="s">
        <v>971</v>
      </c>
      <c r="D37">
        <v>7</v>
      </c>
      <c r="E37" t="s">
        <v>969</v>
      </c>
      <c r="F37" s="8">
        <v>20</v>
      </c>
      <c r="G37" s="9">
        <v>5</v>
      </c>
      <c r="H37" s="8">
        <f t="shared" ref="H37" si="15">F37*G37</f>
        <v>100</v>
      </c>
      <c r="I37" s="8">
        <f t="shared" ref="I37" si="16">H37*1.13</f>
        <v>112.99999999999999</v>
      </c>
      <c r="J37" s="8">
        <f t="shared" ref="J37" si="17">I37*1.25</f>
        <v>141.24999999999997</v>
      </c>
      <c r="K37" s="8">
        <v>100</v>
      </c>
      <c r="L37" s="19">
        <v>100</v>
      </c>
    </row>
    <row r="38" spans="1:12" ht="15" customHeight="1">
      <c r="L38" s="19"/>
    </row>
    <row r="39" spans="1:12" ht="15" customHeight="1">
      <c r="A39" s="17"/>
      <c r="B39" s="21" t="s">
        <v>296</v>
      </c>
      <c r="C39" s="22"/>
      <c r="D39" s="23"/>
      <c r="E39" s="23"/>
      <c r="F39" s="24"/>
      <c r="G39" s="25"/>
      <c r="H39" s="24"/>
      <c r="I39" s="24">
        <f>SUM(I24:I34)</f>
        <v>2704.09</v>
      </c>
      <c r="J39" s="24">
        <f>SUM(J24:J34)</f>
        <v>3380.1124999999993</v>
      </c>
      <c r="K39" s="24">
        <f>SUM(K24:K28)</f>
        <v>150</v>
      </c>
      <c r="L39" s="26">
        <f>SUM(L24:L37)</f>
        <v>1075</v>
      </c>
    </row>
    <row r="40" spans="1:12" ht="15" customHeight="1">
      <c r="A40" s="17" t="s">
        <v>972</v>
      </c>
      <c r="L40" s="19"/>
    </row>
    <row r="41" spans="1:12" ht="15" customHeight="1">
      <c r="B41" s="7">
        <v>20300</v>
      </c>
      <c r="C41" s="285" t="s">
        <v>973</v>
      </c>
      <c r="D41">
        <v>1</v>
      </c>
      <c r="E41" t="s">
        <v>974</v>
      </c>
      <c r="F41" s="8">
        <v>400</v>
      </c>
      <c r="G41" s="9">
        <v>1</v>
      </c>
      <c r="H41" s="8">
        <f>F41*G41</f>
        <v>400</v>
      </c>
      <c r="I41" s="8">
        <f>H41*1.13</f>
        <v>451.99999999999994</v>
      </c>
      <c r="J41" s="8">
        <f>I41*1.25</f>
        <v>564.99999999999989</v>
      </c>
      <c r="K41" s="8">
        <v>0</v>
      </c>
      <c r="L41" s="19">
        <v>0</v>
      </c>
    </row>
    <row r="42" spans="1:12" ht="15" customHeight="1">
      <c r="B42" s="7">
        <v>20301</v>
      </c>
      <c r="C42" s="285" t="s">
        <v>255</v>
      </c>
      <c r="D42">
        <v>5</v>
      </c>
      <c r="E42" t="s">
        <v>974</v>
      </c>
      <c r="F42" s="8">
        <v>3</v>
      </c>
      <c r="G42" s="9">
        <v>160</v>
      </c>
      <c r="H42" s="8">
        <f t="shared" ref="H42:H44" si="18">F42*G42</f>
        <v>480</v>
      </c>
      <c r="I42" s="8">
        <f t="shared" ref="I42:I44" si="19">H42*1.13</f>
        <v>542.4</v>
      </c>
      <c r="J42" s="8">
        <f t="shared" ref="J42:J44" si="20">I42*1.25</f>
        <v>678</v>
      </c>
      <c r="K42" s="8">
        <v>0</v>
      </c>
      <c r="L42" s="19">
        <v>0</v>
      </c>
    </row>
    <row r="43" spans="1:12" ht="15" customHeight="1">
      <c r="B43" s="7">
        <v>20302</v>
      </c>
      <c r="C43" s="285" t="s">
        <v>975</v>
      </c>
      <c r="D43">
        <v>8</v>
      </c>
      <c r="E43" t="s">
        <v>974</v>
      </c>
      <c r="F43" s="8">
        <v>17</v>
      </c>
      <c r="G43" s="9">
        <v>3</v>
      </c>
      <c r="H43" s="8">
        <f t="shared" si="18"/>
        <v>51</v>
      </c>
      <c r="I43" s="8">
        <f t="shared" si="19"/>
        <v>57.629999999999995</v>
      </c>
      <c r="J43" s="8">
        <f t="shared" si="20"/>
        <v>72.037499999999994</v>
      </c>
      <c r="K43" s="8">
        <v>0</v>
      </c>
      <c r="L43" s="19">
        <v>0</v>
      </c>
    </row>
    <row r="44" spans="1:12" ht="15" customHeight="1">
      <c r="B44" s="7">
        <v>20303</v>
      </c>
      <c r="C44" s="285" t="s">
        <v>976</v>
      </c>
      <c r="D44">
        <v>8</v>
      </c>
      <c r="E44" t="s">
        <v>974</v>
      </c>
      <c r="F44" s="8">
        <v>40</v>
      </c>
      <c r="G44" s="9">
        <v>1</v>
      </c>
      <c r="H44" s="8">
        <f t="shared" si="18"/>
        <v>40</v>
      </c>
      <c r="I44" s="8">
        <f t="shared" si="19"/>
        <v>45.199999999999996</v>
      </c>
      <c r="J44" s="8">
        <f t="shared" si="20"/>
        <v>56.499999999999993</v>
      </c>
      <c r="K44" s="8">
        <v>0</v>
      </c>
      <c r="L44" s="19">
        <v>0</v>
      </c>
    </row>
    <row r="45" spans="1:12" ht="15" customHeight="1">
      <c r="B45" s="7">
        <v>20304</v>
      </c>
      <c r="C45" s="285" t="s">
        <v>977</v>
      </c>
      <c r="D45">
        <v>9</v>
      </c>
      <c r="E45" t="s">
        <v>978</v>
      </c>
      <c r="F45" s="8">
        <v>1100</v>
      </c>
      <c r="G45" s="9">
        <v>1</v>
      </c>
      <c r="H45" s="8">
        <f>F45*G45</f>
        <v>1100</v>
      </c>
      <c r="I45" s="8">
        <f>H45*1.13</f>
        <v>1242.9999999999998</v>
      </c>
      <c r="J45" s="8">
        <f>I45*1.25</f>
        <v>1553.7499999999998</v>
      </c>
      <c r="K45" s="8">
        <v>0</v>
      </c>
      <c r="L45" s="19">
        <v>0</v>
      </c>
    </row>
    <row r="46" spans="1:12" ht="15" customHeight="1">
      <c r="B46" s="7">
        <v>20305</v>
      </c>
      <c r="C46" s="285" t="s">
        <v>979</v>
      </c>
      <c r="D46">
        <v>8</v>
      </c>
      <c r="E46" t="s">
        <v>980</v>
      </c>
      <c r="F46" s="8">
        <v>1275</v>
      </c>
      <c r="G46" s="9">
        <v>1</v>
      </c>
      <c r="H46" s="8">
        <f t="shared" ref="H46" si="21">F46*G46</f>
        <v>1275</v>
      </c>
      <c r="I46" s="8">
        <f t="shared" ref="I46" si="22">H46*1.13</f>
        <v>1440.7499999999998</v>
      </c>
      <c r="J46" s="8">
        <f t="shared" ref="J46" si="23">I46*1.25</f>
        <v>1800.9374999999998</v>
      </c>
      <c r="K46" s="8">
        <v>1275</v>
      </c>
      <c r="L46" s="19">
        <v>1275</v>
      </c>
    </row>
    <row r="47" spans="1:12" ht="15" customHeight="1">
      <c r="L47" s="19"/>
    </row>
    <row r="48" spans="1:12" ht="15" customHeight="1">
      <c r="A48" s="17"/>
      <c r="B48" s="21" t="s">
        <v>308</v>
      </c>
      <c r="C48" s="22"/>
      <c r="D48" s="23"/>
      <c r="E48" s="23"/>
      <c r="F48" s="24"/>
      <c r="G48" s="25"/>
      <c r="H48" s="24"/>
      <c r="I48" s="24">
        <f>SUM(I41:I45)</f>
        <v>2340.2299999999996</v>
      </c>
      <c r="J48" s="24">
        <f>SUM(J41:J45)</f>
        <v>2925.2874999999995</v>
      </c>
      <c r="K48" s="24">
        <f>SUM(K41:K44)</f>
        <v>0</v>
      </c>
      <c r="L48" s="26">
        <f>SUM(L41:L46)</f>
        <v>1275</v>
      </c>
    </row>
    <row r="49" spans="1:12" ht="15" customHeight="1">
      <c r="A49" s="17" t="s">
        <v>947</v>
      </c>
      <c r="L49" s="19"/>
    </row>
    <row r="50" spans="1:12" ht="15" customHeight="1">
      <c r="B50" s="7">
        <v>20400</v>
      </c>
      <c r="C50" t="s">
        <v>338</v>
      </c>
      <c r="D50">
        <v>3</v>
      </c>
      <c r="E50" t="s">
        <v>981</v>
      </c>
      <c r="F50" s="8">
        <v>34.5</v>
      </c>
      <c r="G50" s="9">
        <v>3</v>
      </c>
      <c r="H50" s="8">
        <f>F50*G50</f>
        <v>103.5</v>
      </c>
      <c r="I50" s="8">
        <f>H50*1.13</f>
        <v>116.95499999999998</v>
      </c>
      <c r="J50" s="8">
        <f>I50*1.25</f>
        <v>146.19374999999997</v>
      </c>
      <c r="K50" s="8">
        <v>0</v>
      </c>
      <c r="L50" s="19">
        <v>0</v>
      </c>
    </row>
    <row r="51" spans="1:12" ht="15" customHeight="1">
      <c r="B51" s="7">
        <v>20401</v>
      </c>
      <c r="C51" t="s">
        <v>340</v>
      </c>
      <c r="D51">
        <v>4</v>
      </c>
      <c r="E51" t="s">
        <v>981</v>
      </c>
      <c r="F51" s="8">
        <v>60.95</v>
      </c>
      <c r="G51" s="9">
        <v>1</v>
      </c>
      <c r="H51" s="8">
        <f t="shared" ref="H51:H53" si="24">F51*G51</f>
        <v>60.95</v>
      </c>
      <c r="I51" s="8">
        <f t="shared" ref="I51:I52" si="25">H51*1.13</f>
        <v>68.873499999999993</v>
      </c>
      <c r="J51" s="8">
        <f t="shared" ref="J51:J53" si="26">I51*1.25</f>
        <v>86.091874999999987</v>
      </c>
      <c r="K51" s="8">
        <v>0</v>
      </c>
      <c r="L51" s="19">
        <v>0</v>
      </c>
    </row>
    <row r="52" spans="1:12" ht="15" customHeight="1">
      <c r="B52" s="7">
        <v>20402</v>
      </c>
      <c r="C52" t="s">
        <v>982</v>
      </c>
      <c r="D52">
        <v>4</v>
      </c>
      <c r="E52" t="s">
        <v>981</v>
      </c>
      <c r="F52" s="8">
        <v>11.49</v>
      </c>
      <c r="G52" s="9">
        <v>3</v>
      </c>
      <c r="H52" s="8">
        <f t="shared" si="24"/>
        <v>34.47</v>
      </c>
      <c r="I52" s="8">
        <f t="shared" si="25"/>
        <v>38.951099999999997</v>
      </c>
      <c r="J52" s="8">
        <f t="shared" si="26"/>
        <v>48.688874999999996</v>
      </c>
      <c r="K52" s="8">
        <v>0</v>
      </c>
      <c r="L52" s="19">
        <v>0</v>
      </c>
    </row>
    <row r="53" spans="1:12" ht="15" customHeight="1">
      <c r="B53" s="7">
        <v>20403</v>
      </c>
      <c r="C53" t="s">
        <v>983</v>
      </c>
      <c r="D53">
        <v>1</v>
      </c>
      <c r="E53" t="s">
        <v>981</v>
      </c>
      <c r="F53" s="8">
        <v>1700</v>
      </c>
      <c r="G53" s="9">
        <v>3</v>
      </c>
      <c r="H53" s="8">
        <f t="shared" si="24"/>
        <v>5100</v>
      </c>
      <c r="I53" s="8">
        <f>H53*1.13</f>
        <v>5762.9999999999991</v>
      </c>
      <c r="J53" s="8">
        <f t="shared" si="26"/>
        <v>7203.7499999999991</v>
      </c>
      <c r="K53" s="8">
        <v>0</v>
      </c>
      <c r="L53" s="19">
        <v>0</v>
      </c>
    </row>
    <row r="54" spans="1:12" ht="15" customHeight="1">
      <c r="B54" s="7">
        <v>20404</v>
      </c>
      <c r="C54" t="s">
        <v>984</v>
      </c>
      <c r="D54">
        <v>4</v>
      </c>
      <c r="E54" t="s">
        <v>981</v>
      </c>
      <c r="F54" s="8">
        <v>80</v>
      </c>
      <c r="G54" s="9">
        <v>1</v>
      </c>
      <c r="H54" s="8">
        <f>F54*G54</f>
        <v>80</v>
      </c>
      <c r="I54" s="8">
        <f>H54*1.13</f>
        <v>90.399999999999991</v>
      </c>
      <c r="J54" s="8">
        <f>I54*1.25</f>
        <v>112.99999999999999</v>
      </c>
      <c r="K54" s="8">
        <v>0</v>
      </c>
      <c r="L54" s="19">
        <v>0</v>
      </c>
    </row>
    <row r="55" spans="1:12" ht="15" customHeight="1">
      <c r="B55" s="7">
        <v>20405</v>
      </c>
      <c r="C55" t="s">
        <v>985</v>
      </c>
      <c r="D55">
        <v>2</v>
      </c>
      <c r="E55" t="s">
        <v>981</v>
      </c>
      <c r="F55" s="8">
        <v>100</v>
      </c>
      <c r="G55" s="9">
        <v>1</v>
      </c>
      <c r="H55" s="8">
        <f t="shared" ref="H55:H57" si="27">F55*G55</f>
        <v>100</v>
      </c>
      <c r="I55" s="8">
        <f t="shared" ref="I55:I56" si="28">H55*1.13</f>
        <v>112.99999999999999</v>
      </c>
      <c r="J55" s="8">
        <f t="shared" ref="J55:J57" si="29">I55*1.25</f>
        <v>141.24999999999997</v>
      </c>
      <c r="K55" s="8">
        <v>0</v>
      </c>
      <c r="L55" s="19">
        <v>0</v>
      </c>
    </row>
    <row r="56" spans="1:12" ht="15" customHeight="1">
      <c r="B56" s="7">
        <v>20406</v>
      </c>
      <c r="C56" t="s">
        <v>986</v>
      </c>
      <c r="D56">
        <v>7</v>
      </c>
      <c r="F56" s="8">
        <v>50</v>
      </c>
      <c r="G56" s="9">
        <v>5</v>
      </c>
      <c r="H56" s="8">
        <f t="shared" si="27"/>
        <v>250</v>
      </c>
      <c r="I56" s="8">
        <f t="shared" si="28"/>
        <v>282.5</v>
      </c>
      <c r="J56" s="8">
        <f t="shared" si="29"/>
        <v>353.125</v>
      </c>
      <c r="K56" s="8">
        <v>260</v>
      </c>
      <c r="L56" s="19">
        <v>260</v>
      </c>
    </row>
    <row r="57" spans="1:12" ht="15" customHeight="1">
      <c r="B57" s="7">
        <v>20407</v>
      </c>
      <c r="C57" t="s">
        <v>987</v>
      </c>
      <c r="D57">
        <v>3</v>
      </c>
      <c r="E57" t="s">
        <v>981</v>
      </c>
      <c r="F57" s="8">
        <v>16.95</v>
      </c>
      <c r="G57" s="9">
        <v>15</v>
      </c>
      <c r="H57" s="8">
        <f t="shared" si="27"/>
        <v>254.25</v>
      </c>
      <c r="I57" s="8">
        <f>H57*1.13</f>
        <v>287.30249999999995</v>
      </c>
      <c r="J57" s="8">
        <f t="shared" si="29"/>
        <v>359.12812499999995</v>
      </c>
      <c r="K57" s="8">
        <v>0</v>
      </c>
      <c r="L57" s="19">
        <v>0</v>
      </c>
    </row>
    <row r="58" spans="1:12" ht="15" customHeight="1">
      <c r="B58" s="7">
        <v>20408</v>
      </c>
      <c r="C58" t="s">
        <v>988</v>
      </c>
      <c r="D58">
        <v>2</v>
      </c>
      <c r="E58" t="s">
        <v>981</v>
      </c>
      <c r="F58" s="8">
        <v>90</v>
      </c>
      <c r="G58" s="9">
        <v>10</v>
      </c>
      <c r="H58" s="8">
        <f>F58*G58</f>
        <v>900</v>
      </c>
      <c r="I58" s="8">
        <f>H58*1.13</f>
        <v>1016.9999999999999</v>
      </c>
      <c r="J58" s="8">
        <f>I58*1.25</f>
        <v>1271.2499999999998</v>
      </c>
      <c r="K58" s="8">
        <v>0</v>
      </c>
      <c r="L58" s="19">
        <v>0</v>
      </c>
    </row>
    <row r="59" spans="1:12" ht="15" customHeight="1">
      <c r="B59" s="7">
        <v>20409</v>
      </c>
      <c r="C59" t="s">
        <v>961</v>
      </c>
      <c r="D59">
        <v>5</v>
      </c>
      <c r="E59" t="s">
        <v>981</v>
      </c>
      <c r="F59" s="8">
        <v>75</v>
      </c>
      <c r="G59" s="9">
        <v>3</v>
      </c>
      <c r="H59" s="8">
        <f t="shared" ref="H59:H64" si="30">F59*G59</f>
        <v>225</v>
      </c>
      <c r="I59" s="8">
        <f t="shared" ref="I59:I60" si="31">H59*1.13</f>
        <v>254.24999999999997</v>
      </c>
      <c r="J59" s="8">
        <f t="shared" ref="J59:J64" si="32">I59*1.25</f>
        <v>317.81249999999994</v>
      </c>
      <c r="K59" s="8">
        <v>0</v>
      </c>
      <c r="L59" s="19">
        <v>0</v>
      </c>
    </row>
    <row r="60" spans="1:12" ht="15" customHeight="1">
      <c r="B60" s="7">
        <v>20410</v>
      </c>
      <c r="C60" t="s">
        <v>989</v>
      </c>
      <c r="D60">
        <v>3</v>
      </c>
      <c r="E60" t="s">
        <v>981</v>
      </c>
      <c r="F60" s="8">
        <v>92</v>
      </c>
      <c r="G60" s="9">
        <v>1</v>
      </c>
      <c r="H60" s="8">
        <f t="shared" si="30"/>
        <v>92</v>
      </c>
      <c r="I60" s="8">
        <f t="shared" si="31"/>
        <v>103.96</v>
      </c>
      <c r="J60" s="8">
        <f t="shared" si="32"/>
        <v>129.94999999999999</v>
      </c>
      <c r="K60" s="8">
        <v>0</v>
      </c>
      <c r="L60" s="19">
        <v>0</v>
      </c>
    </row>
    <row r="61" spans="1:12" ht="15" customHeight="1">
      <c r="B61" s="7">
        <v>20411</v>
      </c>
      <c r="C61" t="s">
        <v>990</v>
      </c>
      <c r="D61">
        <v>3</v>
      </c>
      <c r="E61" t="s">
        <v>981</v>
      </c>
      <c r="F61" s="8">
        <v>3.77</v>
      </c>
      <c r="G61" s="9">
        <v>4</v>
      </c>
      <c r="H61" s="8">
        <f t="shared" si="30"/>
        <v>15.08</v>
      </c>
      <c r="I61" s="8">
        <f>H61*1.13</f>
        <v>17.040399999999998</v>
      </c>
      <c r="J61" s="8">
        <f t="shared" si="32"/>
        <v>21.3005</v>
      </c>
      <c r="K61" s="8">
        <v>0</v>
      </c>
      <c r="L61" s="19">
        <v>0</v>
      </c>
    </row>
    <row r="62" spans="1:12" ht="15" customHeight="1">
      <c r="B62" s="7">
        <v>20412</v>
      </c>
      <c r="C62" t="s">
        <v>991</v>
      </c>
      <c r="D62">
        <v>6</v>
      </c>
      <c r="E62" t="s">
        <v>981</v>
      </c>
      <c r="F62" s="8">
        <v>30</v>
      </c>
      <c r="G62" s="9">
        <v>40</v>
      </c>
      <c r="H62" s="8">
        <f t="shared" si="30"/>
        <v>1200</v>
      </c>
      <c r="I62" s="8">
        <f t="shared" ref="I62" si="33">H62*1.13</f>
        <v>1355.9999999999998</v>
      </c>
      <c r="J62" s="8">
        <f t="shared" si="32"/>
        <v>1694.9999999999998</v>
      </c>
      <c r="K62" s="8">
        <v>0</v>
      </c>
      <c r="L62" s="19">
        <v>0</v>
      </c>
    </row>
    <row r="63" spans="1:12" ht="15" customHeight="1">
      <c r="B63" s="7">
        <v>20413</v>
      </c>
      <c r="C63" s="35" t="s">
        <v>992</v>
      </c>
      <c r="D63">
        <v>6</v>
      </c>
      <c r="E63" t="s">
        <v>981</v>
      </c>
      <c r="F63" s="8">
        <v>8</v>
      </c>
      <c r="G63" s="9">
        <v>50</v>
      </c>
      <c r="H63" s="8">
        <f t="shared" si="30"/>
        <v>400</v>
      </c>
      <c r="I63" s="8">
        <f>H63*1.13</f>
        <v>451.99999999999994</v>
      </c>
      <c r="J63" s="8">
        <f t="shared" si="32"/>
        <v>564.99999999999989</v>
      </c>
      <c r="K63" s="8">
        <v>0</v>
      </c>
      <c r="L63" s="19">
        <v>0</v>
      </c>
    </row>
    <row r="64" spans="1:12" ht="15" customHeight="1">
      <c r="B64" s="7">
        <v>20414</v>
      </c>
      <c r="C64" t="s">
        <v>993</v>
      </c>
      <c r="D64">
        <v>1</v>
      </c>
      <c r="E64" t="s">
        <v>981</v>
      </c>
      <c r="F64" s="8">
        <v>300</v>
      </c>
      <c r="G64" s="9">
        <v>1</v>
      </c>
      <c r="H64" s="8">
        <f t="shared" si="30"/>
        <v>300</v>
      </c>
      <c r="I64" s="8">
        <f t="shared" ref="I64" si="34">H64*1.13</f>
        <v>338.99999999999994</v>
      </c>
      <c r="J64" s="8">
        <f t="shared" si="32"/>
        <v>423.74999999999994</v>
      </c>
      <c r="K64" s="8">
        <v>0</v>
      </c>
      <c r="L64" s="19">
        <v>0</v>
      </c>
    </row>
    <row r="65" spans="1:12" ht="15" customHeight="1">
      <c r="B65" s="7">
        <v>20415</v>
      </c>
      <c r="C65" s="35" t="s">
        <v>994</v>
      </c>
      <c r="D65">
        <v>9</v>
      </c>
      <c r="F65" s="8">
        <v>200</v>
      </c>
      <c r="G65" s="9">
        <v>1</v>
      </c>
      <c r="H65" s="8">
        <f>F65*G65</f>
        <v>200</v>
      </c>
      <c r="I65" s="8">
        <f>H65*1.13</f>
        <v>225.99999999999997</v>
      </c>
      <c r="J65" s="8">
        <f>I65*1.25</f>
        <v>282.49999999999994</v>
      </c>
      <c r="K65" s="8">
        <v>0</v>
      </c>
      <c r="L65" s="19">
        <v>0</v>
      </c>
    </row>
    <row r="66" spans="1:12" ht="15" customHeight="1">
      <c r="B66" s="7">
        <v>20416</v>
      </c>
      <c r="C66" t="s">
        <v>995</v>
      </c>
      <c r="D66">
        <v>1</v>
      </c>
      <c r="E66" t="s">
        <v>981</v>
      </c>
      <c r="F66" s="8">
        <v>1000</v>
      </c>
      <c r="G66" s="9">
        <v>1</v>
      </c>
      <c r="H66" s="8">
        <f t="shared" ref="H66" si="35">F66*G66</f>
        <v>1000</v>
      </c>
      <c r="I66" s="8">
        <f t="shared" ref="I66" si="36">H66*1.13</f>
        <v>1130</v>
      </c>
      <c r="J66" s="8">
        <f t="shared" ref="J66" si="37">I66*1.25</f>
        <v>1412.5</v>
      </c>
      <c r="K66" s="8">
        <v>0</v>
      </c>
      <c r="L66" s="19">
        <v>0</v>
      </c>
    </row>
    <row r="67" spans="1:12" ht="15" customHeight="1">
      <c r="B67" s="7">
        <v>20417</v>
      </c>
      <c r="C67" s="35" t="s">
        <v>996</v>
      </c>
      <c r="D67">
        <v>10</v>
      </c>
      <c r="E67" t="s">
        <v>981</v>
      </c>
      <c r="F67" s="8">
        <v>200</v>
      </c>
      <c r="G67" s="9">
        <v>1</v>
      </c>
      <c r="H67" s="8">
        <f>F67*G67</f>
        <v>200</v>
      </c>
      <c r="I67" s="8">
        <f>H67*1.13</f>
        <v>225.99999999999997</v>
      </c>
      <c r="J67" s="8">
        <f>I67*1.25</f>
        <v>282.49999999999994</v>
      </c>
      <c r="K67" s="8">
        <v>0</v>
      </c>
      <c r="L67" s="19">
        <v>0</v>
      </c>
    </row>
    <row r="68" spans="1:12" ht="15" customHeight="1">
      <c r="B68" s="7">
        <v>20418</v>
      </c>
      <c r="C68" t="s">
        <v>997</v>
      </c>
      <c r="D68">
        <v>10</v>
      </c>
      <c r="E68" t="s">
        <v>981</v>
      </c>
      <c r="F68" s="8">
        <v>3</v>
      </c>
      <c r="G68" s="9">
        <v>40</v>
      </c>
      <c r="H68" s="8">
        <f t="shared" ref="H68" si="38">F68*G68</f>
        <v>120</v>
      </c>
      <c r="I68" s="8">
        <f t="shared" ref="I68" si="39">H68*1.13</f>
        <v>135.6</v>
      </c>
      <c r="J68" s="8">
        <f t="shared" ref="J68" si="40">I68*1.25</f>
        <v>169.5</v>
      </c>
      <c r="K68" s="8">
        <v>0</v>
      </c>
      <c r="L68" s="19">
        <v>0</v>
      </c>
    </row>
    <row r="69" spans="1:12" ht="15" customHeight="1">
      <c r="B69" s="7">
        <v>20419</v>
      </c>
      <c r="C69" s="35" t="s">
        <v>979</v>
      </c>
      <c r="D69">
        <v>10</v>
      </c>
      <c r="E69" t="s">
        <v>980</v>
      </c>
      <c r="F69" s="8">
        <v>1275</v>
      </c>
      <c r="G69" s="9">
        <v>1</v>
      </c>
      <c r="H69" s="8">
        <f>F69*G69</f>
        <v>1275</v>
      </c>
      <c r="I69" s="8">
        <f>H69*1.13</f>
        <v>1440.7499999999998</v>
      </c>
      <c r="J69" s="8">
        <f>I69*1.25</f>
        <v>1800.9374999999998</v>
      </c>
      <c r="K69" s="8">
        <v>1275</v>
      </c>
      <c r="L69" s="19">
        <v>1275</v>
      </c>
    </row>
    <row r="70" spans="1:12" ht="15" customHeight="1">
      <c r="L70" s="19"/>
    </row>
    <row r="71" spans="1:12" ht="15" customHeight="1">
      <c r="A71" s="17"/>
      <c r="B71" s="21" t="s">
        <v>312</v>
      </c>
      <c r="C71" s="22"/>
      <c r="D71" s="23"/>
      <c r="E71" s="23"/>
      <c r="F71" s="24"/>
      <c r="G71" s="25"/>
      <c r="H71" s="24"/>
      <c r="I71" s="24">
        <f>SUM(I50:I68)</f>
        <v>12017.832499999999</v>
      </c>
      <c r="J71" s="24">
        <f>SUM(J50:J68)</f>
        <v>15022.290625</v>
      </c>
      <c r="K71" s="24">
        <f>SUM(K50:K53)</f>
        <v>0</v>
      </c>
      <c r="L71" s="26">
        <f>SUM(L50:L69)</f>
        <v>1535</v>
      </c>
    </row>
    <row r="72" spans="1:12" ht="15" customHeight="1">
      <c r="A72" s="17" t="s">
        <v>998</v>
      </c>
      <c r="L72" s="19"/>
    </row>
    <row r="73" spans="1:12" ht="15" customHeight="1">
      <c r="B73" s="7">
        <v>20500</v>
      </c>
      <c r="C73" s="285" t="s">
        <v>825</v>
      </c>
      <c r="D73">
        <v>8</v>
      </c>
      <c r="E73" t="s">
        <v>999</v>
      </c>
      <c r="F73" s="8">
        <v>20</v>
      </c>
      <c r="G73" s="9">
        <v>10</v>
      </c>
      <c r="H73" s="8">
        <f>F73*G73</f>
        <v>200</v>
      </c>
      <c r="I73" s="8">
        <f>H73*1.13</f>
        <v>225.99999999999997</v>
      </c>
      <c r="J73" s="8">
        <f>I73*1.25</f>
        <v>282.49999999999994</v>
      </c>
      <c r="K73" s="8">
        <v>0</v>
      </c>
      <c r="L73" s="19">
        <v>0</v>
      </c>
    </row>
    <row r="74" spans="1:12" ht="15" customHeight="1">
      <c r="B74" s="7">
        <v>20501</v>
      </c>
      <c r="C74" s="285" t="s">
        <v>1000</v>
      </c>
      <c r="D74">
        <v>8</v>
      </c>
      <c r="E74" t="s">
        <v>1001</v>
      </c>
      <c r="F74" s="8">
        <v>120</v>
      </c>
      <c r="G74" s="9">
        <v>1</v>
      </c>
      <c r="H74" s="8">
        <f t="shared" ref="H74" si="41">F74*G74</f>
        <v>120</v>
      </c>
      <c r="I74" s="8">
        <f t="shared" ref="I74" si="42">H74*1.13</f>
        <v>135.6</v>
      </c>
      <c r="J74" s="8">
        <f t="shared" ref="J74" si="43">I74*1.25</f>
        <v>169.5</v>
      </c>
      <c r="K74" s="8">
        <v>0</v>
      </c>
      <c r="L74" s="19">
        <v>0</v>
      </c>
    </row>
    <row r="75" spans="1:12" ht="15" customHeight="1">
      <c r="B75" s="7">
        <v>20502</v>
      </c>
      <c r="C75" s="285" t="s">
        <v>1002</v>
      </c>
      <c r="D75">
        <v>7</v>
      </c>
      <c r="E75" t="s">
        <v>1003</v>
      </c>
      <c r="F75" s="8">
        <v>16.989999999999998</v>
      </c>
      <c r="G75" s="9">
        <v>12</v>
      </c>
      <c r="H75" s="8">
        <f>F75*G75</f>
        <v>203.88</v>
      </c>
      <c r="I75" s="8">
        <f>H75*1.13</f>
        <v>230.38439999999997</v>
      </c>
      <c r="J75" s="8">
        <f>I75*1.25</f>
        <v>287.98049999999995</v>
      </c>
      <c r="K75" s="8">
        <v>230.38</v>
      </c>
      <c r="L75" s="19">
        <v>230.38</v>
      </c>
    </row>
    <row r="76" spans="1:12" ht="15" customHeight="1">
      <c r="L76" s="19"/>
    </row>
    <row r="77" spans="1:12" ht="15" customHeight="1">
      <c r="A77" s="17"/>
      <c r="B77" s="21" t="s">
        <v>312</v>
      </c>
      <c r="C77" s="22"/>
      <c r="D77" s="23"/>
      <c r="E77" s="23"/>
      <c r="F77" s="24"/>
      <c r="G77" s="25"/>
      <c r="H77" s="24"/>
      <c r="I77" s="24">
        <f>SUM(I73:I75)</f>
        <v>591.98439999999994</v>
      </c>
      <c r="J77" s="24">
        <f>SUM(J73:J75)</f>
        <v>739.98049999999989</v>
      </c>
      <c r="K77" s="24">
        <f>SUM(K73:K73)</f>
        <v>0</v>
      </c>
      <c r="L77" s="26">
        <f>SUM(L73:L75)</f>
        <v>230.38</v>
      </c>
    </row>
    <row r="78" spans="1:12" ht="15" customHeight="1">
      <c r="A78" s="17" t="s">
        <v>1004</v>
      </c>
      <c r="L78" s="19"/>
    </row>
    <row r="79" spans="1:12" ht="15" customHeight="1">
      <c r="B79" s="7">
        <v>20600</v>
      </c>
      <c r="C79" s="285" t="s">
        <v>1005</v>
      </c>
      <c r="D79">
        <v>2</v>
      </c>
      <c r="F79" s="8">
        <v>3</v>
      </c>
      <c r="G79" s="9">
        <v>250</v>
      </c>
      <c r="H79" s="8">
        <f>F79*G79</f>
        <v>750</v>
      </c>
      <c r="I79" s="8">
        <f>H79*1.13</f>
        <v>847.49999999999989</v>
      </c>
      <c r="J79" s="8">
        <f>I79*1.25</f>
        <v>1059.3749999999998</v>
      </c>
      <c r="K79" s="8">
        <v>0</v>
      </c>
      <c r="L79" s="19">
        <v>0</v>
      </c>
    </row>
    <row r="80" spans="1:12" ht="15" customHeight="1">
      <c r="B80" s="7">
        <v>20601</v>
      </c>
      <c r="C80" s="285" t="s">
        <v>1006</v>
      </c>
      <c r="D80">
        <v>4</v>
      </c>
      <c r="F80" s="8">
        <v>30</v>
      </c>
      <c r="G80" s="9">
        <v>1</v>
      </c>
      <c r="H80" s="8">
        <f t="shared" ref="H80:H86" si="44">F80*G80</f>
        <v>30</v>
      </c>
      <c r="I80" s="8">
        <f t="shared" ref="I80:I81" si="45">H80*1.13</f>
        <v>33.9</v>
      </c>
      <c r="J80" s="8">
        <f t="shared" ref="J80:J86" si="46">I80*1.25</f>
        <v>42.375</v>
      </c>
      <c r="K80" s="8">
        <v>0</v>
      </c>
      <c r="L80" s="19">
        <v>0</v>
      </c>
    </row>
    <row r="81" spans="1:12" ht="15" customHeight="1">
      <c r="B81" s="7">
        <v>20602</v>
      </c>
      <c r="C81" s="285" t="s">
        <v>1007</v>
      </c>
      <c r="D81">
        <v>4</v>
      </c>
      <c r="E81" t="s">
        <v>1008</v>
      </c>
      <c r="F81" s="8">
        <v>30</v>
      </c>
      <c r="G81" s="9">
        <v>2</v>
      </c>
      <c r="H81" s="8">
        <f t="shared" si="44"/>
        <v>60</v>
      </c>
      <c r="I81" s="8">
        <f t="shared" si="45"/>
        <v>67.8</v>
      </c>
      <c r="J81" s="8">
        <f t="shared" si="46"/>
        <v>84.75</v>
      </c>
      <c r="K81" s="8">
        <v>61</v>
      </c>
      <c r="L81" s="19">
        <v>61</v>
      </c>
    </row>
    <row r="82" spans="1:12" ht="15" customHeight="1">
      <c r="B82" s="7">
        <v>20603</v>
      </c>
      <c r="C82" s="285" t="s">
        <v>1009</v>
      </c>
      <c r="D82">
        <v>1</v>
      </c>
      <c r="E82" t="s">
        <v>1010</v>
      </c>
      <c r="F82" s="8">
        <v>50</v>
      </c>
      <c r="G82" s="9">
        <v>4</v>
      </c>
      <c r="H82" s="8">
        <f t="shared" si="44"/>
        <v>200</v>
      </c>
      <c r="I82" s="8">
        <f>H82*1.13</f>
        <v>225.99999999999997</v>
      </c>
      <c r="J82" s="8">
        <f t="shared" si="46"/>
        <v>282.49999999999994</v>
      </c>
      <c r="K82" s="8">
        <v>0</v>
      </c>
      <c r="L82" s="19">
        <v>0</v>
      </c>
    </row>
    <row r="83" spans="1:12" ht="15" customHeight="1">
      <c r="B83" s="7">
        <v>20604</v>
      </c>
      <c r="C83" s="285" t="s">
        <v>1011</v>
      </c>
      <c r="D83">
        <v>8</v>
      </c>
      <c r="F83" s="8">
        <v>100</v>
      </c>
      <c r="G83" s="9">
        <v>1</v>
      </c>
      <c r="H83" s="8">
        <f t="shared" si="44"/>
        <v>100</v>
      </c>
      <c r="I83" s="8">
        <f t="shared" ref="I83" si="47">H83*1.13</f>
        <v>112.99999999999999</v>
      </c>
      <c r="J83" s="8">
        <f t="shared" si="46"/>
        <v>141.24999999999997</v>
      </c>
      <c r="K83" s="8">
        <v>0</v>
      </c>
      <c r="L83" s="19">
        <v>0</v>
      </c>
    </row>
    <row r="84" spans="1:12" ht="15" customHeight="1">
      <c r="B84" s="7">
        <v>20605</v>
      </c>
      <c r="C84" s="285" t="s">
        <v>1012</v>
      </c>
      <c r="D84">
        <v>7</v>
      </c>
      <c r="F84" s="8">
        <v>10</v>
      </c>
      <c r="G84" s="9">
        <v>7</v>
      </c>
      <c r="H84" s="8">
        <f t="shared" si="44"/>
        <v>70</v>
      </c>
      <c r="I84" s="8">
        <f>H84*1.13</f>
        <v>79.099999999999994</v>
      </c>
      <c r="J84" s="8">
        <f t="shared" si="46"/>
        <v>98.875</v>
      </c>
      <c r="K84" s="8">
        <v>0</v>
      </c>
      <c r="L84" s="19">
        <v>0</v>
      </c>
    </row>
    <row r="85" spans="1:12" ht="15" customHeight="1">
      <c r="B85" s="7">
        <v>20606</v>
      </c>
      <c r="C85" s="285" t="s">
        <v>1013</v>
      </c>
      <c r="D85">
        <v>5</v>
      </c>
      <c r="E85" t="s">
        <v>1014</v>
      </c>
      <c r="F85" s="8">
        <v>12.5</v>
      </c>
      <c r="G85" s="9">
        <v>3</v>
      </c>
      <c r="H85" s="8">
        <f t="shared" si="44"/>
        <v>37.5</v>
      </c>
      <c r="I85" s="8">
        <f t="shared" ref="I85" si="48">H85*1.13</f>
        <v>42.374999999999993</v>
      </c>
      <c r="J85" s="8">
        <f t="shared" si="46"/>
        <v>52.968749999999993</v>
      </c>
      <c r="K85" s="8">
        <v>0</v>
      </c>
      <c r="L85" s="19">
        <v>0</v>
      </c>
    </row>
    <row r="86" spans="1:12" ht="15" customHeight="1">
      <c r="B86" s="7">
        <v>20607</v>
      </c>
      <c r="C86" s="285" t="s">
        <v>959</v>
      </c>
      <c r="D86">
        <v>6</v>
      </c>
      <c r="E86" t="s">
        <v>1014</v>
      </c>
      <c r="F86" s="8">
        <v>18</v>
      </c>
      <c r="G86" s="9">
        <v>2</v>
      </c>
      <c r="H86" s="8">
        <f t="shared" si="44"/>
        <v>36</v>
      </c>
      <c r="I86" s="8">
        <f>H86*1.13</f>
        <v>40.679999999999993</v>
      </c>
      <c r="J86" s="8">
        <f t="shared" si="46"/>
        <v>50.849999999999994</v>
      </c>
      <c r="K86" s="8">
        <v>0</v>
      </c>
      <c r="L86" s="19">
        <v>0</v>
      </c>
    </row>
    <row r="87" spans="1:12" ht="15" customHeight="1">
      <c r="L87" s="19"/>
    </row>
    <row r="88" spans="1:12" ht="15" customHeight="1">
      <c r="A88" s="17"/>
      <c r="B88" s="21" t="s">
        <v>312</v>
      </c>
      <c r="C88" s="22"/>
      <c r="D88" s="23"/>
      <c r="E88" s="23"/>
      <c r="F88" s="24"/>
      <c r="G88" s="25"/>
      <c r="H88" s="24"/>
      <c r="I88" s="24">
        <f>SUM(I79:I86)</f>
        <v>1450.3549999999998</v>
      </c>
      <c r="J88" s="24">
        <f>SUM(J79:J86)</f>
        <v>1812.9437499999997</v>
      </c>
      <c r="K88" s="24">
        <f>SUM(K79:K82)</f>
        <v>61</v>
      </c>
      <c r="L88" s="26">
        <f>SUM(L79:L82)</f>
        <v>61</v>
      </c>
    </row>
    <row r="89" spans="1:12" ht="15" customHeight="1">
      <c r="A89" s="17" t="s">
        <v>1015</v>
      </c>
      <c r="L89" s="19"/>
    </row>
    <row r="90" spans="1:12" ht="15" customHeight="1">
      <c r="B90" s="7">
        <v>20700</v>
      </c>
      <c r="C90" t="s">
        <v>338</v>
      </c>
      <c r="D90">
        <v>3</v>
      </c>
      <c r="E90" t="s">
        <v>1016</v>
      </c>
      <c r="F90" s="8">
        <v>20</v>
      </c>
      <c r="G90" s="9">
        <v>4</v>
      </c>
      <c r="H90" s="8">
        <f>F90*G90</f>
        <v>80</v>
      </c>
      <c r="I90" s="8">
        <f>H90*1.13</f>
        <v>90.399999999999991</v>
      </c>
      <c r="J90" s="8">
        <f>I90*1.25</f>
        <v>112.99999999999999</v>
      </c>
      <c r="K90" s="8">
        <v>0</v>
      </c>
      <c r="L90" s="19">
        <v>0</v>
      </c>
    </row>
    <row r="91" spans="1:12" ht="15" customHeight="1">
      <c r="B91" s="7">
        <v>20701</v>
      </c>
      <c r="C91" t="s">
        <v>1017</v>
      </c>
      <c r="D91">
        <v>3</v>
      </c>
      <c r="E91" t="s">
        <v>1016</v>
      </c>
      <c r="F91" s="8">
        <v>10</v>
      </c>
      <c r="G91" s="9">
        <v>10</v>
      </c>
      <c r="H91" s="8">
        <f t="shared" ref="H91:H94" si="49">F91*G91</f>
        <v>100</v>
      </c>
      <c r="I91" s="8">
        <f t="shared" ref="I91:I92" si="50">H91*1.13</f>
        <v>112.99999999999999</v>
      </c>
      <c r="J91" s="8">
        <f t="shared" ref="J91:J94" si="51">I91*1.25</f>
        <v>141.24999999999997</v>
      </c>
      <c r="K91" s="8">
        <v>0</v>
      </c>
      <c r="L91" s="19">
        <v>0</v>
      </c>
    </row>
    <row r="92" spans="1:12" ht="15" customHeight="1">
      <c r="B92" s="7">
        <v>20702</v>
      </c>
      <c r="C92" t="s">
        <v>1018</v>
      </c>
      <c r="D92">
        <v>2</v>
      </c>
      <c r="E92" t="s">
        <v>1019</v>
      </c>
      <c r="F92" s="8">
        <v>45</v>
      </c>
      <c r="G92" s="9">
        <v>29</v>
      </c>
      <c r="H92" s="8">
        <f t="shared" si="49"/>
        <v>1305</v>
      </c>
      <c r="I92" s="8">
        <f t="shared" si="50"/>
        <v>1474.6499999999999</v>
      </c>
      <c r="J92" s="8">
        <f t="shared" si="51"/>
        <v>1843.3124999999998</v>
      </c>
      <c r="K92" s="8">
        <v>735.29</v>
      </c>
      <c r="L92" s="19">
        <v>735.29</v>
      </c>
    </row>
    <row r="93" spans="1:12" ht="15" customHeight="1">
      <c r="B93" s="7">
        <v>20703</v>
      </c>
      <c r="C93" t="s">
        <v>1020</v>
      </c>
      <c r="D93">
        <v>4</v>
      </c>
      <c r="E93" t="s">
        <v>1021</v>
      </c>
      <c r="F93" s="8">
        <v>25</v>
      </c>
      <c r="G93" s="9">
        <v>4</v>
      </c>
      <c r="H93" s="8">
        <f t="shared" si="49"/>
        <v>100</v>
      </c>
      <c r="I93" s="8">
        <f>H93*1.13</f>
        <v>112.99999999999999</v>
      </c>
      <c r="J93" s="8">
        <f t="shared" si="51"/>
        <v>141.24999999999997</v>
      </c>
      <c r="K93" s="8">
        <v>0</v>
      </c>
      <c r="L93" s="19">
        <v>0</v>
      </c>
    </row>
    <row r="94" spans="1:12" ht="15" customHeight="1">
      <c r="B94" s="7">
        <v>20704</v>
      </c>
      <c r="C94" t="s">
        <v>1022</v>
      </c>
      <c r="D94">
        <v>9</v>
      </c>
      <c r="E94" t="s">
        <v>1023</v>
      </c>
      <c r="F94" s="8">
        <v>35</v>
      </c>
      <c r="G94" s="9">
        <v>6</v>
      </c>
      <c r="H94" s="8">
        <f t="shared" si="49"/>
        <v>210</v>
      </c>
      <c r="I94" s="8">
        <f t="shared" ref="I94" si="52">H94*1.13</f>
        <v>237.29999999999998</v>
      </c>
      <c r="J94" s="8">
        <f t="shared" si="51"/>
        <v>296.625</v>
      </c>
      <c r="K94" s="8">
        <v>0</v>
      </c>
      <c r="L94" s="19">
        <v>0</v>
      </c>
    </row>
    <row r="95" spans="1:12" ht="15" customHeight="1">
      <c r="L95" s="19"/>
    </row>
    <row r="96" spans="1:12" ht="15" customHeight="1">
      <c r="A96" s="17"/>
      <c r="B96" s="21" t="s">
        <v>312</v>
      </c>
      <c r="C96" s="22"/>
      <c r="D96" s="23"/>
      <c r="E96" s="23"/>
      <c r="F96" s="24"/>
      <c r="G96" s="25"/>
      <c r="H96" s="24"/>
      <c r="I96" s="24">
        <f>SUM(I90:I94)</f>
        <v>2028.3499999999997</v>
      </c>
      <c r="J96" s="24">
        <f>SUM(J90:J94)</f>
        <v>2535.4374999999995</v>
      </c>
      <c r="K96" s="24">
        <f>SUM(K90:K93)</f>
        <v>735.29</v>
      </c>
      <c r="L96" s="26">
        <f>SUM(L90:L93)</f>
        <v>735.29</v>
      </c>
    </row>
    <row r="97" spans="1:12" ht="15" customHeight="1">
      <c r="L97" s="19"/>
    </row>
    <row r="98" spans="1:12" ht="15" customHeight="1">
      <c r="A98" s="28"/>
      <c r="B98" s="29" t="s">
        <v>120</v>
      </c>
      <c r="C98" s="30"/>
      <c r="D98" s="31"/>
      <c r="E98" s="31"/>
      <c r="F98" s="32"/>
      <c r="G98" s="33"/>
      <c r="H98" s="32"/>
      <c r="I98" s="32">
        <f>SUM(I39,I48,I71,I77,I88,I96)</f>
        <v>21132.841899999996</v>
      </c>
      <c r="J98" s="32">
        <f>SUM(J39,J48,J71,J77,J88,J96)</f>
        <v>26416.052374999999</v>
      </c>
      <c r="K98" s="32">
        <v>0</v>
      </c>
      <c r="L98" s="34">
        <f>SUM(L39+L48+L71+L77+L88+L96)</f>
        <v>4911.67</v>
      </c>
    </row>
    <row r="99" spans="1:12" ht="15" customHeight="1">
      <c r="L99" s="19"/>
    </row>
    <row r="100" spans="1:12" ht="15" customHeight="1">
      <c r="A100" s="11" t="s">
        <v>56</v>
      </c>
      <c r="B100" s="12"/>
      <c r="C100" s="12"/>
      <c r="D100" s="13"/>
      <c r="E100" s="13"/>
      <c r="F100" s="14"/>
      <c r="G100" s="15"/>
      <c r="H100" s="14"/>
      <c r="I100" s="14"/>
      <c r="J100" s="14"/>
      <c r="K100" s="14"/>
      <c r="L100" s="16"/>
    </row>
    <row r="101" spans="1:12" ht="15" customHeight="1">
      <c r="A101" s="17"/>
      <c r="B101" s="295" t="s">
        <v>58</v>
      </c>
      <c r="C101" s="295"/>
      <c r="D101" s="17"/>
      <c r="E101" s="17"/>
      <c r="F101" s="36"/>
      <c r="G101" s="37"/>
      <c r="H101" s="36"/>
      <c r="I101" s="36">
        <f>I20</f>
        <v>4056.6999999999994</v>
      </c>
      <c r="J101" s="36">
        <f>J20</f>
        <v>3042.5249999999996</v>
      </c>
      <c r="K101" s="36">
        <f>K20</f>
        <v>0</v>
      </c>
      <c r="L101" s="38">
        <f>L20</f>
        <v>0</v>
      </c>
    </row>
    <row r="102" spans="1:12" ht="15" customHeight="1">
      <c r="A102" s="17"/>
      <c r="B102" s="295" t="s">
        <v>62</v>
      </c>
      <c r="C102" s="295"/>
      <c r="D102" s="17"/>
      <c r="E102" s="17"/>
      <c r="F102" s="36"/>
      <c r="G102" s="37"/>
      <c r="H102" s="36"/>
      <c r="I102" s="36">
        <f>I98</f>
        <v>21132.841899999996</v>
      </c>
      <c r="J102" s="36">
        <f>J98</f>
        <v>26416.052374999999</v>
      </c>
      <c r="K102" s="36">
        <f>K98</f>
        <v>0</v>
      </c>
      <c r="L102" s="39">
        <f>L98</f>
        <v>4911.67</v>
      </c>
    </row>
    <row r="103" spans="1:12" ht="15" customHeight="1">
      <c r="A103" s="40"/>
      <c r="B103" s="41" t="s">
        <v>65</v>
      </c>
      <c r="C103" s="41"/>
      <c r="D103" s="40"/>
      <c r="E103" s="40"/>
      <c r="F103" s="42"/>
      <c r="G103" s="43"/>
      <c r="H103" s="42"/>
      <c r="I103" s="42">
        <f>SUM(I101,I102*-1)</f>
        <v>-17076.141899999995</v>
      </c>
      <c r="J103" s="42">
        <f t="shared" ref="J103:L103" si="53">SUM(J101,J102*-1)</f>
        <v>-23373.527374999998</v>
      </c>
      <c r="K103" s="42">
        <f t="shared" si="53"/>
        <v>0</v>
      </c>
      <c r="L103" s="44">
        <f t="shared" si="53"/>
        <v>-4911.67</v>
      </c>
    </row>
  </sheetData>
  <mergeCells count="1">
    <mergeCell ref="B1:K1"/>
  </mergeCells>
  <conditionalFormatting sqref="B97:L103 B87:L88 H24:L28 B9:L10 C81:L82 B24:B34 B81:B86 B52:B65 B70:L74 B76:L80 B38:L51 C52:L53 C64:L65">
    <cfRule type="expression" dxfId="47" priority="47">
      <formula>MOD($B9,2)=1</formula>
    </cfRule>
  </conditionalFormatting>
  <conditionalFormatting sqref="B6:B8 H6:L8">
    <cfRule type="expression" dxfId="46" priority="46">
      <formula>MOD($B6,2)=1</formula>
    </cfRule>
  </conditionalFormatting>
  <conditionalFormatting sqref="B19:L21">
    <cfRule type="expression" dxfId="45" priority="45">
      <formula>MOD($B19,2)=1</formula>
    </cfRule>
  </conditionalFormatting>
  <conditionalFormatting sqref="B12:L18">
    <cfRule type="expression" dxfId="44" priority="44">
      <formula>MOD($B12,2)=1</formula>
    </cfRule>
  </conditionalFormatting>
  <conditionalFormatting sqref="B89:L91 B95:L96 D92:L93 B92:B94">
    <cfRule type="expression" dxfId="43" priority="43">
      <formula>MOD($B89,2)=1</formula>
    </cfRule>
  </conditionalFormatting>
  <conditionalFormatting sqref="C83:L84">
    <cfRule type="expression" dxfId="42" priority="42">
      <formula>MOD($B83,2)=1</formula>
    </cfRule>
  </conditionalFormatting>
  <conditionalFormatting sqref="C85:L86">
    <cfRule type="expression" dxfId="41" priority="41">
      <formula>MOD($B85,2)=1</formula>
    </cfRule>
  </conditionalFormatting>
  <conditionalFormatting sqref="H29:L32">
    <cfRule type="expression" dxfId="40" priority="40">
      <formula>MOD($B29,2)=1</formula>
    </cfRule>
  </conditionalFormatting>
  <conditionalFormatting sqref="H33:L34">
    <cfRule type="expression" dxfId="39" priority="39">
      <formula>MOD($B33,2)=1</formula>
    </cfRule>
  </conditionalFormatting>
  <conditionalFormatting sqref="C24:G28">
    <cfRule type="expression" dxfId="38" priority="38">
      <formula>MOD($B24,2)=1</formula>
    </cfRule>
  </conditionalFormatting>
  <conditionalFormatting sqref="C29:G30">
    <cfRule type="expression" dxfId="37" priority="37">
      <formula>MOD($B29,2)=1</formula>
    </cfRule>
  </conditionalFormatting>
  <conditionalFormatting sqref="C31:G32">
    <cfRule type="expression" dxfId="36" priority="36">
      <formula>MOD($B31,2)=1</formula>
    </cfRule>
  </conditionalFormatting>
  <conditionalFormatting sqref="C33:G34">
    <cfRule type="expression" dxfId="35" priority="35">
      <formula>MOD($B33,2)=1</formula>
    </cfRule>
  </conditionalFormatting>
  <conditionalFormatting sqref="C6:G8">
    <cfRule type="expression" dxfId="34" priority="34">
      <formula>MOD($B6,2)=1</formula>
    </cfRule>
  </conditionalFormatting>
  <conditionalFormatting sqref="C56:L56 C54:D55 F54:L55 C57:D58 F57:L57 F58:G58">
    <cfRule type="expression" dxfId="33" priority="33">
      <formula>MOD($B54,2)=1</formula>
    </cfRule>
  </conditionalFormatting>
  <conditionalFormatting sqref="C58:D62 F58:L61 F62:G62">
    <cfRule type="expression" dxfId="32" priority="32">
      <formula>MOD($B58,2)=1</formula>
    </cfRule>
  </conditionalFormatting>
  <conditionalFormatting sqref="C92:C93">
    <cfRule type="expression" dxfId="31" priority="31">
      <formula>MOD($B92,2)=1</formula>
    </cfRule>
  </conditionalFormatting>
  <conditionalFormatting sqref="D94:L94">
    <cfRule type="expression" dxfId="30" priority="30">
      <formula>MOD($B94,2)=1</formula>
    </cfRule>
  </conditionalFormatting>
  <conditionalFormatting sqref="C94">
    <cfRule type="expression" dxfId="29" priority="29">
      <formula>MOD($B94,2)=1</formula>
    </cfRule>
  </conditionalFormatting>
  <conditionalFormatting sqref="C62:D63 F62:L63">
    <cfRule type="expression" dxfId="28" priority="28">
      <formula>MOD($B62,2)=1</formula>
    </cfRule>
  </conditionalFormatting>
  <conditionalFormatting sqref="B66:D66 F66:L66">
    <cfRule type="expression" dxfId="27" priority="27">
      <formula>MOD($B66,2)=1</formula>
    </cfRule>
  </conditionalFormatting>
  <conditionalFormatting sqref="B67:D67 F67:L67">
    <cfRule type="expression" dxfId="26" priority="26">
      <formula>MOD($B67,2)=1</formula>
    </cfRule>
  </conditionalFormatting>
  <conditionalFormatting sqref="B68:D68 F68:L68">
    <cfRule type="expression" dxfId="25" priority="25">
      <formula>MOD($B68,2)=1</formula>
    </cfRule>
  </conditionalFormatting>
  <conditionalFormatting sqref="B75:L75">
    <cfRule type="expression" dxfId="24" priority="24">
      <formula>MOD($B75,2)=1</formula>
    </cfRule>
  </conditionalFormatting>
  <conditionalFormatting sqref="B35">
    <cfRule type="expression" dxfId="23" priority="23">
      <formula>MOD($B35,2)=1</formula>
    </cfRule>
  </conditionalFormatting>
  <conditionalFormatting sqref="H35:L35">
    <cfRule type="expression" dxfId="22" priority="22">
      <formula>MOD($B35,2)=1</formula>
    </cfRule>
  </conditionalFormatting>
  <conditionalFormatting sqref="C35:G35">
    <cfRule type="expression" dxfId="21" priority="21">
      <formula>MOD($B35,2)=1</formula>
    </cfRule>
  </conditionalFormatting>
  <conditionalFormatting sqref="B36">
    <cfRule type="expression" dxfId="20" priority="20">
      <formula>MOD($B36,2)=1</formula>
    </cfRule>
  </conditionalFormatting>
  <conditionalFormatting sqref="H36:L36">
    <cfRule type="expression" dxfId="19" priority="19">
      <formula>MOD($B36,2)=1</formula>
    </cfRule>
  </conditionalFormatting>
  <conditionalFormatting sqref="C36:G36">
    <cfRule type="expression" dxfId="18" priority="18">
      <formula>MOD($B36,2)=1</formula>
    </cfRule>
  </conditionalFormatting>
  <conditionalFormatting sqref="B37">
    <cfRule type="expression" dxfId="17" priority="17">
      <formula>MOD($B37,2)=1</formula>
    </cfRule>
  </conditionalFormatting>
  <conditionalFormatting sqref="H37:L37">
    <cfRule type="expression" dxfId="16" priority="16">
      <formula>MOD($B37,2)=1</formula>
    </cfRule>
  </conditionalFormatting>
  <conditionalFormatting sqref="C37:G37">
    <cfRule type="expression" dxfId="15" priority="15">
      <formula>MOD($B37,2)=1</formula>
    </cfRule>
  </conditionalFormatting>
  <conditionalFormatting sqref="B69:L69">
    <cfRule type="expression" dxfId="14" priority="14">
      <formula>MOD($B69,2)=1</formula>
    </cfRule>
  </conditionalFormatting>
  <conditionalFormatting sqref="E54">
    <cfRule type="expression" dxfId="13" priority="13">
      <formula>MOD($B54,2)=1</formula>
    </cfRule>
  </conditionalFormatting>
  <conditionalFormatting sqref="E57">
    <cfRule type="expression" dxfId="12" priority="11">
      <formula>MOD($B57,2)=1</formula>
    </cfRule>
  </conditionalFormatting>
  <conditionalFormatting sqref="E58">
    <cfRule type="expression" dxfId="11" priority="10">
      <formula>MOD($B58,2)=1</formula>
    </cfRule>
  </conditionalFormatting>
  <conditionalFormatting sqref="E59">
    <cfRule type="expression" dxfId="10" priority="9">
      <formula>MOD($B59,2)=1</formula>
    </cfRule>
  </conditionalFormatting>
  <conditionalFormatting sqref="E60">
    <cfRule type="expression" dxfId="9" priority="8">
      <formula>MOD($B60,2)=1</formula>
    </cfRule>
  </conditionalFormatting>
  <conditionalFormatting sqref="E61">
    <cfRule type="expression" dxfId="8" priority="7">
      <formula>MOD($B61,2)=1</formula>
    </cfRule>
  </conditionalFormatting>
  <conditionalFormatting sqref="E62">
    <cfRule type="expression" dxfId="7" priority="6">
      <formula>MOD($B62,2)=1</formula>
    </cfRule>
  </conditionalFormatting>
  <conditionalFormatting sqref="E63">
    <cfRule type="expression" dxfId="6" priority="5">
      <formula>MOD($B63,2)=1</formula>
    </cfRule>
  </conditionalFormatting>
  <conditionalFormatting sqref="E66">
    <cfRule type="expression" dxfId="5" priority="4">
      <formula>MOD($B66,2)=1</formula>
    </cfRule>
  </conditionalFormatting>
  <conditionalFormatting sqref="E67">
    <cfRule type="expression" dxfId="4" priority="3">
      <formula>MOD($B67,2)=1</formula>
    </cfRule>
  </conditionalFormatting>
  <conditionalFormatting sqref="E68">
    <cfRule type="expression" dxfId="3" priority="2">
      <formula>MOD($B68,2)=1</formula>
    </cfRule>
  </conditionalFormatting>
  <conditionalFormatting sqref="E55">
    <cfRule type="expression" dxfId="2" priority="1">
      <formula>MOD($B55,2)=1</formula>
    </cfRule>
  </conditionalFormatting>
  <pageMargins left="0.7" right="0.7" top="0.75" bottom="0.75" header="0.3" footer="0.3"/>
  <pageSetup scale="26" fitToWidth="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A5DD4-643B-456C-B6C9-53AFB221FF55}">
  <sheetPr codeName="Sheet10"/>
  <dimension ref="A1:N48"/>
  <sheetViews>
    <sheetView showGridLines="0" zoomScale="70" zoomScaleNormal="70" workbookViewId="0">
      <pane ySplit="2" topLeftCell="A3" activePane="bottomLeft" state="frozen"/>
      <selection pane="bottomLeft" activeCell="M8" sqref="M8"/>
    </sheetView>
  </sheetViews>
  <sheetFormatPr defaultColWidth="9.85546875" defaultRowHeight="14.85"/>
  <cols>
    <col min="1" max="1" width="30.140625" customWidth="1"/>
    <col min="2" max="3" width="23.5703125" style="7" customWidth="1"/>
    <col min="4" max="4" width="37.85546875" customWidth="1"/>
    <col min="5" max="5" width="36.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1024</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40</v>
      </c>
      <c r="B4" s="12"/>
      <c r="C4" s="12"/>
      <c r="D4" s="13"/>
      <c r="E4" s="13"/>
      <c r="F4" s="14"/>
      <c r="G4" s="15"/>
      <c r="H4" s="14"/>
      <c r="I4" s="14"/>
      <c r="J4" s="14"/>
      <c r="K4" s="14"/>
      <c r="L4" s="16"/>
    </row>
    <row r="5" spans="1:12" ht="15" customHeight="1">
      <c r="A5" s="17" t="s">
        <v>1025</v>
      </c>
      <c r="L5" s="19"/>
    </row>
    <row r="6" spans="1:12" ht="15" customHeight="1">
      <c r="B6" s="7">
        <v>85100</v>
      </c>
      <c r="C6" s="7" t="s">
        <v>1026</v>
      </c>
      <c r="D6">
        <v>6</v>
      </c>
      <c r="E6" t="s">
        <v>1027</v>
      </c>
      <c r="F6" s="8">
        <v>150</v>
      </c>
      <c r="G6" s="9">
        <v>1</v>
      </c>
      <c r="H6" s="8">
        <f>F6*G6</f>
        <v>150</v>
      </c>
      <c r="I6" s="8">
        <f>H6*1.13</f>
        <v>169.49999999999997</v>
      </c>
      <c r="J6" s="8">
        <f>I6*1.25</f>
        <v>211.87499999999997</v>
      </c>
      <c r="K6" s="8">
        <v>0</v>
      </c>
      <c r="L6" s="19"/>
    </row>
    <row r="7" spans="1:12" ht="15" customHeight="1">
      <c r="B7" s="7">
        <v>85101</v>
      </c>
      <c r="C7" s="7" t="s">
        <v>1028</v>
      </c>
      <c r="D7" s="9">
        <v>1</v>
      </c>
      <c r="E7" t="s">
        <v>1029</v>
      </c>
      <c r="F7" s="8">
        <v>1500</v>
      </c>
      <c r="G7" s="9">
        <v>1</v>
      </c>
      <c r="H7" s="8">
        <f t="shared" ref="H7" si="0">F7*G7</f>
        <v>1500</v>
      </c>
      <c r="I7" s="8">
        <f>H7</f>
        <v>1500</v>
      </c>
      <c r="J7" s="8">
        <f t="shared" ref="J7" si="1">I7*1.25</f>
        <v>1875</v>
      </c>
      <c r="K7" s="8">
        <v>0</v>
      </c>
      <c r="L7" s="19"/>
    </row>
    <row r="8" spans="1:12" ht="15" customHeight="1">
      <c r="B8" s="7">
        <v>85102</v>
      </c>
      <c r="C8" s="7" t="s">
        <v>1030</v>
      </c>
      <c r="D8" s="9">
        <v>1</v>
      </c>
      <c r="E8" t="s">
        <v>1031</v>
      </c>
      <c r="F8" s="8">
        <v>5000</v>
      </c>
      <c r="G8" s="9">
        <v>1</v>
      </c>
      <c r="H8" s="8">
        <f>F8*G8</f>
        <v>5000</v>
      </c>
      <c r="I8" s="8">
        <f>H8</f>
        <v>5000</v>
      </c>
      <c r="J8" s="8">
        <f>I8*1.25</f>
        <v>6250</v>
      </c>
      <c r="K8" s="8">
        <v>4973.75</v>
      </c>
      <c r="L8" s="8">
        <v>4973.75</v>
      </c>
    </row>
    <row r="9" spans="1:12" ht="15" customHeight="1">
      <c r="L9" s="19"/>
    </row>
    <row r="10" spans="1:12" ht="15" customHeight="1">
      <c r="A10" s="17"/>
      <c r="B10" s="21" t="s">
        <v>296</v>
      </c>
      <c r="C10" s="22"/>
      <c r="D10" s="23"/>
      <c r="E10" s="23"/>
      <c r="F10" s="24"/>
      <c r="G10" s="25"/>
      <c r="H10" s="24"/>
      <c r="I10" s="24">
        <f>SUM(I6:I8)</f>
        <v>6669.5</v>
      </c>
      <c r="J10" s="24">
        <f>SUM(J6:J8)</f>
        <v>8336.875</v>
      </c>
      <c r="K10" s="24">
        <f>SUM(K6:K8)</f>
        <v>4973.75</v>
      </c>
      <c r="L10" s="26">
        <f>SUM(L6:L8)</f>
        <v>4973.75</v>
      </c>
    </row>
    <row r="11" spans="1:12" ht="15" customHeight="1">
      <c r="A11" s="17" t="s">
        <v>1032</v>
      </c>
      <c r="L11" s="19"/>
    </row>
    <row r="12" spans="1:12" ht="15" customHeight="1">
      <c r="B12" s="7">
        <v>85200</v>
      </c>
      <c r="C12" s="7" t="s">
        <v>802</v>
      </c>
      <c r="D12">
        <v>1</v>
      </c>
      <c r="E12" t="s">
        <v>1033</v>
      </c>
      <c r="F12" s="8">
        <v>20</v>
      </c>
      <c r="G12" s="9">
        <v>5</v>
      </c>
      <c r="H12" s="8">
        <f t="shared" ref="H12:H18" si="2">F12*G12</f>
        <v>100</v>
      </c>
      <c r="I12" s="8">
        <f t="shared" ref="I12:I18" si="3">H12*1.13</f>
        <v>112.99999999999999</v>
      </c>
      <c r="J12" s="8">
        <f t="shared" ref="J12:J18" si="4">I12*1.25</f>
        <v>141.24999999999997</v>
      </c>
      <c r="K12" s="8">
        <v>100</v>
      </c>
      <c r="L12" s="8">
        <v>100</v>
      </c>
    </row>
    <row r="13" spans="1:12" s="27" customFormat="1" ht="15" customHeight="1">
      <c r="A13"/>
      <c r="B13" s="7">
        <v>85201</v>
      </c>
      <c r="C13" s="7" t="s">
        <v>1034</v>
      </c>
      <c r="D13">
        <v>7</v>
      </c>
      <c r="E13" t="s">
        <v>1035</v>
      </c>
      <c r="F13" s="8">
        <v>70</v>
      </c>
      <c r="G13" s="9">
        <v>1</v>
      </c>
      <c r="H13" s="8">
        <v>70</v>
      </c>
      <c r="I13" s="8">
        <f>H13*1.13</f>
        <v>79.099999999999994</v>
      </c>
      <c r="J13" s="8">
        <f>I13*1.25</f>
        <v>98.875</v>
      </c>
      <c r="K13" s="8">
        <v>0</v>
      </c>
      <c r="L13" s="8">
        <v>0</v>
      </c>
    </row>
    <row r="14" spans="1:12" ht="15" customHeight="1">
      <c r="B14" s="7">
        <v>85202</v>
      </c>
      <c r="C14" s="285" t="s">
        <v>1036</v>
      </c>
      <c r="D14">
        <v>7</v>
      </c>
      <c r="E14" t="s">
        <v>1037</v>
      </c>
      <c r="F14" s="8">
        <v>30</v>
      </c>
      <c r="G14" s="9">
        <v>1</v>
      </c>
      <c r="H14" s="8">
        <f t="shared" si="2"/>
        <v>30</v>
      </c>
      <c r="I14" s="8">
        <f t="shared" si="3"/>
        <v>33.9</v>
      </c>
      <c r="J14" s="8">
        <f t="shared" si="4"/>
        <v>42.375</v>
      </c>
      <c r="K14" s="8">
        <v>0</v>
      </c>
      <c r="L14" s="8">
        <v>0</v>
      </c>
    </row>
    <row r="15" spans="1:12" s="53" customFormat="1" ht="15" customHeight="1">
      <c r="A15"/>
      <c r="B15" s="7">
        <v>85203</v>
      </c>
      <c r="C15" s="7" t="s">
        <v>1038</v>
      </c>
      <c r="D15">
        <v>1</v>
      </c>
      <c r="E15" t="s">
        <v>1039</v>
      </c>
      <c r="F15" s="8">
        <v>1350</v>
      </c>
      <c r="G15" s="9">
        <v>1</v>
      </c>
      <c r="H15" s="8">
        <f t="shared" si="2"/>
        <v>1350</v>
      </c>
      <c r="I15" s="8">
        <f t="shared" si="3"/>
        <v>1525.4999999999998</v>
      </c>
      <c r="J15" s="8">
        <f t="shared" si="4"/>
        <v>1906.8749999999998</v>
      </c>
      <c r="K15" s="8">
        <v>900</v>
      </c>
      <c r="L15" s="8">
        <v>900</v>
      </c>
    </row>
    <row r="16" spans="1:12" ht="15" customHeight="1">
      <c r="B16" s="7">
        <v>85204</v>
      </c>
      <c r="C16" s="285" t="s">
        <v>1040</v>
      </c>
      <c r="D16">
        <v>2</v>
      </c>
      <c r="E16" t="s">
        <v>1041</v>
      </c>
      <c r="F16" s="8">
        <v>25</v>
      </c>
      <c r="G16" s="9">
        <v>3</v>
      </c>
      <c r="H16" s="8">
        <f>F16*G16</f>
        <v>75</v>
      </c>
      <c r="I16" s="8">
        <f t="shared" si="3"/>
        <v>84.749999999999986</v>
      </c>
      <c r="J16" s="8">
        <f t="shared" si="4"/>
        <v>105.93749999999999</v>
      </c>
      <c r="K16" s="8">
        <v>95.91</v>
      </c>
      <c r="L16" s="8">
        <v>95.91</v>
      </c>
    </row>
    <row r="17" spans="1:14" ht="15" customHeight="1">
      <c r="B17" s="7">
        <v>85205</v>
      </c>
      <c r="C17" s="285" t="s">
        <v>1042</v>
      </c>
      <c r="D17">
        <v>5</v>
      </c>
      <c r="E17" t="s">
        <v>1043</v>
      </c>
      <c r="F17" s="8">
        <v>45</v>
      </c>
      <c r="G17" s="9">
        <v>12</v>
      </c>
      <c r="H17" s="286">
        <f>F17*G17</f>
        <v>540</v>
      </c>
      <c r="I17" s="8">
        <f>H17*1.13</f>
        <v>610.19999999999993</v>
      </c>
      <c r="J17" s="8">
        <f>I17*1.25</f>
        <v>762.74999999999989</v>
      </c>
      <c r="L17" s="8"/>
    </row>
    <row r="18" spans="1:14" ht="15" customHeight="1">
      <c r="A18" s="17"/>
      <c r="B18" s="7">
        <v>85206</v>
      </c>
      <c r="C18" s="285" t="s">
        <v>1044</v>
      </c>
      <c r="D18">
        <v>1</v>
      </c>
      <c r="E18" t="s">
        <v>1045</v>
      </c>
      <c r="F18" s="8">
        <v>250</v>
      </c>
      <c r="G18" s="9">
        <v>1</v>
      </c>
      <c r="H18" s="8">
        <f t="shared" si="2"/>
        <v>250</v>
      </c>
      <c r="I18" s="8">
        <f t="shared" si="3"/>
        <v>282.5</v>
      </c>
      <c r="J18" s="8">
        <f t="shared" si="4"/>
        <v>353.125</v>
      </c>
      <c r="K18" s="8">
        <v>93.8</v>
      </c>
      <c r="L18" s="8">
        <v>93.8</v>
      </c>
    </row>
    <row r="19" spans="1:14" ht="15" customHeight="1">
      <c r="A19" s="17"/>
      <c r="C19" s="285"/>
      <c r="L19" s="19"/>
    </row>
    <row r="20" spans="1:14" ht="15" customHeight="1">
      <c r="A20" s="17" t="s">
        <v>1046</v>
      </c>
      <c r="B20" s="21" t="s">
        <v>308</v>
      </c>
      <c r="C20" s="22"/>
      <c r="D20" s="23"/>
      <c r="E20" s="23"/>
      <c r="F20" s="24"/>
      <c r="G20" s="25"/>
      <c r="H20" s="24"/>
      <c r="I20" s="24">
        <f>SUM(I12:I18)</f>
        <v>2728.95</v>
      </c>
      <c r="J20" s="24">
        <f>SUM(J12:J18)</f>
        <v>3411.1875</v>
      </c>
      <c r="K20" s="24">
        <f>SUM(K12:K15)</f>
        <v>1000</v>
      </c>
      <c r="L20" s="26">
        <f>SUM(L12:L15)</f>
        <v>1000</v>
      </c>
    </row>
    <row r="21" spans="1:14" ht="15" customHeight="1">
      <c r="L21" s="19"/>
    </row>
    <row r="22" spans="1:14" ht="15" customHeight="1">
      <c r="B22" s="7">
        <v>85200</v>
      </c>
      <c r="C22" s="7" t="s">
        <v>1047</v>
      </c>
      <c r="D22">
        <v>1</v>
      </c>
      <c r="E22" t="s">
        <v>1048</v>
      </c>
      <c r="F22" s="8">
        <v>20</v>
      </c>
      <c r="G22" s="9">
        <v>3</v>
      </c>
      <c r="H22" s="8">
        <f>F22*G22</f>
        <v>60</v>
      </c>
      <c r="I22" s="8">
        <f>H22*1.13</f>
        <v>67.8</v>
      </c>
      <c r="J22" s="8">
        <f>I22*1.25</f>
        <v>84.75</v>
      </c>
      <c r="K22" s="8">
        <v>0</v>
      </c>
      <c r="L22" s="8">
        <v>0</v>
      </c>
      <c r="M22" s="2" t="s">
        <v>1049</v>
      </c>
    </row>
    <row r="23" spans="1:14" ht="15" customHeight="1">
      <c r="B23" s="7">
        <v>85201</v>
      </c>
      <c r="C23" s="7" t="s">
        <v>1050</v>
      </c>
      <c r="D23">
        <v>1</v>
      </c>
      <c r="E23" t="s">
        <v>1051</v>
      </c>
      <c r="F23" s="8">
        <v>5</v>
      </c>
      <c r="G23" s="9">
        <v>14</v>
      </c>
      <c r="H23" s="8">
        <f t="shared" ref="H23:H25" si="5">F23*G23</f>
        <v>70</v>
      </c>
      <c r="I23" s="8">
        <f t="shared" ref="I23:I25" si="6">H23*1.13</f>
        <v>79.099999999999994</v>
      </c>
      <c r="J23" s="8">
        <f t="shared" ref="J23:J25" si="7">I23*1.25</f>
        <v>98.875</v>
      </c>
      <c r="K23" s="8">
        <v>102.83</v>
      </c>
      <c r="L23" s="8">
        <v>102.83</v>
      </c>
      <c r="M23" s="2" t="s">
        <v>1052</v>
      </c>
    </row>
    <row r="24" spans="1:14" ht="15" customHeight="1">
      <c r="B24" s="253">
        <v>85202</v>
      </c>
      <c r="C24" s="7" t="s">
        <v>1053</v>
      </c>
      <c r="D24">
        <v>1</v>
      </c>
      <c r="E24" t="s">
        <v>1054</v>
      </c>
      <c r="F24" s="8">
        <v>184</v>
      </c>
      <c r="G24" s="9">
        <v>1</v>
      </c>
      <c r="H24" s="8">
        <f>F24*G24</f>
        <v>184</v>
      </c>
      <c r="I24" s="8">
        <f>H24*1.13</f>
        <v>207.92</v>
      </c>
      <c r="J24" s="8">
        <f>I24*1.25</f>
        <v>259.89999999999998</v>
      </c>
      <c r="K24" s="8">
        <v>207.92</v>
      </c>
      <c r="L24" s="8">
        <v>207.92</v>
      </c>
      <c r="M24" s="2" t="s">
        <v>1055</v>
      </c>
    </row>
    <row r="25" spans="1:14" s="27" customFormat="1" ht="15" customHeight="1">
      <c r="A25"/>
      <c r="B25" s="54">
        <v>85203</v>
      </c>
      <c r="C25" s="54" t="s">
        <v>1056</v>
      </c>
      <c r="D25" s="256">
        <v>1</v>
      </c>
      <c r="E25" s="256" t="s">
        <v>1057</v>
      </c>
      <c r="F25" s="58">
        <v>25</v>
      </c>
      <c r="G25" s="59">
        <v>1</v>
      </c>
      <c r="H25" s="58">
        <f t="shared" si="5"/>
        <v>25</v>
      </c>
      <c r="I25" s="58">
        <f t="shared" si="6"/>
        <v>28.249999999999996</v>
      </c>
      <c r="J25" s="58">
        <f t="shared" si="7"/>
        <v>35.312499999999993</v>
      </c>
      <c r="K25" s="58">
        <v>22.01</v>
      </c>
      <c r="L25" s="58">
        <v>22.01</v>
      </c>
      <c r="M25" s="2"/>
      <c r="N25" s="2"/>
    </row>
    <row r="26" spans="1:14" ht="15" customHeight="1">
      <c r="A26" s="17"/>
      <c r="L26" s="19"/>
    </row>
    <row r="27" spans="1:14" ht="15" customHeight="1">
      <c r="B27" s="21" t="s">
        <v>312</v>
      </c>
      <c r="C27" s="22"/>
      <c r="D27" s="23"/>
      <c r="E27" s="23"/>
      <c r="F27" s="24"/>
      <c r="G27" s="25"/>
      <c r="H27" s="24"/>
      <c r="I27" s="24">
        <f>SUM(I22:I25)</f>
        <v>383.06999999999994</v>
      </c>
      <c r="J27" s="24">
        <f>SUM(J22:J25)</f>
        <v>478.83749999999998</v>
      </c>
      <c r="K27" s="24">
        <f>SUM(K22:K25)</f>
        <v>332.76</v>
      </c>
      <c r="L27" s="26">
        <f>SUM(L22:L25)</f>
        <v>332.76</v>
      </c>
      <c r="M27" s="27"/>
      <c r="N27" s="27"/>
    </row>
    <row r="28" spans="1:14" ht="15" customHeight="1">
      <c r="A28" s="28"/>
      <c r="L28" s="19"/>
    </row>
    <row r="29" spans="1:14" ht="15" customHeight="1">
      <c r="B29" s="29" t="s">
        <v>120</v>
      </c>
      <c r="C29" s="30"/>
      <c r="D29" s="31"/>
      <c r="E29" s="31"/>
      <c r="F29" s="32"/>
      <c r="G29" s="33"/>
      <c r="H29" s="32"/>
      <c r="I29" s="32">
        <f>SUM(I10,I20,I27)</f>
        <v>9781.52</v>
      </c>
      <c r="J29" s="32">
        <f>SUM(J10,J20,J27)</f>
        <v>12226.9</v>
      </c>
      <c r="K29" s="32">
        <f>SUM(K10,K20,K27)</f>
        <v>6306.51</v>
      </c>
      <c r="L29" s="32">
        <f>SUM(L10,L20,L27)</f>
        <v>6306.51</v>
      </c>
    </row>
    <row r="30" spans="1:14" ht="15" customHeight="1">
      <c r="A30" s="11" t="s">
        <v>56</v>
      </c>
      <c r="L30" s="19"/>
    </row>
    <row r="31" spans="1:14" ht="15" customHeight="1">
      <c r="A31" s="17"/>
      <c r="B31" s="12"/>
      <c r="C31" s="12"/>
      <c r="D31" s="13"/>
      <c r="E31" s="13"/>
      <c r="F31" s="14"/>
      <c r="G31" s="15"/>
      <c r="H31" s="14"/>
      <c r="I31" s="14"/>
      <c r="J31" s="14"/>
      <c r="K31" s="14"/>
      <c r="L31" s="16"/>
    </row>
    <row r="32" spans="1:14" s="27" customFormat="1">
      <c r="A32" s="17"/>
      <c r="B32" s="295" t="s">
        <v>58</v>
      </c>
      <c r="C32" s="295"/>
      <c r="D32" s="17"/>
      <c r="E32" s="17"/>
      <c r="F32" s="36"/>
      <c r="G32" s="37"/>
      <c r="H32" s="36"/>
      <c r="I32" s="36">
        <v>0</v>
      </c>
      <c r="J32" s="36">
        <v>0</v>
      </c>
      <c r="K32" s="36">
        <v>0</v>
      </c>
      <c r="L32" s="38">
        <v>0</v>
      </c>
      <c r="M32" s="2"/>
      <c r="N32" s="2"/>
    </row>
    <row r="33" spans="1:14">
      <c r="A33" s="40"/>
      <c r="B33" s="295" t="s">
        <v>62</v>
      </c>
      <c r="C33" s="295"/>
      <c r="D33" s="17"/>
      <c r="E33" s="17"/>
      <c r="F33" s="36"/>
      <c r="G33" s="37"/>
      <c r="H33" s="36"/>
      <c r="I33" s="36">
        <f>I29</f>
        <v>9781.52</v>
      </c>
      <c r="J33" s="36">
        <f>J29</f>
        <v>12226.9</v>
      </c>
      <c r="K33" s="36">
        <f>K29</f>
        <v>6306.51</v>
      </c>
      <c r="L33" s="39">
        <f>L29</f>
        <v>6306.51</v>
      </c>
    </row>
    <row r="34" spans="1:14">
      <c r="B34" s="41" t="s">
        <v>65</v>
      </c>
      <c r="C34" s="41"/>
      <c r="D34" s="40"/>
      <c r="E34" s="40"/>
      <c r="F34" s="42"/>
      <c r="G34" s="43"/>
      <c r="H34" s="42"/>
      <c r="I34" s="42">
        <f>SUM(I32,I33*-1)</f>
        <v>-9781.52</v>
      </c>
      <c r="J34" s="42">
        <f t="shared" ref="J34:L34" si="8">SUM(J32,J33*-1)</f>
        <v>-12226.9</v>
      </c>
      <c r="K34" s="42">
        <f t="shared" si="8"/>
        <v>-6306.51</v>
      </c>
      <c r="L34" s="44">
        <f t="shared" si="8"/>
        <v>-6306.51</v>
      </c>
      <c r="M34" s="27"/>
      <c r="N34" s="27"/>
    </row>
    <row r="39" spans="1:14" s="27" customFormat="1">
      <c r="A39"/>
      <c r="B39" s="7"/>
      <c r="C39" s="7"/>
      <c r="D39"/>
      <c r="E39"/>
      <c r="F39" s="8"/>
      <c r="G39" s="9"/>
      <c r="H39" s="8"/>
      <c r="I39" s="8"/>
      <c r="J39" s="8"/>
      <c r="K39" s="8"/>
      <c r="L39" s="1"/>
      <c r="M39" s="2"/>
      <c r="N39" s="2"/>
    </row>
    <row r="41" spans="1:14" s="53" customFormat="1">
      <c r="A41"/>
      <c r="B41" s="7"/>
      <c r="C41" s="7"/>
      <c r="D41"/>
      <c r="E41"/>
      <c r="F41" s="8"/>
      <c r="G41" s="9"/>
      <c r="H41" s="8"/>
      <c r="I41" s="8"/>
      <c r="J41" s="8"/>
      <c r="K41" s="8"/>
      <c r="L41" s="1"/>
      <c r="M41" s="27"/>
      <c r="N41" s="27"/>
    </row>
    <row r="43" spans="1:14" ht="15" customHeight="1">
      <c r="M43" s="53"/>
      <c r="N43" s="53"/>
    </row>
    <row r="44" spans="1:14" s="27" customFormat="1">
      <c r="A44"/>
      <c r="B44" s="7"/>
      <c r="C44" s="7"/>
      <c r="D44"/>
      <c r="E44"/>
      <c r="F44" s="8"/>
      <c r="G44" s="9"/>
      <c r="H44" s="8"/>
      <c r="I44" s="8"/>
      <c r="J44" s="8"/>
      <c r="K44" s="8"/>
      <c r="L44" s="1"/>
      <c r="M44" s="2"/>
      <c r="N44" s="2"/>
    </row>
    <row r="45" spans="1:14" s="27" customFormat="1">
      <c r="A45"/>
      <c r="B45" s="7"/>
      <c r="C45" s="7"/>
      <c r="D45"/>
      <c r="E45"/>
      <c r="F45" s="8"/>
      <c r="G45" s="9"/>
      <c r="H45" s="8"/>
      <c r="I45" s="8"/>
      <c r="J45" s="8"/>
      <c r="K45" s="8"/>
      <c r="L45" s="1"/>
      <c r="M45" s="2"/>
      <c r="N45" s="2"/>
    </row>
    <row r="46" spans="1:14" s="27" customFormat="1">
      <c r="A46"/>
      <c r="B46" s="7"/>
      <c r="C46" s="7"/>
      <c r="D46"/>
      <c r="E46"/>
      <c r="F46" s="8"/>
      <c r="G46" s="9"/>
      <c r="H46" s="8"/>
      <c r="I46" s="8"/>
      <c r="J46" s="8"/>
      <c r="K46" s="8"/>
      <c r="L46" s="1"/>
    </row>
    <row r="47" spans="1:14">
      <c r="M47" s="27"/>
      <c r="N47" s="27"/>
    </row>
    <row r="48" spans="1:14">
      <c r="M48" s="27"/>
      <c r="N48" s="27"/>
    </row>
  </sheetData>
  <mergeCells count="1">
    <mergeCell ref="B1:K1"/>
  </mergeCells>
  <conditionalFormatting sqref="C16:D16 F16:K16 C14:K15 B14:B16 B17:G17 I17:K17 B6:L11 B19:L34 B18:K18 B12:K13 L12:L18">
    <cfRule type="expression" dxfId="1" priority="2">
      <formula>MOD($B6,2)=1</formula>
    </cfRule>
  </conditionalFormatting>
  <conditionalFormatting sqref="E16">
    <cfRule type="expression" dxfId="0" priority="1">
      <formula>MOD($B16,2)=1</formula>
    </cfRule>
  </conditionalFormatting>
  <pageMargins left="0.7" right="0.7" top="0.75" bottom="0.75" header="0.3" footer="0.3"/>
  <pageSetup scale="26"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6BDD-DEF9-49C4-BF8F-75227321A4B7}">
  <dimension ref="A1:M89"/>
  <sheetViews>
    <sheetView showGridLines="0" zoomScale="70" zoomScaleNormal="70" workbookViewId="0">
      <pane ySplit="2" topLeftCell="D38" activePane="bottomLeft" state="frozen"/>
      <selection pane="bottomLeft" activeCell="E38" sqref="E38"/>
    </sheetView>
  </sheetViews>
  <sheetFormatPr defaultColWidth="9.140625" defaultRowHeight="14.85"/>
  <cols>
    <col min="1" max="1" width="24.28515625" customWidth="1"/>
    <col min="2" max="2" width="19.7109375" style="7" customWidth="1"/>
    <col min="3" max="3" width="24.7109375" style="7" customWidth="1"/>
    <col min="4" max="4" width="14.28515625" customWidth="1"/>
    <col min="5" max="5" width="50.5703125" customWidth="1"/>
    <col min="6" max="6" width="16.28515625" style="8" customWidth="1"/>
    <col min="7" max="7" width="16.28515625" style="9" customWidth="1"/>
    <col min="8" max="8" width="20.5703125" style="8" customWidth="1"/>
    <col min="9" max="9" width="23" style="8" customWidth="1"/>
    <col min="10" max="11" width="22" style="8" customWidth="1"/>
    <col min="12" max="12" width="22.28515625" style="1" customWidth="1"/>
    <col min="13" max="16384" width="9.140625" style="2"/>
  </cols>
  <sheetData>
    <row r="1" spans="1:13" ht="148.5" customHeight="1">
      <c r="B1" s="389" t="s">
        <v>121</v>
      </c>
      <c r="C1" s="389"/>
      <c r="D1" s="389"/>
      <c r="E1" s="389"/>
      <c r="F1" s="389"/>
      <c r="G1" s="389"/>
      <c r="H1" s="389"/>
      <c r="I1" s="389"/>
      <c r="J1" s="389"/>
      <c r="K1" s="389"/>
    </row>
    <row r="2" spans="1:13" s="6" customFormat="1" ht="15" customHeight="1">
      <c r="A2" s="3" t="s">
        <v>1</v>
      </c>
      <c r="B2" s="3" t="s">
        <v>2</v>
      </c>
      <c r="C2" s="3" t="s">
        <v>3</v>
      </c>
      <c r="D2" s="3" t="s">
        <v>122</v>
      </c>
      <c r="E2" s="3" t="s">
        <v>4</v>
      </c>
      <c r="F2" s="4" t="s">
        <v>5</v>
      </c>
      <c r="G2" s="3" t="s">
        <v>6</v>
      </c>
      <c r="H2" s="4" t="s">
        <v>7</v>
      </c>
      <c r="I2" s="4" t="s">
        <v>8</v>
      </c>
      <c r="J2" s="4" t="s">
        <v>123</v>
      </c>
      <c r="K2" s="4" t="s">
        <v>9</v>
      </c>
      <c r="L2" s="5" t="s">
        <v>10</v>
      </c>
    </row>
    <row r="3" spans="1:13" ht="15" customHeight="1">
      <c r="L3" s="10"/>
    </row>
    <row r="4" spans="1:13" ht="15" customHeight="1">
      <c r="A4" s="11" t="s">
        <v>15</v>
      </c>
      <c r="B4" s="12"/>
      <c r="C4" s="12"/>
      <c r="D4" s="13"/>
      <c r="E4" s="13"/>
      <c r="F4" s="14"/>
      <c r="G4" s="15"/>
      <c r="H4" s="14"/>
      <c r="I4" s="14"/>
      <c r="J4" s="14"/>
      <c r="K4" s="14"/>
      <c r="L4" s="16"/>
    </row>
    <row r="5" spans="1:13" ht="15" customHeight="1">
      <c r="A5" s="17" t="s">
        <v>124</v>
      </c>
      <c r="L5" s="18"/>
    </row>
    <row r="6" spans="1:13" ht="15" customHeight="1">
      <c r="A6" s="7"/>
      <c r="B6" s="7">
        <v>501</v>
      </c>
      <c r="C6" s="7" t="s">
        <v>125</v>
      </c>
      <c r="D6" s="7" t="s">
        <v>126</v>
      </c>
      <c r="E6" s="48" t="s">
        <v>127</v>
      </c>
      <c r="F6" s="8">
        <v>1200</v>
      </c>
      <c r="G6" s="9">
        <v>1</v>
      </c>
      <c r="H6" s="8">
        <f>F6*G6</f>
        <v>1200</v>
      </c>
      <c r="I6" s="8">
        <f>H6</f>
        <v>1200</v>
      </c>
      <c r="J6" s="8">
        <f>I6*0.75</f>
        <v>900</v>
      </c>
      <c r="L6" s="19"/>
    </row>
    <row r="7" spans="1:13" ht="15" customHeight="1">
      <c r="D7" s="7"/>
      <c r="L7" s="19"/>
    </row>
    <row r="8" spans="1:13" ht="15" customHeight="1">
      <c r="A8" s="17"/>
      <c r="B8" s="330" t="s">
        <v>128</v>
      </c>
      <c r="C8" s="22"/>
      <c r="D8" s="23"/>
      <c r="E8" s="23"/>
      <c r="F8" s="24"/>
      <c r="G8" s="25"/>
      <c r="H8" s="24"/>
      <c r="I8" s="24">
        <f>SUM(I6)</f>
        <v>1200</v>
      </c>
      <c r="J8" s="24">
        <f>SUM(J6)</f>
        <v>900</v>
      </c>
      <c r="K8" s="24">
        <f>SUM(K6)</f>
        <v>0</v>
      </c>
      <c r="L8" s="26">
        <f>SUM(L6)</f>
        <v>0</v>
      </c>
    </row>
    <row r="9" spans="1:13" ht="15" customHeight="1">
      <c r="L9" s="19"/>
    </row>
    <row r="10" spans="1:13" ht="15" customHeight="1">
      <c r="A10" s="28"/>
      <c r="B10" s="29" t="s">
        <v>42</v>
      </c>
      <c r="C10" s="30"/>
      <c r="D10" s="31"/>
      <c r="E10" s="31"/>
      <c r="F10" s="32"/>
      <c r="G10" s="33"/>
      <c r="H10" s="32"/>
      <c r="I10" s="32">
        <f>SUM(I8)</f>
        <v>1200</v>
      </c>
      <c r="J10" s="32">
        <f t="shared" ref="J10:L10" si="0">SUM(J8)</f>
        <v>900</v>
      </c>
      <c r="K10" s="32">
        <f t="shared" si="0"/>
        <v>0</v>
      </c>
      <c r="L10" s="32">
        <f t="shared" si="0"/>
        <v>0</v>
      </c>
      <c r="M10" s="165"/>
    </row>
    <row r="11" spans="1:13" ht="15" customHeight="1">
      <c r="L11" s="19"/>
    </row>
    <row r="12" spans="1:13" s="27" customFormat="1" ht="15" customHeight="1">
      <c r="A12" s="11" t="s">
        <v>40</v>
      </c>
      <c r="B12" s="12"/>
      <c r="C12" s="12"/>
      <c r="D12" s="13"/>
      <c r="E12" s="13"/>
      <c r="F12" s="14"/>
      <c r="G12" s="15"/>
      <c r="H12" s="14"/>
      <c r="I12" s="14"/>
      <c r="J12" s="14"/>
      <c r="K12" s="14"/>
      <c r="L12" s="16"/>
    </row>
    <row r="13" spans="1:13" ht="15" customHeight="1">
      <c r="A13" s="73" t="s">
        <v>129</v>
      </c>
      <c r="L13" s="19"/>
    </row>
    <row r="14" spans="1:13" s="53" customFormat="1" ht="15" customHeight="1">
      <c r="A14"/>
      <c r="B14" s="7">
        <v>521</v>
      </c>
      <c r="C14" t="s">
        <v>130</v>
      </c>
      <c r="D14" s="7">
        <v>10</v>
      </c>
      <c r="E14" s="48" t="s">
        <v>131</v>
      </c>
      <c r="F14" s="8">
        <v>30</v>
      </c>
      <c r="G14" s="9">
        <v>17</v>
      </c>
      <c r="H14" s="8">
        <f t="shared" ref="H14:H19" si="1">F14*G14</f>
        <v>510</v>
      </c>
      <c r="I14" s="8">
        <f>H14*1.13*1.18</f>
        <v>680.03399999999988</v>
      </c>
      <c r="J14" s="8">
        <f t="shared" ref="J14:J18" si="2">I14*1.25</f>
        <v>850.04249999999979</v>
      </c>
      <c r="K14" s="8">
        <v>0</v>
      </c>
      <c r="L14" s="19">
        <v>0</v>
      </c>
    </row>
    <row r="15" spans="1:13" ht="15" customHeight="1">
      <c r="B15" s="7">
        <v>522</v>
      </c>
      <c r="C15" t="s">
        <v>132</v>
      </c>
      <c r="D15" s="7">
        <v>4</v>
      </c>
      <c r="E15" s="48" t="s">
        <v>133</v>
      </c>
      <c r="F15" s="8">
        <f>40*17</f>
        <v>680</v>
      </c>
      <c r="G15" s="9">
        <v>8</v>
      </c>
      <c r="H15" s="8">
        <f t="shared" si="1"/>
        <v>5440</v>
      </c>
      <c r="I15" s="8">
        <f>H15*1.13</f>
        <v>6147.2</v>
      </c>
      <c r="J15" s="8">
        <f t="shared" si="2"/>
        <v>7684</v>
      </c>
      <c r="K15" s="8">
        <v>5440</v>
      </c>
      <c r="L15" s="19">
        <v>5440</v>
      </c>
    </row>
    <row r="16" spans="1:13" ht="15" customHeight="1">
      <c r="B16" s="243">
        <v>523</v>
      </c>
      <c r="C16" s="45" t="s">
        <v>134</v>
      </c>
      <c r="D16" s="243">
        <v>2</v>
      </c>
      <c r="E16" s="244" t="s">
        <v>135</v>
      </c>
      <c r="F16" s="129">
        <v>45</v>
      </c>
      <c r="G16" s="130">
        <v>17</v>
      </c>
      <c r="H16" s="8">
        <f t="shared" si="1"/>
        <v>765</v>
      </c>
      <c r="I16" s="8">
        <f>H16*1.13</f>
        <v>864.44999999999993</v>
      </c>
      <c r="J16" s="8">
        <f t="shared" si="2"/>
        <v>1080.5625</v>
      </c>
      <c r="K16" s="129"/>
      <c r="L16" s="131">
        <v>850</v>
      </c>
      <c r="M16" s="2" t="s">
        <v>136</v>
      </c>
    </row>
    <row r="17" spans="1:13" ht="15" customHeight="1">
      <c r="B17" s="7">
        <v>524</v>
      </c>
      <c r="C17" t="s">
        <v>137</v>
      </c>
      <c r="D17" s="7">
        <v>8</v>
      </c>
      <c r="E17" s="48" t="s">
        <v>138</v>
      </c>
      <c r="F17" s="8">
        <v>35</v>
      </c>
      <c r="G17" s="9">
        <f>17*2</f>
        <v>34</v>
      </c>
      <c r="H17" s="8">
        <f>F17*G17</f>
        <v>1190</v>
      </c>
      <c r="I17" s="8">
        <f>H17*1.13*1.18</f>
        <v>1586.7459999999996</v>
      </c>
      <c r="J17" s="8">
        <f t="shared" si="2"/>
        <v>1983.4324999999994</v>
      </c>
      <c r="L17" s="19">
        <v>1800</v>
      </c>
      <c r="M17" s="2" t="s">
        <v>136</v>
      </c>
    </row>
    <row r="18" spans="1:13" ht="15" customHeight="1">
      <c r="B18" s="7">
        <v>525</v>
      </c>
      <c r="C18" t="s">
        <v>139</v>
      </c>
      <c r="D18" s="7">
        <v>2</v>
      </c>
      <c r="E18" t="s">
        <v>140</v>
      </c>
      <c r="F18" s="8">
        <v>8.5</v>
      </c>
      <c r="G18" s="9">
        <v>70</v>
      </c>
      <c r="H18" s="8">
        <f t="shared" si="1"/>
        <v>595</v>
      </c>
      <c r="I18" s="8">
        <f>H18*1.13</f>
        <v>672.34999999999991</v>
      </c>
      <c r="J18" s="8">
        <f t="shared" si="2"/>
        <v>840.43749999999989</v>
      </c>
      <c r="L18" s="19">
        <v>600</v>
      </c>
      <c r="M18" s="2" t="s">
        <v>136</v>
      </c>
    </row>
    <row r="19" spans="1:13" ht="15" customHeight="1">
      <c r="B19" s="253">
        <v>526</v>
      </c>
      <c r="C19" s="254" t="s">
        <v>141</v>
      </c>
      <c r="D19" s="253">
        <v>10</v>
      </c>
      <c r="E19" s="257" t="s">
        <v>142</v>
      </c>
      <c r="F19" s="251">
        <v>20</v>
      </c>
      <c r="G19" s="250">
        <v>6</v>
      </c>
      <c r="H19" s="251">
        <f t="shared" si="1"/>
        <v>120</v>
      </c>
      <c r="I19" s="251">
        <f>H19*1.13*1.18</f>
        <v>160.00799999999998</v>
      </c>
      <c r="J19" s="251">
        <f>I19*1.25</f>
        <v>200.01</v>
      </c>
      <c r="K19" s="251"/>
      <c r="L19" s="255">
        <v>200</v>
      </c>
      <c r="M19" s="2" t="s">
        <v>136</v>
      </c>
    </row>
    <row r="20" spans="1:13" ht="15" customHeight="1">
      <c r="L20" s="19"/>
    </row>
    <row r="21" spans="1:13" ht="15" customHeight="1">
      <c r="B21" s="245" t="s">
        <v>143</v>
      </c>
      <c r="C21" s="22"/>
      <c r="D21" s="23"/>
      <c r="E21" s="23"/>
      <c r="F21" s="24"/>
      <c r="G21" s="25"/>
      <c r="H21" s="24"/>
      <c r="I21" s="24">
        <f>SUM(I14:I19)</f>
        <v>10110.787999999999</v>
      </c>
      <c r="J21" s="24">
        <f>SUM(J14:J19)</f>
        <v>12638.484999999999</v>
      </c>
      <c r="K21" s="24">
        <f>SUM(K14:K19)</f>
        <v>5440</v>
      </c>
      <c r="L21" s="26">
        <f>SUM(L14:L19)</f>
        <v>8890</v>
      </c>
    </row>
    <row r="22" spans="1:13" ht="15" customHeight="1">
      <c r="A22" s="73" t="s">
        <v>144</v>
      </c>
      <c r="L22" s="19"/>
    </row>
    <row r="23" spans="1:13" ht="15" customHeight="1">
      <c r="A23" s="2"/>
      <c r="B23" s="83">
        <v>531</v>
      </c>
      <c r="C23" s="246" t="s">
        <v>145</v>
      </c>
      <c r="D23" s="247">
        <v>4</v>
      </c>
      <c r="E23" s="248" t="s">
        <v>146</v>
      </c>
      <c r="F23" s="249">
        <v>35</v>
      </c>
      <c r="G23" s="250">
        <v>2</v>
      </c>
      <c r="H23" s="251">
        <f>F23*G23</f>
        <v>70</v>
      </c>
      <c r="I23" s="251">
        <f>H23*1.13</f>
        <v>79.099999999999994</v>
      </c>
      <c r="J23" s="251">
        <f>I23*1.25</f>
        <v>98.875</v>
      </c>
      <c r="K23" s="249"/>
      <c r="L23" s="252">
        <v>70</v>
      </c>
    </row>
    <row r="24" spans="1:13" ht="15" customHeight="1">
      <c r="A24" s="2"/>
      <c r="B24" s="253">
        <v>532</v>
      </c>
      <c r="C24" s="254" t="s">
        <v>147</v>
      </c>
      <c r="D24" s="263">
        <v>4</v>
      </c>
      <c r="E24" s="254" t="s">
        <v>148</v>
      </c>
      <c r="F24" s="251">
        <v>30</v>
      </c>
      <c r="G24" s="250">
        <v>7</v>
      </c>
      <c r="H24" s="251">
        <f>F24*G24</f>
        <v>210</v>
      </c>
      <c r="I24" s="251">
        <f>H24*1.13</f>
        <v>237.29999999999998</v>
      </c>
      <c r="J24" s="251">
        <f>I24*1.25</f>
        <v>296.625</v>
      </c>
      <c r="K24" s="251">
        <v>210</v>
      </c>
      <c r="L24" s="255">
        <v>210</v>
      </c>
    </row>
    <row r="25" spans="1:13" s="27" customFormat="1" ht="15" customHeight="1">
      <c r="A25"/>
      <c r="B25" s="54">
        <v>533</v>
      </c>
      <c r="C25" s="256" t="s">
        <v>149</v>
      </c>
      <c r="D25" s="54">
        <v>4</v>
      </c>
      <c r="E25" s="57" t="s">
        <v>150</v>
      </c>
      <c r="F25" s="58">
        <f>20*14</f>
        <v>280</v>
      </c>
      <c r="G25" s="59">
        <v>7</v>
      </c>
      <c r="H25" s="58">
        <f>F25*G25</f>
        <v>1960</v>
      </c>
      <c r="I25" s="58">
        <f>H25*1.13</f>
        <v>2214.7999999999997</v>
      </c>
      <c r="J25" s="58">
        <f>I25*1.25</f>
        <v>2768.4999999999995</v>
      </c>
      <c r="K25" s="58">
        <v>1960</v>
      </c>
      <c r="L25" s="60">
        <v>1960</v>
      </c>
      <c r="M25" s="2"/>
    </row>
    <row r="26" spans="1:13" ht="15" customHeight="1">
      <c r="B26" s="253">
        <v>534</v>
      </c>
      <c r="C26" s="254" t="s">
        <v>151</v>
      </c>
      <c r="D26" s="253">
        <v>1</v>
      </c>
      <c r="E26" s="257" t="s">
        <v>152</v>
      </c>
      <c r="F26" s="251">
        <v>25</v>
      </c>
      <c r="G26" s="250">
        <v>2</v>
      </c>
      <c r="H26" s="251">
        <f>F26*G26</f>
        <v>50</v>
      </c>
      <c r="I26" s="251">
        <f>H26*1.13*1.18</f>
        <v>66.669999999999987</v>
      </c>
      <c r="J26" s="251">
        <f>I26*1.25</f>
        <v>83.337499999999977</v>
      </c>
      <c r="K26" s="251"/>
      <c r="L26" s="255">
        <v>50</v>
      </c>
    </row>
    <row r="27" spans="1:13" ht="15" customHeight="1">
      <c r="A27" s="28"/>
      <c r="L27" s="19"/>
    </row>
    <row r="28" spans="1:13" ht="15" customHeight="1">
      <c r="B28" s="245" t="s">
        <v>153</v>
      </c>
      <c r="C28" s="22"/>
      <c r="D28" s="23"/>
      <c r="E28" s="23"/>
      <c r="F28" s="24"/>
      <c r="G28" s="25"/>
      <c r="H28" s="24"/>
      <c r="I28" s="24">
        <f>SUM(I23:I26)</f>
        <v>2597.87</v>
      </c>
      <c r="J28" s="24">
        <f>SUM(J23:J26)</f>
        <v>3247.3374999999996</v>
      </c>
      <c r="K28" s="24">
        <f>SUM(K23:K26)</f>
        <v>2170</v>
      </c>
      <c r="L28" s="26"/>
    </row>
    <row r="29" spans="1:13" s="254" customFormat="1" ht="15" customHeight="1">
      <c r="A29" s="258" t="s">
        <v>154</v>
      </c>
      <c r="B29" s="253"/>
      <c r="C29" s="253"/>
      <c r="F29" s="251"/>
      <c r="G29" s="250"/>
      <c r="H29" s="251"/>
      <c r="I29" s="251"/>
      <c r="J29" s="251"/>
      <c r="K29" s="251"/>
      <c r="L29" s="255"/>
    </row>
    <row r="30" spans="1:13" ht="15" customHeight="1">
      <c r="B30" s="7">
        <v>551</v>
      </c>
      <c r="C30" t="s">
        <v>155</v>
      </c>
      <c r="D30" s="7">
        <v>4</v>
      </c>
      <c r="E30" t="s">
        <v>156</v>
      </c>
      <c r="F30" s="8">
        <v>30</v>
      </c>
      <c r="G30" s="9">
        <v>7</v>
      </c>
      <c r="H30" s="8">
        <f>F30*G30</f>
        <v>210</v>
      </c>
      <c r="I30" s="8">
        <f>H30*1.13</f>
        <v>237.29999999999998</v>
      </c>
      <c r="J30" s="8">
        <f>I30*1.25</f>
        <v>296.625</v>
      </c>
      <c r="K30" s="8">
        <v>150</v>
      </c>
      <c r="L30" s="19">
        <v>150</v>
      </c>
    </row>
    <row r="31" spans="1:13" ht="15" customHeight="1">
      <c r="B31" s="7">
        <v>552</v>
      </c>
      <c r="C31" t="s">
        <v>157</v>
      </c>
      <c r="D31" s="7">
        <v>4</v>
      </c>
      <c r="E31" t="s">
        <v>158</v>
      </c>
      <c r="F31" s="8">
        <f>15*5</f>
        <v>75</v>
      </c>
      <c r="G31" s="9">
        <v>7</v>
      </c>
      <c r="H31" s="8">
        <f>F31*G31</f>
        <v>525</v>
      </c>
      <c r="I31" s="8">
        <f>H31*1.13</f>
        <v>593.25</v>
      </c>
      <c r="J31" s="8">
        <f>I31*1.25</f>
        <v>741.5625</v>
      </c>
      <c r="K31" s="8">
        <v>375</v>
      </c>
      <c r="L31" s="19">
        <v>375</v>
      </c>
    </row>
    <row r="32" spans="1:13" ht="15" customHeight="1">
      <c r="B32" s="83">
        <v>553</v>
      </c>
      <c r="C32" s="35" t="s">
        <v>159</v>
      </c>
      <c r="D32" s="83">
        <v>10</v>
      </c>
      <c r="E32" s="259" t="s">
        <v>160</v>
      </c>
      <c r="F32" s="249">
        <v>25</v>
      </c>
      <c r="G32" s="260">
        <v>12</v>
      </c>
      <c r="H32" s="249">
        <f>F32*G32</f>
        <v>300</v>
      </c>
      <c r="I32" s="249">
        <f>H32*1.13*1.18</f>
        <v>400.01999999999992</v>
      </c>
      <c r="J32" s="249">
        <f>I32*1.25</f>
        <v>500.02499999999992</v>
      </c>
      <c r="K32" s="249">
        <v>0</v>
      </c>
      <c r="L32" s="252">
        <v>0</v>
      </c>
    </row>
    <row r="33" spans="1:13" s="27" customFormat="1" ht="15" customHeight="1">
      <c r="A33" s="17"/>
      <c r="B33" s="7"/>
      <c r="C33" s="7"/>
      <c r="D33"/>
      <c r="E33"/>
      <c r="F33" s="8"/>
      <c r="G33" s="9"/>
      <c r="H33" s="8"/>
      <c r="I33" s="8"/>
      <c r="J33" s="8"/>
      <c r="K33" s="8"/>
      <c r="L33" s="19"/>
    </row>
    <row r="34" spans="1:13" ht="15" customHeight="1">
      <c r="B34" s="245" t="s">
        <v>161</v>
      </c>
      <c r="C34" s="22"/>
      <c r="D34" s="23"/>
      <c r="E34" s="23"/>
      <c r="F34" s="24"/>
      <c r="G34" s="25"/>
      <c r="H34" s="24"/>
      <c r="I34" s="24">
        <f>SUM(I30:I32)</f>
        <v>1230.57</v>
      </c>
      <c r="J34" s="24">
        <f t="shared" ref="J34:L34" si="3">SUM(J30:J32)</f>
        <v>1538.2124999999999</v>
      </c>
      <c r="K34" s="24">
        <f t="shared" si="3"/>
        <v>525</v>
      </c>
      <c r="L34" s="26">
        <f t="shared" si="3"/>
        <v>525</v>
      </c>
    </row>
    <row r="35" spans="1:13" s="53" customFormat="1" ht="15" customHeight="1">
      <c r="A35" s="73" t="s">
        <v>162</v>
      </c>
      <c r="B35" s="7"/>
      <c r="C35" s="7"/>
      <c r="D35"/>
      <c r="E35"/>
      <c r="F35" s="8"/>
      <c r="G35" s="9"/>
      <c r="H35" s="8"/>
      <c r="I35" s="8"/>
      <c r="J35" s="8"/>
      <c r="K35" s="8"/>
      <c r="L35" s="19"/>
    </row>
    <row r="36" spans="1:13" ht="15" customHeight="1">
      <c r="B36" s="7">
        <v>561</v>
      </c>
      <c r="C36" t="s">
        <v>163</v>
      </c>
      <c r="D36" s="7">
        <v>1</v>
      </c>
      <c r="E36" t="s">
        <v>164</v>
      </c>
      <c r="F36" s="8">
        <v>10</v>
      </c>
      <c r="G36" s="9">
        <v>200</v>
      </c>
      <c r="H36" s="8">
        <f>F36*G36</f>
        <v>2000</v>
      </c>
      <c r="I36" s="8">
        <f>H36*1.13</f>
        <v>2260</v>
      </c>
      <c r="J36" s="8">
        <f>I36*1.25</f>
        <v>2825</v>
      </c>
      <c r="K36" s="8">
        <f>110*10</f>
        <v>1100</v>
      </c>
      <c r="L36" s="19"/>
    </row>
    <row r="37" spans="1:13" ht="15" customHeight="1">
      <c r="B37" s="7">
        <v>562</v>
      </c>
      <c r="C37" t="s">
        <v>165</v>
      </c>
      <c r="D37" s="7">
        <v>3</v>
      </c>
      <c r="E37" t="s">
        <v>166</v>
      </c>
      <c r="F37" s="8">
        <v>1000</v>
      </c>
      <c r="G37" s="9">
        <v>1</v>
      </c>
      <c r="H37" s="8">
        <f>F37*G37</f>
        <v>1000</v>
      </c>
      <c r="I37" s="8">
        <f>H37*1.13</f>
        <v>1130</v>
      </c>
      <c r="J37" s="8">
        <f>I37*1.25</f>
        <v>1412.5</v>
      </c>
      <c r="K37" s="8">
        <v>0</v>
      </c>
      <c r="L37" s="19">
        <v>1000</v>
      </c>
    </row>
    <row r="38" spans="1:13" s="27" customFormat="1" ht="15" customHeight="1">
      <c r="A38"/>
      <c r="B38" s="243">
        <v>563</v>
      </c>
      <c r="C38" s="45" t="s">
        <v>167</v>
      </c>
      <c r="D38" s="243">
        <v>3</v>
      </c>
      <c r="E38" s="244" t="s">
        <v>168</v>
      </c>
      <c r="F38" s="129">
        <v>500</v>
      </c>
      <c r="G38" s="9">
        <v>1</v>
      </c>
      <c r="H38" s="8">
        <v>1000</v>
      </c>
      <c r="I38" s="8">
        <f>H38*1.13</f>
        <v>1130</v>
      </c>
      <c r="J38" s="8">
        <f>I38*1.25</f>
        <v>1412.5</v>
      </c>
      <c r="K38" s="129"/>
      <c r="L38" s="131">
        <v>0</v>
      </c>
      <c r="M38" s="2"/>
    </row>
    <row r="39" spans="1:13" ht="15" customHeight="1">
      <c r="A39" s="17"/>
      <c r="L39" s="19"/>
    </row>
    <row r="40" spans="1:13" ht="15" customHeight="1">
      <c r="B40" s="245" t="s">
        <v>169</v>
      </c>
      <c r="C40" s="22"/>
      <c r="D40" s="23"/>
      <c r="E40" s="23"/>
      <c r="F40" s="24"/>
      <c r="G40" s="25"/>
      <c r="H40" s="24"/>
      <c r="I40" s="24">
        <f>SUM(I36:I38)</f>
        <v>4520</v>
      </c>
      <c r="J40" s="24">
        <f>SUM(J36:J38)</f>
        <v>5650</v>
      </c>
      <c r="K40" s="24">
        <f>SUM(K36:K38)</f>
        <v>1100</v>
      </c>
      <c r="L40" s="24">
        <f>SUM(L36:L38)</f>
        <v>1000</v>
      </c>
      <c r="M40" s="165"/>
    </row>
    <row r="41" spans="1:13" ht="15" customHeight="1">
      <c r="A41" s="27"/>
      <c r="B41" s="28"/>
      <c r="D41" s="7"/>
      <c r="F41"/>
      <c r="G41" s="8"/>
      <c r="H41" s="9"/>
      <c r="L41" s="261"/>
    </row>
    <row r="42" spans="1:13" ht="15" customHeight="1">
      <c r="L42" s="19"/>
    </row>
    <row r="43" spans="1:13" ht="15" customHeight="1">
      <c r="B43" s="331" t="s">
        <v>120</v>
      </c>
      <c r="C43" s="30"/>
      <c r="D43" s="31"/>
      <c r="E43" s="31"/>
      <c r="F43" s="32"/>
      <c r="G43" s="33"/>
      <c r="H43" s="32"/>
      <c r="I43" s="32">
        <f>SUM(I40,I34,I28,I21)</f>
        <v>18459.227999999996</v>
      </c>
      <c r="J43" s="32">
        <f>SUM(J40,J34,J28,J21)</f>
        <v>23074.034999999996</v>
      </c>
      <c r="K43" s="32">
        <f>SUM(K40,K34,K28,K21)</f>
        <v>9235</v>
      </c>
      <c r="L43" s="34">
        <f>SUM(L40,L34,L28,L21)</f>
        <v>10415</v>
      </c>
    </row>
    <row r="44" spans="1:13" ht="15" customHeight="1">
      <c r="L44" s="19"/>
    </row>
    <row r="45" spans="1:13" ht="15" customHeight="1">
      <c r="A45" s="11" t="s">
        <v>56</v>
      </c>
      <c r="B45" s="12"/>
      <c r="C45" s="12"/>
      <c r="D45" s="13"/>
      <c r="E45" s="13"/>
      <c r="F45" s="14"/>
      <c r="G45" s="15"/>
      <c r="H45" s="14"/>
      <c r="I45" s="14"/>
      <c r="J45" s="14"/>
      <c r="K45" s="14"/>
      <c r="L45" s="16"/>
    </row>
    <row r="46" spans="1:13" ht="15" customHeight="1">
      <c r="A46" s="17"/>
      <c r="B46" s="295" t="s">
        <v>58</v>
      </c>
      <c r="C46" s="295"/>
      <c r="D46" s="17"/>
      <c r="E46" s="17"/>
      <c r="F46" s="36"/>
      <c r="G46" s="37"/>
      <c r="H46" s="36"/>
      <c r="I46" s="36">
        <f>I10</f>
        <v>1200</v>
      </c>
      <c r="J46" s="36">
        <f>J10</f>
        <v>900</v>
      </c>
      <c r="K46" s="36">
        <f>K10</f>
        <v>0</v>
      </c>
      <c r="L46" s="38">
        <f>L10</f>
        <v>0</v>
      </c>
    </row>
    <row r="47" spans="1:13" ht="15" customHeight="1">
      <c r="A47" s="17"/>
      <c r="B47" s="295" t="s">
        <v>62</v>
      </c>
      <c r="C47" s="295"/>
      <c r="D47" s="17"/>
      <c r="E47" s="17"/>
      <c r="F47" s="36"/>
      <c r="G47" s="37"/>
      <c r="H47" s="36"/>
      <c r="I47" s="36">
        <f>I43</f>
        <v>18459.227999999996</v>
      </c>
      <c r="J47" s="36">
        <f t="shared" ref="J47:L47" si="4">J43</f>
        <v>23074.034999999996</v>
      </c>
      <c r="K47" s="36">
        <f t="shared" si="4"/>
        <v>9235</v>
      </c>
      <c r="L47" s="39">
        <f t="shared" si="4"/>
        <v>10415</v>
      </c>
    </row>
    <row r="48" spans="1:13" ht="15" customHeight="1">
      <c r="A48" s="40"/>
      <c r="B48" s="41" t="s">
        <v>65</v>
      </c>
      <c r="C48" s="41"/>
      <c r="D48" s="40"/>
      <c r="E48" s="40"/>
      <c r="F48" s="42"/>
      <c r="G48" s="43"/>
      <c r="H48" s="42"/>
      <c r="I48" s="42">
        <f>SUM(I46,I47*-1)</f>
        <v>-17259.227999999996</v>
      </c>
      <c r="J48" s="42">
        <f t="shared" ref="J48:L48" si="5">SUM(J46,J47*-1)</f>
        <v>-22174.034999999996</v>
      </c>
      <c r="K48" s="42">
        <f>SUM(K46,K47*-1)</f>
        <v>-9235</v>
      </c>
      <c r="L48" s="42">
        <f t="shared" si="5"/>
        <v>-10415</v>
      </c>
      <c r="M48" s="165"/>
    </row>
    <row r="49" spans="1:12">
      <c r="I49" s="262"/>
      <c r="L49" s="154"/>
    </row>
    <row r="50" spans="1:12">
      <c r="B50" s="263"/>
      <c r="C50" s="263"/>
      <c r="D50" s="2"/>
      <c r="E50" s="2"/>
      <c r="F50" s="264"/>
      <c r="G50" s="238"/>
      <c r="H50" s="264"/>
      <c r="I50" s="264"/>
      <c r="J50" s="264"/>
      <c r="K50" s="264"/>
      <c r="L50" s="265"/>
    </row>
    <row r="51" spans="1:12">
      <c r="B51" s="263"/>
      <c r="C51" s="263"/>
      <c r="D51" s="2"/>
      <c r="E51" s="2"/>
      <c r="F51" s="264"/>
      <c r="G51" s="238"/>
      <c r="H51" s="264"/>
      <c r="I51" s="264"/>
      <c r="J51" s="264"/>
      <c r="K51" s="264"/>
      <c r="L51" s="265"/>
    </row>
    <row r="52" spans="1:12">
      <c r="A52" s="53"/>
      <c r="B52" s="263"/>
      <c r="C52" s="263"/>
      <c r="D52" s="2"/>
      <c r="E52" s="2"/>
      <c r="F52" s="264"/>
      <c r="G52" s="238"/>
      <c r="H52" s="264"/>
      <c r="I52" s="264"/>
      <c r="J52" s="264"/>
      <c r="K52" s="264"/>
      <c r="L52" s="265"/>
    </row>
    <row r="53" spans="1:12">
      <c r="A53" s="2"/>
      <c r="B53" s="266"/>
      <c r="C53" s="266"/>
      <c r="D53" s="27"/>
      <c r="E53" s="27"/>
      <c r="F53" s="267"/>
      <c r="G53" s="242"/>
      <c r="H53" s="267"/>
      <c r="I53" s="267"/>
      <c r="J53" s="267"/>
      <c r="K53" s="267"/>
      <c r="L53" s="267"/>
    </row>
    <row r="54" spans="1:12">
      <c r="A54" s="27"/>
      <c r="B54" s="263"/>
      <c r="C54" s="263"/>
      <c r="D54" s="2"/>
      <c r="E54" s="2"/>
      <c r="F54" s="264"/>
      <c r="G54" s="238"/>
      <c r="H54" s="264"/>
      <c r="I54" s="264"/>
      <c r="J54" s="264"/>
      <c r="K54" s="264"/>
      <c r="L54" s="265"/>
    </row>
    <row r="55" spans="1:12">
      <c r="A55" s="27"/>
      <c r="B55" s="268"/>
      <c r="C55" s="268"/>
      <c r="D55" s="53"/>
      <c r="E55" s="53"/>
      <c r="F55" s="269"/>
      <c r="G55" s="270"/>
      <c r="H55" s="269"/>
      <c r="I55" s="269"/>
      <c r="J55" s="269"/>
      <c r="K55" s="269"/>
      <c r="L55" s="269"/>
    </row>
    <row r="56" spans="1:12">
      <c r="A56" s="2"/>
      <c r="B56" s="263"/>
      <c r="C56" s="263"/>
      <c r="D56" s="2"/>
      <c r="E56" s="2"/>
      <c r="F56" s="264"/>
      <c r="G56" s="238"/>
      <c r="H56" s="264"/>
      <c r="I56" s="264"/>
      <c r="J56" s="264"/>
      <c r="K56" s="264"/>
      <c r="L56" s="265"/>
    </row>
    <row r="57" spans="1:12">
      <c r="A57" s="2"/>
      <c r="B57" s="263"/>
      <c r="C57" s="263"/>
      <c r="D57" s="2"/>
      <c r="E57" s="2"/>
      <c r="F57" s="264"/>
      <c r="G57" s="238"/>
      <c r="H57" s="264"/>
      <c r="I57" s="264"/>
      <c r="J57" s="264"/>
      <c r="K57" s="264"/>
      <c r="L57" s="265"/>
    </row>
    <row r="58" spans="1:12">
      <c r="A58" s="2"/>
      <c r="B58" s="263"/>
      <c r="C58" s="263"/>
      <c r="D58" s="2"/>
      <c r="E58" s="2"/>
      <c r="F58" s="264"/>
      <c r="G58" s="238"/>
      <c r="H58" s="264"/>
      <c r="I58" s="264"/>
      <c r="J58" s="264"/>
      <c r="K58" s="264"/>
      <c r="L58" s="265"/>
    </row>
    <row r="59" spans="1:12">
      <c r="A59" s="2"/>
      <c r="B59" s="263"/>
      <c r="C59" s="263"/>
      <c r="D59" s="2"/>
      <c r="E59" s="2"/>
      <c r="F59" s="264"/>
      <c r="G59" s="238"/>
      <c r="H59" s="264"/>
      <c r="I59" s="264"/>
      <c r="J59" s="264"/>
      <c r="K59" s="264"/>
      <c r="L59" s="265"/>
    </row>
    <row r="60" spans="1:12">
      <c r="A60" s="2"/>
      <c r="B60" s="263"/>
      <c r="C60" s="263"/>
      <c r="D60" s="263"/>
      <c r="E60" s="2"/>
      <c r="F60" s="264"/>
      <c r="G60" s="238"/>
      <c r="H60" s="264"/>
      <c r="I60" s="264"/>
      <c r="J60" s="264"/>
      <c r="K60" s="264"/>
      <c r="L60" s="265"/>
    </row>
    <row r="61" spans="1:12">
      <c r="A61" s="2"/>
      <c r="B61" s="263"/>
      <c r="C61" s="263"/>
      <c r="D61" s="2"/>
      <c r="E61" s="2"/>
      <c r="F61" s="264"/>
      <c r="G61" s="238"/>
      <c r="H61" s="264"/>
      <c r="I61" s="264"/>
      <c r="J61" s="264"/>
      <c r="K61" s="264"/>
      <c r="L61" s="265"/>
    </row>
    <row r="62" spans="1:12">
      <c r="A62" s="27"/>
      <c r="B62" s="263"/>
      <c r="C62" s="263"/>
      <c r="D62" s="2"/>
      <c r="E62" s="2"/>
      <c r="F62" s="264"/>
      <c r="G62" s="238"/>
      <c r="H62" s="264"/>
      <c r="I62" s="264"/>
      <c r="J62" s="264"/>
      <c r="K62" s="264"/>
      <c r="L62" s="265"/>
    </row>
    <row r="63" spans="1:12">
      <c r="A63" s="27"/>
      <c r="B63" s="263"/>
      <c r="C63" s="263"/>
      <c r="D63" s="2"/>
      <c r="E63" s="2"/>
      <c r="F63" s="264"/>
      <c r="G63" s="238"/>
      <c r="H63" s="264"/>
      <c r="I63" s="264"/>
      <c r="J63" s="264"/>
      <c r="K63" s="264"/>
      <c r="L63" s="265"/>
    </row>
    <row r="64" spans="1:12">
      <c r="A64" s="2"/>
      <c r="B64" s="263"/>
      <c r="C64" s="263"/>
      <c r="D64" s="2"/>
      <c r="E64" s="2"/>
      <c r="F64" s="264"/>
      <c r="G64" s="238"/>
      <c r="H64" s="264"/>
      <c r="I64" s="264"/>
      <c r="J64" s="264"/>
      <c r="K64" s="264"/>
      <c r="L64" s="265"/>
    </row>
    <row r="65" spans="1:12">
      <c r="A65" s="2"/>
      <c r="B65" s="266"/>
      <c r="C65" s="266"/>
      <c r="D65" s="27"/>
      <c r="E65" s="27"/>
      <c r="F65" s="267"/>
      <c r="G65" s="242"/>
      <c r="H65" s="267"/>
      <c r="I65" s="267"/>
      <c r="J65" s="267"/>
      <c r="K65" s="267"/>
      <c r="L65" s="267"/>
    </row>
    <row r="66" spans="1:12">
      <c r="A66" s="2"/>
      <c r="B66" s="263"/>
      <c r="C66" s="263"/>
      <c r="D66" s="2"/>
      <c r="E66" s="2"/>
      <c r="F66" s="264"/>
      <c r="G66" s="238"/>
      <c r="H66" s="264"/>
      <c r="I66" s="264"/>
      <c r="J66" s="264"/>
      <c r="K66" s="264"/>
      <c r="L66" s="265"/>
    </row>
    <row r="67" spans="1:12">
      <c r="A67" s="2"/>
      <c r="B67" s="263"/>
      <c r="C67" s="263"/>
      <c r="D67" s="2"/>
      <c r="E67" s="2"/>
      <c r="F67" s="264"/>
      <c r="G67" s="238"/>
      <c r="H67" s="264"/>
      <c r="I67" s="264"/>
      <c r="J67" s="264"/>
      <c r="K67" s="264"/>
      <c r="L67" s="265"/>
    </row>
    <row r="68" spans="1:12">
      <c r="A68" s="2"/>
      <c r="B68" s="263"/>
      <c r="C68" s="263"/>
      <c r="D68" s="2"/>
      <c r="E68" s="2"/>
      <c r="F68" s="264"/>
      <c r="G68" s="238"/>
      <c r="H68" s="264"/>
      <c r="I68" s="264"/>
      <c r="J68" s="264"/>
      <c r="K68" s="264"/>
      <c r="L68" s="265"/>
    </row>
    <row r="69" spans="1:12">
      <c r="A69" s="27"/>
      <c r="B69" s="263"/>
      <c r="C69" s="263"/>
      <c r="D69" s="2"/>
      <c r="E69" s="2"/>
      <c r="F69" s="264"/>
      <c r="G69" s="238"/>
      <c r="H69" s="264"/>
      <c r="I69" s="264"/>
      <c r="J69" s="264"/>
      <c r="K69" s="264"/>
      <c r="L69" s="265"/>
    </row>
    <row r="70" spans="1:12">
      <c r="A70" s="2"/>
      <c r="B70" s="263"/>
      <c r="C70" s="263"/>
      <c r="D70" s="2"/>
      <c r="E70" s="2"/>
      <c r="F70" s="264"/>
      <c r="G70" s="238"/>
      <c r="H70" s="264"/>
      <c r="I70" s="264"/>
      <c r="J70" s="264"/>
      <c r="K70" s="264"/>
      <c r="L70" s="265"/>
    </row>
    <row r="71" spans="1:12">
      <c r="A71" s="2"/>
      <c r="B71" s="263"/>
      <c r="C71" s="263"/>
      <c r="D71" s="2"/>
      <c r="E71" s="2"/>
      <c r="F71" s="264"/>
      <c r="G71" s="238"/>
      <c r="H71" s="264"/>
      <c r="I71" s="264"/>
      <c r="J71" s="264"/>
      <c r="K71" s="264"/>
      <c r="L71" s="265"/>
    </row>
    <row r="72" spans="1:12">
      <c r="A72" s="2"/>
      <c r="B72" s="266"/>
      <c r="C72" s="266"/>
      <c r="D72" s="27"/>
      <c r="E72" s="27"/>
      <c r="F72" s="267"/>
      <c r="G72" s="242"/>
      <c r="H72" s="267"/>
      <c r="I72" s="267"/>
      <c r="J72" s="267"/>
      <c r="K72" s="267"/>
      <c r="L72" s="267"/>
    </row>
    <row r="73" spans="1:12">
      <c r="A73" s="2"/>
      <c r="B73" s="263"/>
      <c r="C73" s="263"/>
      <c r="D73" s="2"/>
      <c r="E73" s="2"/>
      <c r="F73" s="264"/>
      <c r="G73" s="238"/>
      <c r="H73" s="264"/>
      <c r="I73" s="264"/>
      <c r="J73" s="264"/>
      <c r="K73" s="264"/>
      <c r="L73" s="265"/>
    </row>
    <row r="74" spans="1:12">
      <c r="A74" s="2"/>
      <c r="B74" s="263"/>
      <c r="C74" s="263"/>
      <c r="D74" s="2"/>
      <c r="E74" s="2"/>
      <c r="F74" s="264"/>
      <c r="G74" s="238"/>
      <c r="H74" s="264"/>
      <c r="I74" s="264"/>
      <c r="J74" s="264"/>
      <c r="K74" s="264"/>
      <c r="L74" s="265"/>
    </row>
    <row r="75" spans="1:12">
      <c r="A75" s="27"/>
      <c r="B75" s="263"/>
      <c r="C75" s="263"/>
      <c r="D75" s="2"/>
      <c r="E75" s="2"/>
      <c r="F75" s="264"/>
      <c r="G75" s="238"/>
      <c r="H75" s="264"/>
      <c r="I75" s="264"/>
      <c r="J75" s="264"/>
      <c r="K75" s="264"/>
      <c r="L75" s="265"/>
    </row>
    <row r="76" spans="1:12">
      <c r="A76" s="27"/>
      <c r="B76" s="263"/>
      <c r="C76" s="263"/>
      <c r="D76" s="2"/>
      <c r="E76" s="2"/>
      <c r="F76" s="264"/>
      <c r="G76" s="238"/>
      <c r="H76" s="264"/>
      <c r="I76" s="264"/>
      <c r="J76" s="264"/>
      <c r="K76" s="264"/>
      <c r="L76" s="265"/>
    </row>
    <row r="77" spans="1:12">
      <c r="A77" s="2"/>
      <c r="B77" s="263"/>
      <c r="C77" s="263"/>
      <c r="D77" s="2"/>
      <c r="E77" s="2"/>
      <c r="F77" s="264"/>
      <c r="G77" s="238"/>
      <c r="H77" s="264"/>
      <c r="I77" s="264"/>
      <c r="J77" s="264"/>
      <c r="K77" s="264"/>
      <c r="L77" s="265"/>
    </row>
    <row r="78" spans="1:12">
      <c r="A78" s="53"/>
      <c r="B78" s="263"/>
      <c r="C78" s="263"/>
      <c r="D78" s="2"/>
      <c r="E78" s="2"/>
      <c r="F78" s="264"/>
      <c r="G78" s="238"/>
      <c r="H78" s="264"/>
      <c r="I78" s="264"/>
      <c r="J78" s="264"/>
      <c r="K78" s="264"/>
      <c r="L78" s="265"/>
    </row>
    <row r="79" spans="1:12">
      <c r="A79" s="2"/>
      <c r="B79" s="266"/>
      <c r="C79" s="266"/>
      <c r="D79" s="27"/>
      <c r="E79" s="27"/>
      <c r="F79" s="267"/>
      <c r="G79" s="242"/>
      <c r="H79" s="267"/>
      <c r="I79" s="267"/>
      <c r="J79" s="267"/>
      <c r="K79" s="267"/>
      <c r="L79" s="267"/>
    </row>
    <row r="80" spans="1:12">
      <c r="A80" s="2"/>
      <c r="B80" s="263"/>
      <c r="C80" s="263"/>
      <c r="D80" s="2"/>
      <c r="E80" s="2"/>
      <c r="F80" s="264"/>
      <c r="G80" s="238"/>
      <c r="H80" s="264"/>
      <c r="I80" s="264"/>
      <c r="J80" s="264"/>
      <c r="K80" s="264"/>
      <c r="L80" s="265"/>
    </row>
    <row r="81" spans="1:12">
      <c r="A81" s="27"/>
      <c r="B81" s="268"/>
      <c r="C81" s="268"/>
      <c r="D81" s="53"/>
      <c r="E81" s="53"/>
      <c r="F81" s="269"/>
      <c r="G81" s="270"/>
      <c r="H81" s="269"/>
      <c r="I81" s="269"/>
      <c r="J81" s="269"/>
      <c r="K81" s="269"/>
      <c r="L81" s="269"/>
    </row>
    <row r="82" spans="1:12">
      <c r="A82" s="2"/>
      <c r="B82" s="263"/>
      <c r="C82" s="263"/>
      <c r="D82" s="2"/>
      <c r="E82" s="2"/>
      <c r="F82" s="264"/>
      <c r="G82" s="238"/>
      <c r="H82" s="264"/>
      <c r="I82" s="264"/>
      <c r="J82" s="264"/>
      <c r="K82" s="264"/>
      <c r="L82" s="265"/>
    </row>
    <row r="83" spans="1:12">
      <c r="A83" s="2"/>
      <c r="B83" s="263"/>
      <c r="C83" s="263"/>
      <c r="D83" s="2"/>
      <c r="E83" s="2"/>
      <c r="F83" s="264"/>
      <c r="G83" s="238"/>
      <c r="H83" s="264"/>
      <c r="I83" s="264"/>
      <c r="J83" s="264"/>
      <c r="K83" s="264"/>
      <c r="L83" s="265"/>
    </row>
    <row r="84" spans="1:12">
      <c r="A84" s="2"/>
      <c r="B84" s="266"/>
      <c r="C84" s="266"/>
      <c r="D84" s="27"/>
      <c r="E84" s="27"/>
      <c r="F84" s="267"/>
      <c r="G84" s="242"/>
      <c r="H84" s="267"/>
      <c r="I84" s="267"/>
      <c r="J84" s="267"/>
      <c r="K84" s="267"/>
      <c r="L84" s="267"/>
    </row>
    <row r="85" spans="1:12">
      <c r="A85" s="27"/>
      <c r="B85" s="266"/>
      <c r="C85" s="266"/>
      <c r="D85" s="27"/>
      <c r="E85" s="27"/>
      <c r="F85" s="267"/>
      <c r="G85" s="242"/>
      <c r="H85" s="267"/>
      <c r="I85" s="267"/>
      <c r="J85" s="267"/>
      <c r="K85" s="267"/>
      <c r="L85" s="267"/>
    </row>
    <row r="86" spans="1:12">
      <c r="A86" s="2"/>
      <c r="B86" s="266"/>
      <c r="C86" s="266"/>
      <c r="D86" s="27"/>
      <c r="E86" s="27"/>
      <c r="F86" s="267"/>
      <c r="G86" s="242"/>
      <c r="H86" s="267"/>
      <c r="I86" s="267"/>
      <c r="J86" s="267"/>
      <c r="K86" s="267"/>
      <c r="L86" s="267"/>
    </row>
    <row r="87" spans="1:12">
      <c r="A87" s="27"/>
      <c r="B87" s="263"/>
      <c r="C87" s="263"/>
      <c r="D87" s="2"/>
      <c r="E87" s="2"/>
      <c r="F87" s="264"/>
      <c r="G87" s="238"/>
      <c r="H87" s="264"/>
      <c r="I87" s="264"/>
      <c r="J87" s="264"/>
      <c r="K87" s="264"/>
      <c r="L87" s="265"/>
    </row>
    <row r="88" spans="1:12">
      <c r="A88" s="27"/>
    </row>
    <row r="89" spans="1:12">
      <c r="A89" s="2"/>
    </row>
  </sheetData>
  <mergeCells count="1">
    <mergeCell ref="B1:K1"/>
  </mergeCells>
  <conditionalFormatting sqref="B80:L86 B59:L65 B6:L7 B50:L53 B23:C25 B13:L22 B49:H49 J49:L49 B26:L34 E23:L25">
    <cfRule type="expression" dxfId="145" priority="9">
      <formula>MOD($B6,2)=1</formula>
    </cfRule>
  </conditionalFormatting>
  <conditionalFormatting sqref="B54:L56">
    <cfRule type="expression" dxfId="144" priority="8">
      <formula>MOD($B54,2)=1</formula>
    </cfRule>
  </conditionalFormatting>
  <conditionalFormatting sqref="B73:L79">
    <cfRule type="expression" dxfId="143" priority="7">
      <formula>MOD($B73,2)=1</formula>
    </cfRule>
  </conditionalFormatting>
  <conditionalFormatting sqref="B66:L72">
    <cfRule type="expression" dxfId="142" priority="6">
      <formula>MOD($B66,2)=1</formula>
    </cfRule>
  </conditionalFormatting>
  <conditionalFormatting sqref="B8:L8 B42:L48">
    <cfRule type="expression" dxfId="141" priority="5">
      <formula>MOD($B8,2)=1</formula>
    </cfRule>
  </conditionalFormatting>
  <conditionalFormatting sqref="B9:L11">
    <cfRule type="expression" dxfId="140" priority="4">
      <formula>MOD($B9,2)=1</formula>
    </cfRule>
  </conditionalFormatting>
  <conditionalFormatting sqref="C41:L41">
    <cfRule type="expression" dxfId="139" priority="3">
      <formula>MOD($B41,2)=1</formula>
    </cfRule>
  </conditionalFormatting>
  <conditionalFormatting sqref="D23">
    <cfRule type="expression" dxfId="138" priority="10">
      <formula>MOD($B25,2)=1</formula>
    </cfRule>
  </conditionalFormatting>
  <conditionalFormatting sqref="B35:L40">
    <cfRule type="expression" dxfId="137" priority="2">
      <formula>MOD($B35,2)=1</formula>
    </cfRule>
  </conditionalFormatting>
  <conditionalFormatting sqref="D24">
    <cfRule type="expression" dxfId="136" priority="11">
      <formula>MOD($B26,2)=1</formula>
    </cfRule>
  </conditionalFormatting>
  <pageMargins left="0.7" right="0.7" top="0.75" bottom="0.75" header="0.3" footer="0.3"/>
  <pageSetup scale="26"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2B2-4CB8-48DD-8D02-CCABFDA4E3BC}">
  <sheetPr codeName="Sheet1"/>
  <dimension ref="A1:M41"/>
  <sheetViews>
    <sheetView showGridLines="0" zoomScale="85" zoomScaleNormal="85" workbookViewId="0">
      <pane ySplit="2" topLeftCell="A9" activePane="bottomLeft" state="frozen"/>
      <selection pane="bottomLeft" activeCell="M14" sqref="M14"/>
    </sheetView>
  </sheetViews>
  <sheetFormatPr defaultColWidth="10.28515625" defaultRowHeight="14.85"/>
  <cols>
    <col min="1" max="1" width="31.5703125" customWidth="1"/>
    <col min="2" max="3" width="24.7109375" style="7" customWidth="1"/>
    <col min="4" max="4" width="39.7109375" customWidth="1"/>
    <col min="5" max="5" width="38.7109375" customWidth="1"/>
    <col min="6" max="6" width="16.28515625" style="8" customWidth="1"/>
    <col min="7" max="7" width="16.28515625" style="9" customWidth="1"/>
    <col min="8" max="8" width="20.5703125" style="8" customWidth="1"/>
    <col min="9" max="9" width="19.42578125" style="8" customWidth="1"/>
    <col min="10" max="11" width="22" style="8" customWidth="1"/>
    <col min="12" max="12" width="22.28515625" style="1" customWidth="1"/>
    <col min="13" max="16384" width="10.28515625" style="2"/>
  </cols>
  <sheetData>
    <row r="1" spans="1:13" ht="148.5" customHeight="1">
      <c r="B1" s="389" t="s">
        <v>170</v>
      </c>
      <c r="C1" s="389"/>
      <c r="D1" s="389"/>
      <c r="E1" s="389"/>
      <c r="F1" s="389"/>
      <c r="G1" s="389"/>
      <c r="H1" s="389"/>
      <c r="I1" s="389"/>
      <c r="J1" s="389"/>
      <c r="K1" s="389"/>
    </row>
    <row r="2" spans="1:13" s="6" customFormat="1" ht="15" customHeight="1">
      <c r="A2" s="3" t="s">
        <v>1</v>
      </c>
      <c r="B2" s="3" t="s">
        <v>2</v>
      </c>
      <c r="C2" s="3" t="s">
        <v>3</v>
      </c>
      <c r="D2" s="3" t="s">
        <v>122</v>
      </c>
      <c r="E2" s="3" t="s">
        <v>4</v>
      </c>
      <c r="F2" s="4" t="s">
        <v>5</v>
      </c>
      <c r="G2" s="3" t="s">
        <v>6</v>
      </c>
      <c r="H2" s="4" t="s">
        <v>7</v>
      </c>
      <c r="I2" s="4" t="s">
        <v>8</v>
      </c>
      <c r="J2" s="4" t="s">
        <v>123</v>
      </c>
      <c r="K2" s="4" t="s">
        <v>9</v>
      </c>
      <c r="L2" s="5" t="s">
        <v>10</v>
      </c>
    </row>
    <row r="3" spans="1:13" ht="14.25" customHeight="1">
      <c r="L3" s="10"/>
    </row>
    <row r="4" spans="1:13" ht="15" customHeight="1">
      <c r="A4" s="11" t="s">
        <v>15</v>
      </c>
      <c r="B4" s="12"/>
      <c r="C4" s="12"/>
      <c r="D4" s="13"/>
      <c r="E4" s="13"/>
      <c r="F4" s="14"/>
      <c r="G4" s="15"/>
      <c r="H4" s="14"/>
      <c r="I4" s="14"/>
      <c r="J4" s="14"/>
      <c r="K4" s="14"/>
      <c r="L4" s="16"/>
    </row>
    <row r="5" spans="1:13">
      <c r="L5" s="19"/>
    </row>
    <row r="6" spans="1:13" s="53" customFormat="1">
      <c r="A6" s="28"/>
      <c r="B6" s="29" t="s">
        <v>42</v>
      </c>
      <c r="C6" s="30"/>
      <c r="D6" s="31"/>
      <c r="E6" s="31"/>
      <c r="F6" s="32"/>
      <c r="G6" s="33"/>
      <c r="H6" s="32"/>
      <c r="I6" s="32">
        <v>0</v>
      </c>
      <c r="J6" s="32">
        <v>0</v>
      </c>
      <c r="K6" s="32">
        <v>0</v>
      </c>
      <c r="L6" s="34">
        <v>0</v>
      </c>
    </row>
    <row r="7" spans="1:13">
      <c r="L7" s="19"/>
    </row>
    <row r="8" spans="1:13" ht="15" customHeight="1">
      <c r="A8" s="11" t="s">
        <v>40</v>
      </c>
      <c r="B8" s="12"/>
      <c r="C8" s="12"/>
      <c r="D8" s="13"/>
      <c r="E8" s="13"/>
      <c r="F8" s="14"/>
      <c r="G8" s="15"/>
      <c r="H8" s="14"/>
      <c r="I8" s="14"/>
      <c r="J8" s="14"/>
      <c r="K8" s="14"/>
      <c r="L8" s="16"/>
    </row>
    <row r="9" spans="1:13">
      <c r="A9" s="17" t="s">
        <v>171</v>
      </c>
      <c r="L9" s="19"/>
    </row>
    <row r="10" spans="1:13">
      <c r="B10" s="7">
        <v>10100</v>
      </c>
      <c r="C10" s="7" t="s">
        <v>172</v>
      </c>
      <c r="D10" s="7">
        <v>1</v>
      </c>
      <c r="E10" t="s">
        <v>173</v>
      </c>
      <c r="F10" s="8">
        <v>39.47</v>
      </c>
      <c r="G10" s="9">
        <v>12</v>
      </c>
      <c r="H10" s="8">
        <f>F10*G10</f>
        <v>473.64</v>
      </c>
      <c r="I10" s="8">
        <f>H10*1.13</f>
        <v>535.21319999999992</v>
      </c>
      <c r="J10" s="8">
        <f>I10*1.25</f>
        <v>669.01649999999995</v>
      </c>
      <c r="K10" s="8">
        <v>0</v>
      </c>
      <c r="L10" s="19">
        <f>39.47*12*1.13</f>
        <v>535.21319999999992</v>
      </c>
    </row>
    <row r="11" spans="1:13">
      <c r="B11" s="7">
        <v>10101</v>
      </c>
      <c r="C11" s="7" t="s">
        <v>174</v>
      </c>
      <c r="D11" s="7">
        <v>1</v>
      </c>
      <c r="E11" t="s">
        <v>175</v>
      </c>
      <c r="F11" s="8">
        <v>16</v>
      </c>
      <c r="G11" s="9">
        <f>21*2</f>
        <v>42</v>
      </c>
      <c r="H11" s="8">
        <f t="shared" ref="H11:H13" si="0">F11*G11</f>
        <v>672</v>
      </c>
      <c r="I11" s="8">
        <f>H11*1</f>
        <v>672</v>
      </c>
      <c r="J11" s="8">
        <f>I11*1.25</f>
        <v>840</v>
      </c>
      <c r="K11" s="8">
        <v>0</v>
      </c>
      <c r="L11" s="19">
        <v>672</v>
      </c>
    </row>
    <row r="12" spans="1:13">
      <c r="B12" s="7">
        <v>10102</v>
      </c>
      <c r="C12" s="7" t="s">
        <v>176</v>
      </c>
      <c r="D12" s="7">
        <v>5</v>
      </c>
      <c r="E12" t="s">
        <v>177</v>
      </c>
      <c r="F12" s="8">
        <v>20</v>
      </c>
      <c r="G12" s="9">
        <f>24</f>
        <v>24</v>
      </c>
      <c r="H12" s="8">
        <f>F12*G12</f>
        <v>480</v>
      </c>
      <c r="I12" s="8">
        <f>H12*1</f>
        <v>480</v>
      </c>
      <c r="J12" s="8">
        <f>I12*1.25</f>
        <v>600</v>
      </c>
      <c r="K12" s="8">
        <v>0</v>
      </c>
      <c r="L12" s="19">
        <v>0</v>
      </c>
      <c r="M12" s="2" t="s">
        <v>178</v>
      </c>
    </row>
    <row r="13" spans="1:13">
      <c r="B13" s="7">
        <v>10103</v>
      </c>
      <c r="C13" s="7" t="s">
        <v>179</v>
      </c>
      <c r="D13" s="7">
        <v>10</v>
      </c>
      <c r="E13" t="s">
        <v>180</v>
      </c>
      <c r="F13" s="8">
        <v>8</v>
      </c>
      <c r="G13" s="9">
        <v>10</v>
      </c>
      <c r="H13" s="8">
        <f t="shared" si="0"/>
        <v>80</v>
      </c>
      <c r="I13" s="8">
        <f>H13*1</f>
        <v>80</v>
      </c>
      <c r="J13" s="8">
        <f>I13*1.25</f>
        <v>100</v>
      </c>
      <c r="K13" s="8">
        <v>0</v>
      </c>
      <c r="L13" s="19">
        <v>80</v>
      </c>
    </row>
    <row r="14" spans="1:13">
      <c r="B14" s="7">
        <v>10104</v>
      </c>
      <c r="C14" s="7" t="s">
        <v>181</v>
      </c>
      <c r="D14" s="7">
        <v>1</v>
      </c>
      <c r="E14" t="s">
        <v>182</v>
      </c>
      <c r="F14" s="8">
        <v>300</v>
      </c>
      <c r="G14" s="9">
        <v>3</v>
      </c>
      <c r="H14" s="8">
        <f>F14*G14</f>
        <v>900</v>
      </c>
      <c r="I14" s="8">
        <f>H14*1</f>
        <v>900</v>
      </c>
      <c r="J14" s="8">
        <f>I14*1.25</f>
        <v>1125</v>
      </c>
      <c r="K14" s="8">
        <v>0</v>
      </c>
      <c r="L14" s="19">
        <v>1500</v>
      </c>
    </row>
    <row r="15" spans="1:13">
      <c r="L15" s="19"/>
    </row>
    <row r="16" spans="1:13">
      <c r="B16" s="21" t="s">
        <v>183</v>
      </c>
      <c r="C16" s="22"/>
      <c r="D16" s="23"/>
      <c r="E16" s="23"/>
      <c r="F16" s="24"/>
      <c r="G16" s="25"/>
      <c r="H16" s="24"/>
      <c r="I16" s="24">
        <f>SUM(I10:I12)</f>
        <v>1687.2131999999999</v>
      </c>
      <c r="J16" s="24">
        <f t="shared" ref="J16:L16" si="1">SUM(J10:J12)</f>
        <v>2109.0164999999997</v>
      </c>
      <c r="K16" s="24">
        <f t="shared" si="1"/>
        <v>0</v>
      </c>
      <c r="L16" s="26">
        <f>SUM(L10:L14)</f>
        <v>2787.2132000000001</v>
      </c>
    </row>
    <row r="17" spans="1:13">
      <c r="B17" s="295"/>
      <c r="C17" s="295"/>
      <c r="D17" s="17"/>
      <c r="E17" s="17"/>
      <c r="F17" s="106"/>
      <c r="G17" s="37"/>
      <c r="H17" s="106"/>
      <c r="I17" s="106"/>
      <c r="J17" s="106"/>
      <c r="K17" s="106"/>
      <c r="L17" s="39"/>
    </row>
    <row r="18" spans="1:13">
      <c r="A18" s="17" t="s">
        <v>184</v>
      </c>
      <c r="L18" s="19"/>
    </row>
    <row r="19" spans="1:13">
      <c r="B19" s="7">
        <v>10200</v>
      </c>
      <c r="C19" s="7" t="s">
        <v>185</v>
      </c>
      <c r="D19" s="7">
        <v>1</v>
      </c>
      <c r="E19" t="s">
        <v>186</v>
      </c>
      <c r="F19" s="8">
        <v>200</v>
      </c>
      <c r="G19" s="9">
        <v>2</v>
      </c>
      <c r="H19" s="8">
        <f>F19*G19</f>
        <v>400</v>
      </c>
      <c r="I19" s="8">
        <f>H19*1.13</f>
        <v>451.99999999999994</v>
      </c>
      <c r="J19" s="8">
        <f>I19*1.25</f>
        <v>564.99999999999989</v>
      </c>
      <c r="K19" s="8">
        <v>0</v>
      </c>
      <c r="L19" s="19">
        <v>0</v>
      </c>
      <c r="M19" s="2" t="s">
        <v>187</v>
      </c>
    </row>
    <row r="20" spans="1:13">
      <c r="B20" s="7">
        <v>10201</v>
      </c>
      <c r="C20" s="7" t="s">
        <v>188</v>
      </c>
      <c r="D20" s="7">
        <v>7</v>
      </c>
      <c r="E20" t="s">
        <v>189</v>
      </c>
      <c r="F20" s="8">
        <v>100</v>
      </c>
      <c r="G20" s="9">
        <v>1</v>
      </c>
      <c r="H20" s="8">
        <f t="shared" ref="H20:H22" si="2">F20*G20</f>
        <v>100</v>
      </c>
      <c r="I20" s="8">
        <f t="shared" ref="I20:I22" si="3">H20*1.13</f>
        <v>112.99999999999999</v>
      </c>
      <c r="J20" s="8">
        <f t="shared" ref="J20:J22" si="4">I20*1.25</f>
        <v>141.24999999999997</v>
      </c>
      <c r="K20" s="8">
        <v>0</v>
      </c>
      <c r="L20" s="19">
        <v>0</v>
      </c>
      <c r="M20" s="2" t="s">
        <v>190</v>
      </c>
    </row>
    <row r="21" spans="1:13">
      <c r="B21" s="7">
        <v>10202</v>
      </c>
      <c r="C21" s="7" t="s">
        <v>191</v>
      </c>
      <c r="D21" s="7">
        <v>3</v>
      </c>
      <c r="E21" t="s">
        <v>192</v>
      </c>
      <c r="F21" s="8">
        <v>550</v>
      </c>
      <c r="G21" s="9">
        <v>2</v>
      </c>
      <c r="H21" s="8">
        <f t="shared" si="2"/>
        <v>1100</v>
      </c>
      <c r="I21" s="8">
        <f t="shared" si="3"/>
        <v>1242.9999999999998</v>
      </c>
      <c r="J21" s="8">
        <f t="shared" si="4"/>
        <v>1553.7499999999998</v>
      </c>
      <c r="K21" s="8">
        <v>0</v>
      </c>
      <c r="L21" s="19">
        <v>0</v>
      </c>
      <c r="M21" s="2" t="s">
        <v>193</v>
      </c>
    </row>
    <row r="22" spans="1:13">
      <c r="B22" s="7">
        <v>10203</v>
      </c>
      <c r="C22" s="7" t="s">
        <v>194</v>
      </c>
      <c r="D22" s="7">
        <v>3</v>
      </c>
      <c r="E22" t="s">
        <v>195</v>
      </c>
      <c r="F22" s="8">
        <v>150</v>
      </c>
      <c r="G22" s="9">
        <v>2</v>
      </c>
      <c r="H22" s="8">
        <f t="shared" si="2"/>
        <v>300</v>
      </c>
      <c r="I22" s="8">
        <f t="shared" si="3"/>
        <v>338.99999999999994</v>
      </c>
      <c r="J22" s="8">
        <f t="shared" si="4"/>
        <v>423.74999999999994</v>
      </c>
      <c r="K22" s="8">
        <v>0</v>
      </c>
      <c r="L22" s="19">
        <v>0</v>
      </c>
      <c r="M22" s="2" t="s">
        <v>196</v>
      </c>
    </row>
    <row r="23" spans="1:13">
      <c r="L23" s="19"/>
    </row>
    <row r="24" spans="1:13">
      <c r="B24" s="21" t="s">
        <v>197</v>
      </c>
      <c r="C24" s="22"/>
      <c r="D24" s="23"/>
      <c r="E24" s="23"/>
      <c r="F24" s="24"/>
      <c r="G24" s="25"/>
      <c r="H24" s="24"/>
      <c r="I24" s="24">
        <f>SUM(I19:I22)</f>
        <v>2146.9999999999995</v>
      </c>
      <c r="J24" s="24">
        <f>SUM(J19:J22)</f>
        <v>2683.7499999999995</v>
      </c>
      <c r="K24" s="24">
        <f>SUM(K19:K22)</f>
        <v>0</v>
      </c>
      <c r="L24" s="26">
        <f>SUM(L19:L22)</f>
        <v>0</v>
      </c>
    </row>
    <row r="25" spans="1:13">
      <c r="L25" s="18"/>
    </row>
    <row r="26" spans="1:13">
      <c r="A26" s="17" t="s">
        <v>198</v>
      </c>
      <c r="L26" s="19"/>
    </row>
    <row r="27" spans="1:13">
      <c r="A27" s="17"/>
      <c r="B27" s="7">
        <v>10300</v>
      </c>
      <c r="C27" s="7" t="s">
        <v>198</v>
      </c>
      <c r="D27" s="7">
        <v>1</v>
      </c>
      <c r="E27" t="s">
        <v>199</v>
      </c>
      <c r="F27" s="8">
        <v>20000</v>
      </c>
      <c r="G27" s="9">
        <v>1</v>
      </c>
      <c r="H27" s="8">
        <f t="shared" ref="H27" si="5">F27*G27</f>
        <v>20000</v>
      </c>
      <c r="I27" s="8">
        <f>H27</f>
        <v>20000</v>
      </c>
      <c r="J27" s="8">
        <f t="shared" ref="J27" si="6">I27*1.25</f>
        <v>25000</v>
      </c>
      <c r="K27" s="8">
        <v>0</v>
      </c>
      <c r="L27" s="283">
        <v>25000</v>
      </c>
    </row>
    <row r="28" spans="1:13">
      <c r="L28" s="19"/>
    </row>
    <row r="29" spans="1:13">
      <c r="B29" s="21" t="s">
        <v>200</v>
      </c>
      <c r="C29" s="22"/>
      <c r="D29" s="23"/>
      <c r="E29" s="23"/>
      <c r="F29" s="24"/>
      <c r="G29" s="25"/>
      <c r="H29" s="24"/>
      <c r="I29" s="24">
        <f>SUM(I27)</f>
        <v>20000</v>
      </c>
      <c r="J29" s="24">
        <f t="shared" ref="J29:L29" si="7">SUM(J27)</f>
        <v>25000</v>
      </c>
      <c r="K29" s="24">
        <f t="shared" si="7"/>
        <v>0</v>
      </c>
      <c r="L29" s="26">
        <f>SUM(L27)</f>
        <v>25000</v>
      </c>
    </row>
    <row r="30" spans="1:13">
      <c r="B30" s="295"/>
      <c r="C30" s="295"/>
      <c r="D30" s="17"/>
      <c r="E30" s="17"/>
      <c r="F30" s="106"/>
      <c r="G30" s="37"/>
      <c r="H30" s="106"/>
      <c r="I30" s="106"/>
      <c r="J30" s="106"/>
      <c r="K30" s="106"/>
      <c r="L30" s="39"/>
    </row>
    <row r="31" spans="1:13">
      <c r="A31" s="17" t="s">
        <v>201</v>
      </c>
      <c r="L31" s="19"/>
    </row>
    <row r="32" spans="1:13">
      <c r="A32" s="17"/>
      <c r="B32" s="7">
        <v>10400</v>
      </c>
      <c r="C32" s="7" t="s">
        <v>202</v>
      </c>
      <c r="D32" s="7">
        <v>1</v>
      </c>
      <c r="E32" t="s">
        <v>203</v>
      </c>
      <c r="F32" s="8">
        <v>6576.54</v>
      </c>
      <c r="G32" s="9">
        <v>1</v>
      </c>
      <c r="H32" s="8">
        <f t="shared" ref="H32" si="8">F32*G32</f>
        <v>6576.54</v>
      </c>
      <c r="I32" s="8">
        <f t="shared" ref="I32" si="9">H32*1.13</f>
        <v>7431.4901999999993</v>
      </c>
      <c r="J32" s="8">
        <f t="shared" ref="J32" si="10">I32*1.25</f>
        <v>9289.3627499999984</v>
      </c>
      <c r="L32" s="283">
        <v>6576.54</v>
      </c>
    </row>
    <row r="33" spans="1:12">
      <c r="L33" s="19"/>
    </row>
    <row r="34" spans="1:12">
      <c r="B34" s="21" t="s">
        <v>200</v>
      </c>
      <c r="C34" s="22"/>
      <c r="D34" s="23"/>
      <c r="E34" s="23"/>
      <c r="F34" s="24"/>
      <c r="G34" s="25"/>
      <c r="H34" s="24"/>
      <c r="I34" s="24">
        <f>SUM(I32)</f>
        <v>7431.4901999999993</v>
      </c>
      <c r="J34" s="24">
        <f t="shared" ref="J34:L34" si="11">SUM(J32)</f>
        <v>9289.3627499999984</v>
      </c>
      <c r="K34" s="24">
        <f t="shared" si="11"/>
        <v>0</v>
      </c>
      <c r="L34" s="26">
        <f>SUM(L32)</f>
        <v>6576.54</v>
      </c>
    </row>
    <row r="35" spans="1:12">
      <c r="L35" s="19"/>
    </row>
    <row r="36" spans="1:12" s="53" customFormat="1">
      <c r="A36" s="28"/>
      <c r="B36" s="29" t="s">
        <v>120</v>
      </c>
      <c r="C36" s="30"/>
      <c r="D36" s="31"/>
      <c r="E36" s="31"/>
      <c r="F36" s="32"/>
      <c r="G36" s="33"/>
      <c r="H36" s="32"/>
      <c r="I36" s="32">
        <f>SUM(I16,I24,I34,I29)</f>
        <v>31265.703399999999</v>
      </c>
      <c r="J36" s="32">
        <f>SUM(J16,J24,J34,J29)</f>
        <v>39082.129249999998</v>
      </c>
      <c r="K36" s="32">
        <f t="shared" ref="K36" si="12">SUM(K16,K24,K34)</f>
        <v>0</v>
      </c>
      <c r="L36" s="34">
        <f>SUM(L16,L24,L34,L29)</f>
        <v>34363.753199999999</v>
      </c>
    </row>
    <row r="37" spans="1:12">
      <c r="L37" s="284"/>
    </row>
    <row r="38" spans="1:12" ht="15" customHeight="1">
      <c r="A38" s="11" t="s">
        <v>56</v>
      </c>
      <c r="B38" s="12"/>
      <c r="C38" s="12"/>
      <c r="D38" s="13"/>
      <c r="E38" s="13"/>
      <c r="F38" s="14"/>
      <c r="G38" s="15"/>
      <c r="H38" s="14"/>
      <c r="I38" s="14"/>
      <c r="J38" s="14"/>
      <c r="K38" s="14"/>
      <c r="L38" s="16"/>
    </row>
    <row r="39" spans="1:12" s="27" customFormat="1">
      <c r="A39" s="17"/>
      <c r="B39" s="295" t="s">
        <v>58</v>
      </c>
      <c r="C39" s="295"/>
      <c r="D39" s="17"/>
      <c r="E39" s="17"/>
      <c r="F39" s="36"/>
      <c r="G39" s="37"/>
      <c r="H39" s="36"/>
      <c r="I39" s="36">
        <f>I6</f>
        <v>0</v>
      </c>
      <c r="J39" s="36">
        <f>J6</f>
        <v>0</v>
      </c>
      <c r="K39" s="36">
        <f>K6</f>
        <v>0</v>
      </c>
      <c r="L39" s="38">
        <f>L6</f>
        <v>0</v>
      </c>
    </row>
    <row r="40" spans="1:12" s="27" customFormat="1">
      <c r="A40" s="17"/>
      <c r="B40" s="295" t="s">
        <v>62</v>
      </c>
      <c r="C40" s="295"/>
      <c r="D40" s="17"/>
      <c r="E40" s="17"/>
      <c r="F40" s="36"/>
      <c r="G40" s="37"/>
      <c r="H40" s="36"/>
      <c r="I40" s="36">
        <f>I36</f>
        <v>31265.703399999999</v>
      </c>
      <c r="J40" s="36">
        <f>J36</f>
        <v>39082.129249999998</v>
      </c>
      <c r="K40" s="36">
        <f>K36</f>
        <v>0</v>
      </c>
      <c r="L40" s="39">
        <f>L36</f>
        <v>34363.753199999999</v>
      </c>
    </row>
    <row r="41" spans="1:12" s="27" customFormat="1">
      <c r="A41" s="40"/>
      <c r="B41" s="41" t="s">
        <v>65</v>
      </c>
      <c r="C41" s="41"/>
      <c r="D41" s="40"/>
      <c r="E41" s="40"/>
      <c r="F41" s="42"/>
      <c r="G41" s="43"/>
      <c r="H41" s="42"/>
      <c r="I41" s="42">
        <f>SUM(I39,I40*-1)</f>
        <v>-31265.703399999999</v>
      </c>
      <c r="J41" s="42">
        <f t="shared" ref="J41:L41" si="13">SUM(J39,J40*-1)</f>
        <v>-39082.129249999998</v>
      </c>
      <c r="K41" s="42">
        <f t="shared" si="13"/>
        <v>0</v>
      </c>
      <c r="L41" s="44">
        <f t="shared" si="13"/>
        <v>-34363.753199999999</v>
      </c>
    </row>
  </sheetData>
  <mergeCells count="1">
    <mergeCell ref="B1:K1"/>
  </mergeCells>
  <conditionalFormatting sqref="B18:L23 B25:L25 B35:L35 B37:L41 B31:L33 B10:L15">
    <cfRule type="expression" dxfId="135" priority="8">
      <formula>MOD($B10,2)=1</formula>
    </cfRule>
  </conditionalFormatting>
  <conditionalFormatting sqref="B5:L7">
    <cfRule type="expression" dxfId="134" priority="7">
      <formula>MOD($B5,2)=1</formula>
    </cfRule>
  </conditionalFormatting>
  <conditionalFormatting sqref="B16:L17">
    <cfRule type="expression" dxfId="133" priority="6">
      <formula>MOD($B16,2)=1</formula>
    </cfRule>
  </conditionalFormatting>
  <conditionalFormatting sqref="B24:L24">
    <cfRule type="expression" dxfId="132" priority="5">
      <formula>MOD($B24,2)=1</formula>
    </cfRule>
  </conditionalFormatting>
  <conditionalFormatting sqref="B34:L34">
    <cfRule type="expression" dxfId="131" priority="4">
      <formula>MOD($B34,2)=1</formula>
    </cfRule>
  </conditionalFormatting>
  <conditionalFormatting sqref="B36:L36">
    <cfRule type="expression" dxfId="130" priority="3">
      <formula>MOD($B36,2)=1</formula>
    </cfRule>
  </conditionalFormatting>
  <conditionalFormatting sqref="B26:L28">
    <cfRule type="expression" dxfId="129" priority="2">
      <formula>MOD($B26,2)=1</formula>
    </cfRule>
  </conditionalFormatting>
  <conditionalFormatting sqref="B29:L30">
    <cfRule type="expression" dxfId="128" priority="1">
      <formula>MOD($B29,2)=1</formula>
    </cfRule>
  </conditionalFormatting>
  <pageMargins left="0.7" right="0.7" top="0.75" bottom="0.75" header="0.3" footer="0.3"/>
  <pageSetup scale="2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F82E-EA5B-4B51-AA71-0A4552D7A557}">
  <dimension ref="A1:M75"/>
  <sheetViews>
    <sheetView showGridLines="0" zoomScale="70" zoomScaleNormal="70" workbookViewId="0">
      <pane ySplit="2" topLeftCell="A25" activePane="bottomLeft" state="frozen"/>
      <selection pane="bottomLeft" activeCell="N13" sqref="N13"/>
    </sheetView>
  </sheetViews>
  <sheetFormatPr defaultColWidth="9.140625" defaultRowHeight="14.85"/>
  <cols>
    <col min="1" max="1" width="24.28515625" customWidth="1"/>
    <col min="2" max="2" width="19.7109375" style="7" customWidth="1"/>
    <col min="3" max="3" width="24.7109375" style="7" customWidth="1"/>
    <col min="4" max="4" width="14.28515625" customWidth="1"/>
    <col min="5" max="5" width="50.5703125" customWidth="1"/>
    <col min="6" max="6" width="16.28515625" style="8" customWidth="1"/>
    <col min="7" max="7" width="16.28515625" style="9" customWidth="1"/>
    <col min="8" max="8" width="20.5703125" style="8" customWidth="1"/>
    <col min="9" max="9" width="23" style="8" customWidth="1"/>
    <col min="10" max="11" width="22" style="8" customWidth="1"/>
    <col min="12" max="12" width="22.28515625" style="1" customWidth="1"/>
    <col min="13" max="16384" width="9.140625" style="2"/>
  </cols>
  <sheetData>
    <row r="1" spans="1:13" ht="148.5" customHeight="1">
      <c r="B1" s="389" t="s">
        <v>204</v>
      </c>
      <c r="C1" s="389"/>
      <c r="D1" s="389"/>
      <c r="E1" s="389"/>
      <c r="F1" s="389"/>
      <c r="G1" s="389"/>
      <c r="H1" s="389"/>
      <c r="I1" s="389"/>
      <c r="J1" s="389"/>
      <c r="K1" s="389"/>
    </row>
    <row r="2" spans="1:13" s="6" customFormat="1" ht="15" customHeight="1">
      <c r="A2" s="3" t="s">
        <v>1</v>
      </c>
      <c r="B2" s="3" t="s">
        <v>2</v>
      </c>
      <c r="C2" s="3" t="s">
        <v>3</v>
      </c>
      <c r="D2" s="3" t="s">
        <v>122</v>
      </c>
      <c r="E2" s="3" t="s">
        <v>4</v>
      </c>
      <c r="F2" s="4" t="s">
        <v>5</v>
      </c>
      <c r="G2" s="3" t="s">
        <v>6</v>
      </c>
      <c r="H2" s="4" t="s">
        <v>7</v>
      </c>
      <c r="I2" s="4" t="s">
        <v>8</v>
      </c>
      <c r="J2" s="4" t="s">
        <v>123</v>
      </c>
      <c r="K2" s="4" t="s">
        <v>9</v>
      </c>
      <c r="L2" s="5" t="s">
        <v>10</v>
      </c>
    </row>
    <row r="3" spans="1:13" ht="15" customHeight="1">
      <c r="L3" s="10"/>
    </row>
    <row r="4" spans="1:13" ht="15" customHeight="1">
      <c r="A4" s="11" t="s">
        <v>15</v>
      </c>
      <c r="B4" s="12"/>
      <c r="C4" s="12"/>
      <c r="D4" s="13"/>
      <c r="E4" s="13"/>
      <c r="F4" s="14"/>
      <c r="G4" s="15"/>
      <c r="H4" s="14"/>
      <c r="I4" s="14"/>
      <c r="J4" s="14"/>
      <c r="K4" s="14"/>
      <c r="L4" s="16"/>
    </row>
    <row r="5" spans="1:13" ht="15" customHeight="1">
      <c r="L5" s="19"/>
    </row>
    <row r="6" spans="1:13" ht="15" customHeight="1">
      <c r="A6" s="28"/>
      <c r="B6" s="29" t="s">
        <v>42</v>
      </c>
      <c r="C6" s="30"/>
      <c r="D6" s="31"/>
      <c r="E6" s="31"/>
      <c r="F6" s="32"/>
      <c r="G6" s="33">
        <v>0</v>
      </c>
      <c r="H6" s="32">
        <v>0</v>
      </c>
      <c r="I6" s="32">
        <v>0</v>
      </c>
      <c r="J6" s="32">
        <v>0</v>
      </c>
      <c r="K6" s="32">
        <v>0</v>
      </c>
      <c r="L6" s="34">
        <v>0</v>
      </c>
    </row>
    <row r="7" spans="1:13" ht="15" customHeight="1">
      <c r="L7" s="19"/>
    </row>
    <row r="8" spans="1:13" s="27" customFormat="1" ht="15" customHeight="1">
      <c r="A8" s="11" t="s">
        <v>40</v>
      </c>
      <c r="B8" s="12"/>
      <c r="C8" s="12"/>
      <c r="D8" s="13"/>
      <c r="E8" s="13"/>
      <c r="F8" s="14"/>
      <c r="G8" s="15"/>
      <c r="H8" s="14"/>
      <c r="I8" s="14"/>
      <c r="J8" s="14"/>
      <c r="K8" s="14"/>
      <c r="L8" s="16"/>
    </row>
    <row r="9" spans="1:13" ht="15" customHeight="1">
      <c r="A9" s="73" t="s">
        <v>205</v>
      </c>
      <c r="L9" s="19"/>
    </row>
    <row r="10" spans="1:13" ht="15" customHeight="1">
      <c r="B10" s="287">
        <v>522</v>
      </c>
      <c r="C10" s="288" t="s">
        <v>206</v>
      </c>
      <c r="D10" s="287">
        <v>9</v>
      </c>
      <c r="E10" s="289" t="s">
        <v>207</v>
      </c>
      <c r="F10" s="290">
        <v>16</v>
      </c>
      <c r="G10" s="291">
        <v>40</v>
      </c>
      <c r="H10" s="290">
        <f t="shared" ref="H10" si="0">F10*G10</f>
        <v>640</v>
      </c>
      <c r="I10" s="290">
        <f>H10*1.13</f>
        <v>723.19999999999993</v>
      </c>
      <c r="J10" s="290">
        <f t="shared" ref="J10" si="1">I10*1.25</f>
        <v>903.99999999999989</v>
      </c>
      <c r="K10" s="290"/>
      <c r="L10" s="292">
        <v>1138.3599999999999</v>
      </c>
    </row>
    <row r="11" spans="1:13" ht="15" customHeight="1">
      <c r="L11" s="19"/>
    </row>
    <row r="12" spans="1:13" ht="15" customHeight="1">
      <c r="B12" s="245" t="s">
        <v>208</v>
      </c>
      <c r="C12" s="22"/>
      <c r="D12" s="23"/>
      <c r="E12" s="23"/>
      <c r="F12" s="24"/>
      <c r="G12" s="25"/>
      <c r="H12" s="24"/>
      <c r="I12" s="24">
        <f>SUM(I10:I10)</f>
        <v>723.19999999999993</v>
      </c>
      <c r="J12" s="24">
        <f>SUM(J10:J10)</f>
        <v>903.99999999999989</v>
      </c>
      <c r="K12" s="24">
        <f>SUM(K10:K10)</f>
        <v>0</v>
      </c>
      <c r="L12" s="26">
        <f>SUM(L10:L10)</f>
        <v>1138.3599999999999</v>
      </c>
    </row>
    <row r="13" spans="1:13" s="53" customFormat="1" ht="15" customHeight="1">
      <c r="A13" s="73" t="s">
        <v>209</v>
      </c>
      <c r="B13" s="7"/>
      <c r="C13" s="7"/>
      <c r="D13"/>
      <c r="E13"/>
      <c r="F13" s="8"/>
      <c r="G13" s="9"/>
      <c r="H13" s="8"/>
      <c r="I13" s="8"/>
      <c r="J13" s="8"/>
      <c r="K13" s="8"/>
      <c r="L13" s="19"/>
    </row>
    <row r="14" spans="1:13" s="27" customFormat="1" ht="15" customHeight="1">
      <c r="A14"/>
      <c r="B14" s="243">
        <v>531</v>
      </c>
      <c r="C14" s="45" t="s">
        <v>210</v>
      </c>
      <c r="D14" s="243">
        <v>3</v>
      </c>
      <c r="E14" s="244" t="s">
        <v>211</v>
      </c>
      <c r="F14" s="129">
        <v>20</v>
      </c>
      <c r="G14" s="9">
        <v>8</v>
      </c>
      <c r="H14" s="8">
        <f>F14*G14</f>
        <v>160</v>
      </c>
      <c r="I14" s="8">
        <f>H14*1.13</f>
        <v>180.79999999999998</v>
      </c>
      <c r="J14" s="8">
        <f>I14*1.25</f>
        <v>225.99999999999997</v>
      </c>
      <c r="K14" s="129"/>
      <c r="L14" s="131"/>
      <c r="M14" s="2" t="s">
        <v>212</v>
      </c>
    </row>
    <row r="15" spans="1:13" ht="15" customHeight="1">
      <c r="A15" s="17"/>
      <c r="L15" s="19"/>
    </row>
    <row r="16" spans="1:13" ht="15" customHeight="1">
      <c r="B16" s="245" t="s">
        <v>213</v>
      </c>
      <c r="C16" s="22"/>
      <c r="D16" s="23"/>
      <c r="E16" s="23"/>
      <c r="F16" s="24"/>
      <c r="G16" s="25"/>
      <c r="H16" s="24"/>
      <c r="I16" s="24">
        <f>SUM(I14:I14)</f>
        <v>180.79999999999998</v>
      </c>
      <c r="J16" s="24">
        <f>SUM(J14:J14)</f>
        <v>225.99999999999997</v>
      </c>
      <c r="K16" s="24">
        <f>SUM(K14:K14)</f>
        <v>0</v>
      </c>
      <c r="L16" s="26">
        <f>SUM(L14:L14)</f>
        <v>0</v>
      </c>
    </row>
    <row r="17" spans="1:13" ht="15" customHeight="1">
      <c r="A17" s="73" t="s">
        <v>214</v>
      </c>
      <c r="L17" s="19"/>
    </row>
    <row r="18" spans="1:13" ht="15" customHeight="1">
      <c r="B18" s="287">
        <v>541</v>
      </c>
      <c r="C18" s="288" t="s">
        <v>215</v>
      </c>
      <c r="D18" s="287">
        <v>3</v>
      </c>
      <c r="E18" s="288" t="s">
        <v>216</v>
      </c>
      <c r="F18" s="290">
        <v>20</v>
      </c>
      <c r="G18" s="291">
        <v>4</v>
      </c>
      <c r="H18" s="290">
        <f>F18*G18</f>
        <v>80</v>
      </c>
      <c r="I18" s="290">
        <f>H18*1.13</f>
        <v>90.399999999999991</v>
      </c>
      <c r="J18" s="290">
        <f>I18*1.25</f>
        <v>112.99999999999999</v>
      </c>
      <c r="K18" s="290"/>
      <c r="L18" s="292"/>
      <c r="M18" s="2" t="s">
        <v>217</v>
      </c>
    </row>
    <row r="19" spans="1:13" ht="15" customHeight="1">
      <c r="A19" s="17"/>
      <c r="L19" s="19"/>
    </row>
    <row r="20" spans="1:13" ht="15" customHeight="1">
      <c r="B20" s="245" t="s">
        <v>213</v>
      </c>
      <c r="C20" s="22"/>
      <c r="D20" s="23"/>
      <c r="E20" s="23"/>
      <c r="F20" s="24"/>
      <c r="G20" s="25"/>
      <c r="H20" s="24"/>
      <c r="I20" s="24">
        <f>SUM(I18)</f>
        <v>90.399999999999991</v>
      </c>
      <c r="J20" s="24">
        <f t="shared" ref="J20:L20" si="2">SUM(J18)</f>
        <v>112.99999999999999</v>
      </c>
      <c r="K20" s="24">
        <f t="shared" si="2"/>
        <v>0</v>
      </c>
      <c r="L20" s="26">
        <f>SUM(L18)</f>
        <v>0</v>
      </c>
    </row>
    <row r="21" spans="1:13" ht="15" customHeight="1">
      <c r="A21" s="73" t="s">
        <v>218</v>
      </c>
      <c r="L21" s="19"/>
    </row>
    <row r="22" spans="1:13" ht="15" customHeight="1">
      <c r="A22" s="73"/>
      <c r="B22" s="7">
        <v>551</v>
      </c>
      <c r="C22" s="7" t="s">
        <v>219</v>
      </c>
      <c r="D22" s="7">
        <v>6</v>
      </c>
      <c r="E22" t="s">
        <v>220</v>
      </c>
      <c r="F22" s="8">
        <v>16.989999999999998</v>
      </c>
      <c r="G22" s="9">
        <v>9</v>
      </c>
      <c r="H22" s="8">
        <f>F22*G22</f>
        <v>152.91</v>
      </c>
      <c r="I22" s="8">
        <f>H22*1.13</f>
        <v>172.78829999999999</v>
      </c>
      <c r="J22" s="8">
        <f>I22*1.25</f>
        <v>215.98537499999998</v>
      </c>
      <c r="K22" s="378"/>
      <c r="L22" s="19">
        <f>16.99*12</f>
        <v>203.88</v>
      </c>
      <c r="M22" s="2" t="s">
        <v>221</v>
      </c>
    </row>
    <row r="23" spans="1:13" ht="15" customHeight="1">
      <c r="B23" s="7">
        <v>552</v>
      </c>
      <c r="C23" t="s">
        <v>222</v>
      </c>
      <c r="D23" s="7">
        <v>6</v>
      </c>
      <c r="E23" t="s">
        <v>223</v>
      </c>
      <c r="F23" s="8">
        <v>346.94</v>
      </c>
      <c r="G23" s="9">
        <v>8</v>
      </c>
      <c r="H23" s="8">
        <f>F23*G23</f>
        <v>2775.52</v>
      </c>
      <c r="I23" s="8">
        <f>H23*1.13</f>
        <v>3136.3375999999998</v>
      </c>
      <c r="J23" s="8">
        <f>I23*1.25</f>
        <v>3920.4219999999996</v>
      </c>
      <c r="K23" s="378"/>
      <c r="L23" s="19">
        <f>298.68+297.75+265.08+268.36+265.54+341.59+346.94+275</f>
        <v>2358.9399999999996</v>
      </c>
      <c r="M23" s="2" t="s">
        <v>224</v>
      </c>
    </row>
    <row r="24" spans="1:13" ht="15" customHeight="1">
      <c r="B24" s="7">
        <v>553</v>
      </c>
      <c r="C24" t="s">
        <v>225</v>
      </c>
      <c r="D24" s="7">
        <v>2</v>
      </c>
      <c r="E24" t="s">
        <v>226</v>
      </c>
      <c r="F24" s="8">
        <v>20</v>
      </c>
      <c r="G24" s="9">
        <v>6</v>
      </c>
      <c r="H24" s="8">
        <f>F24*G24</f>
        <v>120</v>
      </c>
      <c r="I24" s="8">
        <f>H24*1.13</f>
        <v>135.6</v>
      </c>
      <c r="J24" s="8">
        <f>I24*1.25</f>
        <v>169.5</v>
      </c>
      <c r="K24" s="378"/>
      <c r="L24" s="19"/>
      <c r="M24" s="2" t="s">
        <v>217</v>
      </c>
    </row>
    <row r="25" spans="1:13" ht="15" customHeight="1">
      <c r="A25" s="17"/>
      <c r="K25" s="378"/>
      <c r="L25" s="19"/>
    </row>
    <row r="26" spans="1:13" ht="15" customHeight="1">
      <c r="B26" s="245" t="s">
        <v>213</v>
      </c>
      <c r="C26" s="22"/>
      <c r="D26" s="23"/>
      <c r="E26" s="23"/>
      <c r="F26" s="24"/>
      <c r="G26" s="25"/>
      <c r="H26" s="24"/>
      <c r="I26" s="24">
        <f>SUM(I23:I23)</f>
        <v>3136.3375999999998</v>
      </c>
      <c r="J26" s="24">
        <f>SUM(J23:J23)</f>
        <v>3920.4219999999996</v>
      </c>
      <c r="K26" s="24">
        <f>SUM(K23:K23)</f>
        <v>0</v>
      </c>
      <c r="L26" s="26">
        <f>SUM(L22:L23)</f>
        <v>2562.8199999999997</v>
      </c>
    </row>
    <row r="27" spans="1:13" ht="15" customHeight="1">
      <c r="A27" s="27"/>
      <c r="B27" s="28"/>
      <c r="D27" s="7"/>
      <c r="F27"/>
      <c r="G27" s="8"/>
      <c r="H27" s="9"/>
      <c r="L27" s="261"/>
    </row>
    <row r="28" spans="1:13" ht="15" customHeight="1">
      <c r="L28" s="19"/>
    </row>
    <row r="29" spans="1:13" ht="15" customHeight="1">
      <c r="B29" s="29" t="s">
        <v>120</v>
      </c>
      <c r="C29" s="30"/>
      <c r="D29" s="31"/>
      <c r="E29" s="31"/>
      <c r="F29" s="32"/>
      <c r="G29" s="33"/>
      <c r="H29" s="32"/>
      <c r="I29" s="32">
        <f>SUM(I16,I20,I26,I12)</f>
        <v>4130.7375999999995</v>
      </c>
      <c r="J29" s="32">
        <f t="shared" ref="J29:L29" si="3">SUM(J16,J20,J26,J12)</f>
        <v>5163.4219999999996</v>
      </c>
      <c r="K29" s="32">
        <f t="shared" si="3"/>
        <v>0</v>
      </c>
      <c r="L29" s="34">
        <f>SUM(L16,L20,L26,L12)</f>
        <v>3701.1799999999994</v>
      </c>
    </row>
    <row r="30" spans="1:13" ht="15" customHeight="1">
      <c r="L30" s="19"/>
    </row>
    <row r="31" spans="1:13" ht="15" customHeight="1">
      <c r="A31" s="11" t="s">
        <v>56</v>
      </c>
      <c r="B31" s="12"/>
      <c r="C31" s="12"/>
      <c r="D31" s="13"/>
      <c r="E31" s="13"/>
      <c r="F31" s="14"/>
      <c r="G31" s="15"/>
      <c r="H31" s="14"/>
      <c r="I31" s="14"/>
      <c r="J31" s="14"/>
      <c r="K31" s="14"/>
      <c r="L31" s="16"/>
    </row>
    <row r="32" spans="1:13" ht="15" customHeight="1">
      <c r="A32" s="17"/>
      <c r="B32" s="295" t="s">
        <v>58</v>
      </c>
      <c r="C32" s="295"/>
      <c r="D32" s="17"/>
      <c r="E32" s="17"/>
      <c r="F32" s="36"/>
      <c r="G32" s="37"/>
      <c r="H32" s="36"/>
      <c r="I32" s="36">
        <f>I6</f>
        <v>0</v>
      </c>
      <c r="J32" s="36">
        <f>J6</f>
        <v>0</v>
      </c>
      <c r="K32" s="36">
        <f>K6</f>
        <v>0</v>
      </c>
      <c r="L32" s="39">
        <f>L6</f>
        <v>0</v>
      </c>
    </row>
    <row r="33" spans="1:12" ht="15" customHeight="1">
      <c r="A33" s="17"/>
      <c r="B33" s="295" t="s">
        <v>62</v>
      </c>
      <c r="C33" s="295"/>
      <c r="D33" s="17"/>
      <c r="E33" s="17"/>
      <c r="F33" s="36"/>
      <c r="G33" s="37"/>
      <c r="H33" s="36"/>
      <c r="I33" s="36">
        <f>I29</f>
        <v>4130.7375999999995</v>
      </c>
      <c r="J33" s="36">
        <f t="shared" ref="J33:L33" si="4">J29</f>
        <v>5163.4219999999996</v>
      </c>
      <c r="K33" s="36">
        <f t="shared" si="4"/>
        <v>0</v>
      </c>
      <c r="L33" s="39">
        <f t="shared" si="4"/>
        <v>3701.1799999999994</v>
      </c>
    </row>
    <row r="34" spans="1:12" ht="15" customHeight="1">
      <c r="A34" s="40"/>
      <c r="B34" s="41" t="s">
        <v>65</v>
      </c>
      <c r="C34" s="41"/>
      <c r="D34" s="40"/>
      <c r="E34" s="40"/>
      <c r="F34" s="42"/>
      <c r="G34" s="43"/>
      <c r="H34" s="42"/>
      <c r="I34" s="42">
        <f>SUM(I32,I33*-1)</f>
        <v>-4130.7375999999995</v>
      </c>
      <c r="J34" s="42">
        <f t="shared" ref="J34:L34" si="5">SUM(J32,J33*-1)</f>
        <v>-5163.4219999999996</v>
      </c>
      <c r="K34" s="42">
        <f t="shared" si="5"/>
        <v>0</v>
      </c>
      <c r="L34" s="44">
        <f t="shared" si="5"/>
        <v>-3701.1799999999994</v>
      </c>
    </row>
    <row r="35" spans="1:12">
      <c r="I35" s="262"/>
      <c r="L35" s="154"/>
    </row>
    <row r="36" spans="1:12">
      <c r="B36" s="263"/>
      <c r="C36" s="263"/>
      <c r="D36" s="2"/>
      <c r="E36" s="2"/>
      <c r="F36" s="264"/>
      <c r="G36" s="238"/>
      <c r="H36" s="264"/>
      <c r="I36" s="264"/>
      <c r="J36" s="264"/>
      <c r="K36" s="264"/>
      <c r="L36" s="265"/>
    </row>
    <row r="37" spans="1:12">
      <c r="B37" s="263"/>
      <c r="C37" s="263"/>
      <c r="D37" s="2"/>
      <c r="E37" s="2"/>
      <c r="F37" s="264"/>
      <c r="G37" s="238"/>
      <c r="H37" s="264"/>
      <c r="I37" s="264"/>
      <c r="J37" s="264"/>
      <c r="K37" s="264"/>
      <c r="L37" s="265"/>
    </row>
    <row r="38" spans="1:12">
      <c r="A38" s="53"/>
      <c r="B38" s="263"/>
      <c r="C38" s="263"/>
      <c r="D38" s="2"/>
      <c r="E38" s="2"/>
      <c r="F38" s="264"/>
      <c r="G38" s="238"/>
      <c r="H38" s="264"/>
      <c r="I38" s="264"/>
      <c r="J38" s="264"/>
      <c r="K38" s="264"/>
      <c r="L38" s="265"/>
    </row>
    <row r="39" spans="1:12">
      <c r="A39" s="2"/>
      <c r="B39" s="266"/>
      <c r="C39" s="266"/>
      <c r="D39" s="27"/>
      <c r="E39" s="27"/>
      <c r="F39" s="267"/>
      <c r="G39" s="242"/>
      <c r="H39" s="267"/>
      <c r="I39" s="267"/>
      <c r="J39" s="267"/>
      <c r="K39" s="267"/>
      <c r="L39" s="267"/>
    </row>
    <row r="40" spans="1:12">
      <c r="A40" s="27"/>
      <c r="B40" s="263"/>
      <c r="C40" s="263"/>
      <c r="D40" s="2"/>
      <c r="E40" s="2"/>
      <c r="F40" s="264"/>
      <c r="G40" s="238"/>
      <c r="H40" s="264"/>
      <c r="I40" s="264"/>
      <c r="J40" s="264"/>
      <c r="K40" s="264"/>
      <c r="L40" s="265"/>
    </row>
    <row r="41" spans="1:12">
      <c r="A41" s="27"/>
      <c r="B41" s="268"/>
      <c r="C41" s="268"/>
      <c r="D41" s="53"/>
      <c r="E41" s="53"/>
      <c r="F41" s="269"/>
      <c r="G41" s="270"/>
      <c r="H41" s="269"/>
      <c r="I41" s="269"/>
      <c r="J41" s="269"/>
      <c r="K41" s="269"/>
      <c r="L41" s="269"/>
    </row>
    <row r="42" spans="1:12">
      <c r="A42" s="2"/>
      <c r="B42" s="263"/>
      <c r="C42" s="263"/>
      <c r="D42" s="2"/>
      <c r="E42" s="2"/>
      <c r="F42" s="264"/>
      <c r="G42" s="238"/>
      <c r="H42" s="264"/>
      <c r="I42" s="264"/>
      <c r="J42" s="264"/>
      <c r="K42" s="264"/>
      <c r="L42" s="265"/>
    </row>
    <row r="43" spans="1:12">
      <c r="A43" s="2"/>
      <c r="B43" s="263"/>
      <c r="C43" s="263"/>
      <c r="D43" s="2"/>
      <c r="E43" s="2"/>
      <c r="F43" s="264"/>
      <c r="G43" s="238"/>
      <c r="H43" s="264"/>
      <c r="I43" s="264"/>
      <c r="J43" s="264"/>
      <c r="K43" s="264"/>
      <c r="L43" s="265"/>
    </row>
    <row r="44" spans="1:12">
      <c r="A44" s="2"/>
      <c r="B44" s="263"/>
      <c r="C44" s="263"/>
      <c r="D44" s="2"/>
      <c r="E44" s="2"/>
      <c r="F44" s="264"/>
      <c r="G44" s="238"/>
      <c r="H44" s="264"/>
      <c r="I44" s="264"/>
      <c r="J44" s="264"/>
      <c r="K44" s="264"/>
      <c r="L44" s="265"/>
    </row>
    <row r="45" spans="1:12">
      <c r="A45" s="2"/>
      <c r="B45" s="263"/>
      <c r="C45" s="263"/>
      <c r="D45" s="2"/>
      <c r="E45" s="2"/>
      <c r="F45" s="264"/>
      <c r="G45" s="238"/>
      <c r="H45" s="264"/>
      <c r="I45" s="264"/>
      <c r="J45" s="264"/>
      <c r="K45" s="264"/>
      <c r="L45" s="265"/>
    </row>
    <row r="46" spans="1:12">
      <c r="A46" s="2"/>
      <c r="B46" s="263"/>
      <c r="C46" s="263"/>
      <c r="D46" s="263"/>
      <c r="E46" s="2"/>
      <c r="F46" s="264"/>
      <c r="G46" s="238"/>
      <c r="H46" s="264"/>
      <c r="I46" s="264"/>
      <c r="J46" s="264"/>
      <c r="K46" s="264"/>
      <c r="L46" s="265"/>
    </row>
    <row r="47" spans="1:12">
      <c r="A47" s="2"/>
      <c r="B47" s="263"/>
      <c r="C47" s="263"/>
      <c r="D47" s="2"/>
      <c r="E47" s="2"/>
      <c r="F47" s="264"/>
      <c r="G47" s="238"/>
      <c r="H47" s="264"/>
      <c r="I47" s="264"/>
      <c r="J47" s="264"/>
      <c r="K47" s="264"/>
      <c r="L47" s="265"/>
    </row>
    <row r="48" spans="1:12">
      <c r="A48" s="27"/>
      <c r="B48" s="263"/>
      <c r="C48" s="263"/>
      <c r="D48" s="2"/>
      <c r="E48" s="2"/>
      <c r="F48" s="264"/>
      <c r="G48" s="238"/>
      <c r="H48" s="264"/>
      <c r="I48" s="264"/>
      <c r="J48" s="264"/>
      <c r="K48" s="264"/>
      <c r="L48" s="265"/>
    </row>
    <row r="49" spans="1:12">
      <c r="A49" s="27"/>
      <c r="B49" s="263"/>
      <c r="C49" s="263"/>
      <c r="D49" s="2"/>
      <c r="E49" s="2"/>
      <c r="F49" s="264"/>
      <c r="G49" s="238"/>
      <c r="H49" s="264"/>
      <c r="I49" s="264"/>
      <c r="J49" s="264"/>
      <c r="K49" s="264"/>
      <c r="L49" s="265"/>
    </row>
    <row r="50" spans="1:12">
      <c r="A50" s="2"/>
      <c r="B50" s="263"/>
      <c r="C50" s="263"/>
      <c r="D50" s="2"/>
      <c r="E50" s="2"/>
      <c r="F50" s="264"/>
      <c r="G50" s="238"/>
      <c r="H50" s="264"/>
      <c r="I50" s="264"/>
      <c r="J50" s="264"/>
      <c r="K50" s="264"/>
      <c r="L50" s="265"/>
    </row>
    <row r="51" spans="1:12">
      <c r="A51" s="2"/>
      <c r="B51" s="266"/>
      <c r="C51" s="266"/>
      <c r="D51" s="27"/>
      <c r="E51" s="27"/>
      <c r="F51" s="267"/>
      <c r="G51" s="242"/>
      <c r="H51" s="267"/>
      <c r="I51" s="267"/>
      <c r="J51" s="267"/>
      <c r="K51" s="267"/>
      <c r="L51" s="267"/>
    </row>
    <row r="52" spans="1:12">
      <c r="A52" s="2"/>
      <c r="B52" s="263"/>
      <c r="C52" s="263"/>
      <c r="D52" s="2"/>
      <c r="E52" s="2"/>
      <c r="F52" s="264"/>
      <c r="G52" s="238"/>
      <c r="H52" s="264"/>
      <c r="I52" s="264"/>
      <c r="J52" s="264"/>
      <c r="K52" s="264"/>
      <c r="L52" s="265"/>
    </row>
    <row r="53" spans="1:12">
      <c r="A53" s="2"/>
      <c r="B53" s="263"/>
      <c r="C53" s="263"/>
      <c r="D53" s="2"/>
      <c r="E53" s="2"/>
      <c r="F53" s="264"/>
      <c r="G53" s="238"/>
      <c r="H53" s="264"/>
      <c r="I53" s="264"/>
      <c r="J53" s="264"/>
      <c r="K53" s="264"/>
      <c r="L53" s="265"/>
    </row>
    <row r="54" spans="1:12">
      <c r="A54" s="2"/>
      <c r="B54" s="263"/>
      <c r="C54" s="263"/>
      <c r="D54" s="2"/>
      <c r="E54" s="2"/>
      <c r="F54" s="264"/>
      <c r="G54" s="238"/>
      <c r="H54" s="264"/>
      <c r="I54" s="264"/>
      <c r="J54" s="264"/>
      <c r="K54" s="264"/>
      <c r="L54" s="265"/>
    </row>
    <row r="55" spans="1:12">
      <c r="A55" s="27"/>
      <c r="B55" s="263"/>
      <c r="C55" s="263"/>
      <c r="D55" s="2"/>
      <c r="E55" s="2"/>
      <c r="F55" s="264"/>
      <c r="G55" s="238"/>
      <c r="H55" s="264"/>
      <c r="I55" s="264"/>
      <c r="J55" s="264"/>
      <c r="K55" s="264"/>
      <c r="L55" s="265"/>
    </row>
    <row r="56" spans="1:12">
      <c r="A56" s="2"/>
      <c r="B56" s="263"/>
      <c r="C56" s="263"/>
      <c r="D56" s="2"/>
      <c r="E56" s="2"/>
      <c r="F56" s="264"/>
      <c r="G56" s="238"/>
      <c r="H56" s="264"/>
      <c r="I56" s="264"/>
      <c r="J56" s="264"/>
      <c r="K56" s="264"/>
      <c r="L56" s="265"/>
    </row>
    <row r="57" spans="1:12">
      <c r="A57" s="2"/>
      <c r="B57" s="263"/>
      <c r="C57" s="263"/>
      <c r="D57" s="2"/>
      <c r="E57" s="2"/>
      <c r="F57" s="264"/>
      <c r="G57" s="238"/>
      <c r="H57" s="264"/>
      <c r="I57" s="264"/>
      <c r="J57" s="264"/>
      <c r="K57" s="264"/>
      <c r="L57" s="265"/>
    </row>
    <row r="58" spans="1:12">
      <c r="A58" s="2"/>
      <c r="B58" s="266"/>
      <c r="C58" s="266"/>
      <c r="D58" s="27"/>
      <c r="E58" s="27"/>
      <c r="F58" s="267"/>
      <c r="G58" s="242"/>
      <c r="H58" s="267"/>
      <c r="I58" s="267"/>
      <c r="J58" s="267"/>
      <c r="K58" s="267"/>
      <c r="L58" s="267"/>
    </row>
    <row r="59" spans="1:12">
      <c r="A59" s="2"/>
      <c r="B59" s="263"/>
      <c r="C59" s="263"/>
      <c r="D59" s="2"/>
      <c r="E59" s="2"/>
      <c r="F59" s="264"/>
      <c r="G59" s="238"/>
      <c r="H59" s="264"/>
      <c r="I59" s="264"/>
      <c r="J59" s="264"/>
      <c r="K59" s="264"/>
      <c r="L59" s="265"/>
    </row>
    <row r="60" spans="1:12">
      <c r="A60" s="2"/>
      <c r="B60" s="263"/>
      <c r="C60" s="263"/>
      <c r="D60" s="2"/>
      <c r="E60" s="2"/>
      <c r="F60" s="264"/>
      <c r="G60" s="238"/>
      <c r="H60" s="264"/>
      <c r="I60" s="264"/>
      <c r="J60" s="264"/>
      <c r="K60" s="264"/>
      <c r="L60" s="265"/>
    </row>
    <row r="61" spans="1:12">
      <c r="A61" s="27"/>
      <c r="B61" s="263"/>
      <c r="C61" s="263"/>
      <c r="D61" s="2"/>
      <c r="E61" s="2"/>
      <c r="F61" s="264"/>
      <c r="G61" s="238"/>
      <c r="H61" s="264"/>
      <c r="I61" s="264"/>
      <c r="J61" s="264"/>
      <c r="K61" s="264"/>
      <c r="L61" s="265"/>
    </row>
    <row r="62" spans="1:12">
      <c r="A62" s="27"/>
      <c r="B62" s="263"/>
      <c r="C62" s="263"/>
      <c r="D62" s="2"/>
      <c r="E62" s="2"/>
      <c r="F62" s="264"/>
      <c r="G62" s="238"/>
      <c r="H62" s="264"/>
      <c r="I62" s="264"/>
      <c r="J62" s="264"/>
      <c r="K62" s="264"/>
      <c r="L62" s="265"/>
    </row>
    <row r="63" spans="1:12">
      <c r="A63" s="2"/>
      <c r="B63" s="263"/>
      <c r="C63" s="263"/>
      <c r="D63" s="2"/>
      <c r="E63" s="2"/>
      <c r="F63" s="264"/>
      <c r="G63" s="238"/>
      <c r="H63" s="264"/>
      <c r="I63" s="264"/>
      <c r="J63" s="264"/>
      <c r="K63" s="264"/>
      <c r="L63" s="265"/>
    </row>
    <row r="64" spans="1:12">
      <c r="A64" s="53"/>
      <c r="B64" s="263"/>
      <c r="C64" s="263"/>
      <c r="D64" s="2"/>
      <c r="E64" s="2"/>
      <c r="F64" s="264"/>
      <c r="G64" s="238"/>
      <c r="H64" s="264"/>
      <c r="I64" s="264"/>
      <c r="J64" s="264"/>
      <c r="K64" s="264"/>
      <c r="L64" s="265"/>
    </row>
    <row r="65" spans="1:12">
      <c r="A65" s="2"/>
      <c r="B65" s="266"/>
      <c r="C65" s="266"/>
      <c r="D65" s="27"/>
      <c r="E65" s="27"/>
      <c r="F65" s="267"/>
      <c r="G65" s="242"/>
      <c r="H65" s="267"/>
      <c r="I65" s="267"/>
      <c r="J65" s="267"/>
      <c r="K65" s="267"/>
      <c r="L65" s="267"/>
    </row>
    <row r="66" spans="1:12">
      <c r="A66" s="2"/>
      <c r="B66" s="263"/>
      <c r="C66" s="263"/>
      <c r="D66" s="2"/>
      <c r="E66" s="2"/>
      <c r="F66" s="264"/>
      <c r="G66" s="238"/>
      <c r="H66" s="264"/>
      <c r="I66" s="264"/>
      <c r="J66" s="264"/>
      <c r="K66" s="264"/>
      <c r="L66" s="265"/>
    </row>
    <row r="67" spans="1:12">
      <c r="A67" s="27"/>
      <c r="B67" s="268"/>
      <c r="C67" s="268"/>
      <c r="D67" s="53"/>
      <c r="E67" s="53"/>
      <c r="F67" s="269"/>
      <c r="G67" s="270"/>
      <c r="H67" s="269"/>
      <c r="I67" s="269"/>
      <c r="J67" s="269"/>
      <c r="K67" s="269"/>
      <c r="L67" s="269"/>
    </row>
    <row r="68" spans="1:12">
      <c r="A68" s="2"/>
      <c r="B68" s="263"/>
      <c r="C68" s="263"/>
      <c r="D68" s="2"/>
      <c r="E68" s="2"/>
      <c r="F68" s="264"/>
      <c r="G68" s="238"/>
      <c r="H68" s="264"/>
      <c r="I68" s="264"/>
      <c r="J68" s="264"/>
      <c r="K68" s="264"/>
      <c r="L68" s="265"/>
    </row>
    <row r="69" spans="1:12">
      <c r="A69" s="2"/>
      <c r="B69" s="263"/>
      <c r="C69" s="263"/>
      <c r="D69" s="2"/>
      <c r="E69" s="2"/>
      <c r="F69" s="264"/>
      <c r="G69" s="238"/>
      <c r="H69" s="264"/>
      <c r="I69" s="264"/>
      <c r="J69" s="264"/>
      <c r="K69" s="264"/>
      <c r="L69" s="265"/>
    </row>
    <row r="70" spans="1:12">
      <c r="A70" s="2"/>
      <c r="B70" s="266"/>
      <c r="C70" s="266"/>
      <c r="D70" s="27"/>
      <c r="E70" s="27"/>
      <c r="F70" s="267"/>
      <c r="G70" s="242"/>
      <c r="H70" s="267"/>
      <c r="I70" s="267"/>
      <c r="J70" s="267"/>
      <c r="K70" s="267"/>
      <c r="L70" s="267"/>
    </row>
    <row r="71" spans="1:12">
      <c r="A71" s="27"/>
      <c r="B71" s="266"/>
      <c r="C71" s="266"/>
      <c r="D71" s="27"/>
      <c r="E71" s="27"/>
      <c r="F71" s="267"/>
      <c r="G71" s="242"/>
      <c r="H71" s="267"/>
      <c r="I71" s="267"/>
      <c r="J71" s="267"/>
      <c r="K71" s="267"/>
      <c r="L71" s="267"/>
    </row>
    <row r="72" spans="1:12">
      <c r="A72" s="2"/>
      <c r="B72" s="266"/>
      <c r="C72" s="266"/>
      <c r="D72" s="27"/>
      <c r="E72" s="27"/>
      <c r="F72" s="267"/>
      <c r="G72" s="242"/>
      <c r="H72" s="267"/>
      <c r="I72" s="267"/>
      <c r="J72" s="267"/>
      <c r="K72" s="267"/>
      <c r="L72" s="267"/>
    </row>
    <row r="73" spans="1:12">
      <c r="A73" s="27"/>
      <c r="B73" s="263"/>
      <c r="C73" s="263"/>
      <c r="D73" s="2"/>
      <c r="E73" s="2"/>
      <c r="F73" s="264"/>
      <c r="G73" s="238"/>
      <c r="H73" s="264"/>
      <c r="I73" s="264"/>
      <c r="J73" s="264"/>
      <c r="K73" s="264"/>
      <c r="L73" s="265"/>
    </row>
    <row r="74" spans="1:12">
      <c r="A74" s="27"/>
    </row>
    <row r="75" spans="1:12">
      <c r="A75" s="2"/>
    </row>
  </sheetData>
  <mergeCells count="1">
    <mergeCell ref="B1:K1"/>
  </mergeCells>
  <conditionalFormatting sqref="B66:L72 B45:L51 B36:L39 B35:H35 J35:L35 B9:L26">
    <cfRule type="expression" dxfId="127" priority="7">
      <formula>MOD($B9,2)=1</formula>
    </cfRule>
  </conditionalFormatting>
  <conditionalFormatting sqref="B40:L42">
    <cfRule type="expression" dxfId="126" priority="6">
      <formula>MOD($B40,2)=1</formula>
    </cfRule>
  </conditionalFormatting>
  <conditionalFormatting sqref="B59:L65">
    <cfRule type="expression" dxfId="125" priority="5">
      <formula>MOD($B59,2)=1</formula>
    </cfRule>
  </conditionalFormatting>
  <conditionalFormatting sqref="B52:L58">
    <cfRule type="expression" dxfId="124" priority="4">
      <formula>MOD($B52,2)=1</formula>
    </cfRule>
  </conditionalFormatting>
  <conditionalFormatting sqref="B28:L34">
    <cfRule type="expression" dxfId="123" priority="3">
      <formula>MOD($B28,2)=1</formula>
    </cfRule>
  </conditionalFormatting>
  <conditionalFormatting sqref="B5:L7">
    <cfRule type="expression" dxfId="122" priority="2">
      <formula>MOD($B5,2)=1</formula>
    </cfRule>
  </conditionalFormatting>
  <conditionalFormatting sqref="C27:L27">
    <cfRule type="expression" dxfId="121" priority="1">
      <formula>MOD($B27,2)=1</formula>
    </cfRule>
  </conditionalFormatting>
  <pageMargins left="0.7" right="0.7" top="0.75" bottom="0.75" header="0.3" footer="0.3"/>
  <pageSetup scale="26" fitToWidth="0"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D7C39-246F-4F55-80E5-F2A9F51FF7F0}">
  <sheetPr codeName="Sheet9"/>
  <dimension ref="A1:M30"/>
  <sheetViews>
    <sheetView showGridLines="0" zoomScale="60" zoomScaleNormal="60" workbookViewId="0">
      <pane ySplit="2" topLeftCell="A8" activePane="bottomLeft" state="frozen"/>
      <selection pane="bottomLeft" activeCell="M22" sqref="M22"/>
    </sheetView>
  </sheetViews>
  <sheetFormatPr defaultColWidth="9.85546875" defaultRowHeight="14.85"/>
  <cols>
    <col min="1" max="1" width="30.140625" customWidth="1"/>
    <col min="2" max="3" width="23.5703125" style="7" customWidth="1"/>
    <col min="4" max="4" width="37.85546875" customWidth="1"/>
    <col min="5" max="5" width="36.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3" ht="148.5" customHeight="1">
      <c r="B1" s="389" t="s">
        <v>227</v>
      </c>
      <c r="C1" s="389"/>
      <c r="D1" s="389"/>
      <c r="E1" s="389"/>
      <c r="F1" s="389"/>
      <c r="G1" s="389"/>
      <c r="H1" s="389"/>
      <c r="I1" s="389"/>
      <c r="J1" s="389"/>
      <c r="K1" s="389"/>
    </row>
    <row r="2" spans="1:13" s="6" customFormat="1" ht="15" customHeight="1">
      <c r="A2" s="3" t="s">
        <v>1</v>
      </c>
      <c r="B2" s="3" t="s">
        <v>2</v>
      </c>
      <c r="C2" s="3" t="s">
        <v>3</v>
      </c>
      <c r="D2" s="3" t="s">
        <v>122</v>
      </c>
      <c r="E2" s="3" t="s">
        <v>4</v>
      </c>
      <c r="F2" s="4" t="s">
        <v>5</v>
      </c>
      <c r="G2" s="3" t="s">
        <v>6</v>
      </c>
      <c r="H2" s="4" t="s">
        <v>7</v>
      </c>
      <c r="I2" s="4" t="s">
        <v>8</v>
      </c>
      <c r="J2" s="4" t="s">
        <v>123</v>
      </c>
      <c r="K2" s="4" t="s">
        <v>9</v>
      </c>
      <c r="L2" s="5" t="s">
        <v>10</v>
      </c>
    </row>
    <row r="3" spans="1:13" ht="15" customHeight="1">
      <c r="L3" s="10"/>
    </row>
    <row r="4" spans="1:13" ht="15" customHeight="1">
      <c r="A4" s="11" t="s">
        <v>15</v>
      </c>
      <c r="B4" s="12"/>
      <c r="C4" s="12"/>
      <c r="D4" s="13"/>
      <c r="E4" s="13"/>
      <c r="F4" s="14"/>
      <c r="G4" s="15"/>
      <c r="H4" s="14"/>
      <c r="I4" s="14"/>
      <c r="J4" s="14"/>
      <c r="K4" s="14"/>
      <c r="L4" s="16"/>
    </row>
    <row r="5" spans="1:13" ht="15" customHeight="1">
      <c r="A5" s="275"/>
      <c r="B5" s="276"/>
      <c r="C5" s="276"/>
      <c r="D5" s="277"/>
      <c r="E5" s="277"/>
      <c r="F5" s="278"/>
      <c r="G5" s="279"/>
      <c r="H5" s="278"/>
      <c r="I5" s="278"/>
      <c r="J5" s="278"/>
      <c r="K5" s="278"/>
      <c r="L5" s="280"/>
    </row>
    <row r="6" spans="1:13" ht="15" customHeight="1">
      <c r="A6" s="11" t="s">
        <v>40</v>
      </c>
      <c r="B6" s="12"/>
      <c r="C6" s="12"/>
      <c r="D6" s="13"/>
      <c r="E6" s="13"/>
      <c r="F6" s="14"/>
      <c r="G6" s="15"/>
      <c r="H6" s="14"/>
      <c r="I6" s="14"/>
      <c r="J6" s="14"/>
      <c r="K6" s="14"/>
      <c r="L6" s="16"/>
    </row>
    <row r="7" spans="1:13" ht="15" customHeight="1">
      <c r="A7" s="17" t="s">
        <v>228</v>
      </c>
      <c r="L7" s="19"/>
    </row>
    <row r="8" spans="1:13" ht="15" customHeight="1">
      <c r="B8" s="137">
        <v>7100</v>
      </c>
      <c r="C8" s="89" t="s">
        <v>229</v>
      </c>
      <c r="D8" s="77">
        <v>4</v>
      </c>
      <c r="E8" s="89" t="s">
        <v>230</v>
      </c>
      <c r="F8" s="8">
        <v>25</v>
      </c>
      <c r="G8" s="9">
        <v>11</v>
      </c>
      <c r="H8" s="8">
        <f>F8*G8</f>
        <v>275</v>
      </c>
      <c r="I8" s="8">
        <f>H8*1.13</f>
        <v>310.74999999999994</v>
      </c>
      <c r="J8" s="8">
        <f>I8*1.25</f>
        <v>388.43749999999994</v>
      </c>
      <c r="L8" s="19"/>
    </row>
    <row r="9" spans="1:13" ht="15" customHeight="1">
      <c r="B9" s="7">
        <v>7101</v>
      </c>
      <c r="C9" s="138" t="s">
        <v>231</v>
      </c>
      <c r="D9" s="87">
        <v>4</v>
      </c>
      <c r="E9" s="138" t="s">
        <v>232</v>
      </c>
      <c r="F9" s="8">
        <v>25</v>
      </c>
      <c r="G9" s="9">
        <v>6</v>
      </c>
      <c r="H9" s="8">
        <f t="shared" ref="H9:H10" si="0">F9*G9</f>
        <v>150</v>
      </c>
      <c r="I9" s="8">
        <f t="shared" ref="I9:I10" si="1">H9*1.13</f>
        <v>169.49999999999997</v>
      </c>
      <c r="J9" s="8">
        <f t="shared" ref="J9:J10" si="2">I9*1.25</f>
        <v>211.87499999999997</v>
      </c>
      <c r="L9" s="19"/>
    </row>
    <row r="10" spans="1:13" ht="15" customHeight="1">
      <c r="B10" s="7">
        <v>7102</v>
      </c>
      <c r="C10" s="281" t="s">
        <v>233</v>
      </c>
      <c r="D10" s="282">
        <v>1</v>
      </c>
      <c r="E10" s="281" t="s">
        <v>234</v>
      </c>
      <c r="F10" s="8">
        <v>25</v>
      </c>
      <c r="G10" s="9">
        <v>4</v>
      </c>
      <c r="H10" s="8">
        <f t="shared" si="0"/>
        <v>100</v>
      </c>
      <c r="I10" s="8">
        <f t="shared" si="1"/>
        <v>112.99999999999999</v>
      </c>
      <c r="J10" s="8">
        <f t="shared" si="2"/>
        <v>141.24999999999997</v>
      </c>
      <c r="L10" s="19"/>
    </row>
    <row r="11" spans="1:13" ht="15" customHeight="1">
      <c r="L11" s="19"/>
    </row>
    <row r="12" spans="1:13" s="27" customFormat="1" ht="15" customHeight="1">
      <c r="A12" s="17"/>
      <c r="B12" s="21" t="s">
        <v>235</v>
      </c>
      <c r="C12" s="22"/>
      <c r="D12" s="23"/>
      <c r="E12" s="23"/>
      <c r="F12" s="24"/>
      <c r="G12" s="25"/>
      <c r="H12" s="24"/>
      <c r="I12" s="24">
        <f>SUM(I8:I10)</f>
        <v>593.24999999999989</v>
      </c>
      <c r="J12" s="24">
        <f>SUM(J8:J10)</f>
        <v>741.56249999999989</v>
      </c>
      <c r="K12" s="24">
        <f>SUM(K8:K10)</f>
        <v>0</v>
      </c>
      <c r="L12" s="26">
        <f>SUM(L8:L10)</f>
        <v>0</v>
      </c>
    </row>
    <row r="13" spans="1:13" ht="15" customHeight="1">
      <c r="A13" s="17" t="s">
        <v>53</v>
      </c>
      <c r="L13" s="19"/>
    </row>
    <row r="14" spans="1:13" ht="15" customHeight="1">
      <c r="A14" s="17"/>
      <c r="L14" s="19"/>
    </row>
    <row r="15" spans="1:13" ht="15" customHeight="1">
      <c r="B15" s="7">
        <v>7200</v>
      </c>
      <c r="C15" s="139" t="s">
        <v>236</v>
      </c>
      <c r="D15" s="140">
        <v>1</v>
      </c>
      <c r="E15" s="141" t="s">
        <v>237</v>
      </c>
      <c r="F15" s="8">
        <v>30</v>
      </c>
      <c r="G15" s="9">
        <v>18</v>
      </c>
      <c r="H15" s="8">
        <f>F15*G15</f>
        <v>540</v>
      </c>
      <c r="I15" s="8">
        <f>H15*1.13</f>
        <v>610.19999999999993</v>
      </c>
      <c r="J15" s="8">
        <f>I15*1.25</f>
        <v>762.74999999999989</v>
      </c>
      <c r="K15" s="8">
        <f>30*3</f>
        <v>90</v>
      </c>
      <c r="L15" s="19">
        <v>500</v>
      </c>
      <c r="M15" s="2" t="s">
        <v>136</v>
      </c>
    </row>
    <row r="16" spans="1:13" ht="15" customHeight="1">
      <c r="B16" s="7">
        <v>7201</v>
      </c>
      <c r="C16" s="142" t="s">
        <v>238</v>
      </c>
      <c r="D16" s="143">
        <v>1</v>
      </c>
      <c r="E16" s="293" t="s">
        <v>239</v>
      </c>
      <c r="F16" s="8">
        <v>12.99</v>
      </c>
      <c r="G16" s="9">
        <v>14</v>
      </c>
      <c r="H16" s="8">
        <f t="shared" ref="H16" si="3">F16*G16</f>
        <v>181.86</v>
      </c>
      <c r="I16" s="8">
        <f t="shared" ref="I16" si="4">H16*1.13</f>
        <v>205.5018</v>
      </c>
      <c r="J16" s="8">
        <f t="shared" ref="J16" si="5">I16*1.25</f>
        <v>256.87725</v>
      </c>
      <c r="L16" s="19"/>
    </row>
    <row r="17" spans="1:12" s="27" customFormat="1" ht="15" customHeight="1">
      <c r="A17" s="17"/>
      <c r="B17" s="21" t="s">
        <v>240</v>
      </c>
      <c r="C17" s="22"/>
      <c r="D17" s="23"/>
      <c r="E17" s="23"/>
      <c r="F17" s="24"/>
      <c r="G17" s="25"/>
      <c r="H17" s="24"/>
      <c r="I17" s="24">
        <f>SUM(I15:I16)</f>
        <v>815.70179999999993</v>
      </c>
      <c r="J17" s="24">
        <f>SUM(J15:J16)</f>
        <v>1019.6272499999999</v>
      </c>
      <c r="K17" s="24">
        <f>SUM(K15:K16)</f>
        <v>90</v>
      </c>
      <c r="L17" s="26">
        <f>SUM(L15:L16)</f>
        <v>500</v>
      </c>
    </row>
    <row r="18" spans="1:12" ht="15" customHeight="1">
      <c r="A18" s="17" t="s">
        <v>241</v>
      </c>
      <c r="L18" s="19"/>
    </row>
    <row r="19" spans="1:12" ht="15" customHeight="1">
      <c r="B19" s="140">
        <v>7300</v>
      </c>
      <c r="C19" s="139" t="s">
        <v>242</v>
      </c>
      <c r="D19" s="140">
        <v>3</v>
      </c>
      <c r="E19" s="76" t="s">
        <v>243</v>
      </c>
      <c r="F19" s="8">
        <v>25</v>
      </c>
      <c r="G19" s="9">
        <v>4</v>
      </c>
      <c r="H19" s="8">
        <f>F19*G19</f>
        <v>100</v>
      </c>
      <c r="I19" s="8">
        <f>H19*1.13</f>
        <v>112.99999999999999</v>
      </c>
      <c r="J19" s="8">
        <f>I19*1.25</f>
        <v>141.24999999999997</v>
      </c>
      <c r="L19" s="19">
        <v>100</v>
      </c>
    </row>
    <row r="20" spans="1:12" ht="15" customHeight="1">
      <c r="B20" s="143">
        <v>7301</v>
      </c>
      <c r="C20" s="142" t="s">
        <v>244</v>
      </c>
      <c r="D20" s="143">
        <v>4</v>
      </c>
      <c r="E20" s="144" t="s">
        <v>245</v>
      </c>
      <c r="F20" s="8">
        <v>25</v>
      </c>
      <c r="G20" s="9">
        <v>4</v>
      </c>
      <c r="H20" s="8">
        <f t="shared" ref="H20:H21" si="6">F20*G20</f>
        <v>100</v>
      </c>
      <c r="I20" s="8">
        <f t="shared" ref="I20:I21" si="7">H20*1.13</f>
        <v>112.99999999999999</v>
      </c>
      <c r="J20" s="8">
        <f t="shared" ref="J20:J21" si="8">I20*1.25</f>
        <v>141.24999999999997</v>
      </c>
      <c r="L20" s="19">
        <v>100</v>
      </c>
    </row>
    <row r="21" spans="1:12" ht="15" customHeight="1">
      <c r="B21" s="140">
        <v>7302</v>
      </c>
      <c r="C21" s="139" t="s">
        <v>246</v>
      </c>
      <c r="D21" s="140">
        <v>2</v>
      </c>
      <c r="E21" s="76" t="s">
        <v>247</v>
      </c>
      <c r="F21" s="8">
        <v>25</v>
      </c>
      <c r="G21" s="9">
        <v>13</v>
      </c>
      <c r="H21" s="8">
        <f t="shared" si="6"/>
        <v>325</v>
      </c>
      <c r="I21" s="8">
        <f t="shared" si="7"/>
        <v>367.24999999999994</v>
      </c>
      <c r="J21" s="8">
        <f t="shared" si="8"/>
        <v>459.06249999999994</v>
      </c>
      <c r="L21" s="19">
        <v>350</v>
      </c>
    </row>
    <row r="22" spans="1:12" ht="15" customHeight="1">
      <c r="L22" s="19"/>
    </row>
    <row r="23" spans="1:12" s="27" customFormat="1" ht="15" customHeight="1">
      <c r="A23" s="17"/>
      <c r="B23" s="21" t="s">
        <v>248</v>
      </c>
      <c r="C23" s="22"/>
      <c r="D23" s="23"/>
      <c r="E23" s="23"/>
      <c r="F23" s="24"/>
      <c r="G23" s="25"/>
      <c r="H23" s="24"/>
      <c r="I23" s="24">
        <f>SUM(I19:I21)</f>
        <v>593.24999999999989</v>
      </c>
      <c r="J23" s="24">
        <f>SUM(J19:J21)</f>
        <v>741.56249999999989</v>
      </c>
      <c r="K23" s="24">
        <f>SUM(K19:K21)</f>
        <v>0</v>
      </c>
      <c r="L23" s="26">
        <f>SUM(L19:L21)</f>
        <v>550</v>
      </c>
    </row>
    <row r="24" spans="1:12" ht="15" customHeight="1">
      <c r="L24" s="19"/>
    </row>
    <row r="25" spans="1:12" s="53" customFormat="1" ht="15" customHeight="1">
      <c r="A25" s="28"/>
      <c r="B25" s="29" t="s">
        <v>120</v>
      </c>
      <c r="C25" s="30"/>
      <c r="D25" s="31"/>
      <c r="E25" s="31"/>
      <c r="F25" s="32"/>
      <c r="G25" s="33"/>
      <c r="H25" s="32"/>
      <c r="I25" s="32">
        <f>SUM(I12,I17,I23)</f>
        <v>2002.2017999999998</v>
      </c>
      <c r="J25" s="32">
        <f t="shared" ref="J25:K25" si="9">SUM(J12,J17,J23)</f>
        <v>2502.7522499999995</v>
      </c>
      <c r="K25" s="32">
        <f t="shared" si="9"/>
        <v>90</v>
      </c>
      <c r="L25" s="34">
        <f>SUM(L12,L17,L23)</f>
        <v>1050</v>
      </c>
    </row>
    <row r="26" spans="1:12" ht="15" customHeight="1">
      <c r="L26" s="19"/>
    </row>
    <row r="27" spans="1:12" ht="15" customHeight="1">
      <c r="A27" s="11" t="s">
        <v>56</v>
      </c>
      <c r="B27" s="12"/>
      <c r="C27" s="12"/>
      <c r="D27" s="13"/>
      <c r="E27" s="13"/>
      <c r="F27" s="14"/>
      <c r="G27" s="15"/>
      <c r="H27" s="14"/>
      <c r="I27" s="14"/>
      <c r="J27" s="14"/>
      <c r="K27" s="14"/>
      <c r="L27" s="16"/>
    </row>
    <row r="28" spans="1:12" s="27" customFormat="1" ht="15" customHeight="1">
      <c r="A28" s="17"/>
      <c r="B28" s="295" t="s">
        <v>58</v>
      </c>
      <c r="C28" s="295"/>
      <c r="D28" s="17"/>
      <c r="E28" s="17"/>
      <c r="F28" s="36"/>
      <c r="G28" s="37"/>
      <c r="H28" s="36"/>
      <c r="I28" s="36">
        <v>0</v>
      </c>
      <c r="J28" s="36">
        <v>0</v>
      </c>
      <c r="K28" s="36">
        <v>0</v>
      </c>
      <c r="L28" s="38">
        <v>0</v>
      </c>
    </row>
    <row r="29" spans="1:12" s="27" customFormat="1" ht="15" customHeight="1">
      <c r="A29" s="17"/>
      <c r="B29" s="295" t="s">
        <v>62</v>
      </c>
      <c r="C29" s="295"/>
      <c r="D29" s="17"/>
      <c r="E29" s="17"/>
      <c r="F29" s="36"/>
      <c r="G29" s="37"/>
      <c r="H29" s="36"/>
      <c r="I29" s="36">
        <f>I25</f>
        <v>2002.2017999999998</v>
      </c>
      <c r="J29" s="36">
        <f>J25</f>
        <v>2502.7522499999995</v>
      </c>
      <c r="K29" s="36">
        <f>K25</f>
        <v>90</v>
      </c>
      <c r="L29" s="39">
        <f>L25</f>
        <v>1050</v>
      </c>
    </row>
    <row r="30" spans="1:12" s="27" customFormat="1" ht="15" customHeight="1">
      <c r="A30" s="40"/>
      <c r="B30" s="41" t="s">
        <v>65</v>
      </c>
      <c r="C30" s="41"/>
      <c r="D30" s="40"/>
      <c r="E30" s="40"/>
      <c r="F30" s="42"/>
      <c r="G30" s="43"/>
      <c r="H30" s="42"/>
      <c r="I30" s="42">
        <f>SUM(I28,I29*-1)</f>
        <v>-2002.2017999999998</v>
      </c>
      <c r="J30" s="42">
        <f t="shared" ref="J30:L30" si="10">SUM(J28,J29*-1)</f>
        <v>-2502.7522499999995</v>
      </c>
      <c r="K30" s="42">
        <f t="shared" si="10"/>
        <v>-90</v>
      </c>
      <c r="L30" s="44">
        <f>SUM(L28,L29*-1)</f>
        <v>-1050</v>
      </c>
    </row>
  </sheetData>
  <mergeCells count="1">
    <mergeCell ref="B1:K1"/>
  </mergeCells>
  <conditionalFormatting sqref="B11:L12 B17:L17 B8:B10 F8:L10 B22:L30">
    <cfRule type="expression" dxfId="120" priority="3">
      <formula>MOD($B8,2)=1</formula>
    </cfRule>
  </conditionalFormatting>
  <conditionalFormatting sqref="B18:L18 F19:L21">
    <cfRule type="expression" dxfId="119" priority="2">
      <formula>MOD($B18,2)=1</formula>
    </cfRule>
  </conditionalFormatting>
  <conditionalFormatting sqref="B13:L14 B15:B16 F15:L16">
    <cfRule type="expression" dxfId="118" priority="1">
      <formula>MOD($B13,2)=1</formula>
    </cfRule>
  </conditionalFormatting>
  <pageMargins left="0.7" right="0.7" top="0.75" bottom="0.75" header="0.3" footer="0.3"/>
  <pageSetup scale="2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525B-1D0E-42CF-A370-FA11686B05B0}">
  <sheetPr codeName="Sheet8"/>
  <dimension ref="A1:L39"/>
  <sheetViews>
    <sheetView showGridLines="0" zoomScale="70" zoomScaleNormal="70" workbookViewId="0">
      <pane ySplit="2" topLeftCell="A19" activePane="bottomLeft" state="frozen"/>
      <selection pane="bottomLeft" activeCell="L28" sqref="L28"/>
    </sheetView>
  </sheetViews>
  <sheetFormatPr defaultColWidth="9.85546875" defaultRowHeight="14.85"/>
  <cols>
    <col min="1" max="1" width="30.140625" customWidth="1"/>
    <col min="2" max="3" width="23.5703125" style="7" customWidth="1"/>
    <col min="4" max="4" width="25.140625" customWidth="1"/>
    <col min="5" max="5" width="47.85546875"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384" width="9.85546875" style="2"/>
  </cols>
  <sheetData>
    <row r="1" spans="1:12" ht="148.5" customHeight="1">
      <c r="B1" s="389" t="s">
        <v>249</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L5" s="19"/>
    </row>
    <row r="6" spans="1:12" s="53" customFormat="1" ht="15" customHeight="1">
      <c r="A6" s="28"/>
      <c r="B6" s="29" t="s">
        <v>42</v>
      </c>
      <c r="C6" s="30"/>
      <c r="D6" s="31"/>
      <c r="E6" s="31"/>
      <c r="F6" s="32"/>
      <c r="G6" s="33"/>
      <c r="H6" s="32"/>
      <c r="I6" s="32">
        <v>0</v>
      </c>
      <c r="J6" s="32">
        <v>0</v>
      </c>
      <c r="K6" s="32">
        <v>0</v>
      </c>
      <c r="L6" s="34">
        <v>0</v>
      </c>
    </row>
    <row r="7" spans="1:12" ht="15" customHeight="1">
      <c r="L7" s="19"/>
    </row>
    <row r="8" spans="1:12" ht="15" customHeight="1">
      <c r="A8" s="11" t="s">
        <v>40</v>
      </c>
      <c r="B8" s="12"/>
      <c r="C8" s="12"/>
      <c r="D8" s="13"/>
      <c r="E8" s="13"/>
      <c r="F8" s="14"/>
      <c r="G8" s="15"/>
      <c r="H8" s="14"/>
      <c r="I8" s="14"/>
      <c r="J8" s="14"/>
      <c r="K8" s="14"/>
      <c r="L8" s="16"/>
    </row>
    <row r="9" spans="1:12" ht="15" customHeight="1">
      <c r="A9" s="17" t="s">
        <v>250</v>
      </c>
      <c r="L9" s="19"/>
    </row>
    <row r="10" spans="1:12" ht="15" customHeight="1">
      <c r="B10" s="7">
        <v>85100</v>
      </c>
      <c r="C10" s="7" t="s">
        <v>251</v>
      </c>
      <c r="E10" s="47" t="s">
        <v>252</v>
      </c>
      <c r="F10" s="8">
        <v>45</v>
      </c>
      <c r="G10" s="9">
        <v>25</v>
      </c>
      <c r="H10" s="8">
        <f>F10*G10</f>
        <v>1125</v>
      </c>
      <c r="I10" s="8">
        <f>H10*1.13</f>
        <v>1271.2499999999998</v>
      </c>
      <c r="J10" s="8">
        <f>I10*1.25</f>
        <v>1589.0624999999998</v>
      </c>
      <c r="L10" s="19">
        <v>614.77</v>
      </c>
    </row>
    <row r="11" spans="1:12" ht="15" customHeight="1">
      <c r="B11" s="7">
        <v>85101</v>
      </c>
      <c r="C11" s="7" t="s">
        <v>253</v>
      </c>
      <c r="D11" s="7"/>
      <c r="E11" s="47" t="s">
        <v>254</v>
      </c>
      <c r="F11" s="8">
        <v>40</v>
      </c>
      <c r="G11" s="9">
        <v>3</v>
      </c>
      <c r="H11" s="8">
        <f t="shared" ref="H11:H13" si="0">F11*G11</f>
        <v>120</v>
      </c>
      <c r="I11" s="8">
        <f t="shared" ref="I11:I13" si="1">H11*1.13</f>
        <v>135.6</v>
      </c>
      <c r="J11" s="8">
        <f t="shared" ref="J11:J13" si="2">I11*1.25</f>
        <v>169.5</v>
      </c>
      <c r="L11" s="19">
        <v>157.69</v>
      </c>
    </row>
    <row r="12" spans="1:12" ht="15" customHeight="1">
      <c r="B12" s="7">
        <v>85102</v>
      </c>
      <c r="C12" s="7" t="s">
        <v>255</v>
      </c>
      <c r="E12" s="47" t="s">
        <v>256</v>
      </c>
      <c r="F12" s="8">
        <v>3</v>
      </c>
      <c r="G12" s="9">
        <v>110</v>
      </c>
      <c r="H12" s="8">
        <f t="shared" si="0"/>
        <v>330</v>
      </c>
      <c r="I12" s="8">
        <f t="shared" si="1"/>
        <v>372.9</v>
      </c>
      <c r="J12" s="8">
        <f t="shared" si="2"/>
        <v>466.125</v>
      </c>
      <c r="L12" s="19">
        <f>60.91+57.97</f>
        <v>118.88</v>
      </c>
    </row>
    <row r="13" spans="1:12" ht="15" customHeight="1">
      <c r="B13" s="7">
        <v>85103</v>
      </c>
      <c r="C13" s="7" t="s">
        <v>257</v>
      </c>
      <c r="E13" s="47" t="s">
        <v>258</v>
      </c>
      <c r="F13" s="8">
        <v>4</v>
      </c>
      <c r="G13" s="9">
        <v>25</v>
      </c>
      <c r="H13" s="8">
        <f t="shared" si="0"/>
        <v>100</v>
      </c>
      <c r="I13" s="8">
        <f t="shared" si="1"/>
        <v>112.99999999999999</v>
      </c>
      <c r="J13" s="8">
        <f t="shared" si="2"/>
        <v>141.24999999999997</v>
      </c>
      <c r="L13" s="19">
        <v>93.51</v>
      </c>
    </row>
    <row r="14" spans="1:12" ht="15" customHeight="1">
      <c r="L14" s="19"/>
    </row>
    <row r="15" spans="1:12" s="27" customFormat="1" ht="15" customHeight="1">
      <c r="A15" s="17"/>
      <c r="B15" s="21" t="s">
        <v>259</v>
      </c>
      <c r="C15" s="22"/>
      <c r="D15" s="23"/>
      <c r="E15" s="23"/>
      <c r="F15" s="24"/>
      <c r="G15" s="25"/>
      <c r="H15" s="24"/>
      <c r="I15" s="24">
        <f>SUM(I10:I13)</f>
        <v>1892.7499999999995</v>
      </c>
      <c r="J15" s="24">
        <f>SUM(J10:J13)</f>
        <v>2365.9375</v>
      </c>
      <c r="K15" s="24">
        <f>SUM(K10:K13)</f>
        <v>0</v>
      </c>
      <c r="L15" s="26">
        <f>SUM(L10:L13)</f>
        <v>984.85</v>
      </c>
    </row>
    <row r="16" spans="1:12" ht="15" customHeight="1">
      <c r="A16" s="17" t="s">
        <v>260</v>
      </c>
      <c r="L16" s="19"/>
    </row>
    <row r="17" spans="1:12" ht="15" customHeight="1">
      <c r="B17" s="7">
        <v>85200</v>
      </c>
      <c r="C17" s="7" t="s">
        <v>261</v>
      </c>
      <c r="E17" s="48" t="s">
        <v>262</v>
      </c>
      <c r="F17" s="8">
        <v>750</v>
      </c>
      <c r="G17" s="9">
        <v>1</v>
      </c>
      <c r="H17" s="8">
        <f>F17*G17</f>
        <v>750</v>
      </c>
      <c r="I17" s="8">
        <f>H17*1.13</f>
        <v>847.49999999999989</v>
      </c>
      <c r="J17" s="8">
        <f>I17*1.25</f>
        <v>1059.3749999999998</v>
      </c>
      <c r="L17" s="19">
        <f>790.99*1.13</f>
        <v>893.81869999999992</v>
      </c>
    </row>
    <row r="18" spans="1:12" ht="15" customHeight="1">
      <c r="B18" s="7">
        <v>85201</v>
      </c>
      <c r="C18" s="7" t="s">
        <v>263</v>
      </c>
      <c r="E18" s="48" t="s">
        <v>264</v>
      </c>
      <c r="F18" s="8">
        <v>10.25</v>
      </c>
      <c r="G18" s="9">
        <v>2</v>
      </c>
      <c r="H18" s="8">
        <f t="shared" ref="H18:H20" si="3">F18*G18</f>
        <v>20.5</v>
      </c>
      <c r="I18" s="8">
        <f t="shared" ref="I18:I20" si="4">H18*1.13</f>
        <v>23.164999999999999</v>
      </c>
      <c r="J18" s="8">
        <f t="shared" ref="J18:J20" si="5">I18*1.25</f>
        <v>28.956249999999997</v>
      </c>
      <c r="L18" s="19">
        <v>20.32</v>
      </c>
    </row>
    <row r="19" spans="1:12" ht="15" customHeight="1">
      <c r="B19" s="7">
        <v>85202</v>
      </c>
      <c r="C19" s="7" t="s">
        <v>265</v>
      </c>
      <c r="E19" s="48" t="s">
        <v>266</v>
      </c>
      <c r="F19" s="8">
        <v>79.989999999999995</v>
      </c>
      <c r="G19" s="9">
        <v>1</v>
      </c>
      <c r="H19" s="8">
        <f t="shared" si="3"/>
        <v>79.989999999999995</v>
      </c>
      <c r="I19" s="8">
        <f t="shared" si="4"/>
        <v>90.388699999999986</v>
      </c>
      <c r="J19" s="8">
        <f t="shared" si="5"/>
        <v>112.98587499999998</v>
      </c>
      <c r="L19" s="19"/>
    </row>
    <row r="20" spans="1:12" ht="15" customHeight="1">
      <c r="B20" s="7">
        <v>85203</v>
      </c>
      <c r="C20" s="7" t="s">
        <v>267</v>
      </c>
      <c r="E20" s="48" t="s">
        <v>268</v>
      </c>
      <c r="F20" s="8">
        <v>50</v>
      </c>
      <c r="G20" s="9">
        <v>1</v>
      </c>
      <c r="H20" s="8">
        <f t="shared" si="3"/>
        <v>50</v>
      </c>
      <c r="I20" s="8">
        <f t="shared" si="4"/>
        <v>56.499999999999993</v>
      </c>
      <c r="J20" s="8">
        <f t="shared" si="5"/>
        <v>70.624999999999986</v>
      </c>
      <c r="L20" s="19">
        <v>56.49</v>
      </c>
    </row>
    <row r="21" spans="1:12" ht="15" customHeight="1">
      <c r="L21" s="19"/>
    </row>
    <row r="22" spans="1:12" s="27" customFormat="1" ht="15" customHeight="1">
      <c r="A22" s="17"/>
      <c r="B22" s="21" t="s">
        <v>269</v>
      </c>
      <c r="C22" s="22"/>
      <c r="D22" s="23"/>
      <c r="E22" s="23"/>
      <c r="F22" s="24"/>
      <c r="G22" s="25"/>
      <c r="H22" s="24"/>
      <c r="I22" s="24">
        <f>SUM(I17:I20)</f>
        <v>1017.5536999999998</v>
      </c>
      <c r="J22" s="24">
        <f>SUM(J17:J20)</f>
        <v>1271.9421249999998</v>
      </c>
      <c r="K22" s="24">
        <f>SUM(K17:K20)</f>
        <v>0</v>
      </c>
      <c r="L22" s="26">
        <f>SUM(L17:L20)</f>
        <v>970.62869999999998</v>
      </c>
    </row>
    <row r="23" spans="1:12" ht="15" customHeight="1">
      <c r="A23" s="17" t="s">
        <v>270</v>
      </c>
      <c r="L23" s="19"/>
    </row>
    <row r="24" spans="1:12" ht="15" customHeight="1">
      <c r="B24" s="7">
        <v>85300</v>
      </c>
      <c r="C24" s="7" t="s">
        <v>271</v>
      </c>
      <c r="E24" s="48" t="s">
        <v>272</v>
      </c>
      <c r="F24" s="8">
        <v>200</v>
      </c>
      <c r="G24" s="9">
        <v>1</v>
      </c>
      <c r="H24" s="8">
        <f>F24*G24</f>
        <v>200</v>
      </c>
      <c r="I24" s="8">
        <f>H24*1.13</f>
        <v>225.99999999999997</v>
      </c>
      <c r="J24" s="8">
        <f>I24*1.25</f>
        <v>282.49999999999994</v>
      </c>
      <c r="L24" s="19"/>
    </row>
    <row r="25" spans="1:12" ht="15" customHeight="1">
      <c r="B25" s="7">
        <v>85301</v>
      </c>
      <c r="C25" s="7" t="s">
        <v>273</v>
      </c>
      <c r="E25" t="s">
        <v>274</v>
      </c>
      <c r="F25" s="8">
        <v>0.85</v>
      </c>
      <c r="G25" s="9">
        <v>125</v>
      </c>
      <c r="H25" s="8">
        <f t="shared" ref="H25:H27" si="6">F25*G25</f>
        <v>106.25</v>
      </c>
      <c r="I25" s="8">
        <f t="shared" ref="I25:I26" si="7">H25*1.13</f>
        <v>120.06249999999999</v>
      </c>
      <c r="J25" s="8">
        <f t="shared" ref="J25:J27" si="8">I25*1.25</f>
        <v>150.07812499999997</v>
      </c>
      <c r="L25" s="19">
        <v>24.86</v>
      </c>
    </row>
    <row r="26" spans="1:12" ht="15" customHeight="1">
      <c r="B26" s="7">
        <v>85302</v>
      </c>
      <c r="C26" s="7" t="s">
        <v>275</v>
      </c>
      <c r="E26" s="48" t="s">
        <v>276</v>
      </c>
      <c r="F26" s="8">
        <v>12</v>
      </c>
      <c r="G26" s="9">
        <v>10</v>
      </c>
      <c r="H26" s="8">
        <f t="shared" si="6"/>
        <v>120</v>
      </c>
      <c r="I26" s="8">
        <f t="shared" si="7"/>
        <v>135.6</v>
      </c>
      <c r="J26" s="8">
        <f t="shared" si="8"/>
        <v>169.5</v>
      </c>
      <c r="L26" s="19">
        <v>23.17</v>
      </c>
    </row>
    <row r="27" spans="1:12" ht="15" customHeight="1">
      <c r="B27" s="7">
        <v>85303</v>
      </c>
      <c r="C27" s="7" t="s">
        <v>277</v>
      </c>
      <c r="E27" s="48" t="s">
        <v>278</v>
      </c>
      <c r="F27" s="8">
        <v>454.59</v>
      </c>
      <c r="G27" s="9">
        <v>10</v>
      </c>
      <c r="H27" s="8">
        <f t="shared" si="6"/>
        <v>4545.8999999999996</v>
      </c>
      <c r="I27" s="8">
        <f>H27*1.13</f>
        <v>5136.8669999999993</v>
      </c>
      <c r="J27" s="8">
        <f t="shared" si="8"/>
        <v>6421.0837499999989</v>
      </c>
      <c r="L27" s="19">
        <f>454.59*12</f>
        <v>5455.08</v>
      </c>
    </row>
    <row r="28" spans="1:12" ht="15" customHeight="1">
      <c r="B28" s="7">
        <v>85304</v>
      </c>
      <c r="C28" s="7" t="s">
        <v>279</v>
      </c>
      <c r="E28" s="48" t="s">
        <v>280</v>
      </c>
      <c r="F28" s="8">
        <v>16.989999999999998</v>
      </c>
      <c r="G28" s="9">
        <v>8</v>
      </c>
      <c r="H28" s="8">
        <f>F28*G28</f>
        <v>135.91999999999999</v>
      </c>
      <c r="I28" s="8">
        <f>H28*1.13</f>
        <v>153.58959999999996</v>
      </c>
      <c r="J28" s="8">
        <f>I28*1.25</f>
        <v>191.98699999999997</v>
      </c>
      <c r="L28" s="19">
        <v>135.91999999999999</v>
      </c>
    </row>
    <row r="29" spans="1:12" ht="15" customHeight="1">
      <c r="B29" s="7">
        <v>85305</v>
      </c>
      <c r="C29" s="7" t="s">
        <v>281</v>
      </c>
      <c r="E29" s="48" t="s">
        <v>282</v>
      </c>
      <c r="F29" s="8">
        <v>0.5</v>
      </c>
      <c r="G29" s="9">
        <v>100</v>
      </c>
      <c r="H29" s="8">
        <f t="shared" ref="H29" si="9">F29*G29</f>
        <v>50</v>
      </c>
      <c r="I29" s="8">
        <f t="shared" ref="I29:I30" si="10">H29*1.13</f>
        <v>56.499999999999993</v>
      </c>
      <c r="J29" s="8">
        <f t="shared" ref="J29:J30" si="11">I29*1.25</f>
        <v>70.624999999999986</v>
      </c>
      <c r="L29" s="19">
        <v>37.29</v>
      </c>
    </row>
    <row r="30" spans="1:12" ht="15" customHeight="1">
      <c r="B30" s="7">
        <v>85306</v>
      </c>
      <c r="C30" s="7" t="s">
        <v>283</v>
      </c>
      <c r="E30" s="48" t="s">
        <v>284</v>
      </c>
      <c r="F30" s="8">
        <v>45</v>
      </c>
      <c r="G30" s="9">
        <v>1</v>
      </c>
      <c r="H30" s="8">
        <f>F30</f>
        <v>45</v>
      </c>
      <c r="I30" s="8">
        <f t="shared" si="10"/>
        <v>50.849999999999994</v>
      </c>
      <c r="J30" s="8">
        <f t="shared" si="11"/>
        <v>63.562499999999993</v>
      </c>
      <c r="L30" s="19">
        <v>45</v>
      </c>
    </row>
    <row r="31" spans="1:12" ht="15" customHeight="1">
      <c r="L31" s="19"/>
    </row>
    <row r="32" spans="1:12" s="27" customFormat="1" ht="15" customHeight="1">
      <c r="A32" s="17"/>
      <c r="B32" s="396" t="s">
        <v>285</v>
      </c>
      <c r="C32" s="397"/>
      <c r="D32" s="23"/>
      <c r="E32" s="23"/>
      <c r="F32" s="24"/>
      <c r="G32" s="25"/>
      <c r="H32" s="24"/>
      <c r="I32" s="24">
        <f>SUM(I24:I27)</f>
        <v>5618.5294999999987</v>
      </c>
      <c r="J32" s="24">
        <f>SUM(J24:J27)</f>
        <v>7023.1618749999989</v>
      </c>
      <c r="K32" s="24">
        <f>SUM(K24:K27)</f>
        <v>0</v>
      </c>
      <c r="L32" s="26">
        <f>SUM(L24:L30)</f>
        <v>5721.32</v>
      </c>
    </row>
    <row r="33" spans="1:12" ht="15" customHeight="1">
      <c r="L33" s="19"/>
    </row>
    <row r="34" spans="1:12" s="53" customFormat="1" ht="15" customHeight="1">
      <c r="A34" s="28"/>
      <c r="B34" s="29" t="s">
        <v>120</v>
      </c>
      <c r="C34" s="30"/>
      <c r="D34" s="31"/>
      <c r="E34" s="31"/>
      <c r="F34" s="32"/>
      <c r="G34" s="33"/>
      <c r="H34" s="32"/>
      <c r="I34" s="32">
        <f>I15+I22+I32</f>
        <v>8528.8331999999973</v>
      </c>
      <c r="J34" s="32">
        <f>J15+J22+J32</f>
        <v>10661.041499999999</v>
      </c>
      <c r="K34" s="32">
        <v>0</v>
      </c>
      <c r="L34" s="34">
        <f>L32+L22+L15</f>
        <v>7676.7987000000003</v>
      </c>
    </row>
    <row r="35" spans="1:12" ht="15" customHeight="1">
      <c r="L35" s="19"/>
    </row>
    <row r="36" spans="1:12" ht="15" customHeight="1">
      <c r="A36" s="11" t="s">
        <v>56</v>
      </c>
      <c r="B36" s="12"/>
      <c r="C36" s="12"/>
      <c r="D36" s="13"/>
      <c r="E36" s="13"/>
      <c r="F36" s="14"/>
      <c r="G36" s="15"/>
      <c r="H36" s="14"/>
      <c r="I36" s="14"/>
      <c r="J36" s="14"/>
      <c r="K36" s="14"/>
      <c r="L36" s="16"/>
    </row>
    <row r="37" spans="1:12" s="27" customFormat="1" ht="15" customHeight="1">
      <c r="A37" s="17"/>
      <c r="B37" s="295" t="s">
        <v>58</v>
      </c>
      <c r="C37" s="295"/>
      <c r="D37" s="17"/>
      <c r="E37" s="17"/>
      <c r="F37" s="36"/>
      <c r="G37" s="37"/>
      <c r="H37" s="36"/>
      <c r="I37" s="36">
        <f>I6</f>
        <v>0</v>
      </c>
      <c r="J37" s="36">
        <f>J6</f>
        <v>0</v>
      </c>
      <c r="K37" s="36">
        <f>K6</f>
        <v>0</v>
      </c>
      <c r="L37" s="38">
        <f>L6</f>
        <v>0</v>
      </c>
    </row>
    <row r="38" spans="1:12" s="27" customFormat="1" ht="15" customHeight="1">
      <c r="A38" s="17"/>
      <c r="B38" s="295" t="s">
        <v>62</v>
      </c>
      <c r="C38" s="295"/>
      <c r="D38" s="17"/>
      <c r="E38" s="17"/>
      <c r="F38" s="36"/>
      <c r="G38" s="37"/>
      <c r="H38" s="36"/>
      <c r="I38" s="36">
        <f>I34</f>
        <v>8528.8331999999973</v>
      </c>
      <c r="J38" s="36">
        <f>J34</f>
        <v>10661.041499999999</v>
      </c>
      <c r="K38" s="36">
        <f>K34</f>
        <v>0</v>
      </c>
      <c r="L38" s="39">
        <f>L34</f>
        <v>7676.7987000000003</v>
      </c>
    </row>
    <row r="39" spans="1:12" s="27" customFormat="1" ht="15" customHeight="1">
      <c r="A39" s="40"/>
      <c r="B39" s="41" t="s">
        <v>65</v>
      </c>
      <c r="C39" s="41"/>
      <c r="D39" s="40"/>
      <c r="E39" s="40"/>
      <c r="F39" s="42"/>
      <c r="G39" s="43"/>
      <c r="H39" s="42"/>
      <c r="I39" s="42">
        <f>SUM(I37,I38*-1)</f>
        <v>-8528.8331999999973</v>
      </c>
      <c r="J39" s="42">
        <f t="shared" ref="J39:L39" si="12">SUM(J37,J38*-1)</f>
        <v>-10661.041499999999</v>
      </c>
      <c r="K39" s="42">
        <f t="shared" si="12"/>
        <v>0</v>
      </c>
      <c r="L39" s="44">
        <f>SUM(L37,L38*-1)</f>
        <v>-7676.7987000000003</v>
      </c>
    </row>
  </sheetData>
  <mergeCells count="2">
    <mergeCell ref="B1:K1"/>
    <mergeCell ref="B32:C32"/>
  </mergeCells>
  <conditionalFormatting sqref="B33:L39 B10:L15 B28:K28 B29:L30">
    <cfRule type="expression" dxfId="117" priority="8">
      <formula>MOD($B10,2)=1</formula>
    </cfRule>
  </conditionalFormatting>
  <conditionalFormatting sqref="B5:L7">
    <cfRule type="expression" dxfId="116" priority="6">
      <formula>MOD($B5,2)=1</formula>
    </cfRule>
  </conditionalFormatting>
  <conditionalFormatting sqref="B23:L26 B32 D32:L32 B31:L31 B27:K27">
    <cfRule type="expression" dxfId="115" priority="5">
      <formula>MOD($B23,2)=1</formula>
    </cfRule>
  </conditionalFormatting>
  <conditionalFormatting sqref="B16:L16 B18:L22 B17:K17">
    <cfRule type="expression" dxfId="114" priority="4">
      <formula>MOD($B16,2)=1</formula>
    </cfRule>
  </conditionalFormatting>
  <conditionalFormatting sqref="L27">
    <cfRule type="expression" dxfId="113" priority="3">
      <formula>MOD($B27,2)=1</formula>
    </cfRule>
  </conditionalFormatting>
  <conditionalFormatting sqref="L17">
    <cfRule type="expression" dxfId="112" priority="2">
      <formula>MOD($B17,2)=1</formula>
    </cfRule>
  </conditionalFormatting>
  <conditionalFormatting sqref="L28">
    <cfRule type="expression" dxfId="111" priority="1">
      <formula>MOD($B28,2)=1</formula>
    </cfRule>
  </conditionalFormatting>
  <pageMargins left="0.7" right="0.7" top="0.75" bottom="0.75" header="0.3" footer="0.3"/>
  <pageSetup scale="26"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629D-6F35-49E5-AB7F-D20120141972}">
  <dimension ref="A1:Q43"/>
  <sheetViews>
    <sheetView showGridLines="0" zoomScale="70" zoomScaleNormal="60" workbookViewId="0">
      <pane ySplit="2" topLeftCell="A15" activePane="bottomLeft" state="frozen"/>
      <selection pane="bottomLeft" activeCell="M32" sqref="M32"/>
    </sheetView>
  </sheetViews>
  <sheetFormatPr defaultColWidth="9.85546875" defaultRowHeight="14.85"/>
  <cols>
    <col min="1" max="1" width="37" customWidth="1"/>
    <col min="2" max="2" width="23.5703125" style="111" customWidth="1"/>
    <col min="3" max="3" width="28.7109375" style="112" customWidth="1"/>
    <col min="4" max="4" width="20.5703125" customWidth="1"/>
    <col min="5" max="5" width="57.140625" style="112" customWidth="1"/>
    <col min="6" max="6" width="15.5703125" style="8" customWidth="1"/>
    <col min="7" max="7" width="15.5703125" style="9" customWidth="1"/>
    <col min="8" max="8" width="19.5703125" style="8" customWidth="1"/>
    <col min="9" max="9" width="18.5703125" style="8" customWidth="1"/>
    <col min="10" max="11" width="21" style="8" customWidth="1"/>
    <col min="12" max="12" width="21.28515625" style="1" customWidth="1"/>
    <col min="13" max="16" width="9.85546875" style="2"/>
    <col min="17" max="17" width="18.28515625" style="2" customWidth="1"/>
    <col min="18" max="16384" width="9.85546875" style="2"/>
  </cols>
  <sheetData>
    <row r="1" spans="1:13" ht="148.5" customHeight="1">
      <c r="B1" s="389" t="s">
        <v>286</v>
      </c>
      <c r="C1" s="389"/>
      <c r="D1" s="389"/>
      <c r="E1" s="389"/>
      <c r="F1" s="389"/>
      <c r="G1" s="389"/>
      <c r="H1" s="389"/>
      <c r="I1" s="389"/>
      <c r="J1" s="389"/>
      <c r="K1" s="389"/>
    </row>
    <row r="2" spans="1:13" s="6" customFormat="1" ht="15" customHeight="1">
      <c r="A2" s="3" t="s">
        <v>1</v>
      </c>
      <c r="B2" s="109" t="s">
        <v>2</v>
      </c>
      <c r="C2" s="110" t="s">
        <v>3</v>
      </c>
      <c r="D2" s="3" t="s">
        <v>122</v>
      </c>
      <c r="E2" s="110" t="s">
        <v>4</v>
      </c>
      <c r="F2" s="4" t="s">
        <v>5</v>
      </c>
      <c r="G2" s="3" t="s">
        <v>6</v>
      </c>
      <c r="H2" s="4" t="s">
        <v>7</v>
      </c>
      <c r="I2" s="4" t="s">
        <v>8</v>
      </c>
      <c r="J2" s="4" t="s">
        <v>123</v>
      </c>
      <c r="K2" s="4" t="s">
        <v>9</v>
      </c>
      <c r="L2" s="5" t="s">
        <v>10</v>
      </c>
    </row>
    <row r="3" spans="1:13" ht="15" customHeight="1">
      <c r="L3" s="10"/>
    </row>
    <row r="4" spans="1:13" ht="15" customHeight="1">
      <c r="A4" s="11" t="s">
        <v>15</v>
      </c>
      <c r="B4" s="113"/>
      <c r="C4" s="114"/>
      <c r="D4" s="13"/>
      <c r="E4" s="114"/>
      <c r="F4" s="14"/>
      <c r="G4" s="15"/>
      <c r="H4" s="14"/>
      <c r="I4" s="14"/>
      <c r="J4" s="14"/>
      <c r="K4" s="14"/>
      <c r="L4" s="16"/>
    </row>
    <row r="5" spans="1:13" ht="15" customHeight="1">
      <c r="L5" s="19"/>
    </row>
    <row r="6" spans="1:13" s="53" customFormat="1" ht="15" customHeight="1">
      <c r="A6" s="28"/>
      <c r="B6" s="117" t="s">
        <v>42</v>
      </c>
      <c r="C6" s="118"/>
      <c r="D6" s="31"/>
      <c r="E6" s="118"/>
      <c r="F6" s="32"/>
      <c r="G6" s="33"/>
      <c r="H6" s="32">
        <v>0</v>
      </c>
      <c r="I6" s="32">
        <v>0</v>
      </c>
      <c r="J6" s="32">
        <v>0</v>
      </c>
      <c r="K6" s="32">
        <v>0</v>
      </c>
      <c r="L6" s="34">
        <v>0</v>
      </c>
    </row>
    <row r="7" spans="1:13" ht="15" customHeight="1">
      <c r="L7" s="19"/>
    </row>
    <row r="8" spans="1:13" ht="15" customHeight="1">
      <c r="A8" s="11" t="s">
        <v>40</v>
      </c>
      <c r="B8" s="113"/>
      <c r="C8" s="114"/>
      <c r="D8" s="13"/>
      <c r="E8" s="114"/>
      <c r="F8" s="14"/>
      <c r="G8" s="15"/>
      <c r="H8" s="14"/>
      <c r="I8" s="14"/>
      <c r="J8" s="14"/>
      <c r="K8" s="14"/>
      <c r="L8" s="16"/>
    </row>
    <row r="9" spans="1:13" ht="15" customHeight="1">
      <c r="A9" s="17" t="s">
        <v>287</v>
      </c>
      <c r="L9" s="19"/>
    </row>
    <row r="10" spans="1:13" customFormat="1" ht="15" customHeight="1">
      <c r="B10" s="119">
        <v>6100</v>
      </c>
      <c r="C10" s="120" t="s">
        <v>288</v>
      </c>
      <c r="D10" s="121">
        <v>1</v>
      </c>
      <c r="E10" s="120" t="s">
        <v>289</v>
      </c>
      <c r="F10" s="122">
        <v>400</v>
      </c>
      <c r="G10" s="123">
        <v>1</v>
      </c>
      <c r="H10" s="122">
        <f>F10*G10</f>
        <v>400</v>
      </c>
      <c r="I10" s="122">
        <f>H10*1.13</f>
        <v>451.99999999999994</v>
      </c>
      <c r="J10" s="122">
        <f>I10*1.25</f>
        <v>564.99999999999989</v>
      </c>
      <c r="K10" s="122"/>
      <c r="L10" s="124">
        <v>0</v>
      </c>
    </row>
    <row r="11" spans="1:13" customFormat="1" ht="15" customHeight="1">
      <c r="B11" s="111">
        <v>6101</v>
      </c>
      <c r="C11" s="112" t="s">
        <v>290</v>
      </c>
      <c r="D11" s="61">
        <v>2</v>
      </c>
      <c r="E11" s="112" t="s">
        <v>291</v>
      </c>
      <c r="F11" s="125">
        <v>100</v>
      </c>
      <c r="G11" s="9">
        <v>4</v>
      </c>
      <c r="H11" s="125">
        <f t="shared" ref="H11:H12" si="0">F11*G11</f>
        <v>400</v>
      </c>
      <c r="I11" s="125">
        <f t="shared" ref="I11:I12" si="1">H11*1.13</f>
        <v>451.99999999999994</v>
      </c>
      <c r="J11" s="125">
        <f t="shared" ref="J11:J12" si="2">I11*1.25</f>
        <v>564.99999999999989</v>
      </c>
      <c r="K11" s="125"/>
      <c r="L11" s="108">
        <v>0</v>
      </c>
    </row>
    <row r="12" spans="1:13" s="17" customFormat="1" ht="15" customHeight="1">
      <c r="B12" s="111">
        <v>6102</v>
      </c>
      <c r="C12" s="112" t="s">
        <v>292</v>
      </c>
      <c r="D12" s="61">
        <v>3</v>
      </c>
      <c r="E12" s="112" t="s">
        <v>293</v>
      </c>
      <c r="F12" s="125">
        <v>20</v>
      </c>
      <c r="G12" s="9">
        <v>19</v>
      </c>
      <c r="H12" s="125">
        <f t="shared" si="0"/>
        <v>380</v>
      </c>
      <c r="I12" s="125">
        <f t="shared" si="1"/>
        <v>429.4</v>
      </c>
      <c r="J12" s="125">
        <f t="shared" si="2"/>
        <v>536.75</v>
      </c>
      <c r="K12" s="125"/>
      <c r="L12" s="108">
        <v>380</v>
      </c>
      <c r="M12" t="s">
        <v>136</v>
      </c>
    </row>
    <row r="13" spans="1:13" s="17" customFormat="1" ht="15" customHeight="1">
      <c r="B13" s="126">
        <v>6103</v>
      </c>
      <c r="C13" s="127" t="s">
        <v>294</v>
      </c>
      <c r="D13" s="128">
        <v>2</v>
      </c>
      <c r="E13" s="127" t="s">
        <v>295</v>
      </c>
      <c r="F13" s="129">
        <v>500</v>
      </c>
      <c r="G13" s="130">
        <v>1</v>
      </c>
      <c r="H13" s="129">
        <f>F13*G13</f>
        <v>500</v>
      </c>
      <c r="I13" s="129">
        <f>H13*1.13</f>
        <v>565</v>
      </c>
      <c r="J13" s="129">
        <f>I13*1.25</f>
        <v>706.25</v>
      </c>
      <c r="K13" s="129"/>
      <c r="L13" s="131">
        <v>500</v>
      </c>
      <c r="M13" t="s">
        <v>136</v>
      </c>
    </row>
    <row r="14" spans="1:13" ht="15" customHeight="1">
      <c r="A14" s="17"/>
      <c r="L14" s="19"/>
    </row>
    <row r="15" spans="1:13" ht="15" customHeight="1">
      <c r="B15" s="115" t="s">
        <v>296</v>
      </c>
      <c r="C15" s="116"/>
      <c r="D15" s="23"/>
      <c r="E15" s="116"/>
      <c r="F15" s="24"/>
      <c r="G15" s="25"/>
      <c r="H15" s="24"/>
      <c r="I15" s="24">
        <f>SUM(I10:I12)</f>
        <v>1333.3999999999999</v>
      </c>
      <c r="J15" s="24">
        <f>SUM(J10:J13)</f>
        <v>2373</v>
      </c>
      <c r="K15" s="24">
        <f>SUM(K10:K12)</f>
        <v>0</v>
      </c>
      <c r="L15" s="26">
        <f>SUM(L10:L12)</f>
        <v>380</v>
      </c>
    </row>
    <row r="16" spans="1:13" ht="15" customHeight="1">
      <c r="B16" s="132"/>
      <c r="C16" s="133"/>
      <c r="D16" s="17"/>
      <c r="E16" s="133"/>
      <c r="F16" s="106"/>
      <c r="G16" s="37"/>
      <c r="H16" s="106"/>
      <c r="I16" s="106"/>
      <c r="J16" s="106"/>
      <c r="K16" s="106"/>
      <c r="L16" s="39"/>
    </row>
    <row r="17" spans="1:17" ht="15" customHeight="1">
      <c r="A17" s="17" t="s">
        <v>297</v>
      </c>
      <c r="L17" s="19"/>
    </row>
    <row r="18" spans="1:17" customFormat="1" ht="15" customHeight="1">
      <c r="B18" s="119">
        <v>6200</v>
      </c>
      <c r="C18" s="120" t="s">
        <v>298</v>
      </c>
      <c r="D18" s="134">
        <v>1</v>
      </c>
      <c r="E18" s="120" t="s">
        <v>299</v>
      </c>
      <c r="F18" s="122">
        <v>75</v>
      </c>
      <c r="G18" s="123">
        <v>2</v>
      </c>
      <c r="H18" s="122">
        <f>F18*G18</f>
        <v>150</v>
      </c>
      <c r="I18" s="122">
        <f>H18*1.13</f>
        <v>169.49999999999997</v>
      </c>
      <c r="J18" s="122">
        <f>I18*1.25</f>
        <v>211.87499999999997</v>
      </c>
      <c r="K18" s="122">
        <v>0</v>
      </c>
      <c r="L18" s="124">
        <v>0</v>
      </c>
      <c r="M18" s="400"/>
      <c r="N18" s="400"/>
      <c r="O18" s="400"/>
      <c r="P18" s="400"/>
      <c r="Q18" s="400"/>
    </row>
    <row r="19" spans="1:17" customFormat="1" ht="15" customHeight="1">
      <c r="B19" s="111">
        <v>6201</v>
      </c>
      <c r="C19" s="112" t="s">
        <v>298</v>
      </c>
      <c r="D19" s="7">
        <v>1</v>
      </c>
      <c r="E19" s="112" t="s">
        <v>300</v>
      </c>
      <c r="F19" s="125">
        <v>75</v>
      </c>
      <c r="G19" s="9">
        <v>2</v>
      </c>
      <c r="H19" s="125">
        <f t="shared" ref="H19:H26" si="3">F19*G19</f>
        <v>150</v>
      </c>
      <c r="I19" s="125">
        <f t="shared" ref="I19:I26" si="4">H19*1.13</f>
        <v>169.49999999999997</v>
      </c>
      <c r="J19" s="125">
        <f t="shared" ref="J19:J26" si="5">I19*1.25</f>
        <v>211.87499999999997</v>
      </c>
      <c r="K19" s="125">
        <v>0</v>
      </c>
      <c r="L19" s="108">
        <v>0</v>
      </c>
      <c r="M19" s="400"/>
      <c r="N19" s="400"/>
      <c r="O19" s="400"/>
      <c r="P19" s="400"/>
      <c r="Q19" s="400"/>
    </row>
    <row r="20" spans="1:17" customFormat="1" ht="15" customHeight="1">
      <c r="B20" s="119">
        <v>6202</v>
      </c>
      <c r="C20" s="120" t="s">
        <v>298</v>
      </c>
      <c r="D20" s="134">
        <v>1</v>
      </c>
      <c r="E20" s="120" t="s">
        <v>301</v>
      </c>
      <c r="F20" s="122">
        <v>75</v>
      </c>
      <c r="G20" s="123">
        <v>2</v>
      </c>
      <c r="H20" s="122">
        <f t="shared" si="3"/>
        <v>150</v>
      </c>
      <c r="I20" s="122">
        <f t="shared" si="4"/>
        <v>169.49999999999997</v>
      </c>
      <c r="J20" s="122">
        <f t="shared" si="5"/>
        <v>211.87499999999997</v>
      </c>
      <c r="K20" s="122">
        <v>0</v>
      </c>
      <c r="L20" s="124">
        <v>0</v>
      </c>
      <c r="M20" s="400"/>
      <c r="N20" s="400"/>
      <c r="O20" s="400"/>
      <c r="P20" s="400"/>
      <c r="Q20" s="400"/>
    </row>
    <row r="21" spans="1:17" customFormat="1" ht="15" customHeight="1">
      <c r="B21" s="111">
        <v>6203</v>
      </c>
      <c r="C21" s="112" t="s">
        <v>298</v>
      </c>
      <c r="D21" s="7">
        <v>1</v>
      </c>
      <c r="E21" s="112" t="s">
        <v>302</v>
      </c>
      <c r="F21" s="125">
        <v>75</v>
      </c>
      <c r="G21" s="9">
        <v>2</v>
      </c>
      <c r="H21" s="125">
        <f t="shared" si="3"/>
        <v>150</v>
      </c>
      <c r="I21" s="125">
        <f t="shared" si="4"/>
        <v>169.49999999999997</v>
      </c>
      <c r="J21" s="125">
        <f t="shared" si="5"/>
        <v>211.87499999999997</v>
      </c>
      <c r="K21" s="125">
        <v>0</v>
      </c>
      <c r="L21" s="108">
        <v>0</v>
      </c>
      <c r="M21" s="400"/>
      <c r="N21" s="400"/>
      <c r="O21" s="400"/>
      <c r="P21" s="400"/>
      <c r="Q21" s="400"/>
    </row>
    <row r="22" spans="1:17" customFormat="1" ht="15" customHeight="1">
      <c r="B22" s="119">
        <v>6204</v>
      </c>
      <c r="C22" s="120" t="s">
        <v>298</v>
      </c>
      <c r="D22" s="134">
        <v>1</v>
      </c>
      <c r="E22" s="120" t="s">
        <v>303</v>
      </c>
      <c r="F22" s="122">
        <v>75</v>
      </c>
      <c r="G22" s="123">
        <v>2</v>
      </c>
      <c r="H22" s="122">
        <f t="shared" si="3"/>
        <v>150</v>
      </c>
      <c r="I22" s="122">
        <f t="shared" si="4"/>
        <v>169.49999999999997</v>
      </c>
      <c r="J22" s="122">
        <f t="shared" si="5"/>
        <v>211.87499999999997</v>
      </c>
      <c r="K22" s="122">
        <v>0</v>
      </c>
      <c r="L22" s="124">
        <v>0</v>
      </c>
      <c r="M22" s="400"/>
      <c r="N22" s="400"/>
      <c r="O22" s="400"/>
      <c r="P22" s="400"/>
      <c r="Q22" s="400"/>
    </row>
    <row r="23" spans="1:17" customFormat="1" ht="15" customHeight="1">
      <c r="B23" s="111">
        <v>6205</v>
      </c>
      <c r="C23" s="112" t="s">
        <v>298</v>
      </c>
      <c r="D23" s="7">
        <v>1</v>
      </c>
      <c r="E23" s="112" t="s">
        <v>304</v>
      </c>
      <c r="F23" s="125">
        <v>75</v>
      </c>
      <c r="G23" s="9">
        <v>2</v>
      </c>
      <c r="H23" s="125">
        <f t="shared" si="3"/>
        <v>150</v>
      </c>
      <c r="I23" s="125">
        <f t="shared" si="4"/>
        <v>169.49999999999997</v>
      </c>
      <c r="J23" s="125">
        <f t="shared" si="5"/>
        <v>211.87499999999997</v>
      </c>
      <c r="K23" s="125">
        <v>0</v>
      </c>
      <c r="L23" s="108">
        <v>0</v>
      </c>
      <c r="M23" s="400"/>
      <c r="N23" s="400"/>
      <c r="O23" s="400"/>
      <c r="P23" s="400"/>
      <c r="Q23" s="400"/>
    </row>
    <row r="24" spans="1:17" customFormat="1" ht="15" customHeight="1">
      <c r="B24" s="119">
        <v>6206</v>
      </c>
      <c r="C24" s="120" t="s">
        <v>298</v>
      </c>
      <c r="D24" s="134">
        <v>1</v>
      </c>
      <c r="E24" s="120" t="s">
        <v>305</v>
      </c>
      <c r="F24" s="122">
        <v>75</v>
      </c>
      <c r="G24" s="123">
        <v>2</v>
      </c>
      <c r="H24" s="122">
        <f t="shared" si="3"/>
        <v>150</v>
      </c>
      <c r="I24" s="122">
        <f t="shared" si="4"/>
        <v>169.49999999999997</v>
      </c>
      <c r="J24" s="122">
        <f t="shared" si="5"/>
        <v>211.87499999999997</v>
      </c>
      <c r="K24" s="122">
        <v>0</v>
      </c>
      <c r="L24" s="124">
        <v>0</v>
      </c>
      <c r="M24" s="400"/>
      <c r="N24" s="400"/>
      <c r="O24" s="400"/>
      <c r="P24" s="400"/>
      <c r="Q24" s="400"/>
    </row>
    <row r="25" spans="1:17" customFormat="1" ht="15" customHeight="1">
      <c r="B25" s="111">
        <v>6207</v>
      </c>
      <c r="C25" s="112" t="s">
        <v>298</v>
      </c>
      <c r="D25" s="7">
        <v>1</v>
      </c>
      <c r="E25" s="112" t="s">
        <v>306</v>
      </c>
      <c r="F25" s="125">
        <v>75</v>
      </c>
      <c r="G25" s="9">
        <v>2</v>
      </c>
      <c r="H25" s="125">
        <f t="shared" si="3"/>
        <v>150</v>
      </c>
      <c r="I25" s="125">
        <f t="shared" si="4"/>
        <v>169.49999999999997</v>
      </c>
      <c r="J25" s="125">
        <f t="shared" si="5"/>
        <v>211.87499999999997</v>
      </c>
      <c r="K25" s="125">
        <v>0</v>
      </c>
      <c r="L25" s="108">
        <v>0</v>
      </c>
      <c r="M25" s="400"/>
      <c r="N25" s="400"/>
      <c r="O25" s="400"/>
      <c r="P25" s="400"/>
      <c r="Q25" s="400"/>
    </row>
    <row r="26" spans="1:17" customFormat="1" ht="15" customHeight="1">
      <c r="B26" s="119">
        <v>6208</v>
      </c>
      <c r="C26" s="120" t="s">
        <v>298</v>
      </c>
      <c r="D26" s="134">
        <v>1</v>
      </c>
      <c r="E26" s="120" t="s">
        <v>307</v>
      </c>
      <c r="F26" s="122">
        <v>75</v>
      </c>
      <c r="G26" s="123">
        <v>5</v>
      </c>
      <c r="H26" s="122">
        <f t="shared" si="3"/>
        <v>375</v>
      </c>
      <c r="I26" s="122">
        <f t="shared" si="4"/>
        <v>423.74999999999994</v>
      </c>
      <c r="J26" s="122">
        <f t="shared" si="5"/>
        <v>529.68749999999989</v>
      </c>
      <c r="K26" s="122">
        <v>0</v>
      </c>
      <c r="L26" s="124">
        <v>0</v>
      </c>
      <c r="M26" s="400"/>
      <c r="N26" s="400"/>
      <c r="O26" s="400"/>
      <c r="P26" s="400"/>
      <c r="Q26" s="400"/>
    </row>
    <row r="27" spans="1:17" ht="15" customHeight="1">
      <c r="A27" s="17"/>
      <c r="L27" s="19"/>
    </row>
    <row r="28" spans="1:17" ht="15" customHeight="1">
      <c r="B28" s="115" t="s">
        <v>308</v>
      </c>
      <c r="C28" s="116"/>
      <c r="D28" s="23"/>
      <c r="E28" s="116"/>
      <c r="F28" s="24"/>
      <c r="G28" s="25"/>
      <c r="H28" s="24"/>
      <c r="I28" s="24">
        <f>SUM(I18:I26)</f>
        <v>1779.7499999999998</v>
      </c>
      <c r="J28" s="24">
        <f>SUM(J18:J26)</f>
        <v>2224.6874999999995</v>
      </c>
      <c r="K28" s="24">
        <f>SUM(K18:K26)</f>
        <v>0</v>
      </c>
      <c r="L28" s="26">
        <f>SUM(L18:L26)</f>
        <v>0</v>
      </c>
    </row>
    <row r="29" spans="1:17" ht="15" customHeight="1">
      <c r="B29" s="132"/>
      <c r="C29" s="133"/>
      <c r="D29" s="17"/>
      <c r="E29" s="133"/>
      <c r="F29" s="106"/>
      <c r="G29" s="37"/>
      <c r="H29" s="106"/>
      <c r="I29" s="106"/>
      <c r="J29" s="106"/>
      <c r="K29" s="106"/>
      <c r="L29" s="39"/>
    </row>
    <row r="30" spans="1:17" ht="15" customHeight="1">
      <c r="A30" s="17" t="s">
        <v>309</v>
      </c>
      <c r="B30" s="132"/>
      <c r="C30" s="133"/>
      <c r="D30" s="17"/>
      <c r="E30" s="133"/>
      <c r="F30" s="106"/>
      <c r="G30" s="37"/>
      <c r="H30" s="106"/>
      <c r="I30" s="106"/>
      <c r="J30" s="106"/>
      <c r="K30" s="106"/>
      <c r="L30" s="39"/>
    </row>
    <row r="31" spans="1:17" customFormat="1" ht="15" customHeight="1">
      <c r="B31" s="111">
        <v>6300</v>
      </c>
      <c r="C31" s="112" t="s">
        <v>310</v>
      </c>
      <c r="D31" s="7">
        <v>1</v>
      </c>
      <c r="E31" s="112" t="s">
        <v>311</v>
      </c>
      <c r="F31" s="125">
        <v>200</v>
      </c>
      <c r="G31" s="9">
        <v>16</v>
      </c>
      <c r="H31" s="125">
        <f>F31*G31</f>
        <v>3200</v>
      </c>
      <c r="I31" s="125">
        <f>H31*1.13</f>
        <v>3615.9999999999995</v>
      </c>
      <c r="J31" s="125">
        <f>I31*1.25</f>
        <v>4519.9999999999991</v>
      </c>
      <c r="K31" s="125"/>
      <c r="L31" s="108">
        <v>3200</v>
      </c>
      <c r="M31" t="s">
        <v>136</v>
      </c>
    </row>
    <row r="32" spans="1:17" ht="15" customHeight="1">
      <c r="L32" s="19"/>
    </row>
    <row r="33" spans="1:12" s="53" customFormat="1" ht="15" customHeight="1">
      <c r="A33" s="28"/>
      <c r="B33" s="115" t="s">
        <v>312</v>
      </c>
      <c r="C33" s="116"/>
      <c r="D33" s="23"/>
      <c r="E33" s="116"/>
      <c r="F33" s="24"/>
      <c r="G33" s="25"/>
      <c r="H33" s="24"/>
      <c r="I33" s="24">
        <f>SUM(I31:I31)</f>
        <v>3615.9999999999995</v>
      </c>
      <c r="J33" s="24">
        <f>SUM(J31:J31)</f>
        <v>4519.9999999999991</v>
      </c>
      <c r="K33" s="24">
        <f>SUM(K31:K31)</f>
        <v>0</v>
      </c>
      <c r="L33" s="26">
        <f>SUM(L31:L31)</f>
        <v>3200</v>
      </c>
    </row>
    <row r="34" spans="1:12" s="53" customFormat="1" ht="15" customHeight="1">
      <c r="A34" s="28"/>
      <c r="B34" s="132"/>
      <c r="C34" s="133"/>
      <c r="D34" s="17"/>
      <c r="E34" s="133"/>
      <c r="F34" s="106"/>
      <c r="G34" s="37"/>
      <c r="H34" s="106"/>
      <c r="I34" s="106"/>
      <c r="J34" s="106"/>
      <c r="K34" s="106"/>
      <c r="L34" s="39"/>
    </row>
    <row r="35" spans="1:12" ht="15" customHeight="1">
      <c r="B35" s="117" t="s">
        <v>120</v>
      </c>
      <c r="C35" s="118"/>
      <c r="D35" s="31"/>
      <c r="E35" s="118"/>
      <c r="F35" s="32"/>
      <c r="G35" s="33"/>
      <c r="H35" s="32"/>
      <c r="I35" s="32">
        <f>SUM(I15,I28,I33)</f>
        <v>6729.15</v>
      </c>
      <c r="J35" s="32">
        <f>SUM(J15,J28,J33)</f>
        <v>9117.6875</v>
      </c>
      <c r="K35" s="32">
        <f>SUM(K15,K28,K33)</f>
        <v>0</v>
      </c>
      <c r="L35" s="32">
        <f>SUM(L15,L28,L33)</f>
        <v>3580</v>
      </c>
    </row>
    <row r="36" spans="1:12" customFormat="1" ht="15" customHeight="1">
      <c r="B36" s="111"/>
      <c r="C36" s="112"/>
      <c r="E36" s="112"/>
      <c r="F36" s="8"/>
      <c r="G36" s="9"/>
      <c r="H36" s="8"/>
      <c r="I36" s="8"/>
      <c r="J36" s="8"/>
      <c r="K36" s="8"/>
      <c r="L36" s="19"/>
    </row>
    <row r="37" spans="1:12" ht="15" customHeight="1">
      <c r="A37" s="11" t="s">
        <v>56</v>
      </c>
      <c r="B37" s="113"/>
      <c r="C37" s="114"/>
      <c r="D37" s="13"/>
      <c r="E37" s="114"/>
      <c r="F37" s="14"/>
      <c r="G37" s="15"/>
      <c r="H37" s="14"/>
      <c r="I37" s="14"/>
      <c r="J37" s="14"/>
      <c r="K37" s="14"/>
      <c r="L37" s="16"/>
    </row>
    <row r="38" spans="1:12" s="53" customFormat="1" ht="15" customHeight="1">
      <c r="A38" s="17"/>
      <c r="B38" s="132" t="s">
        <v>58</v>
      </c>
      <c r="C38" s="133"/>
      <c r="D38" s="17"/>
      <c r="E38" s="133"/>
      <c r="F38" s="36"/>
      <c r="G38" s="37"/>
      <c r="H38" s="36"/>
      <c r="I38" s="36">
        <f>I6</f>
        <v>0</v>
      </c>
      <c r="J38" s="36">
        <f>J6</f>
        <v>0</v>
      </c>
      <c r="K38" s="36">
        <f>K6</f>
        <v>0</v>
      </c>
      <c r="L38" s="38">
        <f>L6</f>
        <v>0</v>
      </c>
    </row>
    <row r="39" spans="1:12" ht="15" customHeight="1">
      <c r="A39" s="17"/>
      <c r="B39" s="132" t="s">
        <v>62</v>
      </c>
      <c r="C39" s="133"/>
      <c r="D39" s="17"/>
      <c r="E39" s="133"/>
      <c r="F39" s="36"/>
      <c r="G39" s="37"/>
      <c r="H39" s="36"/>
      <c r="I39" s="36">
        <f>I35</f>
        <v>6729.15</v>
      </c>
      <c r="J39" s="36">
        <f>J35</f>
        <v>9117.6875</v>
      </c>
      <c r="K39" s="36">
        <f>K35</f>
        <v>0</v>
      </c>
      <c r="L39" s="39">
        <f>L35</f>
        <v>3580</v>
      </c>
    </row>
    <row r="40" spans="1:12" ht="15" customHeight="1">
      <c r="A40" s="40"/>
      <c r="B40" s="135" t="s">
        <v>65</v>
      </c>
      <c r="C40" s="136"/>
      <c r="D40" s="40"/>
      <c r="E40" s="136"/>
      <c r="F40" s="42"/>
      <c r="G40" s="43"/>
      <c r="H40" s="42"/>
      <c r="I40" s="42">
        <f>SUM(I38,I39*-1)</f>
        <v>-6729.15</v>
      </c>
      <c r="J40" s="42">
        <f t="shared" ref="J40:L40" si="6">SUM(J38,J39*-1)</f>
        <v>-9117.6875</v>
      </c>
      <c r="K40" s="42">
        <f t="shared" si="6"/>
        <v>0</v>
      </c>
      <c r="L40" s="44">
        <f t="shared" si="6"/>
        <v>-3580</v>
      </c>
    </row>
    <row r="41" spans="1:12" s="27" customFormat="1">
      <c r="A41"/>
      <c r="B41" s="111"/>
      <c r="C41" s="112"/>
      <c r="D41"/>
      <c r="E41" s="112"/>
      <c r="F41" s="8"/>
      <c r="G41" s="9"/>
      <c r="H41" s="8"/>
      <c r="I41" s="8"/>
      <c r="J41" s="8"/>
      <c r="K41" s="8"/>
      <c r="L41" s="1"/>
    </row>
    <row r="42" spans="1:12" s="27" customFormat="1">
      <c r="A42"/>
      <c r="B42" s="111"/>
      <c r="C42" s="112"/>
      <c r="D42"/>
      <c r="E42" s="112"/>
      <c r="F42" s="8"/>
      <c r="G42" s="9"/>
      <c r="H42" s="8"/>
      <c r="I42" s="8"/>
      <c r="J42" s="8"/>
      <c r="K42" s="8"/>
      <c r="L42" s="1"/>
    </row>
    <row r="43" spans="1:12" s="27" customFormat="1">
      <c r="A43"/>
      <c r="B43" s="111"/>
      <c r="C43" s="112"/>
      <c r="D43"/>
      <c r="E43" s="112"/>
      <c r="F43" s="8"/>
      <c r="G43" s="9"/>
      <c r="H43" s="8"/>
      <c r="I43" s="8"/>
      <c r="J43" s="8"/>
      <c r="K43" s="8"/>
      <c r="L43" s="1"/>
    </row>
  </sheetData>
  <mergeCells count="2">
    <mergeCell ref="B1:K1"/>
    <mergeCell ref="M18:Q26"/>
  </mergeCells>
  <conditionalFormatting sqref="B10:L16 B27:L40">
    <cfRule type="expression" dxfId="110" priority="8">
      <formula>MOD($B10,2)=1</formula>
    </cfRule>
  </conditionalFormatting>
  <conditionalFormatting sqref="B5:L7">
    <cfRule type="expression" dxfId="109" priority="7">
      <formula>MOD($B5,2)=1</formula>
    </cfRule>
  </conditionalFormatting>
  <conditionalFormatting sqref="B17:L17 F18:L24 F26:L26 D18:D26 B18:B26">
    <cfRule type="expression" dxfId="108" priority="6">
      <formula>MOD($B17,2)=1</formula>
    </cfRule>
  </conditionalFormatting>
  <conditionalFormatting sqref="C18:C24 C26">
    <cfRule type="expression" dxfId="107" priority="5">
      <formula>MOD($B18,2)=1</formula>
    </cfRule>
  </conditionalFormatting>
  <conditionalFormatting sqref="E18:E24 E26">
    <cfRule type="expression" dxfId="106" priority="4">
      <formula>MOD($B18,2)=1</formula>
    </cfRule>
  </conditionalFormatting>
  <conditionalFormatting sqref="F25:L25">
    <cfRule type="expression" dxfId="105" priority="3">
      <formula>MOD($B25,2)=1</formula>
    </cfRule>
  </conditionalFormatting>
  <conditionalFormatting sqref="C25">
    <cfRule type="expression" dxfId="104" priority="2">
      <formula>MOD($B25,2)=1</formula>
    </cfRule>
  </conditionalFormatting>
  <conditionalFormatting sqref="E25">
    <cfRule type="expression" dxfId="103" priority="1">
      <formula>MOD($B25,2)=1</formula>
    </cfRule>
  </conditionalFormatting>
  <pageMargins left="0.7" right="0.7" top="0.75" bottom="0.75" header="0.3" footer="0.3"/>
  <pageSetup scale="26"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E0B6-E063-4282-A716-5026ABD40039}">
  <dimension ref="A1:M61"/>
  <sheetViews>
    <sheetView topLeftCell="A21" workbookViewId="0">
      <selection activeCell="L44" sqref="L44"/>
    </sheetView>
  </sheetViews>
  <sheetFormatPr defaultRowHeight="14.85"/>
  <cols>
    <col min="1" max="1" width="31.7109375" bestFit="1" customWidth="1"/>
    <col min="2" max="2" width="26.85546875" bestFit="1" customWidth="1"/>
    <col min="3" max="3" width="30" bestFit="1" customWidth="1"/>
    <col min="4" max="4" width="13" bestFit="1" customWidth="1"/>
    <col min="5" max="5" width="99.5703125" bestFit="1" customWidth="1"/>
    <col min="6" max="6" width="12.42578125" bestFit="1" customWidth="1"/>
    <col min="7" max="7" width="10.28515625" bestFit="1" customWidth="1"/>
    <col min="8" max="8" width="12" bestFit="1" customWidth="1"/>
    <col min="9" max="9" width="12.42578125" bestFit="1" customWidth="1"/>
    <col min="10" max="10" width="20.28515625" bestFit="1" customWidth="1"/>
    <col min="11" max="11" width="13.28515625" bestFit="1" customWidth="1"/>
    <col min="12" max="12" width="11.140625" bestFit="1" customWidth="1"/>
  </cols>
  <sheetData>
    <row r="1" spans="1:13" ht="89.25" customHeight="1">
      <c r="B1" s="389" t="s">
        <v>313</v>
      </c>
      <c r="C1" s="389"/>
      <c r="D1" s="389"/>
      <c r="E1" s="389"/>
      <c r="F1" s="389"/>
      <c r="G1" s="389"/>
      <c r="H1" s="389"/>
      <c r="I1" s="389"/>
      <c r="J1" s="389"/>
      <c r="K1" s="389"/>
      <c r="M1" s="1"/>
    </row>
    <row r="2" spans="1:13" ht="16.7">
      <c r="A2" s="3" t="s">
        <v>1</v>
      </c>
      <c r="B2" s="3" t="s">
        <v>2</v>
      </c>
      <c r="C2" s="3" t="s">
        <v>3</v>
      </c>
      <c r="D2" s="3" t="s">
        <v>122</v>
      </c>
      <c r="E2" s="3" t="s">
        <v>4</v>
      </c>
      <c r="F2" s="4" t="s">
        <v>5</v>
      </c>
      <c r="G2" s="3" t="s">
        <v>6</v>
      </c>
      <c r="H2" s="4" t="s">
        <v>7</v>
      </c>
      <c r="I2" s="4" t="s">
        <v>8</v>
      </c>
      <c r="J2" s="4" t="s">
        <v>123</v>
      </c>
      <c r="K2" s="4" t="s">
        <v>9</v>
      </c>
      <c r="L2" s="5" t="s">
        <v>10</v>
      </c>
    </row>
    <row r="3" spans="1:13">
      <c r="B3" s="7"/>
      <c r="C3" s="7"/>
      <c r="D3" s="7"/>
      <c r="F3" s="8"/>
      <c r="G3" s="9"/>
      <c r="H3" s="8"/>
      <c r="I3" s="8"/>
      <c r="J3" s="8"/>
      <c r="K3" s="8"/>
      <c r="L3" s="10"/>
    </row>
    <row r="4" spans="1:13">
      <c r="A4" s="11" t="s">
        <v>15</v>
      </c>
      <c r="B4" s="12"/>
      <c r="C4" s="12"/>
      <c r="D4" s="12"/>
      <c r="E4" s="13"/>
      <c r="F4" s="14"/>
      <c r="G4" s="15"/>
      <c r="H4" s="14"/>
      <c r="I4" s="14"/>
      <c r="J4" s="14"/>
      <c r="K4" s="14"/>
      <c r="L4" s="16"/>
    </row>
    <row r="5" spans="1:13">
      <c r="B5" s="7"/>
      <c r="C5" s="7"/>
      <c r="D5" s="7"/>
      <c r="F5" s="8"/>
      <c r="G5" s="9"/>
      <c r="H5" s="8"/>
      <c r="I5" s="8"/>
      <c r="J5" s="8"/>
      <c r="K5" s="8"/>
      <c r="L5" s="19"/>
    </row>
    <row r="6" spans="1:13">
      <c r="A6" s="28"/>
      <c r="B6" s="29" t="s">
        <v>42</v>
      </c>
      <c r="C6" s="30"/>
      <c r="D6" s="30"/>
      <c r="E6" s="31"/>
      <c r="F6" s="32"/>
      <c r="G6" s="33"/>
      <c r="H6" s="32"/>
      <c r="I6" s="32">
        <v>0</v>
      </c>
      <c r="J6" s="32">
        <v>0</v>
      </c>
      <c r="K6" s="32">
        <v>0</v>
      </c>
      <c r="L6" s="34">
        <v>0</v>
      </c>
    </row>
    <row r="7" spans="1:13">
      <c r="B7" s="7"/>
      <c r="C7" s="7"/>
      <c r="D7" s="7"/>
      <c r="F7" s="8"/>
      <c r="G7" s="9"/>
      <c r="H7" s="8"/>
      <c r="I7" s="8"/>
      <c r="J7" s="8"/>
      <c r="K7" s="8"/>
      <c r="L7" s="19"/>
    </row>
    <row r="8" spans="1:13">
      <c r="A8" s="11" t="s">
        <v>40</v>
      </c>
      <c r="B8" s="12"/>
      <c r="C8" s="12"/>
      <c r="D8" s="12"/>
      <c r="E8" s="13"/>
      <c r="F8" s="14"/>
      <c r="G8" s="15"/>
      <c r="H8" s="14"/>
      <c r="I8" s="14"/>
      <c r="J8" s="14"/>
      <c r="K8" s="14"/>
      <c r="L8" s="16"/>
    </row>
    <row r="9" spans="1:13">
      <c r="A9" s="17" t="s">
        <v>314</v>
      </c>
      <c r="B9" s="7"/>
      <c r="C9" s="7"/>
      <c r="D9" s="7"/>
      <c r="F9" s="8"/>
      <c r="G9" s="9"/>
      <c r="H9" s="8"/>
      <c r="I9" s="8"/>
      <c r="J9" s="8"/>
      <c r="K9" s="8"/>
      <c r="L9" s="19"/>
    </row>
    <row r="10" spans="1:13">
      <c r="B10" s="7">
        <v>11001</v>
      </c>
      <c r="C10" s="7" t="s">
        <v>315</v>
      </c>
      <c r="D10" s="7">
        <v>8</v>
      </c>
      <c r="E10" t="s">
        <v>316</v>
      </c>
      <c r="F10" s="8">
        <v>80</v>
      </c>
      <c r="G10" s="9">
        <v>3</v>
      </c>
      <c r="H10" s="8">
        <f>F10*G10</f>
        <v>240</v>
      </c>
      <c r="I10" s="8">
        <f>H10*1.13</f>
        <v>271.2</v>
      </c>
      <c r="J10" s="8">
        <f>I10*1.25</f>
        <v>339</v>
      </c>
      <c r="K10" s="8"/>
      <c r="L10" s="19">
        <v>0</v>
      </c>
    </row>
    <row r="11" spans="1:13">
      <c r="B11" s="7">
        <v>11002</v>
      </c>
      <c r="C11" s="7" t="s">
        <v>317</v>
      </c>
      <c r="D11" s="7">
        <v>8</v>
      </c>
      <c r="E11" t="s">
        <v>318</v>
      </c>
      <c r="F11" s="8">
        <v>6</v>
      </c>
      <c r="G11" s="9">
        <v>60</v>
      </c>
      <c r="H11" s="8">
        <f t="shared" ref="H11:H12" si="0">F11*G11</f>
        <v>360</v>
      </c>
      <c r="I11" s="8">
        <f t="shared" ref="I11:I12" si="1">H11*1.13</f>
        <v>406.79999999999995</v>
      </c>
      <c r="J11" s="8">
        <f t="shared" ref="J11:J12" si="2">I11*1.25</f>
        <v>508.49999999999994</v>
      </c>
      <c r="K11" s="8"/>
      <c r="L11" s="19">
        <v>0</v>
      </c>
    </row>
    <row r="12" spans="1:13">
      <c r="B12" s="7">
        <v>11003</v>
      </c>
      <c r="C12" s="7" t="s">
        <v>315</v>
      </c>
      <c r="D12" s="7">
        <v>8</v>
      </c>
      <c r="E12" t="s">
        <v>319</v>
      </c>
      <c r="F12" s="8">
        <v>100</v>
      </c>
      <c r="G12" s="9">
        <v>5</v>
      </c>
      <c r="H12" s="8">
        <f t="shared" si="0"/>
        <v>500</v>
      </c>
      <c r="I12" s="8">
        <f t="shared" si="1"/>
        <v>565</v>
      </c>
      <c r="J12" s="8">
        <f t="shared" si="2"/>
        <v>706.25</v>
      </c>
      <c r="K12" s="8"/>
      <c r="L12" s="19">
        <v>0</v>
      </c>
    </row>
    <row r="13" spans="1:13">
      <c r="B13" s="7"/>
      <c r="C13" s="7"/>
      <c r="D13" s="7"/>
      <c r="F13" s="8"/>
      <c r="G13" s="9"/>
      <c r="H13" s="8"/>
      <c r="I13" s="8"/>
      <c r="J13" s="8"/>
      <c r="K13" s="8"/>
      <c r="L13" s="19"/>
    </row>
    <row r="14" spans="1:13">
      <c r="A14" s="17"/>
      <c r="B14" s="21" t="s">
        <v>320</v>
      </c>
      <c r="C14" s="22"/>
      <c r="D14" s="22"/>
      <c r="E14" s="23"/>
      <c r="F14" s="24"/>
      <c r="G14" s="25"/>
      <c r="H14" s="24"/>
      <c r="I14" s="24">
        <f>SUM(I10:I12)</f>
        <v>1243</v>
      </c>
      <c r="J14" s="24">
        <f>SUM(J10:J12)</f>
        <v>1553.75</v>
      </c>
      <c r="K14" s="24">
        <f>SUM(K10:K12)</f>
        <v>0</v>
      </c>
      <c r="L14" s="26">
        <f>SUM(L10:L12)</f>
        <v>0</v>
      </c>
    </row>
    <row r="15" spans="1:13">
      <c r="A15" s="17" t="s">
        <v>321</v>
      </c>
      <c r="B15" s="7"/>
      <c r="C15" s="7"/>
      <c r="D15" s="7"/>
      <c r="F15" s="8"/>
      <c r="G15" s="9"/>
      <c r="H15" s="8"/>
      <c r="I15" s="8"/>
      <c r="J15" s="8"/>
      <c r="K15" s="8"/>
      <c r="L15" s="19"/>
    </row>
    <row r="16" spans="1:13">
      <c r="B16" s="7">
        <v>11101</v>
      </c>
      <c r="C16" s="7" t="s">
        <v>322</v>
      </c>
      <c r="D16" s="7">
        <v>1</v>
      </c>
      <c r="E16" t="s">
        <v>323</v>
      </c>
      <c r="F16" s="8">
        <v>300</v>
      </c>
      <c r="G16" s="9">
        <v>1</v>
      </c>
      <c r="H16" s="8">
        <f t="shared" ref="H16:H22" si="3">F16*G16</f>
        <v>300</v>
      </c>
      <c r="I16" s="8">
        <f>H16*1.13</f>
        <v>338.99999999999994</v>
      </c>
      <c r="J16" s="8">
        <f>I16*1.25</f>
        <v>423.74999999999994</v>
      </c>
      <c r="K16" s="8"/>
      <c r="L16" s="380">
        <v>100</v>
      </c>
      <c r="M16" t="s">
        <v>136</v>
      </c>
    </row>
    <row r="17" spans="1:13">
      <c r="B17" s="7">
        <v>11102</v>
      </c>
      <c r="C17" s="7" t="s">
        <v>324</v>
      </c>
      <c r="D17" s="7">
        <v>1</v>
      </c>
      <c r="E17" t="s">
        <v>325</v>
      </c>
      <c r="F17" s="8">
        <v>300</v>
      </c>
      <c r="G17" s="9">
        <v>4</v>
      </c>
      <c r="H17" s="8">
        <f t="shared" si="3"/>
        <v>1200</v>
      </c>
      <c r="I17" s="8">
        <f t="shared" ref="I17:I19" si="4">H17*1.13</f>
        <v>1355.9999999999998</v>
      </c>
      <c r="J17" s="8">
        <f t="shared" ref="J17:J19" si="5">I17*1.25</f>
        <v>1694.9999999999998</v>
      </c>
      <c r="K17" s="8"/>
      <c r="L17" s="19"/>
    </row>
    <row r="18" spans="1:13">
      <c r="B18" s="7">
        <v>11103</v>
      </c>
      <c r="C18" s="7" t="s">
        <v>326</v>
      </c>
      <c r="D18" s="7">
        <v>6</v>
      </c>
      <c r="E18" t="s">
        <v>327</v>
      </c>
      <c r="F18" s="8">
        <v>7.0000000000000007E-2</v>
      </c>
      <c r="G18" s="9">
        <v>20</v>
      </c>
      <c r="H18" s="8">
        <f t="shared" si="3"/>
        <v>1.4000000000000001</v>
      </c>
      <c r="I18" s="8">
        <f t="shared" si="4"/>
        <v>1.5820000000000001</v>
      </c>
      <c r="J18" s="8">
        <f t="shared" si="5"/>
        <v>1.9775</v>
      </c>
      <c r="K18" s="8"/>
      <c r="L18" s="19"/>
    </row>
    <row r="19" spans="1:13">
      <c r="B19" s="7">
        <v>11104</v>
      </c>
      <c r="C19" s="7" t="s">
        <v>328</v>
      </c>
      <c r="D19" s="7">
        <v>4</v>
      </c>
      <c r="E19" t="s">
        <v>329</v>
      </c>
      <c r="F19" s="8">
        <v>150</v>
      </c>
      <c r="G19" s="9">
        <v>1</v>
      </c>
      <c r="H19" s="8">
        <f t="shared" si="3"/>
        <v>150</v>
      </c>
      <c r="I19" s="8">
        <f t="shared" si="4"/>
        <v>169.49999999999997</v>
      </c>
      <c r="J19" s="8">
        <f t="shared" si="5"/>
        <v>211.87499999999997</v>
      </c>
      <c r="K19" s="8"/>
      <c r="L19" s="19"/>
    </row>
    <row r="20" spans="1:13">
      <c r="B20" s="7">
        <v>11105</v>
      </c>
      <c r="C20" s="7" t="s">
        <v>330</v>
      </c>
      <c r="D20" s="7">
        <v>3</v>
      </c>
      <c r="E20" t="s">
        <v>331</v>
      </c>
      <c r="F20" s="8">
        <v>1500</v>
      </c>
      <c r="G20" s="9">
        <v>1</v>
      </c>
      <c r="H20" s="8">
        <f t="shared" si="3"/>
        <v>1500</v>
      </c>
      <c r="I20" s="8">
        <f>H20*1.13</f>
        <v>1694.9999999999998</v>
      </c>
      <c r="J20" s="8">
        <f>I20*1.25</f>
        <v>2118.7499999999995</v>
      </c>
      <c r="K20" s="8"/>
      <c r="L20" s="19"/>
    </row>
    <row r="21" spans="1:13">
      <c r="B21" s="7">
        <v>11106</v>
      </c>
      <c r="C21" s="7" t="s">
        <v>332</v>
      </c>
      <c r="D21" s="7">
        <v>1</v>
      </c>
      <c r="E21" t="s">
        <v>333</v>
      </c>
      <c r="F21" s="8">
        <v>20</v>
      </c>
      <c r="G21" s="9">
        <v>1</v>
      </c>
      <c r="H21" s="8">
        <f t="shared" si="3"/>
        <v>20</v>
      </c>
      <c r="I21" s="8">
        <f t="shared" ref="I21:I22" si="6">H21*1.13</f>
        <v>22.599999999999998</v>
      </c>
      <c r="J21" s="8">
        <f t="shared" ref="J21:J22" si="7">I21*1.25</f>
        <v>28.249999999999996</v>
      </c>
      <c r="K21" s="8"/>
      <c r="L21" s="19">
        <v>15</v>
      </c>
      <c r="M21" t="s">
        <v>136</v>
      </c>
    </row>
    <row r="22" spans="1:13">
      <c r="B22" s="7">
        <v>11107</v>
      </c>
      <c r="C22" s="7" t="s">
        <v>334</v>
      </c>
      <c r="D22" s="7">
        <v>9</v>
      </c>
      <c r="E22" t="s">
        <v>335</v>
      </c>
      <c r="F22" s="8">
        <v>400</v>
      </c>
      <c r="G22" s="9">
        <v>1</v>
      </c>
      <c r="H22" s="8">
        <f t="shared" si="3"/>
        <v>400</v>
      </c>
      <c r="I22" s="8">
        <f t="shared" si="6"/>
        <v>451.99999999999994</v>
      </c>
      <c r="J22" s="8">
        <f t="shared" si="7"/>
        <v>564.99999999999989</v>
      </c>
      <c r="K22" s="8"/>
      <c r="L22" s="19"/>
    </row>
    <row r="23" spans="1:13">
      <c r="B23" s="7"/>
      <c r="C23" s="7"/>
      <c r="D23" s="7"/>
      <c r="F23" s="8"/>
      <c r="G23" s="9"/>
      <c r="H23" s="8"/>
      <c r="I23" s="8"/>
      <c r="J23" s="8"/>
      <c r="K23" s="8"/>
      <c r="L23" s="19"/>
    </row>
    <row r="24" spans="1:13">
      <c r="A24" s="17"/>
      <c r="B24" s="21" t="s">
        <v>336</v>
      </c>
      <c r="C24" s="22"/>
      <c r="D24" s="22"/>
      <c r="E24" s="23"/>
      <c r="F24" s="24"/>
      <c r="G24" s="25"/>
      <c r="H24" s="24"/>
      <c r="I24" s="24">
        <f>SUM(I16:I19)</f>
        <v>1866.0819999999999</v>
      </c>
      <c r="J24" s="24">
        <f>SUM(J16:J19)</f>
        <v>2332.6024999999995</v>
      </c>
      <c r="K24" s="24">
        <f>SUM(K16:K19)</f>
        <v>0</v>
      </c>
      <c r="L24" s="26">
        <f>SUM(L16:L23)</f>
        <v>115</v>
      </c>
    </row>
    <row r="25" spans="1:13">
      <c r="A25" s="17" t="s">
        <v>337</v>
      </c>
      <c r="B25" s="7"/>
      <c r="C25" s="7"/>
      <c r="D25" s="7"/>
      <c r="F25" s="8"/>
      <c r="G25" s="9"/>
      <c r="H25" s="8"/>
      <c r="I25" s="8"/>
      <c r="J25" s="8"/>
      <c r="K25" s="8"/>
      <c r="L25" s="19"/>
    </row>
    <row r="26" spans="1:13">
      <c r="B26" s="7">
        <v>11201</v>
      </c>
      <c r="C26" s="7" t="s">
        <v>338</v>
      </c>
      <c r="D26" s="7">
        <v>1</v>
      </c>
      <c r="E26" t="s">
        <v>339</v>
      </c>
      <c r="F26" s="8">
        <v>12</v>
      </c>
      <c r="G26" s="9">
        <v>5</v>
      </c>
      <c r="H26" s="8">
        <f>F26*G26</f>
        <v>60</v>
      </c>
      <c r="I26" s="8">
        <f>H26*1.13</f>
        <v>67.8</v>
      </c>
      <c r="J26" s="8">
        <f>I26*1.25</f>
        <v>84.75</v>
      </c>
      <c r="K26" s="8"/>
      <c r="L26" s="19"/>
    </row>
    <row r="27" spans="1:13">
      <c r="B27" s="7">
        <v>11202</v>
      </c>
      <c r="C27" s="7" t="s">
        <v>340</v>
      </c>
      <c r="D27" s="7">
        <v>1</v>
      </c>
      <c r="E27" t="s">
        <v>341</v>
      </c>
      <c r="F27" s="8">
        <v>25</v>
      </c>
      <c r="G27" s="9">
        <v>3</v>
      </c>
      <c r="H27" s="8">
        <f t="shared" ref="H27:H29" si="8">F27*G27</f>
        <v>75</v>
      </c>
      <c r="I27" s="8">
        <f t="shared" ref="I27:I29" si="9">H27*1.13</f>
        <v>84.749999999999986</v>
      </c>
      <c r="J27" s="8">
        <f t="shared" ref="J27:J29" si="10">I27*1.25</f>
        <v>105.93749999999999</v>
      </c>
      <c r="K27" s="8"/>
      <c r="L27" s="19"/>
    </row>
    <row r="28" spans="1:13">
      <c r="B28" s="7">
        <v>11203</v>
      </c>
      <c r="C28" s="7" t="s">
        <v>342</v>
      </c>
      <c r="D28" s="7">
        <v>1</v>
      </c>
      <c r="E28" t="s">
        <v>343</v>
      </c>
      <c r="F28" s="8">
        <v>16.690000000000001</v>
      </c>
      <c r="G28" s="9">
        <v>1</v>
      </c>
      <c r="H28" s="8">
        <f t="shared" si="8"/>
        <v>16.690000000000001</v>
      </c>
      <c r="I28" s="8">
        <f t="shared" si="9"/>
        <v>18.8597</v>
      </c>
      <c r="J28" s="8">
        <f t="shared" si="10"/>
        <v>23.574625000000001</v>
      </c>
      <c r="K28" s="8"/>
      <c r="L28" s="19"/>
    </row>
    <row r="29" spans="1:13">
      <c r="B29" s="7">
        <v>11204</v>
      </c>
      <c r="C29" s="7" t="s">
        <v>344</v>
      </c>
      <c r="D29" s="7">
        <v>1</v>
      </c>
      <c r="E29" t="s">
        <v>345</v>
      </c>
      <c r="F29" s="8">
        <v>14.99</v>
      </c>
      <c r="G29" s="9">
        <v>1</v>
      </c>
      <c r="H29" s="8">
        <f t="shared" si="8"/>
        <v>14.99</v>
      </c>
      <c r="I29" s="8">
        <f t="shared" si="9"/>
        <v>16.938699999999997</v>
      </c>
      <c r="J29" s="8">
        <f t="shared" si="10"/>
        <v>21.173374999999997</v>
      </c>
      <c r="K29" s="8"/>
      <c r="L29" s="19"/>
    </row>
    <row r="30" spans="1:13">
      <c r="B30" s="7"/>
      <c r="C30" s="7"/>
      <c r="D30" s="7"/>
      <c r="F30" s="8"/>
      <c r="G30" s="9"/>
      <c r="H30" s="8"/>
      <c r="I30" s="8"/>
      <c r="J30" s="8"/>
      <c r="K30" s="8"/>
      <c r="L30" s="19"/>
    </row>
    <row r="31" spans="1:13">
      <c r="A31" s="17"/>
      <c r="B31" s="21" t="s">
        <v>346</v>
      </c>
      <c r="C31" s="22"/>
      <c r="D31" s="22"/>
      <c r="E31" s="23"/>
      <c r="F31" s="24"/>
      <c r="G31" s="25"/>
      <c r="H31" s="24"/>
      <c r="I31" s="24">
        <f>SUM(I26:I29)</f>
        <v>188.34839999999997</v>
      </c>
      <c r="J31" s="24">
        <f>SUM(J26:J29)</f>
        <v>235.43549999999999</v>
      </c>
      <c r="K31" s="24">
        <f>SUM(K26:K29)</f>
        <v>0</v>
      </c>
      <c r="L31" s="26">
        <f>SUM(L26:L29)</f>
        <v>0</v>
      </c>
    </row>
    <row r="32" spans="1:13">
      <c r="A32" s="17" t="s">
        <v>347</v>
      </c>
      <c r="B32" s="7"/>
      <c r="C32" s="7"/>
      <c r="D32" s="7"/>
      <c r="F32" s="8"/>
      <c r="G32" s="9"/>
      <c r="H32" s="8"/>
      <c r="I32" s="8"/>
      <c r="J32" s="8"/>
      <c r="K32" s="8"/>
      <c r="L32" s="19"/>
    </row>
    <row r="33" spans="1:13">
      <c r="B33" s="7">
        <v>11301</v>
      </c>
      <c r="C33" s="7" t="s">
        <v>348</v>
      </c>
      <c r="D33" s="7">
        <v>5</v>
      </c>
      <c r="E33" t="s">
        <v>349</v>
      </c>
      <c r="F33" s="8">
        <v>80</v>
      </c>
      <c r="G33" s="9">
        <v>2</v>
      </c>
      <c r="H33" s="8">
        <f>F33*G33</f>
        <v>160</v>
      </c>
      <c r="I33" s="8">
        <f>H33*1.13</f>
        <v>180.79999999999998</v>
      </c>
      <c r="J33" s="8">
        <f>I33*1.25</f>
        <v>225.99999999999997</v>
      </c>
      <c r="K33" s="8"/>
      <c r="L33" s="19">
        <v>200</v>
      </c>
      <c r="M33" t="s">
        <v>136</v>
      </c>
    </row>
    <row r="34" spans="1:13">
      <c r="B34" s="7">
        <v>11302</v>
      </c>
      <c r="C34" s="7" t="s">
        <v>350</v>
      </c>
      <c r="D34" s="7">
        <v>5</v>
      </c>
      <c r="E34" t="s">
        <v>351</v>
      </c>
      <c r="F34" s="8">
        <v>20</v>
      </c>
      <c r="G34" s="9">
        <v>2</v>
      </c>
      <c r="H34" s="8">
        <f t="shared" ref="H34" si="11">F34*G34</f>
        <v>40</v>
      </c>
      <c r="I34" s="8">
        <f t="shared" ref="I34" si="12">H34*1.13</f>
        <v>45.199999999999996</v>
      </c>
      <c r="J34" s="8">
        <f t="shared" ref="J34" si="13">I34*1.25</f>
        <v>56.499999999999993</v>
      </c>
      <c r="K34" s="8"/>
      <c r="L34" s="19">
        <v>40</v>
      </c>
      <c r="M34" t="s">
        <v>136</v>
      </c>
    </row>
    <row r="35" spans="1:13">
      <c r="B35" s="7"/>
      <c r="C35" s="7"/>
      <c r="D35" s="7"/>
      <c r="F35" s="8"/>
      <c r="G35" s="9"/>
      <c r="H35" s="8"/>
      <c r="I35" s="8"/>
      <c r="J35" s="8"/>
      <c r="K35" s="8"/>
      <c r="L35" s="19"/>
    </row>
    <row r="36" spans="1:13">
      <c r="A36" s="17"/>
      <c r="B36" s="21" t="s">
        <v>352</v>
      </c>
      <c r="C36" s="22"/>
      <c r="D36" s="22"/>
      <c r="E36" s="23"/>
      <c r="F36" s="24"/>
      <c r="G36" s="25"/>
      <c r="H36" s="24"/>
      <c r="I36" s="24">
        <f>SUM(I33:I34)</f>
        <v>225.99999999999997</v>
      </c>
      <c r="J36" s="24">
        <f>SUM(J33:J34)</f>
        <v>282.49999999999994</v>
      </c>
      <c r="K36" s="24">
        <f>SUM(K33:K34)</f>
        <v>0</v>
      </c>
      <c r="L36" s="26">
        <f>SUM(L33:L34)</f>
        <v>240</v>
      </c>
    </row>
    <row r="37" spans="1:13">
      <c r="A37" s="17" t="s">
        <v>353</v>
      </c>
      <c r="B37" s="7"/>
      <c r="C37" s="7"/>
      <c r="D37" s="7"/>
      <c r="F37" s="8"/>
      <c r="G37" s="9"/>
      <c r="H37" s="8"/>
      <c r="I37" s="8"/>
      <c r="J37" s="8"/>
      <c r="K37" s="8"/>
      <c r="L37" s="19"/>
    </row>
    <row r="38" spans="1:13">
      <c r="B38" s="7">
        <v>11401</v>
      </c>
      <c r="C38" s="7" t="s">
        <v>315</v>
      </c>
      <c r="D38" s="7">
        <v>5</v>
      </c>
      <c r="E38" t="s">
        <v>354</v>
      </c>
      <c r="F38" s="8">
        <v>20</v>
      </c>
      <c r="G38" s="9">
        <v>8</v>
      </c>
      <c r="H38" s="8">
        <f t="shared" ref="H38:H41" si="14">F38*G38</f>
        <v>160</v>
      </c>
      <c r="I38" s="8">
        <v>0</v>
      </c>
      <c r="J38" s="8">
        <f t="shared" ref="J38:J41" si="15">I38*1.25</f>
        <v>0</v>
      </c>
      <c r="K38" s="8"/>
      <c r="L38" s="19">
        <v>0</v>
      </c>
    </row>
    <row r="39" spans="1:13">
      <c r="B39" s="7">
        <v>11402</v>
      </c>
      <c r="C39" s="7" t="s">
        <v>355</v>
      </c>
      <c r="D39" s="7">
        <v>5</v>
      </c>
      <c r="E39" t="s">
        <v>356</v>
      </c>
      <c r="F39" s="8">
        <v>20</v>
      </c>
      <c r="G39" s="9">
        <v>3</v>
      </c>
      <c r="H39" s="8">
        <f t="shared" si="14"/>
        <v>60</v>
      </c>
      <c r="I39" s="8">
        <f t="shared" ref="I39:I41" si="16">H39*1.13</f>
        <v>67.8</v>
      </c>
      <c r="J39" s="8">
        <f t="shared" si="15"/>
        <v>84.75</v>
      </c>
      <c r="K39" s="8"/>
      <c r="L39" s="19">
        <v>60</v>
      </c>
      <c r="M39" t="s">
        <v>136</v>
      </c>
    </row>
    <row r="40" spans="1:13">
      <c r="B40" s="7">
        <v>11403</v>
      </c>
      <c r="C40" s="7" t="s">
        <v>357</v>
      </c>
      <c r="D40" s="7">
        <v>5</v>
      </c>
      <c r="E40" t="s">
        <v>358</v>
      </c>
      <c r="F40" s="8">
        <v>750</v>
      </c>
      <c r="G40" s="9">
        <v>1</v>
      </c>
      <c r="H40" s="8">
        <f t="shared" si="14"/>
        <v>750</v>
      </c>
      <c r="I40" s="8">
        <v>0</v>
      </c>
      <c r="J40" s="8">
        <f t="shared" si="15"/>
        <v>0</v>
      </c>
      <c r="K40" s="8"/>
      <c r="L40" s="19">
        <v>0</v>
      </c>
    </row>
    <row r="41" spans="1:13">
      <c r="B41" s="7">
        <v>11404</v>
      </c>
      <c r="C41" s="7" t="s">
        <v>359</v>
      </c>
      <c r="D41" s="7">
        <v>5</v>
      </c>
      <c r="E41" t="s">
        <v>360</v>
      </c>
      <c r="F41" s="8">
        <v>900</v>
      </c>
      <c r="G41" s="9">
        <v>1</v>
      </c>
      <c r="H41" s="8">
        <f t="shared" si="14"/>
        <v>900</v>
      </c>
      <c r="I41" s="8">
        <f t="shared" si="16"/>
        <v>1016.9999999999999</v>
      </c>
      <c r="J41" s="8">
        <f t="shared" si="15"/>
        <v>1271.2499999999998</v>
      </c>
      <c r="K41" s="8"/>
      <c r="L41" s="19">
        <v>1000</v>
      </c>
      <c r="M41" t="s">
        <v>136</v>
      </c>
    </row>
    <row r="42" spans="1:13">
      <c r="B42" s="7"/>
      <c r="C42" s="7"/>
      <c r="D42" s="7"/>
      <c r="F42" s="8"/>
      <c r="G42" s="9"/>
      <c r="H42" s="8"/>
      <c r="I42" s="8"/>
      <c r="J42" s="8"/>
      <c r="K42" s="8"/>
      <c r="L42" s="19"/>
    </row>
    <row r="43" spans="1:13">
      <c r="A43" s="17"/>
      <c r="B43" s="21" t="s">
        <v>361</v>
      </c>
      <c r="C43" s="22"/>
      <c r="D43" s="22"/>
      <c r="E43" s="23"/>
      <c r="F43" s="24"/>
      <c r="G43" s="25"/>
      <c r="H43" s="24"/>
      <c r="I43" s="24">
        <f>SUM(I38:I41)</f>
        <v>1084.8</v>
      </c>
      <c r="J43" s="24">
        <f>SUM(J38:J41)</f>
        <v>1355.9999999999998</v>
      </c>
      <c r="K43" s="24">
        <f>SUM(K38:K38)</f>
        <v>0</v>
      </c>
      <c r="L43" s="26">
        <f>SUM(L38:L41)</f>
        <v>1060</v>
      </c>
    </row>
    <row r="44" spans="1:13">
      <c r="A44" s="17" t="s">
        <v>362</v>
      </c>
      <c r="B44" s="7"/>
      <c r="C44" s="7"/>
      <c r="D44" s="7"/>
      <c r="F44" s="8"/>
      <c r="G44" s="9"/>
      <c r="H44" s="8"/>
      <c r="I44" s="8"/>
      <c r="J44" s="8"/>
      <c r="K44" s="8"/>
      <c r="L44" s="19"/>
    </row>
    <row r="45" spans="1:13">
      <c r="B45" s="7">
        <v>11501</v>
      </c>
      <c r="C45" s="7" t="s">
        <v>363</v>
      </c>
      <c r="D45" s="7">
        <v>3</v>
      </c>
      <c r="E45" t="s">
        <v>364</v>
      </c>
      <c r="F45" s="8">
        <v>5.65</v>
      </c>
      <c r="G45" s="9">
        <v>2</v>
      </c>
      <c r="H45" s="8">
        <f>F45*G45</f>
        <v>11.3</v>
      </c>
      <c r="I45" s="8">
        <f>H45*1.13</f>
        <v>12.769</v>
      </c>
      <c r="J45" s="8">
        <f>I45*1.25</f>
        <v>15.96125</v>
      </c>
      <c r="K45" s="8"/>
      <c r="L45" s="19"/>
    </row>
    <row r="46" spans="1:13">
      <c r="B46" s="7">
        <v>11502</v>
      </c>
      <c r="C46" s="7" t="s">
        <v>365</v>
      </c>
      <c r="D46" s="7">
        <v>3</v>
      </c>
      <c r="E46" t="s">
        <v>366</v>
      </c>
      <c r="F46" s="8">
        <v>30</v>
      </c>
      <c r="G46" s="9">
        <v>2</v>
      </c>
      <c r="H46" s="8">
        <f t="shared" ref="H46:H47" si="17">F46*G46</f>
        <v>60</v>
      </c>
      <c r="I46" s="8">
        <f t="shared" ref="I46:I47" si="18">H46*1.13</f>
        <v>67.8</v>
      </c>
      <c r="J46" s="8">
        <f t="shared" ref="J46:J47" si="19">I46*1.25</f>
        <v>84.75</v>
      </c>
      <c r="K46" s="8"/>
      <c r="L46" s="19"/>
    </row>
    <row r="47" spans="1:13">
      <c r="B47" s="7">
        <v>11503</v>
      </c>
      <c r="C47" s="7" t="s">
        <v>367</v>
      </c>
      <c r="D47" s="7">
        <v>3</v>
      </c>
      <c r="E47" t="s">
        <v>368</v>
      </c>
      <c r="F47" s="8">
        <v>30</v>
      </c>
      <c r="G47" s="9">
        <v>1</v>
      </c>
      <c r="H47" s="8">
        <f t="shared" si="17"/>
        <v>30</v>
      </c>
      <c r="I47" s="8">
        <f t="shared" si="18"/>
        <v>33.9</v>
      </c>
      <c r="J47" s="8">
        <f t="shared" si="19"/>
        <v>42.375</v>
      </c>
      <c r="K47" s="8"/>
      <c r="L47" s="19"/>
    </row>
    <row r="48" spans="1:13">
      <c r="B48" s="7"/>
      <c r="C48" s="7"/>
      <c r="D48" s="7"/>
      <c r="F48" s="8"/>
      <c r="G48" s="9"/>
      <c r="H48" s="8"/>
      <c r="I48" s="8"/>
      <c r="J48" s="8"/>
      <c r="K48" s="8"/>
      <c r="L48" s="19"/>
    </row>
    <row r="49" spans="1:12">
      <c r="A49" s="17"/>
      <c r="B49" s="21" t="s">
        <v>369</v>
      </c>
      <c r="C49" s="22"/>
      <c r="D49" s="22"/>
      <c r="E49" s="23"/>
      <c r="F49" s="24"/>
      <c r="G49" s="25"/>
      <c r="H49" s="24"/>
      <c r="I49" s="24">
        <f>SUM(I45:I47)</f>
        <v>114.46899999999999</v>
      </c>
      <c r="J49" s="24">
        <f>SUM(J45:J47)</f>
        <v>143.08625000000001</v>
      </c>
      <c r="K49" s="24">
        <f>SUM(K45:K47)</f>
        <v>0</v>
      </c>
      <c r="L49" s="26">
        <f>SUM(L45:L47)</f>
        <v>0</v>
      </c>
    </row>
    <row r="50" spans="1:12">
      <c r="A50" s="17" t="s">
        <v>370</v>
      </c>
      <c r="B50" s="7"/>
      <c r="C50" s="7"/>
      <c r="D50" s="7"/>
      <c r="F50" s="8"/>
      <c r="G50" s="9"/>
      <c r="H50" s="8"/>
      <c r="I50" s="8"/>
      <c r="J50" s="8"/>
      <c r="K50" s="8"/>
      <c r="L50" s="19"/>
    </row>
    <row r="51" spans="1:12">
      <c r="B51" s="7">
        <v>11601</v>
      </c>
      <c r="C51" s="7" t="s">
        <v>357</v>
      </c>
      <c r="D51" s="7">
        <v>9</v>
      </c>
      <c r="E51" t="s">
        <v>371</v>
      </c>
      <c r="F51" s="8">
        <v>400</v>
      </c>
      <c r="G51" s="9">
        <v>1</v>
      </c>
      <c r="H51" s="8">
        <f>F51*G51</f>
        <v>400</v>
      </c>
      <c r="I51" s="8">
        <f>H51*1.13</f>
        <v>451.99999999999994</v>
      </c>
      <c r="J51" s="8">
        <f>I51*1.25</f>
        <v>564.99999999999989</v>
      </c>
      <c r="K51" s="8"/>
      <c r="L51" s="19">
        <v>0</v>
      </c>
    </row>
    <row r="52" spans="1:12">
      <c r="B52" s="7">
        <v>11602</v>
      </c>
      <c r="C52" s="7" t="s">
        <v>315</v>
      </c>
      <c r="D52" s="7">
        <v>4</v>
      </c>
      <c r="E52" t="s">
        <v>372</v>
      </c>
      <c r="F52" s="8">
        <v>20</v>
      </c>
      <c r="G52" s="9">
        <v>10</v>
      </c>
      <c r="H52" s="8">
        <f t="shared" ref="H52" si="20">F52*G52</f>
        <v>200</v>
      </c>
      <c r="I52" s="8">
        <f t="shared" ref="I52" si="21">H52*1.13</f>
        <v>225.99999999999997</v>
      </c>
      <c r="J52" s="8">
        <f t="shared" ref="J52" si="22">I52*1.25</f>
        <v>282.49999999999994</v>
      </c>
      <c r="K52" s="8"/>
      <c r="L52" s="19">
        <v>0</v>
      </c>
    </row>
    <row r="53" spans="1:12">
      <c r="B53" s="7"/>
      <c r="C53" s="7"/>
      <c r="D53" s="7"/>
      <c r="F53" s="8"/>
      <c r="G53" s="9"/>
      <c r="H53" s="8"/>
      <c r="I53" s="8"/>
      <c r="J53" s="8"/>
      <c r="K53" s="8"/>
      <c r="L53" s="19"/>
    </row>
    <row r="54" spans="1:12">
      <c r="A54" s="17"/>
      <c r="B54" s="21" t="s">
        <v>373</v>
      </c>
      <c r="C54" s="22"/>
      <c r="D54" s="22"/>
      <c r="E54" s="23"/>
      <c r="F54" s="24"/>
      <c r="G54" s="25"/>
      <c r="H54" s="24"/>
      <c r="I54" s="24">
        <f>SUM(I51:I52)</f>
        <v>677.99999999999989</v>
      </c>
      <c r="J54" s="24">
        <f>SUM(J51:J52)</f>
        <v>847.49999999999977</v>
      </c>
      <c r="K54" s="24">
        <f>SUM(K51:K52)</f>
        <v>0</v>
      </c>
      <c r="L54" s="26">
        <f>SUM(L51:L52)</f>
        <v>0</v>
      </c>
    </row>
    <row r="55" spans="1:12">
      <c r="B55" s="7"/>
      <c r="C55" s="7"/>
      <c r="D55" s="7"/>
      <c r="F55" s="8"/>
      <c r="G55" s="9"/>
      <c r="H55" s="8"/>
      <c r="I55" s="8"/>
      <c r="J55" s="8"/>
      <c r="K55" s="8"/>
      <c r="L55" s="19"/>
    </row>
    <row r="56" spans="1:12">
      <c r="A56" s="28"/>
      <c r="B56" s="29" t="s">
        <v>120</v>
      </c>
      <c r="C56" s="30"/>
      <c r="D56" s="30"/>
      <c r="E56" s="31"/>
      <c r="F56" s="32"/>
      <c r="G56" s="33"/>
      <c r="H56" s="32"/>
      <c r="I56" s="32">
        <f>I54+I49+I43+I36+I31+I24+I14</f>
        <v>5400.6993999999995</v>
      </c>
      <c r="J56" s="32">
        <f t="shared" ref="J56:L56" si="23">J54+J49+J43+J36+J31+J24+J14</f>
        <v>6750.8742499999989</v>
      </c>
      <c r="K56" s="32">
        <f t="shared" si="23"/>
        <v>0</v>
      </c>
      <c r="L56" s="32">
        <f>L54+L49+L43+L36+L31+L24+L14</f>
        <v>1415</v>
      </c>
    </row>
    <row r="57" spans="1:12">
      <c r="B57" s="7"/>
      <c r="C57" s="7"/>
      <c r="D57" s="7"/>
      <c r="F57" s="8"/>
      <c r="G57" s="9"/>
      <c r="H57" s="8"/>
      <c r="I57" s="8"/>
      <c r="J57" s="8"/>
      <c r="K57" s="8"/>
      <c r="L57" s="19"/>
    </row>
    <row r="58" spans="1:12">
      <c r="A58" s="11" t="s">
        <v>56</v>
      </c>
      <c r="B58" s="12"/>
      <c r="C58" s="12"/>
      <c r="D58" s="12"/>
      <c r="E58" s="13"/>
      <c r="F58" s="14"/>
      <c r="G58" s="15"/>
      <c r="H58" s="14"/>
      <c r="I58" s="14"/>
      <c r="J58" s="14"/>
      <c r="K58" s="14"/>
      <c r="L58" s="16"/>
    </row>
    <row r="59" spans="1:12">
      <c r="A59" s="17"/>
      <c r="B59" s="295" t="s">
        <v>58</v>
      </c>
      <c r="C59" s="295"/>
      <c r="D59" s="295"/>
      <c r="E59" s="17"/>
      <c r="F59" s="36"/>
      <c r="G59" s="37"/>
      <c r="H59" s="36"/>
      <c r="I59" s="36">
        <f>I6</f>
        <v>0</v>
      </c>
      <c r="J59" s="36">
        <f>J6</f>
        <v>0</v>
      </c>
      <c r="K59" s="36">
        <f>K6</f>
        <v>0</v>
      </c>
      <c r="L59" s="38">
        <f>L6</f>
        <v>0</v>
      </c>
    </row>
    <row r="60" spans="1:12">
      <c r="A60" s="17"/>
      <c r="B60" s="295" t="s">
        <v>62</v>
      </c>
      <c r="C60" s="295"/>
      <c r="D60" s="295"/>
      <c r="E60" s="17"/>
      <c r="F60" s="36"/>
      <c r="G60" s="37"/>
      <c r="H60" s="36"/>
      <c r="I60" s="36">
        <f>I56</f>
        <v>5400.6993999999995</v>
      </c>
      <c r="J60" s="36">
        <f>J56</f>
        <v>6750.8742499999989</v>
      </c>
      <c r="K60" s="36">
        <f>K56</f>
        <v>0</v>
      </c>
      <c r="L60" s="39">
        <f>L56</f>
        <v>1415</v>
      </c>
    </row>
    <row r="61" spans="1:12">
      <c r="A61" s="40"/>
      <c r="B61" s="41" t="s">
        <v>65</v>
      </c>
      <c r="C61" s="41"/>
      <c r="D61" s="41"/>
      <c r="E61" s="40"/>
      <c r="F61" s="42"/>
      <c r="G61" s="43"/>
      <c r="H61" s="42"/>
      <c r="I61" s="42">
        <f>SUM(I59,I60*-1)</f>
        <v>-5400.6993999999995</v>
      </c>
      <c r="J61" s="42">
        <f t="shared" ref="J61:L61" si="24">SUM(J59,J60*-1)</f>
        <v>-6750.8742499999989</v>
      </c>
      <c r="K61" s="42">
        <f t="shared" si="24"/>
        <v>0</v>
      </c>
      <c r="L61" s="44">
        <f t="shared" si="24"/>
        <v>-1415</v>
      </c>
    </row>
  </sheetData>
  <mergeCells count="1">
    <mergeCell ref="B1:K1"/>
  </mergeCells>
  <conditionalFormatting sqref="C18:L22 B10:L17 B5:L7 B23:L61">
    <cfRule type="expression" dxfId="102" priority="2">
      <formula>MOD($B5,2)=1</formula>
    </cfRule>
  </conditionalFormatting>
  <conditionalFormatting sqref="B18:B22">
    <cfRule type="expression" dxfId="101" priority="1">
      <formula>MOD($B18,2)=1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BF7C-AAAF-4F1B-B902-9C5CCFE03770}">
  <sheetPr codeName="Sheet4"/>
  <dimension ref="A1:M65"/>
  <sheetViews>
    <sheetView showGridLines="0" zoomScale="60" zoomScaleNormal="60" workbookViewId="0">
      <pane ySplit="2" topLeftCell="D36" activePane="bottomLeft" state="frozen"/>
      <selection pane="bottomLeft" activeCell="L47" sqref="L47"/>
    </sheetView>
  </sheetViews>
  <sheetFormatPr defaultColWidth="9.85546875" defaultRowHeight="14.85"/>
  <cols>
    <col min="1" max="1" width="30.140625" customWidth="1"/>
    <col min="2" max="2" width="23.5703125" style="7" customWidth="1"/>
    <col min="3" max="3" width="26.28515625" style="7" customWidth="1"/>
    <col min="4" max="4" width="37.7109375" customWidth="1"/>
    <col min="5" max="5" width="36.85546875" customWidth="1"/>
    <col min="6" max="6" width="15.42578125" style="8" customWidth="1"/>
    <col min="7" max="7" width="15.42578125" style="9" customWidth="1"/>
    <col min="8" max="8" width="19.5703125" style="8" customWidth="1"/>
    <col min="9" max="9" width="18.5703125" style="8" customWidth="1"/>
    <col min="10" max="11" width="20.85546875" style="8" customWidth="1"/>
    <col min="12" max="12" width="21.28515625" style="1" customWidth="1"/>
    <col min="13" max="16384" width="9.85546875" style="2"/>
  </cols>
  <sheetData>
    <row r="1" spans="1:12" ht="158.25" customHeight="1">
      <c r="B1" s="389" t="s">
        <v>374</v>
      </c>
      <c r="C1" s="389"/>
      <c r="D1" s="389"/>
      <c r="E1" s="389"/>
      <c r="F1" s="389"/>
      <c r="G1" s="389"/>
      <c r="H1" s="389"/>
      <c r="I1" s="389"/>
      <c r="J1" s="389"/>
      <c r="K1" s="389"/>
    </row>
    <row r="2" spans="1:12" s="6" customFormat="1" ht="15" customHeight="1">
      <c r="A2" s="3" t="s">
        <v>1</v>
      </c>
      <c r="B2" s="3" t="s">
        <v>2</v>
      </c>
      <c r="C2" s="3" t="s">
        <v>3</v>
      </c>
      <c r="D2" s="3" t="s">
        <v>122</v>
      </c>
      <c r="E2" s="3" t="s">
        <v>4</v>
      </c>
      <c r="F2" s="4" t="s">
        <v>5</v>
      </c>
      <c r="G2" s="3" t="s">
        <v>6</v>
      </c>
      <c r="H2" s="4" t="s">
        <v>7</v>
      </c>
      <c r="I2" s="4" t="s">
        <v>8</v>
      </c>
      <c r="J2" s="4" t="s">
        <v>123</v>
      </c>
      <c r="K2" s="4" t="s">
        <v>9</v>
      </c>
      <c r="L2" s="5" t="s">
        <v>10</v>
      </c>
    </row>
    <row r="3" spans="1:12" ht="15" customHeight="1">
      <c r="L3" s="10"/>
    </row>
    <row r="4" spans="1:12" ht="15" customHeight="1">
      <c r="A4" s="11" t="s">
        <v>15</v>
      </c>
      <c r="B4" s="12"/>
      <c r="C4" s="12"/>
      <c r="D4" s="13"/>
      <c r="E4" s="13"/>
      <c r="F4" s="14"/>
      <c r="G4" s="15"/>
      <c r="H4" s="14"/>
      <c r="I4" s="14"/>
      <c r="J4" s="14"/>
      <c r="K4" s="14"/>
      <c r="L4" s="16"/>
    </row>
    <row r="5" spans="1:12" ht="15" customHeight="1">
      <c r="A5" s="17" t="s">
        <v>375</v>
      </c>
      <c r="L5" s="18"/>
    </row>
    <row r="6" spans="1:12" ht="15" customHeight="1">
      <c r="B6" s="7">
        <v>95000</v>
      </c>
      <c r="C6" s="7" t="s">
        <v>376</v>
      </c>
      <c r="D6" s="7">
        <v>1</v>
      </c>
      <c r="E6" s="76" t="s">
        <v>377</v>
      </c>
      <c r="F6" s="8">
        <v>350</v>
      </c>
      <c r="G6" s="9">
        <v>1</v>
      </c>
      <c r="H6" s="8">
        <f t="shared" ref="H6:H7" si="0">F6*G6</f>
        <v>350</v>
      </c>
      <c r="I6" s="8">
        <v>0</v>
      </c>
      <c r="J6" s="8">
        <f>I6*0.75</f>
        <v>0</v>
      </c>
      <c r="K6" s="8">
        <v>0</v>
      </c>
      <c r="L6" s="19">
        <v>0</v>
      </c>
    </row>
    <row r="7" spans="1:12" ht="15" customHeight="1">
      <c r="B7" s="7">
        <v>95001</v>
      </c>
      <c r="C7" s="7" t="s">
        <v>378</v>
      </c>
      <c r="D7" s="7">
        <v>2</v>
      </c>
      <c r="E7" s="48" t="s">
        <v>379</v>
      </c>
      <c r="F7" s="8">
        <v>1200</v>
      </c>
      <c r="G7" s="9">
        <v>1</v>
      </c>
      <c r="H7" s="8">
        <f t="shared" si="0"/>
        <v>1200</v>
      </c>
      <c r="I7" s="8">
        <f t="shared" ref="I7" si="1">H7*1.13</f>
        <v>1355.9999999999998</v>
      </c>
      <c r="J7" s="8">
        <f t="shared" ref="J7" si="2">I7*0.75</f>
        <v>1016.9999999999998</v>
      </c>
      <c r="K7" s="8">
        <v>0</v>
      </c>
      <c r="L7" s="19">
        <v>0</v>
      </c>
    </row>
    <row r="8" spans="1:12" ht="15" customHeight="1">
      <c r="D8" s="7"/>
      <c r="E8" s="48"/>
      <c r="L8" s="19"/>
    </row>
    <row r="9" spans="1:12" ht="15" customHeight="1">
      <c r="B9" s="21" t="s">
        <v>380</v>
      </c>
      <c r="C9" s="22"/>
      <c r="D9" s="23"/>
      <c r="E9" s="23"/>
      <c r="F9" s="24"/>
      <c r="G9" s="25"/>
      <c r="H9" s="24"/>
      <c r="I9" s="24">
        <f>SUM(I6:I7)</f>
        <v>1355.9999999999998</v>
      </c>
      <c r="J9" s="24">
        <f>SUM(J6:J7)</f>
        <v>1016.9999999999998</v>
      </c>
      <c r="K9" s="24">
        <f>SUM(K6:K7)</f>
        <v>0</v>
      </c>
      <c r="L9" s="26">
        <f>SUM(L6:L7)</f>
        <v>0</v>
      </c>
    </row>
    <row r="10" spans="1:12" ht="15" customHeight="1">
      <c r="A10" s="17" t="s">
        <v>381</v>
      </c>
      <c r="L10" s="18"/>
    </row>
    <row r="11" spans="1:12" ht="15" customHeight="1">
      <c r="B11" s="7">
        <v>95100</v>
      </c>
      <c r="C11" s="7" t="s">
        <v>382</v>
      </c>
      <c r="D11" s="7">
        <v>1</v>
      </c>
      <c r="E11" s="76" t="s">
        <v>383</v>
      </c>
      <c r="F11" s="8">
        <v>15000</v>
      </c>
      <c r="G11" s="9">
        <v>1</v>
      </c>
      <c r="H11" s="8">
        <f t="shared" ref="H11" si="3">F11*G11</f>
        <v>15000</v>
      </c>
      <c r="I11" s="8">
        <f t="shared" ref="I11" si="4">H11*1.13</f>
        <v>16950</v>
      </c>
      <c r="J11" s="8">
        <f>I11*0.75</f>
        <v>12712.5</v>
      </c>
      <c r="L11" s="19">
        <v>0</v>
      </c>
    </row>
    <row r="12" spans="1:12" ht="15" customHeight="1">
      <c r="L12" s="19"/>
    </row>
    <row r="13" spans="1:12" s="27" customFormat="1" ht="15" customHeight="1">
      <c r="A13" s="17"/>
      <c r="B13" s="21" t="s">
        <v>384</v>
      </c>
      <c r="C13" s="22"/>
      <c r="D13" s="23"/>
      <c r="E13" s="23"/>
      <c r="F13" s="24"/>
      <c r="G13" s="25"/>
      <c r="H13" s="24"/>
      <c r="I13" s="24">
        <f>SUM(I11:I11)</f>
        <v>16950</v>
      </c>
      <c r="J13" s="24">
        <f>SUM(J11:J11)</f>
        <v>12712.5</v>
      </c>
      <c r="K13" s="24">
        <f>SUM(K11:K11)</f>
        <v>0</v>
      </c>
      <c r="L13" s="26">
        <f>SUM(L11:L11)</f>
        <v>0</v>
      </c>
    </row>
    <row r="14" spans="1:12" ht="15" customHeight="1">
      <c r="L14" s="19"/>
    </row>
    <row r="15" spans="1:12" s="53" customFormat="1" ht="15" customHeight="1">
      <c r="A15" s="28"/>
      <c r="B15" s="29" t="s">
        <v>42</v>
      </c>
      <c r="C15" s="30"/>
      <c r="D15" s="31"/>
      <c r="E15" s="31"/>
      <c r="F15" s="32"/>
      <c r="G15" s="33"/>
      <c r="H15" s="32"/>
      <c r="I15" s="32">
        <f>SUM(I9+I13)</f>
        <v>18306</v>
      </c>
      <c r="J15" s="32">
        <f>SUM(J9+J13)</f>
        <v>13729.5</v>
      </c>
      <c r="K15" s="32">
        <f t="shared" ref="K15:L15" si="5">SUM(K9+K13)</f>
        <v>0</v>
      </c>
      <c r="L15" s="71">
        <f t="shared" si="5"/>
        <v>0</v>
      </c>
    </row>
    <row r="16" spans="1:12" ht="15" customHeight="1">
      <c r="L16" s="19"/>
    </row>
    <row r="17" spans="1:12" ht="15" customHeight="1">
      <c r="A17" s="11" t="s">
        <v>40</v>
      </c>
      <c r="B17" s="12"/>
      <c r="C17" s="12"/>
      <c r="D17" s="13"/>
      <c r="E17" s="13"/>
      <c r="F17" s="14"/>
      <c r="G17" s="15"/>
      <c r="H17" s="14"/>
      <c r="I17" s="14"/>
      <c r="J17" s="14"/>
      <c r="K17" s="14"/>
      <c r="L17" s="16"/>
    </row>
    <row r="18" spans="1:12" ht="15" customHeight="1">
      <c r="A18" s="17" t="s">
        <v>385</v>
      </c>
      <c r="L18" s="19"/>
    </row>
    <row r="19" spans="1:12" ht="15" customHeight="1">
      <c r="B19" s="7">
        <v>95200</v>
      </c>
      <c r="C19" s="76" t="s">
        <v>386</v>
      </c>
      <c r="D19" s="77">
        <v>1</v>
      </c>
      <c r="E19" s="76" t="s">
        <v>387</v>
      </c>
      <c r="F19" s="76">
        <v>250</v>
      </c>
      <c r="G19" s="76">
        <v>1</v>
      </c>
      <c r="H19" s="8">
        <f>F19*G19</f>
        <v>250</v>
      </c>
      <c r="I19" s="8">
        <f>H19*1.13</f>
        <v>282.5</v>
      </c>
      <c r="J19" s="8">
        <f>I19*1.25</f>
        <v>353.125</v>
      </c>
      <c r="L19" s="19">
        <v>0</v>
      </c>
    </row>
    <row r="20" spans="1:12" ht="15" customHeight="1">
      <c r="B20" s="78">
        <v>95201</v>
      </c>
      <c r="C20" s="79" t="s">
        <v>388</v>
      </c>
      <c r="D20" s="80">
        <v>2</v>
      </c>
      <c r="E20" s="79" t="s">
        <v>389</v>
      </c>
      <c r="F20" s="79">
        <v>500</v>
      </c>
      <c r="G20" s="79">
        <v>1</v>
      </c>
      <c r="H20" s="8">
        <f t="shared" ref="H20:H22" si="6">F20*G20</f>
        <v>500</v>
      </c>
      <c r="I20" s="8">
        <f t="shared" ref="I20:I22" si="7">H20*1.13</f>
        <v>565</v>
      </c>
      <c r="J20" s="8">
        <f t="shared" ref="J20:J22" si="8">I20*1.25</f>
        <v>706.25</v>
      </c>
      <c r="L20" s="19">
        <v>0</v>
      </c>
    </row>
    <row r="21" spans="1:12" ht="15" customHeight="1">
      <c r="B21" s="7">
        <v>95202</v>
      </c>
      <c r="C21" s="81" t="s">
        <v>390</v>
      </c>
      <c r="D21" s="82">
        <v>2</v>
      </c>
      <c r="E21" s="81" t="s">
        <v>391</v>
      </c>
      <c r="F21" s="81">
        <v>100</v>
      </c>
      <c r="G21" s="81">
        <v>1</v>
      </c>
      <c r="H21" s="8">
        <f t="shared" si="6"/>
        <v>100</v>
      </c>
      <c r="I21" s="8">
        <f t="shared" si="7"/>
        <v>112.99999999999999</v>
      </c>
      <c r="J21" s="8">
        <f t="shared" si="8"/>
        <v>141.24999999999997</v>
      </c>
      <c r="L21" s="19">
        <v>0</v>
      </c>
    </row>
    <row r="22" spans="1:12" ht="15" customHeight="1">
      <c r="B22" s="83">
        <v>95203</v>
      </c>
      <c r="C22" s="79" t="s">
        <v>392</v>
      </c>
      <c r="D22" s="80">
        <v>1</v>
      </c>
      <c r="E22" s="79" t="s">
        <v>393</v>
      </c>
      <c r="F22" s="79">
        <v>500</v>
      </c>
      <c r="G22" s="79">
        <v>1</v>
      </c>
      <c r="H22" s="8">
        <f t="shared" si="6"/>
        <v>500</v>
      </c>
      <c r="I22" s="8">
        <f t="shared" si="7"/>
        <v>565</v>
      </c>
      <c r="J22" s="8">
        <f t="shared" si="8"/>
        <v>706.25</v>
      </c>
      <c r="L22" s="19">
        <v>0</v>
      </c>
    </row>
    <row r="23" spans="1:12" ht="15" customHeight="1">
      <c r="L23" s="19"/>
    </row>
    <row r="24" spans="1:12" s="27" customFormat="1" ht="15" customHeight="1">
      <c r="A24" s="17"/>
      <c r="B24" s="330" t="s">
        <v>394</v>
      </c>
      <c r="C24" s="22"/>
      <c r="D24" s="23"/>
      <c r="E24" s="23"/>
      <c r="F24" s="24"/>
      <c r="G24" s="25"/>
      <c r="H24" s="24"/>
      <c r="I24" s="24">
        <f>SUM(I19:I22)</f>
        <v>1525.5</v>
      </c>
      <c r="J24" s="24">
        <f>SUM(J19:J22)</f>
        <v>1906.875</v>
      </c>
      <c r="K24" s="24">
        <f>SUM(K19:K22)</f>
        <v>0</v>
      </c>
      <c r="L24" s="26">
        <f>SUM(L19:L22)</f>
        <v>0</v>
      </c>
    </row>
    <row r="25" spans="1:12" ht="15" customHeight="1">
      <c r="A25" s="17" t="s">
        <v>395</v>
      </c>
      <c r="L25" s="19"/>
    </row>
    <row r="26" spans="1:12" ht="15" customHeight="1">
      <c r="B26" s="7">
        <v>95300</v>
      </c>
      <c r="C26" s="7" t="s">
        <v>396</v>
      </c>
      <c r="D26" s="7">
        <v>1</v>
      </c>
      <c r="E26" s="48" t="s">
        <v>397</v>
      </c>
      <c r="F26" s="8">
        <v>125</v>
      </c>
      <c r="G26" s="9">
        <v>1</v>
      </c>
      <c r="H26" s="8">
        <f>F26*G26</f>
        <v>125</v>
      </c>
      <c r="I26" s="8">
        <f>H26*1.13</f>
        <v>141.25</v>
      </c>
      <c r="J26" s="8">
        <f>I26*1.25</f>
        <v>176.5625</v>
      </c>
      <c r="L26" s="19">
        <v>0</v>
      </c>
    </row>
    <row r="27" spans="1:12" ht="15" customHeight="1">
      <c r="L27" s="19"/>
    </row>
    <row r="28" spans="1:12" s="27" customFormat="1" ht="15" customHeight="1">
      <c r="A28" s="17"/>
      <c r="B28" s="21" t="s">
        <v>384</v>
      </c>
      <c r="C28" s="22"/>
      <c r="D28" s="23"/>
      <c r="E28" s="23"/>
      <c r="F28" s="24"/>
      <c r="G28" s="25"/>
      <c r="H28" s="24"/>
      <c r="I28" s="24">
        <f>SUM(I26:I26)</f>
        <v>141.25</v>
      </c>
      <c r="J28" s="24">
        <f>SUM(J26:J26)</f>
        <v>176.5625</v>
      </c>
      <c r="K28" s="24">
        <f>SUM(K26:K26)</f>
        <v>0</v>
      </c>
      <c r="L28" s="26">
        <f>SUM(L26:L26)</f>
        <v>0</v>
      </c>
    </row>
    <row r="29" spans="1:12" ht="15" customHeight="1">
      <c r="A29" s="17" t="s">
        <v>398</v>
      </c>
      <c r="L29" s="19"/>
    </row>
    <row r="30" spans="1:12" ht="15" customHeight="1">
      <c r="B30" s="7">
        <v>95400</v>
      </c>
      <c r="C30" s="7" t="s">
        <v>399</v>
      </c>
      <c r="D30" s="61">
        <v>5</v>
      </c>
      <c r="E30" t="s">
        <v>400</v>
      </c>
      <c r="F30" s="8">
        <v>100</v>
      </c>
      <c r="G30" s="9">
        <v>1</v>
      </c>
      <c r="H30" s="8">
        <f>F30*G30</f>
        <v>100</v>
      </c>
      <c r="I30" s="8">
        <v>0</v>
      </c>
      <c r="J30" s="8">
        <f>I30*1.25</f>
        <v>0</v>
      </c>
      <c r="L30" s="19">
        <v>0</v>
      </c>
    </row>
    <row r="31" spans="1:12" ht="15" customHeight="1">
      <c r="B31" s="7">
        <v>95401</v>
      </c>
      <c r="C31" s="7" t="s">
        <v>401</v>
      </c>
      <c r="D31" s="61">
        <v>5</v>
      </c>
      <c r="E31" t="s">
        <v>402</v>
      </c>
      <c r="F31" s="8">
        <v>50</v>
      </c>
      <c r="G31" s="9">
        <v>1</v>
      </c>
      <c r="H31" s="8">
        <f t="shared" ref="H31:H40" si="9">F31*G31</f>
        <v>50</v>
      </c>
      <c r="I31" s="8">
        <v>0</v>
      </c>
      <c r="J31" s="8">
        <f t="shared" ref="J31:J40" si="10">I31*1.25</f>
        <v>0</v>
      </c>
      <c r="L31" s="19">
        <v>0</v>
      </c>
    </row>
    <row r="32" spans="1:12" ht="15" customHeight="1">
      <c r="B32" s="7">
        <v>95402</v>
      </c>
      <c r="C32" s="7" t="s">
        <v>403</v>
      </c>
      <c r="D32" s="61">
        <v>5</v>
      </c>
      <c r="E32" t="s">
        <v>402</v>
      </c>
      <c r="F32" s="8">
        <v>25</v>
      </c>
      <c r="G32" s="9">
        <v>1</v>
      </c>
      <c r="H32" s="8">
        <f t="shared" si="9"/>
        <v>25</v>
      </c>
      <c r="I32" s="8">
        <v>0</v>
      </c>
      <c r="J32" s="8">
        <f t="shared" si="10"/>
        <v>0</v>
      </c>
      <c r="L32" s="19">
        <v>0</v>
      </c>
    </row>
    <row r="33" spans="1:13" ht="15" customHeight="1">
      <c r="B33" s="7">
        <v>95403</v>
      </c>
      <c r="C33" s="7" t="s">
        <v>404</v>
      </c>
      <c r="D33" s="61">
        <v>1</v>
      </c>
      <c r="E33" t="s">
        <v>405</v>
      </c>
      <c r="F33" s="8">
        <v>16</v>
      </c>
      <c r="G33" s="9">
        <v>80</v>
      </c>
      <c r="H33" s="8">
        <f t="shared" si="9"/>
        <v>1280</v>
      </c>
      <c r="I33" s="8">
        <f t="shared" ref="I33:I40" si="11">H33*1.13</f>
        <v>1446.3999999999999</v>
      </c>
      <c r="J33" s="8">
        <f t="shared" si="10"/>
        <v>1807.9999999999998</v>
      </c>
      <c r="L33" s="19">
        <v>0</v>
      </c>
    </row>
    <row r="34" spans="1:13" ht="15" customHeight="1">
      <c r="B34" s="7">
        <v>95404</v>
      </c>
      <c r="C34" s="7" t="s">
        <v>406</v>
      </c>
      <c r="D34" s="61">
        <v>1</v>
      </c>
      <c r="E34" t="s">
        <v>407</v>
      </c>
      <c r="F34" s="8">
        <v>5</v>
      </c>
      <c r="G34" s="9">
        <v>6</v>
      </c>
      <c r="H34" s="8">
        <f t="shared" si="9"/>
        <v>30</v>
      </c>
      <c r="I34" s="8">
        <f t="shared" si="11"/>
        <v>33.9</v>
      </c>
      <c r="J34" s="8">
        <f t="shared" si="10"/>
        <v>42.375</v>
      </c>
      <c r="L34" s="19">
        <v>0</v>
      </c>
    </row>
    <row r="35" spans="1:13" ht="15" customHeight="1">
      <c r="B35" s="7">
        <v>95405</v>
      </c>
      <c r="C35" s="7" t="s">
        <v>408</v>
      </c>
      <c r="D35" s="61">
        <v>2</v>
      </c>
      <c r="E35" t="s">
        <v>409</v>
      </c>
      <c r="F35" s="8">
        <v>1500</v>
      </c>
      <c r="G35" s="9">
        <v>1</v>
      </c>
      <c r="H35" s="8">
        <f>F35*G35</f>
        <v>1500</v>
      </c>
      <c r="I35" s="8">
        <f t="shared" si="11"/>
        <v>1694.9999999999998</v>
      </c>
      <c r="J35" s="8">
        <f t="shared" si="10"/>
        <v>2118.7499999999995</v>
      </c>
      <c r="L35" s="19">
        <v>0</v>
      </c>
    </row>
    <row r="36" spans="1:13" ht="15" customHeight="1">
      <c r="B36" s="7">
        <v>95406</v>
      </c>
      <c r="C36" s="7" t="s">
        <v>410</v>
      </c>
      <c r="D36" s="61">
        <v>3</v>
      </c>
      <c r="E36" t="s">
        <v>411</v>
      </c>
      <c r="F36" s="8">
        <v>200</v>
      </c>
      <c r="G36" s="9">
        <v>1</v>
      </c>
      <c r="H36" s="8">
        <f t="shared" si="9"/>
        <v>200</v>
      </c>
      <c r="I36" s="8">
        <f t="shared" si="11"/>
        <v>225.99999999999997</v>
      </c>
      <c r="J36" s="8">
        <f t="shared" si="10"/>
        <v>282.49999999999994</v>
      </c>
      <c r="L36" s="19">
        <v>0</v>
      </c>
    </row>
    <row r="37" spans="1:13" ht="15" customHeight="1">
      <c r="B37" s="7">
        <v>95407</v>
      </c>
      <c r="C37" s="7" t="s">
        <v>412</v>
      </c>
      <c r="D37" s="61">
        <v>2</v>
      </c>
      <c r="E37" t="s">
        <v>413</v>
      </c>
      <c r="F37" s="8">
        <v>7</v>
      </c>
      <c r="G37" s="9">
        <v>13</v>
      </c>
      <c r="H37" s="8">
        <f t="shared" si="9"/>
        <v>91</v>
      </c>
      <c r="I37" s="8">
        <f t="shared" si="11"/>
        <v>102.82999999999998</v>
      </c>
      <c r="J37" s="8">
        <f t="shared" si="10"/>
        <v>128.53749999999997</v>
      </c>
      <c r="L37" s="19">
        <v>0</v>
      </c>
    </row>
    <row r="38" spans="1:13" ht="15" customHeight="1">
      <c r="B38" s="7">
        <v>95408</v>
      </c>
      <c r="C38" s="7" t="s">
        <v>414</v>
      </c>
      <c r="D38" s="61">
        <v>2</v>
      </c>
      <c r="E38" t="s">
        <v>415</v>
      </c>
      <c r="F38" s="8">
        <v>8</v>
      </c>
      <c r="G38" s="9">
        <v>14</v>
      </c>
      <c r="H38" s="8">
        <f t="shared" si="9"/>
        <v>112</v>
      </c>
      <c r="I38" s="8">
        <f t="shared" si="11"/>
        <v>126.55999999999999</v>
      </c>
      <c r="J38" s="8">
        <f t="shared" si="10"/>
        <v>158.19999999999999</v>
      </c>
      <c r="L38" s="19">
        <v>0</v>
      </c>
    </row>
    <row r="39" spans="1:13" ht="15" customHeight="1">
      <c r="B39" s="7">
        <v>95409</v>
      </c>
      <c r="C39" s="7" t="s">
        <v>416</v>
      </c>
      <c r="D39" s="61">
        <v>1</v>
      </c>
      <c r="E39" s="332" t="s">
        <v>417</v>
      </c>
      <c r="F39" s="8">
        <v>1100</v>
      </c>
      <c r="G39" s="9">
        <v>1</v>
      </c>
      <c r="H39" s="8">
        <f t="shared" si="9"/>
        <v>1100</v>
      </c>
      <c r="I39" s="8">
        <f t="shared" si="11"/>
        <v>1242.9999999999998</v>
      </c>
      <c r="J39" s="8">
        <f t="shared" si="10"/>
        <v>1553.7499999999998</v>
      </c>
      <c r="L39" s="19">
        <v>0</v>
      </c>
    </row>
    <row r="40" spans="1:13" ht="15" customHeight="1">
      <c r="B40" s="7">
        <v>95410</v>
      </c>
      <c r="C40" s="7" t="s">
        <v>418</v>
      </c>
      <c r="D40" s="61">
        <v>2</v>
      </c>
      <c r="E40" s="84" t="s">
        <v>417</v>
      </c>
      <c r="F40" s="8">
        <v>100</v>
      </c>
      <c r="G40" s="9">
        <v>1</v>
      </c>
      <c r="H40" s="8">
        <f t="shared" si="9"/>
        <v>100</v>
      </c>
      <c r="I40" s="8">
        <f t="shared" si="11"/>
        <v>112.99999999999999</v>
      </c>
      <c r="J40" s="8">
        <f t="shared" si="10"/>
        <v>141.24999999999997</v>
      </c>
      <c r="L40" s="19">
        <v>0</v>
      </c>
    </row>
    <row r="41" spans="1:13" ht="15" customHeight="1">
      <c r="L41" s="19"/>
    </row>
    <row r="42" spans="1:13" s="27" customFormat="1" ht="15" customHeight="1">
      <c r="A42" s="17"/>
      <c r="B42" s="21" t="s">
        <v>380</v>
      </c>
      <c r="C42" s="22"/>
      <c r="D42" s="23"/>
      <c r="E42" s="23"/>
      <c r="F42" s="24"/>
      <c r="G42" s="25"/>
      <c r="H42" s="24"/>
      <c r="I42" s="24">
        <f>SUM(I30:I40)</f>
        <v>4986.6899999999996</v>
      </c>
      <c r="J42" s="24">
        <f>SUM(J30:J40)</f>
        <v>6233.3624999999993</v>
      </c>
      <c r="K42" s="24">
        <f>SUM(K30:K33)</f>
        <v>0</v>
      </c>
      <c r="L42" s="26">
        <f>SUM(L30:L33)</f>
        <v>0</v>
      </c>
    </row>
    <row r="43" spans="1:13" s="27" customFormat="1" ht="15" customHeight="1">
      <c r="A43" s="17" t="s">
        <v>419</v>
      </c>
      <c r="B43" s="7"/>
      <c r="C43" s="7"/>
      <c r="D43"/>
      <c r="E43"/>
      <c r="F43" s="8"/>
      <c r="G43" s="9"/>
      <c r="H43" s="8"/>
      <c r="I43" s="8"/>
      <c r="J43" s="8"/>
      <c r="K43" s="8"/>
      <c r="L43" s="19"/>
    </row>
    <row r="44" spans="1:13" s="27" customFormat="1" ht="15" customHeight="1">
      <c r="A44"/>
      <c r="B44" s="7">
        <v>95500</v>
      </c>
      <c r="C44" s="76" t="s">
        <v>420</v>
      </c>
      <c r="D44" s="77">
        <v>1</v>
      </c>
      <c r="E44" s="76" t="s">
        <v>421</v>
      </c>
      <c r="F44" s="85">
        <v>450</v>
      </c>
      <c r="G44" s="76">
        <v>1</v>
      </c>
      <c r="H44" s="8">
        <f>F44*G44</f>
        <v>450</v>
      </c>
      <c r="I44" s="8">
        <f>H44*1.13</f>
        <v>508.49999999999994</v>
      </c>
      <c r="J44" s="8">
        <f>I44*1.25</f>
        <v>635.62499999999989</v>
      </c>
      <c r="K44" s="8"/>
      <c r="L44" s="19"/>
      <c r="M44" s="2" t="s">
        <v>422</v>
      </c>
    </row>
    <row r="45" spans="1:13" s="27" customFormat="1" ht="15" customHeight="1">
      <c r="A45"/>
      <c r="B45" s="7">
        <v>95501</v>
      </c>
      <c r="C45" s="86" t="s">
        <v>423</v>
      </c>
      <c r="D45" s="87">
        <v>1</v>
      </c>
      <c r="E45" s="86" t="s">
        <v>424</v>
      </c>
      <c r="F45" s="88">
        <v>40</v>
      </c>
      <c r="G45" s="86">
        <v>160</v>
      </c>
      <c r="H45" s="8">
        <f t="shared" ref="H45:H47" si="12">F45*G45</f>
        <v>6400</v>
      </c>
      <c r="I45" s="8">
        <f t="shared" ref="I45:I53" si="13">H45*1.13</f>
        <v>7231.9999999999991</v>
      </c>
      <c r="J45" s="8">
        <f t="shared" ref="J45:J47" si="14">I45*1.25</f>
        <v>9039.9999999999982</v>
      </c>
      <c r="K45" s="8"/>
      <c r="L45" s="19">
        <f>40*27*1.13*1.18</f>
        <v>1440.0719999999997</v>
      </c>
      <c r="M45" s="2" t="s">
        <v>425</v>
      </c>
    </row>
    <row r="46" spans="1:13" s="27" customFormat="1" ht="15" customHeight="1">
      <c r="A46"/>
      <c r="B46" s="7">
        <v>95502</v>
      </c>
      <c r="C46" s="76" t="s">
        <v>404</v>
      </c>
      <c r="D46" s="77">
        <v>2</v>
      </c>
      <c r="E46" s="76" t="s">
        <v>426</v>
      </c>
      <c r="F46" s="85">
        <v>30</v>
      </c>
      <c r="G46" s="76">
        <v>64</v>
      </c>
      <c r="H46" s="8">
        <f t="shared" si="12"/>
        <v>1920</v>
      </c>
      <c r="I46" s="8">
        <f t="shared" si="13"/>
        <v>2169.6</v>
      </c>
      <c r="J46" s="8">
        <f t="shared" si="14"/>
        <v>2712</v>
      </c>
      <c r="K46" s="8"/>
      <c r="L46" s="19">
        <f>200*8.5*1.13*1.18</f>
        <v>2266.7799999999997</v>
      </c>
      <c r="M46" s="2" t="s">
        <v>427</v>
      </c>
    </row>
    <row r="47" spans="1:13" s="27" customFormat="1" ht="15" customHeight="1">
      <c r="A47"/>
      <c r="B47" s="7">
        <v>95503</v>
      </c>
      <c r="C47" s="86" t="s">
        <v>428</v>
      </c>
      <c r="D47" s="87">
        <v>2</v>
      </c>
      <c r="E47" s="86" t="s">
        <v>429</v>
      </c>
      <c r="F47" s="88">
        <v>890</v>
      </c>
      <c r="G47" s="86">
        <v>1</v>
      </c>
      <c r="H47" s="8">
        <f t="shared" si="12"/>
        <v>890</v>
      </c>
      <c r="I47" s="8">
        <f t="shared" si="13"/>
        <v>1005.6999999999999</v>
      </c>
      <c r="J47" s="8">
        <f t="shared" si="14"/>
        <v>1257.125</v>
      </c>
      <c r="K47" s="8"/>
      <c r="L47" s="19"/>
    </row>
    <row r="48" spans="1:13" s="27" customFormat="1" ht="15" customHeight="1">
      <c r="A48"/>
      <c r="B48" s="7">
        <v>95504</v>
      </c>
      <c r="C48" s="76" t="s">
        <v>430</v>
      </c>
      <c r="D48" s="77">
        <v>1</v>
      </c>
      <c r="E48" s="89" t="s">
        <v>431</v>
      </c>
      <c r="F48" s="85">
        <v>500</v>
      </c>
      <c r="G48" s="76">
        <v>1</v>
      </c>
      <c r="H48" s="8">
        <f>F48*G48</f>
        <v>500</v>
      </c>
      <c r="I48" s="8">
        <f t="shared" si="13"/>
        <v>565</v>
      </c>
      <c r="J48" s="8">
        <f>I48*1.25</f>
        <v>706.25</v>
      </c>
      <c r="K48" s="8"/>
      <c r="L48" s="19"/>
    </row>
    <row r="49" spans="1:12" s="27" customFormat="1" ht="15" customHeight="1">
      <c r="A49"/>
      <c r="B49" s="7">
        <v>95505</v>
      </c>
      <c r="C49" s="86" t="s">
        <v>432</v>
      </c>
      <c r="D49" s="87">
        <v>1</v>
      </c>
      <c r="E49" s="86" t="s">
        <v>433</v>
      </c>
      <c r="F49" s="88">
        <v>470</v>
      </c>
      <c r="G49" s="86">
        <v>1</v>
      </c>
      <c r="H49" s="8">
        <f t="shared" ref="H49:H56" si="15">F49*G49</f>
        <v>470</v>
      </c>
      <c r="I49" s="8">
        <f t="shared" si="13"/>
        <v>531.09999999999991</v>
      </c>
      <c r="J49" s="8">
        <f t="shared" ref="J49:J56" si="16">I49*1.25</f>
        <v>663.87499999999989</v>
      </c>
      <c r="K49" s="8"/>
      <c r="L49" s="19"/>
    </row>
    <row r="50" spans="1:12" s="27" customFormat="1" ht="15" customHeight="1">
      <c r="A50"/>
      <c r="B50" s="7">
        <v>95506</v>
      </c>
      <c r="C50" s="76" t="s">
        <v>434</v>
      </c>
      <c r="D50" s="77">
        <v>1</v>
      </c>
      <c r="E50" s="76" t="s">
        <v>435</v>
      </c>
      <c r="F50" s="85">
        <v>50</v>
      </c>
      <c r="G50" s="76">
        <v>1</v>
      </c>
      <c r="H50" s="8">
        <f t="shared" si="15"/>
        <v>50</v>
      </c>
      <c r="I50" s="8">
        <f t="shared" si="13"/>
        <v>56.499999999999993</v>
      </c>
      <c r="J50" s="8">
        <f t="shared" si="16"/>
        <v>70.624999999999986</v>
      </c>
      <c r="K50" s="8"/>
      <c r="L50" s="19">
        <v>50</v>
      </c>
    </row>
    <row r="51" spans="1:12" s="27" customFormat="1" ht="15" customHeight="1">
      <c r="A51"/>
      <c r="B51" s="7">
        <v>95507</v>
      </c>
      <c r="C51" s="86" t="s">
        <v>436</v>
      </c>
      <c r="D51" s="87">
        <v>5</v>
      </c>
      <c r="E51" s="86" t="s">
        <v>437</v>
      </c>
      <c r="F51" s="88">
        <v>50</v>
      </c>
      <c r="G51" s="86">
        <v>1</v>
      </c>
      <c r="H51" s="8">
        <f t="shared" si="15"/>
        <v>50</v>
      </c>
      <c r="I51" s="8">
        <f t="shared" si="13"/>
        <v>56.499999999999993</v>
      </c>
      <c r="J51" s="8">
        <f t="shared" si="16"/>
        <v>70.624999999999986</v>
      </c>
      <c r="K51" s="8"/>
      <c r="L51" s="19"/>
    </row>
    <row r="52" spans="1:12" s="27" customFormat="1" ht="15" customHeight="1">
      <c r="A52"/>
      <c r="B52" s="7">
        <v>95508</v>
      </c>
      <c r="C52" s="76" t="s">
        <v>438</v>
      </c>
      <c r="D52" s="77">
        <v>3</v>
      </c>
      <c r="E52" s="89" t="s">
        <v>439</v>
      </c>
      <c r="F52" s="85">
        <v>22</v>
      </c>
      <c r="G52" s="76">
        <v>3</v>
      </c>
      <c r="H52" s="8">
        <f t="shared" si="15"/>
        <v>66</v>
      </c>
      <c r="I52" s="8">
        <f t="shared" si="13"/>
        <v>74.58</v>
      </c>
      <c r="J52" s="8">
        <f t="shared" si="16"/>
        <v>93.224999999999994</v>
      </c>
      <c r="K52" s="8"/>
      <c r="L52" s="19"/>
    </row>
    <row r="53" spans="1:12" s="27" customFormat="1" ht="15" customHeight="1">
      <c r="A53"/>
      <c r="B53" s="7">
        <v>95509</v>
      </c>
      <c r="C53" s="86" t="s">
        <v>317</v>
      </c>
      <c r="D53" s="87">
        <v>4</v>
      </c>
      <c r="E53" s="86" t="s">
        <v>440</v>
      </c>
      <c r="F53" s="88">
        <v>1.5</v>
      </c>
      <c r="G53" s="86">
        <v>13</v>
      </c>
      <c r="H53" s="8">
        <f t="shared" si="15"/>
        <v>19.5</v>
      </c>
      <c r="I53" s="8">
        <f t="shared" si="13"/>
        <v>22.034999999999997</v>
      </c>
      <c r="J53" s="8">
        <f t="shared" si="16"/>
        <v>27.543749999999996</v>
      </c>
      <c r="K53" s="8"/>
      <c r="L53" s="19"/>
    </row>
    <row r="54" spans="1:12" s="99" customFormat="1" ht="15" customHeight="1">
      <c r="A54" s="90"/>
      <c r="B54" s="91">
        <v>95510</v>
      </c>
      <c r="C54" s="92" t="s">
        <v>399</v>
      </c>
      <c r="D54" s="93">
        <v>6</v>
      </c>
      <c r="E54" s="94" t="s">
        <v>441</v>
      </c>
      <c r="F54" s="95">
        <v>25</v>
      </c>
      <c r="G54" s="96">
        <v>3</v>
      </c>
      <c r="H54" s="97">
        <f t="shared" si="15"/>
        <v>75</v>
      </c>
      <c r="I54" s="97">
        <v>0</v>
      </c>
      <c r="J54" s="97">
        <f t="shared" si="16"/>
        <v>0</v>
      </c>
      <c r="K54" s="97"/>
      <c r="L54" s="98"/>
    </row>
    <row r="55" spans="1:12" s="99" customFormat="1" ht="15" customHeight="1">
      <c r="A55" s="90"/>
      <c r="B55" s="91">
        <v>95511</v>
      </c>
      <c r="C55" s="100" t="s">
        <v>401</v>
      </c>
      <c r="D55" s="101">
        <v>6</v>
      </c>
      <c r="E55" s="102" t="s">
        <v>442</v>
      </c>
      <c r="F55" s="103">
        <v>15</v>
      </c>
      <c r="G55" s="104">
        <v>3</v>
      </c>
      <c r="H55" s="97">
        <f t="shared" si="15"/>
        <v>45</v>
      </c>
      <c r="I55" s="97">
        <v>0</v>
      </c>
      <c r="J55" s="97">
        <f t="shared" si="16"/>
        <v>0</v>
      </c>
      <c r="K55" s="97"/>
      <c r="L55" s="98"/>
    </row>
    <row r="56" spans="1:12" s="99" customFormat="1" ht="15" customHeight="1">
      <c r="A56" s="90"/>
      <c r="B56" s="91">
        <v>95512</v>
      </c>
      <c r="C56" s="92" t="s">
        <v>403</v>
      </c>
      <c r="D56" s="93">
        <v>6</v>
      </c>
      <c r="E56" s="94" t="s">
        <v>443</v>
      </c>
      <c r="F56" s="95">
        <v>10</v>
      </c>
      <c r="G56" s="96">
        <v>3</v>
      </c>
      <c r="H56" s="97">
        <f t="shared" si="15"/>
        <v>30</v>
      </c>
      <c r="I56" s="97">
        <v>0</v>
      </c>
      <c r="J56" s="97">
        <f t="shared" si="16"/>
        <v>0</v>
      </c>
      <c r="K56" s="97"/>
      <c r="L56" s="98"/>
    </row>
    <row r="57" spans="1:12" s="27" customFormat="1" ht="15" customHeight="1">
      <c r="A57"/>
      <c r="B57" s="7"/>
      <c r="C57" s="7"/>
      <c r="D57"/>
      <c r="E57"/>
      <c r="F57" s="8"/>
      <c r="G57" s="9"/>
      <c r="H57" s="8"/>
      <c r="I57" s="8"/>
      <c r="J57" s="8"/>
      <c r="K57" s="8"/>
      <c r="L57" s="19"/>
    </row>
    <row r="58" spans="1:12" ht="15" customHeight="1">
      <c r="A58" s="17"/>
      <c r="B58" s="21" t="s">
        <v>444</v>
      </c>
      <c r="C58" s="22"/>
      <c r="D58" s="23"/>
      <c r="E58" s="23"/>
      <c r="F58" s="24"/>
      <c r="G58" s="25"/>
      <c r="H58" s="24"/>
      <c r="I58" s="24">
        <f>SUM(I44:I56)</f>
        <v>12221.514999999999</v>
      </c>
      <c r="J58" s="24">
        <f>SUM(J44:J56)</f>
        <v>15276.893749999999</v>
      </c>
      <c r="K58" s="24">
        <f>SUM(K44:K47)</f>
        <v>0</v>
      </c>
      <c r="L58" s="26">
        <f>SUM(L44:L47)</f>
        <v>3706.8519999999994</v>
      </c>
    </row>
    <row r="59" spans="1:12" ht="15" customHeight="1">
      <c r="A59" s="17"/>
      <c r="B59" s="295"/>
      <c r="C59" s="295"/>
      <c r="D59" s="17"/>
      <c r="E59" s="17"/>
      <c r="F59" s="106"/>
      <c r="G59" s="37"/>
      <c r="H59" s="106"/>
      <c r="I59" s="106"/>
      <c r="J59" s="106"/>
      <c r="K59" s="106"/>
      <c r="L59" s="106"/>
    </row>
    <row r="60" spans="1:12" s="53" customFormat="1" ht="15" customHeight="1">
      <c r="A60" s="28"/>
      <c r="B60" s="29" t="s">
        <v>120</v>
      </c>
      <c r="C60" s="30"/>
      <c r="D60" s="31"/>
      <c r="E60" s="31"/>
      <c r="F60" s="32"/>
      <c r="G60" s="33"/>
      <c r="H60" s="32"/>
      <c r="I60" s="32">
        <f>SUM(I24+I28+I42+I58)</f>
        <v>18874.954999999998</v>
      </c>
      <c r="J60" s="32">
        <f>SUM(J24+J28+J42+J58)</f>
        <v>23593.693749999999</v>
      </c>
      <c r="K60" s="32">
        <f>SUM(K24+K28+K42+K58)</f>
        <v>0</v>
      </c>
      <c r="L60" s="71">
        <f>SUM(L24+L28+L42+L58)</f>
        <v>3706.8519999999994</v>
      </c>
    </row>
    <row r="61" spans="1:12" ht="15" customHeight="1">
      <c r="L61" s="19"/>
    </row>
    <row r="62" spans="1:12" ht="15" customHeight="1">
      <c r="A62" s="11" t="s">
        <v>56</v>
      </c>
      <c r="B62" s="12"/>
      <c r="C62" s="12"/>
      <c r="D62" s="13"/>
      <c r="E62" s="13"/>
      <c r="F62" s="14"/>
      <c r="G62" s="15"/>
      <c r="H62" s="14"/>
      <c r="I62" s="14"/>
      <c r="J62" s="14"/>
      <c r="K62" s="14"/>
      <c r="L62" s="16"/>
    </row>
    <row r="63" spans="1:12" s="27" customFormat="1" ht="15" customHeight="1">
      <c r="A63" s="17"/>
      <c r="B63" s="295" t="s">
        <v>58</v>
      </c>
      <c r="C63" s="295"/>
      <c r="D63" s="17"/>
      <c r="E63" s="17"/>
      <c r="F63" s="36"/>
      <c r="G63" s="37"/>
      <c r="H63" s="36"/>
      <c r="I63" s="36">
        <f>I15</f>
        <v>18306</v>
      </c>
      <c r="J63" s="36">
        <f>J15</f>
        <v>13729.5</v>
      </c>
      <c r="K63" s="36">
        <f>K15</f>
        <v>0</v>
      </c>
      <c r="L63" s="38">
        <f>L15</f>
        <v>0</v>
      </c>
    </row>
    <row r="64" spans="1:12" s="27" customFormat="1" ht="15" customHeight="1">
      <c r="A64" s="17"/>
      <c r="B64" s="295" t="s">
        <v>62</v>
      </c>
      <c r="C64" s="295"/>
      <c r="D64" s="17"/>
      <c r="E64" s="17"/>
      <c r="F64" s="36"/>
      <c r="G64" s="37"/>
      <c r="H64" s="36"/>
      <c r="I64" s="36">
        <f>I60</f>
        <v>18874.954999999998</v>
      </c>
      <c r="J64" s="36">
        <f>J60</f>
        <v>23593.693749999999</v>
      </c>
      <c r="K64" s="36">
        <f>K60</f>
        <v>0</v>
      </c>
      <c r="L64" s="39">
        <f>L60</f>
        <v>3706.8519999999994</v>
      </c>
    </row>
    <row r="65" spans="1:12" s="27" customFormat="1" ht="15" customHeight="1">
      <c r="A65" s="40"/>
      <c r="B65" s="41" t="s">
        <v>65</v>
      </c>
      <c r="C65" s="41"/>
      <c r="D65" s="40"/>
      <c r="E65" s="40"/>
      <c r="F65" s="42"/>
      <c r="G65" s="43"/>
      <c r="H65" s="42"/>
      <c r="I65" s="42">
        <f>SUM(I63,I64*-1)</f>
        <v>-568.95499999999811</v>
      </c>
      <c r="J65" s="42">
        <f t="shared" ref="J65:L65" si="17">SUM(J63,J64*-1)</f>
        <v>-9864.1937499999985</v>
      </c>
      <c r="K65" s="42">
        <f t="shared" si="17"/>
        <v>0</v>
      </c>
      <c r="L65" s="44">
        <f t="shared" si="17"/>
        <v>-3706.8519999999994</v>
      </c>
    </row>
  </sheetData>
  <mergeCells count="1">
    <mergeCell ref="B1:K1"/>
  </mergeCells>
  <conditionalFormatting sqref="B7:L8 B12:L13 B19:B22 H19:L22 B43:L43 B44:B53 H44:L44 H45:H53 J45:L53 I45:I56 B57:L65 B23:L28 B33:H38 I33:L40 B39:D40 F39:H40">
    <cfRule type="expression" dxfId="100" priority="7">
      <formula>MOD($B7,2)=1</formula>
    </cfRule>
  </conditionalFormatting>
  <conditionalFormatting sqref="B6:D6 F6:L6">
    <cfRule type="expression" dxfId="99" priority="6">
      <formula>MOD($B6,2)=1</formula>
    </cfRule>
  </conditionalFormatting>
  <conditionalFormatting sqref="B14:L16">
    <cfRule type="expression" dxfId="98" priority="5">
      <formula>MOD($B14,2)=1</formula>
    </cfRule>
  </conditionalFormatting>
  <conditionalFormatting sqref="B29:L32 B41:L42">
    <cfRule type="expression" dxfId="97" priority="4">
      <formula>MOD($B29,2)=1</formula>
    </cfRule>
  </conditionalFormatting>
  <conditionalFormatting sqref="B11:D11 F11:L11">
    <cfRule type="expression" dxfId="96" priority="3">
      <formula>MOD($B11,2)=1</formula>
    </cfRule>
  </conditionalFormatting>
  <conditionalFormatting sqref="B9:L9">
    <cfRule type="expression" dxfId="95" priority="2">
      <formula>MOD($B9,2)=1</formula>
    </cfRule>
  </conditionalFormatting>
  <conditionalFormatting sqref="B54:B56 H54:H56 J54:L56">
    <cfRule type="expression" dxfId="94" priority="1">
      <formula>MOD($B54,2)=1</formula>
    </cfRule>
  </conditionalFormatting>
  <hyperlinks>
    <hyperlink ref="E40" r:id="rId1" xr:uid="{8E95AE50-1324-4601-B20B-D8F324581A70}"/>
    <hyperlink ref="E39" r:id="rId2" xr:uid="{06E1A50E-7FA0-4C77-9C49-A4B9086A5D02}"/>
  </hyperlinks>
  <pageMargins left="0.7" right="0.7" top="0.75" bottom="0.75" header="0.3" footer="0.3"/>
  <pageSetup scale="26" fitToWidth="0" fitToHeight="0"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3020dd-1c53-4487-af4f-4985d5723a65">
      <Terms xmlns="http://schemas.microsoft.com/office/infopath/2007/PartnerControls"/>
    </lcf76f155ced4ddcb4097134ff3c332f>
    <TaxCatchAll xmlns="12f77076-1981-4271-90bd-dc7fba8c67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3B4D67AE2907469792FA4AE016E038" ma:contentTypeVersion="4" ma:contentTypeDescription="Create a new document." ma:contentTypeScope="" ma:versionID="c881f6bcd56c09df6df4f9d73d5ff440">
  <xsd:schema xmlns:xsd="http://www.w3.org/2001/XMLSchema" xmlns:xs="http://www.w3.org/2001/XMLSchema" xmlns:p="http://schemas.microsoft.com/office/2006/metadata/properties" xmlns:ns2="0a431e61-0e8f-4f5a-8b32-084ebb76e4f6" xmlns:ns3="a212bd4b-3bf1-4aa2-80da-e3df6b78fb5b" xmlns:ns4="df3020dd-1c53-4487-af4f-4985d5723a65" xmlns:ns5="12f77076-1981-4271-90bd-dc7fba8c675c" targetNamespace="http://schemas.microsoft.com/office/2006/metadata/properties" ma:root="true" ma:fieldsID="b42231c05bdbb234e04f26adec14a191" ns2:_="" ns3:_="" ns4:_="" ns5:_="">
    <xsd:import namespace="0a431e61-0e8f-4f5a-8b32-084ebb76e4f6"/>
    <xsd:import namespace="a212bd4b-3bf1-4aa2-80da-e3df6b78fb5b"/>
    <xsd:import namespace="df3020dd-1c53-4487-af4f-4985d5723a65"/>
    <xsd:import namespace="12f77076-1981-4271-90bd-dc7fba8c67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31e61-0e8f-4f5a-8b32-084ebb76e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12bd4b-3bf1-4aa2-80da-e3df6b78fb5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020dd-1c53-4487-af4f-4985d5723a65"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4267509-1400-46dd-baba-6ec391f5fe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f77076-1981-4271-90bd-dc7fba8c675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2f77076-1981-4271-90bd-dc7fba8c675c}" ma:internalName="TaxCatchAll" ma:showField="CatchAllData" ma:web="9c31d991-ebff-45ac-943b-c4ead7096b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f 0 6 3 3 e b 9 - 5 1 d c - 4 1 2 c - 8 a 9 6 - 4 0 f f b 1 a 8 1 7 0 3 "   x m l n s = " h t t p : / / s c h e m a s . m i c r o s o f t . c o m / D a t a M a s h u p " > A A A A A A o G A A B Q S w M E F A A C A A g A g 4 A e U / n 1 d Y m k A A A A 9 Q A A A B I A H A B D b 2 5 m a W c v U G F j a 2 F n Z S 5 4 b W w g o h g A K K A U A A A A A A A A A A A A A A A A A A A A A A A A A A A A h Y 9 N D o I w F I S v Q r q n B f y J m k e J c S u J i d G 4 b U q F R n g Y W i x 3 c + G R v I I Y R d 2 5 n P m + x c z 9 e o O k q 0 r v o h q j a 4 x J S A P i K Z R 1 p j G P S W u P / o w k H D Z C n k S u v F 5 G s + h M F p P C 2 v O C M e c c d S N a N z m L g i B k h 3 S 9 l Y W q B P n I + r / s a z R W o F S E w / 4 1 h k d 0 P q H T c T 8 J 2 N B B q v H L o 5 4 9 6 U 8 J q 7 a 0 b a O 4 Q n + 5 A z Z E Y O 8 L / A F Q S w M E F A A C A A g A g 4 A 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O A H l M T S g i M B A M A A L k L A A A T A B w A R m 9 y b X V s Y X M v U 2 V j d G l v b j E u b S C i G A A o o B Q A A A A A A A A A A A A A A A A A A A A A A A A A A A D d V V 1 v 2 j A U f U f i P 1 j m J U g p K t 1 3 N 1 p 1 U D R W q e t K p z 0 E N B l y g a i O 3 d k O B S H + + + w 4 S 0 J I 1 q r T J m 1 9 o T m + P u f 4 3 u t r C V M V c I a G 9 r f 9 t l 6 r 1 + S C C P B R A 5 / 3 0 P v I n 4 O S G H U Q B V W v I f 0 3 5 J G Y g k b 6 n P o g W v 2 A g n R w 9 3 j 0 R Y K Q o / A e J q M e v 2 e U E 1 + O c i x N 1 z I 0 s N 6 j w K h 8 C H w f G I o 5 2 k b m h k w o t I Z A t a V r f i 8 d K + c i I N M F 8 s 6 U E s E k U i D H p 5 7 d P D 5 F 7 0 6 Q E h F k / A O 2 5 L e A u p F U P E T 9 i N n z Z Q J n v t / l N A q Z U 2 n G R f h G E C Z n X I Q x h h M T j S L u e F 3 O F D A 1 b m Y W r o G R U J N a m f z h 7 E q C O 9 V m X b T B l z r S O L F Z a M W f 2 7 x I y J d a 5 J N a g C i R s n n M p P Z M G Y 0 8 9 / 6 h c 2 r n q z v C f L 0 9 J k 9 I c m p 2 P f 4 / T W 6 F w 7 L k W h I b Y s w Y w 8 V M N / C Q h H d a P P 5 s 5 v L d X R A 2 N 9 7 W d 5 B Z S v d b W r N o a C t O 4 m 6 K 2 V B 6 A 1 K w U l u T q T T O 4 o S t Y / i j b p o L v g x Y M F 0 0 H D p r 9 g K h 0 8 4 F 4 j P U A x n M W X G L Z X p W D j 8 v h 1 + U w y / L 4 V f l 8 O t y + E 0 5 3 D 6 s w P d y k O B H e X z b r N c C V l q g / K S 5 I k I n W 1 / B t i 7 b b o G R x g n y B j K N + R y B W H f M b X f R + 4 A R s R 7 o O 6 u C W Q C i s 7 v Z j a U 6 2 I b p z y L N N X y P d K X 8 m G 6 8 O / y y x t v x U z Y H z 1 d T o K 2 v X N x O O L 9 1 s u O 4 i E W U u o X Z t N 8 c 3 4 Y L A G X I L e f G G y g I O y W R 2 L 0 I m N / B d s N 4 6 / W I I u O U + k r w k C s z y Y D o 0 S y z e 5 C s J L j z C x c u 8 p L g M 0 q H U 0 K J k D Z B O 9 X c k 9 p N 3 4 N J e / L j c U m W w Z z E E z J L 2 O E 2 H c G Z y V x k b M 5 L Z 2 t c f d 0 W f s D m m g R v M I Y V a M d E 9 H X J I 0 r i 6 4 + P c U U f 4 C 1 G 4 9 J u q T 5 x r j G a q H O S R T y 9 m f 5 w Q / 2 l p j I y P 2 t W I Z k V 1 R 5 o t 9 l K j v W Y i 2 p K 1 U r a 5 l E 9 O D o 6 P G o f n L P 5 k E 8 P r N C B X W q t q A x 1 i / 5 n F / 5 p j + u e K f O s F p 7 O 9 E n 9 / b e z 8 D o / 9 H g W w v / N 1 / M H U E s B A i 0 A F A A C A A g A g 4 A e U / n 1 d Y m k A A A A 9 Q A A A B I A A A A A A A A A A A A A A A A A A A A A A E N v b m Z p Z y 9 Q Y W N r Y W d l L n h t b F B L A Q I t A B Q A A g A I A I O A H l M P y u m r p A A A A O k A A A A T A A A A A A A A A A A A A A A A A P A A A A B b Q 2 9 u d G V u d F 9 U e X B l c 1 0 u e G 1 s U E s B A i 0 A F A A C A A g A g 4 A e U x N K C I w E A w A A u Q s A A B M A A A A A A A A A A A A A A A A A 4 Q E A A E Z v c m 1 1 b G F z L 1 N l Y 3 R p b 2 4 x L m 1 Q S w U G A A A A A A M A A w D C A A A A M 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S k A A A A A A A B D K 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B M U s 5 W W x G Y U 1 I U l l q N m Q 2 V C 8 v T U p J S G x S e V l X N X p a b T l 5 Y l N C R 2 F X e G x J R 1 p 5 Y j I w Z 1 J V U W d R b l Z r W j J W M G N 3 Q U F B Q U F B Q U F B Q U F B R G 4 0 R T A 5 W E d J V 1 J M Z H R F c V N Z O X R 4 V U R r a G x i S E J s Y 2 l C U m R X V n l h V 1 Z 6 Q U F F M U s 5 W W x G Y U 1 I U l l q N m Q 2 V C 8 v T U p J Q U F B Q U F B P T 0 i I C 8 + P C 9 T d G F i b G V F b n R y a W V z P j w v S X R l b T 4 8 S X R l b T 4 8 S X R l b U x v Y 2 F 0 a W 9 u P j x J d G V t V H l w Z T 5 G b 3 J t d W x h P C 9 J d G V t V H l w Z T 4 8 S X R l b V B h d G g + U 2 V j d G l v b j E v R U Q l M j B C d W R n Z X 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M C I g L z 4 8 R W 5 0 c n k g V H l w Z T 0 i R m l s b E V y c m 9 y Q 2 9 k Z S I g V m F s d W U 9 I n N V b m t u b 3 d u I i A v P j x F b n R y e S B U e X B l P S J G a W x s R X J y b 3 J D b 3 V u d C I g V m F s d W U 9 I m w w I i A v P j x F b n R y e S B U e X B l P S J G a W x s T G F z d F V w Z G F 0 Z W Q i I F Z h b H V l P S J k M j A y M S 0 w O C 0 z M F Q y M D o w M T o w M S 4 3 M j g y M j k 0 W i I g L z 4 8 R W 5 0 c n k g V H l w Z T 0 i R m l s b F N 0 Y X R 1 c y I g V m F s d W U 9 I n N X Y W l 0 a W 5 n R m 9 y R X h j Z W x S Z W Z y Z X N o I i A v P j w v U 3 R h Y m x l R W 5 0 c m l l c z 4 8 L 0 l 0 Z W 0 + P E l 0 Z W 0 + P E l 0 Z W 1 M b 2 N h d G l v b j 4 8 S X R l b V R 5 c G U + R m 9 y b X V s Y T w v S X R l b V R 5 c G U + P E l 0 Z W 1 Q Y X R o P l N l Y 3 R p b 2 4 x L 0 V E J T I w Q n V k Z 2 V 0 c y 9 T b 3 V y Y 2 U 8 L 0 l 0 Z W 1 Q Y X R o P j w v S X R l b U x v Y 2 F 0 a W 9 u P j x T d G F i b G V F b n R y a W V z I C 8 + P C 9 J d G V t P j x J d G V t P j x J d G V t T G 9 j Y X R p b 2 4 + P E l 0 Z W 1 U e X B l P k Z v c m 1 1 b G E 8 L 0 l 0 Z W 1 U e X B l P j x J d G V t U G F 0 a D 5 T Z W N 0 a W 9 u M S 9 Q Y X J h b W V 0 Z X I x P C 9 J d G V t U G F 0 a D 4 8 L 0 l 0 Z W 1 M b 2 N h d G l v b j 4 8 U 3 R h Y m x l R W 5 0 c m l l c z 4 8 R W 5 0 c n k g V H l w Z T 0 i S X N Q c m l 2 Y X R l I i B W Y W x 1 Z T 0 i b D A i I C 8 + P E V u d H J 5 I F R 5 c G U 9 I k x v Y W R U b 1 J l c G 9 y d E R p c 2 F i b G V k I i B W Y W x 1 Z T 0 i b D E i I C 8 + P E V u d H J 5 I F R 5 c G U 9 I l F 1 Z X J 5 R 3 J v d X B J R C I g V m F s d W U 9 I n M z Z D R k Z T B l N y 0 2 M j V j L T Q 0 M T Y t Y j c 2 Z C 0 x M m E 0 O T h m N m R j N T Q 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O C 0 z M F Q y M D o w M T o w M i 4 z M T Y z N D M 0 W i I g L z 4 8 R W 5 0 c n k g V H l w Z T 0 i R m l s b F N 0 Y X R 1 c y I g V m F s d W U 9 I n N D b 2 1 w b G V 0 Z S I g L z 4 8 L 1 N 0 Y W J s Z U V u d H J p Z X M + P C 9 J d G V t P j x J d G V t P j x J d G V t T G 9 j Y X R p b 2 4 + P E l 0 Z W 1 U e X B l P k Z v c m 1 1 b G E 8 L 0 l 0 Z W 1 U e X B l P j x J d G V t U G F 0 a D 5 T Z W N 0 a W 9 u M S 9 T Y W 1 w b G U l M j B G a W x l P C 9 J d G V t U G F 0 a D 4 8 L 0 l 0 Z W 1 M b 2 N h d G l v b j 4 8 U 3 R h Y m x l R W 5 0 c m l l c z 4 8 R W 5 0 c n k g V H l w Z T 0 i S X N Q c m l 2 Y X R l I i B W Y W x 1 Z T 0 i b D A i I C 8 + P E V u d H J 5 I F R 5 c G U 9 I k x v Y W R l Z F R v Q W 5 h b H l z a X N T Z X J 2 a W N l c y I g V m F s d W U 9 I m w w I i A v P j x F b n R y e S B U e X B l P S J G a W x s U 3 R h d H V z I i B W Y W x 1 Z T 0 i c 0 N v b X B s Z X R l I i A v P j x F b n R y e S B U e X B l P S J G a W x s T G F z d F V w Z G F 0 Z W Q i I F Z h b H V l P S J k M j A y M S 0 w O C 0 z M F Q y M D o w M T o w M i 4 z M j Q z N j U 4 W i I g L z 4 8 R W 5 0 c n k g V H l w Z T 0 i R m l s b E V y c m 9 y Q 2 9 k Z S I g V m F s d W U 9 I n N V b m t u b 3 d u I i A v P j x F b n R y e S B U e X B l P S J B Z G R l Z F R v R G F 0 Y U 1 v Z G V s I i B W Y W x 1 Z T 0 i b D A i I C 8 + P E V u d H J 5 I F R 5 c G U 9 I k x v Y W R U b 1 J l c G 9 y d E R p c 2 F i b G V k I i B W Y W x 1 Z T 0 i b D E i I C 8 + P E V u d H J 5 I F R 5 c G U 9 I l F 1 Z X J 5 R 3 J v d X B J R C I g V m F s d W U 9 I n M z Z D R k Z T B l N y 0 2 M j V j L T Q 0 M T Y t Y j c 2 Z C 0 x M m E 0 O T h m N m R j N T Q 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C 9 T d G F i b G V F b n R y a W V z P j w v S X R l b T 4 8 S X R l b T 4 8 S X R l b U x v Y 2 F 0 a W 9 u P j x J d G V t V H l w Z T 5 G b 3 J t d W x h P C 9 J d G V t V H l w Z T 4 8 S X R l b V B h d G g + U 2 V j d G l v b j E v U 2 F t c G x l J T I w R m l s Z S 9 T b 3 V y Y 2 U 8 L 0 l 0 Z W 1 Q Y X R o P j w v S X R l b U x v Y 2 F 0 a W 9 u P j x T d G F i b G V F b n R y a W V z I C 8 + P C 9 J d G V t P j x J d G V t P j x J d G V t T G 9 j Y X R p b 2 4 + P E l 0 Z W 1 U e X B l P k Z v c m 1 1 b G E 8 L 0 l 0 Z W 1 U e X B l P j x J d G V t U G F 0 a D 5 T Z W N 0 a W 9 u M S 9 T Y W 1 w b G U l M j B G a W x l L 0 5 h d m l n Y X R p b 2 4 x P C 9 J d G V t U G F 0 a D 4 8 L 0 l 0 Z W 1 M b 2 N h d G l v b j 4 8 U 3 R h Y m x l R W 5 0 c m l l c y A v P j w v S X R l b T 4 8 S X R l b T 4 8 S X R l b U x v Y 2 F 0 a W 9 u P j x J d G V t V H l w Z T 5 G b 3 J t d W x h P C 9 J d G V t V H l w Z T 4 8 S X R l b V B h d G g + U 2 V j d G l v b j E v V H J h b n N m b 3 J t J T I w U 2 F t c G x l J T I w R m l s Z T w v S X R l b V B h d G g + P C 9 J d G V t T G 9 j Y X R p b 2 4 + P F N 0 Y W J s Z U V u d H J p Z X M + P E V u d H J 5 I F R 5 c G U 9 I k l z U H J p d m F 0 Z S I g V m F s d W U 9 I m w w I i A v P j x F b n R y e S B U e X B l P S J M b 2 F k V G 9 S Z X B v c n R E a X N h Y m x l Z C I g V m F s d W U 9 I m w x I i A v P j x F b n R y e S B U e X B l P S J R d W V y e U d y b 3 V w S U Q i I F Z h b H V l P S J z M j V k N j J i M z U t Y T M x N S 0 0 N T A 3 L T g 4 Z m E t N z d h N G Z m Z m N j M j Q 4 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O C 0 z M F Q y M D o w M T o w M i 4 z M j Q z N j U 4 W i I g L z 4 8 R W 5 0 c n k g V H l w Z T 0 i R m l s b F N 0 Y X R 1 c y I g V m F s d W U 9 I n N D b 2 1 w b G V 0 Z S I g L z 4 8 L 1 N 0 Y W J s Z U V u d H J p Z X M + P C 9 J d G V t P j x J d G V t P j x J d G V t T G 9 j Y X R p b 2 4 + P E l 0 Z W 1 U e X B l P k Z v c m 1 1 b G E 8 L 0 l 0 Z W 1 U e X B l P j x J d G V t U G F 0 a D 5 T Z W N 0 a W 9 u M S 9 U c m F u c 2 Z v c m 0 l M j B T Y W 1 w b G U l M j B G a W x l L 1 N v d X J j Z T w v S X R l b V B h d G g + P C 9 J d G V t T G 9 j Y X R p b 2 4 + P F N 0 Y W J s Z U V u d H J p Z X M g L z 4 8 L 0 l 0 Z W 0 + P E l 0 Z W 0 + P E l 0 Z W 1 M b 2 N h d G l v b j 4 8 S X R l b V R 5 c G U + R m 9 y b X V s Y T w v S X R l b V R 5 c G U + P E l 0 Z W 1 Q Y X R o P l N l Y 3 R p b 2 4 x L 1 R y Y W 5 z Z m 9 y b S U y M F N h b X B s Z S U y M E Z p b G U v R G l y Z W N 0 b 3 I l M j B v Z i U y M E R l c 2 l n b l 9 T a G V l d D w v S X R l b V B h d G g + P C 9 J d G V t T G 9 j Y X R p b 2 4 + P F N 0 Y W J s Z U V u d H J p Z X M g L z 4 8 L 0 l 0 Z W 0 + P E l 0 Z W 0 + P E l 0 Z W 1 M b 2 N h d G l v b j 4 8 S X R l b V R 5 c G U + R m 9 y b X V s Y T w v S X R l b V R 5 c G U + P E l 0 Z W 1 Q Y X R o P l N l Y 3 R p b 2 4 x L 1 R y Y W 5 z Z m 9 y b S U y M F N h b X B s Z S U y M E Z p b G U v U H J v b W 9 0 Z W Q l M j B I Z W F k Z X J z P C 9 J d G V t U G F 0 a D 4 8 L 0 l 0 Z W 1 M b 2 N h d G l v b j 4 8 U 3 R h Y m x l R W 5 0 c m l l c y A v P j w v S X R l b T 4 8 S X R l b T 4 8 S X R l b U x v Y 2 F 0 a W 9 u P j x J d G V t V H l w Z T 5 G b 3 J t d W x h P C 9 J d G V t V H l w Z T 4 8 S X R l b V B h d G g + U 2 V j d G l v b j E v V H J h b n N m b 3 J t J T I w R m l s Z T w v S X R l b V B h d G g + P C 9 J d G V t T G 9 j Y X R p b 2 4 + P F N 0 Y W J s Z U V u d H J p Z X M + P E V u d H J 5 I F R 5 c G U 9 I k x v Y W R U b 1 J l c G 9 y d E R p c 2 F i b G V k I i B W Y W x 1 Z T 0 i b D E i I C 8 + P E V u d H J 5 I F R 5 c G U 9 I l F 1 Z X J 5 R 3 J v d X B J R C I g V m F s d W U 9 I n M z Z D R k Z T B l N y 0 2 M j V j L T Q 0 M T Y t Y j c 2 Z C 0 x M m E 0 O T h m N m R j N T Q 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O C 0 z M F Q y M D o w M T o w M i 4 z M j Q z N j U 4 W i I g L z 4 8 R W 5 0 c n k g V H l w Z T 0 i R m l s b F N 0 Y X R 1 c y I g V m F s d W U 9 I n N D b 2 1 w b G V 0 Z S I g L z 4 8 L 1 N 0 Y W J s Z U V u d H J p Z X M + P C 9 J d G V t P j x J d G V t P j x J d G V t T G 9 j Y X R p b 2 4 + P E l 0 Z W 1 U e X B l P k Z v c m 1 1 b G E 8 L 0 l 0 Z W 1 U e X B l P j x J d G V t U G F 0 a D 5 T Z W N 0 a W 9 u M S 9 U c m F u c 2 Z v c m 0 l M j B G a W x l L 1 N v d X J j Z T w v S X R l b V B h d G g + P C 9 J d G V t T G 9 j Y X R p b 2 4 + P F N 0 Y W J s Z U V u d H J p Z X M g L z 4 8 L 0 l 0 Z W 0 + P E l 0 Z W 0 + P E l 0 Z W 1 M b 2 N h d G l v b j 4 8 S X R l b V R 5 c G U + R m 9 y b X V s Y T w v S X R l b V R 5 c G U + P E l 0 Z W 1 Q Y X R o P l N l Y 3 R p b 2 4 x L 0 V E J T I w Q n V k Z 2 V 0 c y 9 G a W x 0 Z X J l Z C U y M E h p Z G R l b i U y M E Z p b G V z M T w v S X R l b V B h d G g + P C 9 J d G V t T G 9 j Y X R p b 2 4 + P F N 0 Y W J s Z U V u d H J p Z X M g L z 4 8 L 0 l 0 Z W 0 + P E l 0 Z W 0 + P E l 0 Z W 1 M b 2 N h d G l v b j 4 8 S X R l b V R 5 c G U + R m 9 y b X V s Y T w v S X R l b V R 5 c G U + P E l 0 Z W 1 Q Y X R o P l N l Y 3 R p b 2 4 x L 0 V E J T I w Q n V k Z 2 V 0 c y 9 J b n Z v a 2 U l M j B D d X N 0 b 2 0 l M j B G d W 5 j d G l v b j E 8 L 0 l 0 Z W 1 Q Y X R o P j w v S X R l b U x v Y 2 F 0 a W 9 u P j x T d G F i b G V F b n R y a W V z I C 8 + P C 9 J d G V t P j x J d G V t P j x J d G V t T G 9 j Y X R p b 2 4 + P E l 0 Z W 1 U e X B l P k Z v c m 1 1 b G E 8 L 0 l 0 Z W 1 U e X B l P j x J d G V t U G F 0 a D 5 T Z W N 0 a W 9 u M S 9 F R C U y M E J 1 Z G d l d H M v U m V u Y W 1 l Z C U y M E N v b H V t b n M x P C 9 J d G V t U G F 0 a D 4 8 L 0 l 0 Z W 1 M b 2 N h d G l v b j 4 8 U 3 R h Y m x l R W 5 0 c m l l c y A v P j w v S X R l b T 4 8 S X R l b T 4 8 S X R l b U x v Y 2 F 0 a W 9 u P j x J d G V t V H l w Z T 5 G b 3 J t d W x h P C 9 J d G V t V H l w Z T 4 8 S X R l b V B h d G g + U 2 V j d G l v b j E v R U Q l M j B C d W R n Z X R z L 1 J l b W 9 2 Z W Q l M j B P d G h l c i U y M E N v b H V t b n M x P C 9 J d G V t U G F 0 a D 4 8 L 0 l 0 Z W 1 M b 2 N h d G l v b j 4 8 U 3 R h Y m x l R W 5 0 c m l l c y A v P j w v S X R l b T 4 8 S X R l b T 4 8 S X R l b U x v Y 2 F 0 a W 9 u P j x J d G V t V H l w Z T 5 G b 3 J t d W x h P C 9 J d G V t V H l w Z T 4 8 S X R l b V B h d G g + U 2 V j d G l v b j E v R U Q l M j B C d W R n Z X R z L 0 V 4 c G F u Z G V k J T I w V G F i b G U l M j B D b 2 x 1 b W 4 x P C 9 J d G V t U G F 0 a D 4 8 L 0 l 0 Z W 1 M b 2 N h d G l v b j 4 8 U 3 R h Y m x l R W 5 0 c m l l c y A v P j w v S X R l b T 4 8 S X R l b T 4 8 S X R l b U x v Y 2 F 0 a W 9 u P j x J d G V t V H l w Z T 5 G b 3 J t d W x h P C 9 J d G V t V H l w Z T 4 8 S X R l b V B h d G g + U 2 V j d G l v b j E v R U Q l M j B C d W R n Z X R z L 0 N o Y W 5 n Z W Q l M j B U e X B l P C 9 J d G V t U G F 0 a D 4 8 L 0 l 0 Z W 1 M b 2 N h d G l v b j 4 8 U 3 R h Y m x l R W 5 0 c m l l c y A v P j w v S X R l b T 4 8 S X R l b T 4 8 S X R l b U x v Y 2 F 0 a W 9 u P j x J d G V t V H l w Z T 5 G b 3 J t d W x h P C 9 J d G V t V H l w Z T 4 8 S X R l b V B h d G g + U 2 V j d G l v b j E v R G l y Z W N 0 b 3 I l M j B v Z i U y M E R l c 2 l n 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l J l b G F 0 a W 9 u c 2 h p c E l u Z m 9 D b 2 5 0 Y W l u Z X I i I F Z h b H V l P S J z e y Z x d W 9 0 O 2 N v b H V t b k N v d W 5 0 J n F 1 b 3 Q 7 O j E y L C Z x d W 9 0 O 2 t l e U N v b H V t b k 5 h b W V z J n F 1 b 3 Q 7 O l t d L C Z x d W 9 0 O 3 F 1 Z X J 5 U m V s Y X R p b 2 5 z a G l w c y Z x d W 9 0 O z p b X S w m c X V v d D t j b 2 x 1 b W 5 J Z G V u d G l 0 a W V z J n F 1 b 3 Q 7 O l s m c X V v d D t T Z W N 0 a W 9 u M S 9 E a X J l Y 3 R v c i B v Z i B E Z X N p Z 2 4 v Q X V 0 b 1 J l b W 9 2 Z W R D b 2 x 1 b W 5 z M S 5 7 Q 2 9 s d W 1 u M S w w f S Z x d W 9 0 O y w m c X V v d D t T Z W N 0 a W 9 u M S 9 E a X J l Y 3 R v c i B v Z i B E Z X N p Z 2 4 v Q X V 0 b 1 J l b W 9 2 Z W R D b 2 x 1 b W 5 z M S 5 7 S m V u I E t v d m l u a W N o X G 5 E a X J l Y 3 R v c i B v Z i B E Z X N p Z 2 4 s M X 0 m c X V v d D s s J n F 1 b 3 Q 7 U 2 V j d G l v b j E v R G l y Z W N 0 b 3 I g b 2 Y g R G V z a W d u L 0 F 1 d G 9 S Z W 1 v d m V k Q 2 9 s d W 1 u c z E u e 0 N v b H V t b j M s M n 0 m c X V v d D s s J n F 1 b 3 Q 7 U 2 V j d G l v b j E v R G l y Z W N 0 b 3 I g b 2 Y g R G V z a W d u L 0 F 1 d G 9 S Z W 1 v d m V k Q 2 9 s d W 1 u c z E u e 0 N v b H V t b j Q s M 3 0 m c X V v d D s s J n F 1 b 3 Q 7 U 2 V j d G l v b j E v R G l y Z W N 0 b 3 I g b 2 Y g R G V z a W d u L 0 F 1 d G 9 S Z W 1 v d m V k Q 2 9 s d W 1 u c z E u e 0 N v b H V t b j U s N H 0 m c X V v d D s s J n F 1 b 3 Q 7 U 2 V j d G l v b j E v R G l y Z W N 0 b 3 I g b 2 Y g R G V z a W d u L 0 F 1 d G 9 S Z W 1 v d m V k Q 2 9 s d W 1 u c z E u e 0 N v b H V t b j Y s N X 0 m c X V v d D s s J n F 1 b 3 Q 7 U 2 V j d G l v b j E v R G l y Z W N 0 b 3 I g b 2 Y g R G V z a W d u L 0 F 1 d G 9 S Z W 1 v d m V k Q 2 9 s d W 1 u c z E u e 0 N v b H V t b j c s N n 0 m c X V v d D s s J n F 1 b 3 Q 7 U 2 V j d G l v b j E v R G l y Z W N 0 b 3 I g b 2 Y g R G V z a W d u L 0 F 1 d G 9 S Z W 1 v d m V k Q 2 9 s d W 1 u c z E u e 0 N v b H V t b j g s N 3 0 m c X V v d D s s J n F 1 b 3 Q 7 U 2 V j d G l v b j E v R G l y Z W N 0 b 3 I g b 2 Y g R G V z a W d u L 0 F 1 d G 9 S Z W 1 v d m V k Q 2 9 s d W 1 u c z E u e 0 N v b H V t b j k s O H 0 m c X V v d D s s J n F 1 b 3 Q 7 U 2 V j d G l v b j E v R G l y Z W N 0 b 3 I g b 2 Y g R G V z a W d u L 0 F 1 d G 9 S Z W 1 v d m V k Q 2 9 s d W 1 u c z E u e 0 N v b H V t b j E w L D l 9 J n F 1 b 3 Q 7 L C Z x d W 9 0 O 1 N l Y 3 R p b 2 4 x L 0 R p c m V j d G 9 y I G 9 m I E R l c 2 l n b i 9 B d X R v U m V t b 3 Z l Z E N v b H V t b n M x L n t D b 2 x 1 b W 4 x M S w x M H 0 m c X V v d D s s J n F 1 b 3 Q 7 U 2 V j d G l v b j E v R G l y Z W N 0 b 3 I g b 2 Y g R G V z a W d u L 0 F 1 d G 9 S Z W 1 v d m V k Q 2 9 s d W 1 u c z E u e 0 N v b H V t b j E y L D E x f S Z x d W 9 0 O 1 0 s J n F 1 b 3 Q 7 Q 2 9 s d W 1 u Q 2 9 1 b n Q m c X V v d D s 6 M T I s J n F 1 b 3 Q 7 S 2 V 5 Q 2 9 s d W 1 u T m F t Z X M m c X V v d D s 6 W 1 0 s J n F 1 b 3 Q 7 Q 2 9 s d W 1 u S W R l b n R p d G l l c y Z x d W 9 0 O z p b J n F 1 b 3 Q 7 U 2 V j d G l v b j E v R G l y Z W N 0 b 3 I g b 2 Y g R G V z a W d u L 0 F 1 d G 9 S Z W 1 v d m V k Q 2 9 s d W 1 u c z E u e 0 N v b H V t b j E s M H 0 m c X V v d D s s J n F 1 b 3 Q 7 U 2 V j d G l v b j E v R G l y Z W N 0 b 3 I g b 2 Y g R G V z a W d u L 0 F 1 d G 9 S Z W 1 v d m V k Q 2 9 s d W 1 u c z E u e 0 p l b i B L b 3 Z p b m l j a F x u R G l y Z W N 0 b 3 I g b 2 Y g R G V z a W d u L D F 9 J n F 1 b 3 Q 7 L C Z x d W 9 0 O 1 N l Y 3 R p b 2 4 x L 0 R p c m V j d G 9 y I G 9 m I E R l c 2 l n b i 9 B d X R v U m V t b 3 Z l Z E N v b H V t b n M x L n t D b 2 x 1 b W 4 z L D J 9 J n F 1 b 3 Q 7 L C Z x d W 9 0 O 1 N l Y 3 R p b 2 4 x L 0 R p c m V j d G 9 y I G 9 m I E R l c 2 l n b i 9 B d X R v U m V t b 3 Z l Z E N v b H V t b n M x L n t D b 2 x 1 b W 4 0 L D N 9 J n F 1 b 3 Q 7 L C Z x d W 9 0 O 1 N l Y 3 R p b 2 4 x L 0 R p c m V j d G 9 y I G 9 m I E R l c 2 l n b i 9 B d X R v U m V t b 3 Z l Z E N v b H V t b n M x L n t D b 2 x 1 b W 4 1 L D R 9 J n F 1 b 3 Q 7 L C Z x d W 9 0 O 1 N l Y 3 R p b 2 4 x L 0 R p c m V j d G 9 y I G 9 m I E R l c 2 l n b i 9 B d X R v U m V t b 3 Z l Z E N v b H V t b n M x L n t D b 2 x 1 b W 4 2 L D V 9 J n F 1 b 3 Q 7 L C Z x d W 9 0 O 1 N l Y 3 R p b 2 4 x L 0 R p c m V j d G 9 y I G 9 m I E R l c 2 l n b i 9 B d X R v U m V t b 3 Z l Z E N v b H V t b n M x L n t D b 2 x 1 b W 4 3 L D Z 9 J n F 1 b 3 Q 7 L C Z x d W 9 0 O 1 N l Y 3 R p b 2 4 x L 0 R p c m V j d G 9 y I G 9 m I E R l c 2 l n b i 9 B d X R v U m V t b 3 Z l Z E N v b H V t b n M x L n t D b 2 x 1 b W 4 4 L D d 9 J n F 1 b 3 Q 7 L C Z x d W 9 0 O 1 N l Y 3 R p b 2 4 x L 0 R p c m V j d G 9 y I G 9 m I E R l c 2 l n b i 9 B d X R v U m V t b 3 Z l Z E N v b H V t b n M x L n t D b 2 x 1 b W 4 5 L D h 9 J n F 1 b 3 Q 7 L C Z x d W 9 0 O 1 N l Y 3 R p b 2 4 x L 0 R p c m V j d G 9 y I G 9 m I E R l c 2 l n b i 9 B d X R v U m V t b 3 Z l Z E N v b H V t b n M x L n t D b 2 x 1 b W 4 x M C w 5 f S Z x d W 9 0 O y w m c X V v d D t T Z W N 0 a W 9 u M S 9 E a X J l Y 3 R v c i B v Z i B E Z X N p Z 2 4 v Q X V 0 b 1 J l b W 9 2 Z W R D b 2 x 1 b W 5 z M S 5 7 Q 2 9 s d W 1 u M T E s M T B 9 J n F 1 b 3 Q 7 L C Z x d W 9 0 O 1 N l Y 3 R p b 2 4 x L 0 R p c m V j d G 9 y I G 9 m I E R l c 2 l n b i 9 B d X R v U m V t b 3 Z l Z E N v b H V t b n M x L n t D b 2 x 1 b W 4 x M i w x M X 0 m c X V v d D t d L C Z x d W 9 0 O 1 J l b G F 0 a W 9 u c 2 h p c E l u Z m 8 m c X V v d D s 6 W 1 1 9 I i A v P j x F b n R y e S B U e X B l P S J G a W x s U 3 R h d H V z I i B W Y W x 1 Z T 0 i c 0 N v b X B s Z X R l I i A v P j x F b n R y e S B U e X B l P S J G a W x s Q 2 9 s d W 1 u T m F t Z X M i I F Z h b H V l P S J z W y Z x d W 9 0 O 0 N v b H V t b j E m c X V v d D s s J n F 1 b 3 Q 7 S m V u I E t v d m l u a W N o X G 5 E a X J l Y 3 R v c i B v Z i B E Z X N p Z 2 4 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D b 2 x 1 b W 5 U e X B l c y I g V m F s d W U 9 I n N C Z 0 F H Q U F Z Q U F B Q U F B Q U F B I i A v P j x F b n R y e S B U e X B l P S J G a W x s T G F z d F V w Z G F 0 Z W Q i I F Z h b H V l P S J k M j A y M S 0 w O C 0 z M F Q y M D o w M j o x N C 4 w N T k 3 N D M 5 W i I g L z 4 8 R W 5 0 c n k g V H l w Z T 0 i R m l s b E V y c m 9 y Q 2 9 1 b n Q i I F Z h b H V l P S J s M C I g L z 4 8 R W 5 0 c n k g V H l w Z T 0 i R m l s b E V y c m 9 y Q 2 9 k Z S I g V m F s d W U 9 I n N V b m t u b 3 d u I i A v P j x F b n R y e S B U e X B l P S J G a W x s Q 2 9 1 b n Q i I F Z h b H V l P S J s N j I i I C 8 + P E V u d H J 5 I F R 5 c G U 9 I k F k Z G V k V G 9 E Y X R h T W 9 k Z W w i I F Z h b H V l P S J s M C I g L z 4 8 R W 5 0 c n k g V H l w Z T 0 i U X V l c n l J R C I g V m F s d W U 9 I n M x Z T I z M D E 1 Z i 1 m N z I 2 L T Q 4 N W M t O D N j N y 1 j Y z U x N T Q 5 N D k 1 Z D c i I C 8 + P C 9 T d G F i b G V F b n R y a W V z P j w v S X R l b T 4 8 S X R l b T 4 8 S X R l b U x v Y 2 F 0 a W 9 u P j x J d G V t V H l w Z T 5 G b 3 J t d W x h P C 9 J d G V t V H l w Z T 4 8 S X R l b V B h d G g + U 2 V j d G l v b j E v R G l y Z W N 0 b 3 I l M j B v Z i U y M E R l c 2 l n b i 9 T b 3 V y Y 2 U 8 L 0 l 0 Z W 1 Q Y X R o P j w v S X R l b U x v Y 2 F 0 a W 9 u P j x T d G F i b G V F b n R y a W V z I C 8 + P C 9 J d G V t P j x J d G V t P j x J d G V t T G 9 j Y X R p b 2 4 + P E l 0 Z W 1 U e X B l P k Z v c m 1 1 b G E 8 L 0 l 0 Z W 1 U e X B l P j x J d G V t U G F 0 a D 5 T Z W N 0 a W 9 u M S 9 E a X J l Y 3 R v c i U y M G 9 m J T I w R G V z a W d u L 0 R p c m V j d G 9 y J T I w b 2 Y l M j B E Z X N p Z 2 5 f U 2 h l Z X Q 8 L 0 l 0 Z W 1 Q Y X R o P j w v S X R l b U x v Y 2 F 0 a W 9 u P j x T d G F i b G V F b n R y a W V z I C 8 + P C 9 J d G V t P j x J d G V t P j x J d G V t T G 9 j Y X R p b 2 4 + P E l 0 Z W 1 U e X B l P k Z v c m 1 1 b G E 8 L 0 l 0 Z W 1 U e X B l P j x J d G V t U G F 0 a D 5 T Z W N 0 a W 9 u M S 9 E a X J l Y 3 R v c i U y M G 9 m J T I w R G V z a W d u L 1 B y b 2 1 v d G V k J T I w S G V h Z G V y c z w v S X R l b V B h d G g + P C 9 J d G V t T G 9 j Y X R p b 2 4 + P F N 0 Y W J s Z U V u d H J p Z X M g L z 4 8 L 0 l 0 Z W 0 + P E l 0 Z W 0 + P E l 0 Z W 1 M b 2 N h d G l v b j 4 8 S X R l b V R 5 c G U + R m 9 y b X V s Y T w v S X R l b V R 5 c G U + P E l 0 Z W 1 Q Y X R o P l N l Y 3 R p b 2 4 x L 0 R p c m V j d G 9 y J T I w b 2 Y l M j B E Z X N p Z 2 4 v Q 2 h h b m d l Z C U y M F R 5 c G U 8 L 0 l 0 Z W 1 Q Y X R o P j w v S X R l b U x v Y 2 F 0 a W 9 u P j x T d G F i b G V F b n R y a W V z I C 8 + P C 9 J d G V t P j w v S X R l b X M + P C 9 M b 2 N h b F B h Y 2 t h Z 2 V N Z X R h Z G F 0 Y U Z p b G U + F g A A A F B L B Q Y A A A A A A A A A A A A A A A A A A A A A A A A m A Q A A A Q A A A N C M n d 8 B F d E R j H o A w E / C l + s B A A A A V M 8 P A V o U a 0 2 1 7 R T 5 g j C 2 i w A A A A A C A A A A A A A Q Z g A A A A E A A C A A A A C 1 G m J G E Z k a X s j D g 0 n b W x z x W V E w C x B d p i h 9 P X g H t F f l Q w A A A A A O g A A A A A I A A C A A A A C N z F e T Q w A B g 2 M f s M l X 9 S q 8 2 / T N M e B V L N 4 j 3 L 6 1 f m i S Z F A A A A C b O j t o b o x Y z p q o L G L N o D S y Z E F L f f z D Q M C P 1 K E R V H b 8 H Z 0 f R W i U y V u c z J M c 8 n r X O O z 5 b x 7 i 3 9 3 E U 0 T T t d E v T e g H 0 S e J K H X z 6 T q k J U f i t B m a u 0 A A A A D c J F b N 2 n + p 1 8 e z L g H + u 7 a U x O x Z t K x v l c b z / y w o i 3 f Q V b q A i o K / I s a D F Q / N Q A 8 r 5 u v i 2 d o w D u f 5 f G X q X o r a l o W H < / D a t a M a s h u p > 
</file>

<file path=customXml/itemProps1.xml><?xml version="1.0" encoding="utf-8"?>
<ds:datastoreItem xmlns:ds="http://schemas.openxmlformats.org/officeDocument/2006/customXml" ds:itemID="{FF764062-17F3-4A4D-B6C2-1FE30C0F1370}"/>
</file>

<file path=customXml/itemProps2.xml><?xml version="1.0" encoding="utf-8"?>
<ds:datastoreItem xmlns:ds="http://schemas.openxmlformats.org/officeDocument/2006/customXml" ds:itemID="{586F70E0-021D-4D96-B3A1-5852BA5E96B5}"/>
</file>

<file path=customXml/itemProps3.xml><?xml version="1.0" encoding="utf-8"?>
<ds:datastoreItem xmlns:ds="http://schemas.openxmlformats.org/officeDocument/2006/customXml" ds:itemID="{D4B16BD4-2DDE-454E-9BE0-9057F70587B7}"/>
</file>

<file path=customXml/itemProps4.xml><?xml version="1.0" encoding="utf-8"?>
<ds:datastoreItem xmlns:ds="http://schemas.openxmlformats.org/officeDocument/2006/customXml" ds:itemID="{E8FB51D1-09C2-4254-A039-7C6ABA9EC6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Butler</dc:creator>
  <cp:keywords/>
  <dc:description/>
  <cp:lastModifiedBy/>
  <cp:revision/>
  <dcterms:created xsi:type="dcterms:W3CDTF">2021-08-30T19:58:58Z</dcterms:created>
  <dcterms:modified xsi:type="dcterms:W3CDTF">2022-10-27T22:26:22Z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0x010100733B4D67AE2907469792FA4AE016E038</vt:lpwstr>
  </property>
  <property fmtid="{D5CDD505-2E9C-101B-9397-08002B2CF9AE}" pid="3" name="MediaServiceImageTags">
    <vt:lpwstr/>
  </property>
</Properties>
</file>