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drawings/drawing7.xml" ContentType="application/vnd.openxmlformats-officedocument.drawing+xml"/>
  <Override PartName="/xl/comments2.xml" ContentType="application/vnd.openxmlformats-officedocument.spreadsheetml.comments+xml"/>
  <Override PartName="/xl/threadedComments/threadedComment2.xml" ContentType="application/vnd.ms-excel.threadedcomments+xml"/>
  <Override PartName="/xl/drawings/drawing8.xml" ContentType="application/vnd.openxmlformats-officedocument.drawing+xml"/>
  <Override PartName="/xl/comments3.xml" ContentType="application/vnd.openxmlformats-officedocument.spreadsheetml.comments+xml"/>
  <Override PartName="/xl/threadedComments/threadedComment3.xml" ContentType="application/vnd.ms-excel.threadedcomments+xml"/>
  <Override PartName="/xl/drawings/drawing9.xml" ContentType="application/vnd.openxmlformats-officedocument.drawing+xml"/>
  <Override PartName="/xl/comments4.xml" ContentType="application/vnd.openxmlformats-officedocument.spreadsheetml.comments+xml"/>
  <Override PartName="/xl/threadedComments/threadedComment4.xml" ContentType="application/vnd.ms-excel.threadedcomments+xml"/>
  <Override PartName="/xl/drawings/drawing10.xml" ContentType="application/vnd.openxmlformats-officedocument.drawing+xml"/>
  <Override PartName="/xl/comments5.xml" ContentType="application/vnd.openxmlformats-officedocument.spreadsheetml.comments+xml"/>
  <Override PartName="/xl/threadedComments/threadedComment5.xml" ContentType="application/vnd.ms-excel.threadedcomments+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omments6.xml" ContentType="application/vnd.openxmlformats-officedocument.spreadsheetml.comments+xml"/>
  <Override PartName="/xl/threadedComments/threadedComment6.xml" ContentType="application/vnd.ms-excel.threadedcomments+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omments7.xml" ContentType="application/vnd.openxmlformats-officedocument.spreadsheetml.comments+xml"/>
  <Override PartName="/xl/drawings/drawing18.xml" ContentType="application/vnd.openxmlformats-officedocument.drawing+xml"/>
  <Override PartName="/xl/drawings/drawing19.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defaultThemeVersion="166925"/>
  <mc:AlternateContent xmlns:mc="http://schemas.openxmlformats.org/markup-compatibility/2006">
    <mc:Choice Requires="x15">
      <x15ac:absPath xmlns:x15ac="http://schemas.microsoft.com/office/spreadsheetml/2010/11/ac" url="C:\Users\ellam\Downloads\Downloads\"/>
    </mc:Choice>
  </mc:AlternateContent>
  <xr:revisionPtr revIDLastSave="0" documentId="13_ncr:1_{78FD7C6A-15BC-4096-93C6-9F0ADFD3577C}" xr6:coauthVersionLast="46" xr6:coauthVersionMax="46" xr10:uidLastSave="{00000000-0000-0000-0000-000000000000}"/>
  <bookViews>
    <workbookView xWindow="-110" yWindow="-110" windowWidth="19420" windowHeight="10420" xr2:uid="{024BA218-F7C6-D545-90D4-CD196B0D863F}"/>
  </bookViews>
  <sheets>
    <sheet name="Overall Summary" sheetId="2" r:id="rId1"/>
    <sheet name="EngServe Recovery Increase" sheetId="3" r:id="rId2"/>
    <sheet name="1. Prez" sheetId="22" r:id="rId3"/>
    <sheet name="2. VPOPs" sheetId="21" r:id="rId4"/>
    <sheet name="3. VPSA" sheetId="20" r:id="rId5"/>
    <sheet name="4. DoA" sheetId="19" r:id="rId6"/>
    <sheet name="5. DoComm" sheetId="18" r:id="rId7"/>
    <sheet name="6. DoCon" sheetId="17" r:id="rId8"/>
    <sheet name="7. DoD" sheetId="15" r:id="rId9"/>
    <sheet name="8. DoE" sheetId="14" r:id="rId10"/>
    <sheet name="9. DoER" sheetId="13" r:id="rId11"/>
    <sheet name="10. DoF" sheetId="12" r:id="rId12"/>
    <sheet name="11. DoFY" sheetId="11" r:id="rId13"/>
    <sheet name="12. DoHR" sheetId="10" r:id="rId14"/>
    <sheet name="13. DoIA" sheetId="8" r:id="rId15"/>
    <sheet name="14. DoIT" sheetId="7" r:id="rId16"/>
    <sheet name="15. DoPD" sheetId="6" r:id="rId17"/>
    <sheet name="16. DoS" sheetId="5" r:id="rId18"/>
    <sheet name="17. DoSi" sheetId="4" r:id="rId19"/>
  </sheets>
  <externalReferences>
    <externalReference r:id="rId20"/>
  </externalReferences>
  <definedNames>
    <definedName name="_xlnm._FilterDatabase" localSheetId="2" hidden="1">'1. Prez'!$B$92:$B$92</definedName>
    <definedName name="_xlnm._FilterDatabase" localSheetId="11" hidden="1">'10. DoF'!#REF!</definedName>
    <definedName name="_xlnm._FilterDatabase" localSheetId="12" hidden="1">'11. DoFY'!#REF!</definedName>
    <definedName name="_xlnm._FilterDatabase" localSheetId="13" hidden="1">'12. DoHR'!$B$37:$B$37</definedName>
    <definedName name="_xlnm._FilterDatabase" localSheetId="14" hidden="1">'13. DoIA'!$B$59:$B$59</definedName>
    <definedName name="_xlnm._FilterDatabase" localSheetId="15" hidden="1">'14. DoIT'!#REF!</definedName>
    <definedName name="_xlnm._FilterDatabase" localSheetId="16" hidden="1">'15. DoPD'!$B$50:$B$50</definedName>
    <definedName name="_xlnm._FilterDatabase" localSheetId="17" hidden="1">'16. DoS'!#REF!</definedName>
    <definedName name="_xlnm._FilterDatabase" localSheetId="18" hidden="1">'17. DoSi'!#REF!</definedName>
    <definedName name="_xlnm._FilterDatabase" localSheetId="3" hidden="1">'2. VPOPs'!#REF!</definedName>
    <definedName name="_xlnm._FilterDatabase" localSheetId="4" hidden="1">'3. VPSA'!#REF!</definedName>
    <definedName name="_xlnm._FilterDatabase" localSheetId="5" hidden="1">'4. DoA'!$B$34:$B$34</definedName>
    <definedName name="_xlnm._FilterDatabase" localSheetId="6" hidden="1">'5. DoComm'!$B$30:$B$30</definedName>
    <definedName name="_xlnm._FilterDatabase" localSheetId="7" hidden="1">'6. DoCon'!$B$35:$B$35</definedName>
    <definedName name="_xlnm._FilterDatabase" localSheetId="8" hidden="1">'7. DoD'!$B$30:$B$30</definedName>
    <definedName name="_xlnm._FilterDatabase" localSheetId="9" hidden="1">'8. DoE'!#REF!</definedName>
    <definedName name="_xlnm._FilterDatabase" localSheetId="10" hidden="1">'9. DoER'!#REF!</definedName>
    <definedName name="_xlnm._FilterDatabase" localSheetId="1" hidden="1">'EngServe Recovery Increase'!$B$52:$B$52</definedName>
    <definedName name="_xlnm._FilterDatabase" localSheetId="0" hidden="1">'Overall Summary'!$B$53:$B$53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61" i="2" l="1"/>
  <c r="K61" i="2"/>
  <c r="I61" i="2"/>
  <c r="I45" i="2"/>
  <c r="I53" i="2"/>
  <c r="I59" i="2"/>
  <c r="J37" i="2"/>
  <c r="K37" i="2"/>
  <c r="I37" i="2"/>
  <c r="K36" i="2"/>
  <c r="J36" i="2"/>
  <c r="I36" i="2"/>
  <c r="K35" i="2"/>
  <c r="J35" i="2"/>
  <c r="I35" i="2"/>
  <c r="K34" i="2"/>
  <c r="J34" i="2"/>
  <c r="I34" i="2"/>
  <c r="K33" i="2"/>
  <c r="J33" i="2"/>
  <c r="I33" i="2"/>
  <c r="K32" i="2"/>
  <c r="J32" i="2"/>
  <c r="I32" i="2"/>
  <c r="K31" i="2"/>
  <c r="J31" i="2"/>
  <c r="I31" i="2"/>
  <c r="K30" i="2"/>
  <c r="J30" i="2"/>
  <c r="J86" i="11"/>
  <c r="K86" i="11"/>
  <c r="L86" i="11"/>
  <c r="I86" i="11"/>
  <c r="J11" i="11"/>
  <c r="K11" i="11"/>
  <c r="L11" i="11"/>
  <c r="I11" i="11"/>
  <c r="K29" i="2"/>
  <c r="K28" i="2"/>
  <c r="K26" i="2"/>
  <c r="J26" i="2"/>
  <c r="K25" i="2"/>
  <c r="J25" i="2"/>
  <c r="K24" i="2"/>
  <c r="J24" i="2"/>
  <c r="K23" i="2"/>
  <c r="J23" i="2"/>
  <c r="K22" i="2"/>
  <c r="J22" i="2"/>
  <c r="K21" i="2"/>
  <c r="J21" i="2"/>
  <c r="K20" i="2"/>
  <c r="J20" i="2"/>
  <c r="K19" i="2"/>
  <c r="J19" i="2"/>
  <c r="J29" i="2"/>
  <c r="I29" i="2"/>
  <c r="J28" i="2"/>
  <c r="I28" i="2"/>
  <c r="J13" i="2"/>
  <c r="J15" i="2" s="1"/>
  <c r="K13" i="2"/>
  <c r="K15" i="2" s="1"/>
  <c r="I13" i="2"/>
  <c r="I15" i="2"/>
  <c r="I26" i="2"/>
  <c r="I25" i="2"/>
  <c r="I24" i="2"/>
  <c r="I23" i="2"/>
  <c r="I22" i="2"/>
  <c r="I21" i="2"/>
  <c r="I20" i="2"/>
  <c r="I19" i="2"/>
  <c r="J28" i="20"/>
  <c r="K28" i="20"/>
  <c r="K32" i="20" s="1"/>
  <c r="K33" i="20" s="1"/>
  <c r="L28" i="20"/>
  <c r="L32" i="20" s="1"/>
  <c r="L33" i="20" s="1"/>
  <c r="I28" i="20"/>
  <c r="I32" i="20" s="1"/>
  <c r="I33" i="20" s="1"/>
  <c r="J26" i="20"/>
  <c r="K26" i="20"/>
  <c r="L26" i="20"/>
  <c r="I26" i="20"/>
  <c r="J19" i="20"/>
  <c r="K19" i="20"/>
  <c r="L19" i="20"/>
  <c r="I19" i="20"/>
  <c r="J21" i="21"/>
  <c r="K21" i="21"/>
  <c r="L21" i="21"/>
  <c r="I21" i="21"/>
  <c r="I25" i="21" s="1"/>
  <c r="I26" i="21" s="1"/>
  <c r="J19" i="21"/>
  <c r="K19" i="21"/>
  <c r="L19" i="21"/>
  <c r="I19" i="21"/>
  <c r="J15" i="21"/>
  <c r="K15" i="21"/>
  <c r="L15" i="21"/>
  <c r="I15" i="21"/>
  <c r="J56" i="22"/>
  <c r="J60" i="22" s="1"/>
  <c r="J61" i="22" s="1"/>
  <c r="K56" i="22"/>
  <c r="K60" i="22" s="1"/>
  <c r="K61" i="22" s="1"/>
  <c r="L56" i="22"/>
  <c r="I56" i="22"/>
  <c r="I60" i="22" s="1"/>
  <c r="I61" i="22" s="1"/>
  <c r="K54" i="22"/>
  <c r="L54" i="22"/>
  <c r="K49" i="22"/>
  <c r="L49" i="22"/>
  <c r="K39" i="22"/>
  <c r="L39" i="22"/>
  <c r="K34" i="22"/>
  <c r="L34" i="22"/>
  <c r="K29" i="22"/>
  <c r="L29" i="22"/>
  <c r="K22" i="22"/>
  <c r="L22" i="22"/>
  <c r="L60" i="22"/>
  <c r="L61" i="22" s="1"/>
  <c r="H52" i="22"/>
  <c r="I52" i="22" s="1"/>
  <c r="J52" i="22" s="1"/>
  <c r="H51" i="22"/>
  <c r="I51" i="22" s="1"/>
  <c r="I54" i="22" s="1"/>
  <c r="H47" i="22"/>
  <c r="I47" i="22" s="1"/>
  <c r="J47" i="22" s="1"/>
  <c r="H46" i="22"/>
  <c r="I46" i="22" s="1"/>
  <c r="J46" i="22" s="1"/>
  <c r="H45" i="22"/>
  <c r="I45" i="22" s="1"/>
  <c r="J45" i="22" s="1"/>
  <c r="H44" i="22"/>
  <c r="I44" i="22" s="1"/>
  <c r="J44" i="22" s="1"/>
  <c r="H43" i="22"/>
  <c r="I43" i="22" s="1"/>
  <c r="J43" i="22" s="1"/>
  <c r="H42" i="22"/>
  <c r="I42" i="22" s="1"/>
  <c r="H41" i="22"/>
  <c r="I41" i="22" s="1"/>
  <c r="H37" i="22"/>
  <c r="I37" i="22" s="1"/>
  <c r="J37" i="22" s="1"/>
  <c r="H36" i="22"/>
  <c r="I36" i="22" s="1"/>
  <c r="I39" i="22" s="1"/>
  <c r="H32" i="22"/>
  <c r="I32" i="22" s="1"/>
  <c r="J32" i="22" s="1"/>
  <c r="H31" i="22"/>
  <c r="I31" i="22" s="1"/>
  <c r="I34" i="22" s="1"/>
  <c r="H27" i="22"/>
  <c r="I27" i="22" s="1"/>
  <c r="J27" i="22" s="1"/>
  <c r="I26" i="22"/>
  <c r="J26" i="22" s="1"/>
  <c r="H26" i="22"/>
  <c r="H25" i="22"/>
  <c r="I25" i="22" s="1"/>
  <c r="J25" i="22" s="1"/>
  <c r="H24" i="22"/>
  <c r="I24" i="22" s="1"/>
  <c r="I29" i="22" s="1"/>
  <c r="H20" i="22"/>
  <c r="I20" i="22" s="1"/>
  <c r="J20" i="22" s="1"/>
  <c r="J19" i="22"/>
  <c r="I19" i="22"/>
  <c r="H19" i="22"/>
  <c r="H18" i="22"/>
  <c r="I18" i="22" s="1"/>
  <c r="J18" i="22" s="1"/>
  <c r="F17" i="22"/>
  <c r="H17" i="22" s="1"/>
  <c r="I17" i="22" s="1"/>
  <c r="J17" i="22" s="1"/>
  <c r="I16" i="22"/>
  <c r="J16" i="22" s="1"/>
  <c r="H16" i="22"/>
  <c r="H15" i="22"/>
  <c r="I15" i="22" s="1"/>
  <c r="J15" i="22" s="1"/>
  <c r="H14" i="22"/>
  <c r="I14" i="22" s="1"/>
  <c r="L8" i="22"/>
  <c r="L10" i="22" s="1"/>
  <c r="L59" i="22" s="1"/>
  <c r="K8" i="22"/>
  <c r="K10" i="22" s="1"/>
  <c r="K59" i="22" s="1"/>
  <c r="H6" i="22"/>
  <c r="I6" i="22" s="1"/>
  <c r="I24" i="21"/>
  <c r="J24" i="21"/>
  <c r="K24" i="21"/>
  <c r="L24" i="21"/>
  <c r="F11" i="21"/>
  <c r="H11" i="21"/>
  <c r="I11" i="21" s="1"/>
  <c r="J11" i="21" s="1"/>
  <c r="H12" i="21"/>
  <c r="I12" i="21"/>
  <c r="J12" i="21"/>
  <c r="F13" i="21"/>
  <c r="H13" i="21" s="1"/>
  <c r="I13" i="21" s="1"/>
  <c r="J13" i="21" s="1"/>
  <c r="H17" i="21"/>
  <c r="I17" i="21"/>
  <c r="J17" i="21"/>
  <c r="J25" i="21"/>
  <c r="J26" i="21" s="1"/>
  <c r="K25" i="21"/>
  <c r="K26" i="21" s="1"/>
  <c r="L25" i="21"/>
  <c r="L26" i="21" s="1"/>
  <c r="J6" i="20"/>
  <c r="J8" i="20"/>
  <c r="K8" i="20"/>
  <c r="L8" i="20"/>
  <c r="J31" i="20"/>
  <c r="K31" i="20"/>
  <c r="L31" i="20"/>
  <c r="I14" i="20"/>
  <c r="J14" i="20" s="1"/>
  <c r="H15" i="20"/>
  <c r="I15" i="20"/>
  <c r="J15" i="20" s="1"/>
  <c r="H16" i="20"/>
  <c r="I16" i="20" s="1"/>
  <c r="J16" i="20" s="1"/>
  <c r="H17" i="20"/>
  <c r="I17" i="20" s="1"/>
  <c r="J17" i="20" s="1"/>
  <c r="H21" i="20"/>
  <c r="I21" i="20"/>
  <c r="J21" i="20"/>
  <c r="H22" i="20"/>
  <c r="I22" i="20" s="1"/>
  <c r="H23" i="20"/>
  <c r="I23" i="20" s="1"/>
  <c r="J23" i="20" s="1"/>
  <c r="H24" i="20"/>
  <c r="I24" i="20" s="1"/>
  <c r="J24" i="20" s="1"/>
  <c r="J32" i="20"/>
  <c r="J33" i="20" s="1"/>
  <c r="I31" i="20"/>
  <c r="J36" i="19"/>
  <c r="K36" i="19"/>
  <c r="L36" i="19"/>
  <c r="I36" i="19"/>
  <c r="J34" i="19"/>
  <c r="K34" i="19"/>
  <c r="L34" i="19"/>
  <c r="I34" i="19"/>
  <c r="J29" i="19"/>
  <c r="K29" i="19"/>
  <c r="L29" i="19"/>
  <c r="I29" i="19"/>
  <c r="J20" i="19"/>
  <c r="K20" i="19"/>
  <c r="L20" i="19"/>
  <c r="I20" i="19"/>
  <c r="J42" i="22" l="1"/>
  <c r="I49" i="22"/>
  <c r="J14" i="22"/>
  <c r="J22" i="22" s="1"/>
  <c r="I22" i="22"/>
  <c r="J36" i="22"/>
  <c r="J39" i="22" s="1"/>
  <c r="J51" i="22"/>
  <c r="J54" i="22" s="1"/>
  <c r="J24" i="22"/>
  <c r="J29" i="22" s="1"/>
  <c r="J41" i="22"/>
  <c r="J49" i="22" s="1"/>
  <c r="I8" i="22"/>
  <c r="I10" i="22" s="1"/>
  <c r="I59" i="22" s="1"/>
  <c r="J6" i="22"/>
  <c r="J8" i="22" s="1"/>
  <c r="J10" i="22" s="1"/>
  <c r="J59" i="22" s="1"/>
  <c r="J31" i="22"/>
  <c r="J34" i="22" s="1"/>
  <c r="J22" i="20"/>
  <c r="I39" i="19"/>
  <c r="J39" i="19"/>
  <c r="K39" i="19"/>
  <c r="L39" i="19"/>
  <c r="L40" i="19"/>
  <c r="I40" i="19"/>
  <c r="I41" i="19" s="1"/>
  <c r="J40" i="19"/>
  <c r="J41" i="19" s="1"/>
  <c r="K40" i="19"/>
  <c r="K41" i="19" s="1"/>
  <c r="J32" i="18"/>
  <c r="K32" i="18"/>
  <c r="L32" i="18"/>
  <c r="I17" i="18"/>
  <c r="I32" i="18"/>
  <c r="K30" i="18"/>
  <c r="L30" i="18"/>
  <c r="K22" i="18"/>
  <c r="L22" i="18"/>
  <c r="K17" i="18"/>
  <c r="L17" i="18"/>
  <c r="L41" i="19" l="1"/>
  <c r="I35" i="18"/>
  <c r="J35" i="18"/>
  <c r="K35" i="18"/>
  <c r="L35" i="18"/>
  <c r="H11" i="18"/>
  <c r="I11" i="18" s="1"/>
  <c r="H12" i="18"/>
  <c r="I12" i="18" s="1"/>
  <c r="J12" i="18" s="1"/>
  <c r="H13" i="18"/>
  <c r="I13" i="18" s="1"/>
  <c r="J13" i="18" s="1"/>
  <c r="H14" i="18"/>
  <c r="I14" i="18" s="1"/>
  <c r="J14" i="18" s="1"/>
  <c r="H15" i="18"/>
  <c r="I15" i="18" s="1"/>
  <c r="J15" i="18" s="1"/>
  <c r="H19" i="18"/>
  <c r="I19" i="18" s="1"/>
  <c r="H20" i="18"/>
  <c r="I20" i="18" s="1"/>
  <c r="J20" i="18" s="1"/>
  <c r="H24" i="18"/>
  <c r="I24" i="18" s="1"/>
  <c r="H25" i="18"/>
  <c r="I25" i="18" s="1"/>
  <c r="J25" i="18" s="1"/>
  <c r="H26" i="18"/>
  <c r="I26" i="18" s="1"/>
  <c r="J26" i="18" s="1"/>
  <c r="H27" i="18"/>
  <c r="I27" i="18" s="1"/>
  <c r="J27" i="18" s="1"/>
  <c r="I36" i="18"/>
  <c r="I37" i="18" s="1"/>
  <c r="J36" i="18"/>
  <c r="J37" i="18" s="1"/>
  <c r="K36" i="18"/>
  <c r="K37" i="18" s="1"/>
  <c r="L36" i="18"/>
  <c r="L37" i="18" s="1"/>
  <c r="J46" i="17"/>
  <c r="K46" i="17"/>
  <c r="K50" i="17" s="1"/>
  <c r="K51" i="17" s="1"/>
  <c r="L46" i="17"/>
  <c r="L50" i="17" s="1"/>
  <c r="L51" i="17" s="1"/>
  <c r="I46" i="17"/>
  <c r="I21" i="17"/>
  <c r="J44" i="17"/>
  <c r="K44" i="17"/>
  <c r="L44" i="17"/>
  <c r="I44" i="17"/>
  <c r="J40" i="17"/>
  <c r="K40" i="17"/>
  <c r="L40" i="17"/>
  <c r="I40" i="17"/>
  <c r="J35" i="17"/>
  <c r="K35" i="17"/>
  <c r="L35" i="17"/>
  <c r="I35" i="17"/>
  <c r="J31" i="17"/>
  <c r="K31" i="17"/>
  <c r="L31" i="17"/>
  <c r="I31" i="17"/>
  <c r="J21" i="17"/>
  <c r="K21" i="17"/>
  <c r="L21" i="17"/>
  <c r="L33" i="17"/>
  <c r="K33" i="17"/>
  <c r="J42" i="17"/>
  <c r="I42" i="17"/>
  <c r="J38" i="17"/>
  <c r="I38" i="17"/>
  <c r="H38" i="17"/>
  <c r="H37" i="17"/>
  <c r="J33" i="17"/>
  <c r="I33" i="17"/>
  <c r="H33" i="17"/>
  <c r="J24" i="17"/>
  <c r="J25" i="17"/>
  <c r="J26" i="17"/>
  <c r="J27" i="17"/>
  <c r="J28" i="17"/>
  <c r="J29" i="17"/>
  <c r="I24" i="17"/>
  <c r="I25" i="17"/>
  <c r="I26" i="17"/>
  <c r="I27" i="17"/>
  <c r="I28" i="17"/>
  <c r="I29" i="17"/>
  <c r="H24" i="17"/>
  <c r="H25" i="17"/>
  <c r="H26" i="17"/>
  <c r="H27" i="17"/>
  <c r="H28" i="17"/>
  <c r="H29" i="17"/>
  <c r="J13" i="17"/>
  <c r="J14" i="17"/>
  <c r="J15" i="17"/>
  <c r="J16" i="17"/>
  <c r="J17" i="17"/>
  <c r="J18" i="17"/>
  <c r="J19" i="17"/>
  <c r="I13" i="17"/>
  <c r="I14" i="17"/>
  <c r="I15" i="17"/>
  <c r="I16" i="17"/>
  <c r="I17" i="17"/>
  <c r="I18" i="17"/>
  <c r="I19" i="17"/>
  <c r="H13" i="17"/>
  <c r="H14" i="17"/>
  <c r="H15" i="17"/>
  <c r="H16" i="17"/>
  <c r="H17" i="17"/>
  <c r="H18" i="17"/>
  <c r="H19" i="17"/>
  <c r="H42" i="17"/>
  <c r="I37" i="17"/>
  <c r="H23" i="17"/>
  <c r="I23" i="17" s="1"/>
  <c r="H12" i="17"/>
  <c r="I12" i="17" s="1"/>
  <c r="L8" i="17"/>
  <c r="L49" i="17" s="1"/>
  <c r="K8" i="17"/>
  <c r="K49" i="17" s="1"/>
  <c r="J8" i="17"/>
  <c r="J49" i="17" s="1"/>
  <c r="I8" i="17"/>
  <c r="I49" i="17" s="1"/>
  <c r="I30" i="18" l="1"/>
  <c r="J19" i="18"/>
  <c r="J22" i="18" s="1"/>
  <c r="I22" i="18"/>
  <c r="J11" i="18"/>
  <c r="J17" i="18" s="1"/>
  <c r="J24" i="18"/>
  <c r="J30" i="18" s="1"/>
  <c r="I50" i="17"/>
  <c r="I51" i="17" s="1"/>
  <c r="J12" i="17"/>
  <c r="J37" i="17"/>
  <c r="J23" i="17"/>
  <c r="J50" i="17" l="1"/>
  <c r="J51" i="17" s="1"/>
  <c r="J49" i="15" l="1"/>
  <c r="K49" i="15"/>
  <c r="L49" i="15"/>
  <c r="I49" i="15"/>
  <c r="K47" i="15"/>
  <c r="L47" i="15"/>
  <c r="K42" i="15"/>
  <c r="L42" i="15"/>
  <c r="K36" i="15"/>
  <c r="L36" i="15"/>
  <c r="K30" i="15"/>
  <c r="L30" i="15"/>
  <c r="K26" i="15"/>
  <c r="L26" i="15"/>
  <c r="K14" i="15"/>
  <c r="L14" i="15"/>
  <c r="J8" i="15"/>
  <c r="K8" i="15"/>
  <c r="L8" i="15"/>
  <c r="I8" i="15"/>
  <c r="I52" i="15" l="1"/>
  <c r="J52" i="15"/>
  <c r="K52" i="15"/>
  <c r="L52" i="15"/>
  <c r="H12" i="15"/>
  <c r="I12" i="15" s="1"/>
  <c r="I14" i="15" s="1"/>
  <c r="H16" i="15"/>
  <c r="I16" i="15" s="1"/>
  <c r="H17" i="15"/>
  <c r="I17" i="15" s="1"/>
  <c r="H18" i="15"/>
  <c r="I18" i="15" s="1"/>
  <c r="J18" i="15" s="1"/>
  <c r="H20" i="15"/>
  <c r="I20" i="15" s="1"/>
  <c r="J20" i="15" s="1"/>
  <c r="H21" i="15"/>
  <c r="I21" i="15" s="1"/>
  <c r="H22" i="15"/>
  <c r="I22" i="15" s="1"/>
  <c r="J22" i="15" s="1"/>
  <c r="H23" i="15"/>
  <c r="I23" i="15" s="1"/>
  <c r="J23" i="15" s="1"/>
  <c r="H24" i="15"/>
  <c r="I24" i="15" s="1"/>
  <c r="J24" i="15" s="1"/>
  <c r="H28" i="15"/>
  <c r="I28" i="15" s="1"/>
  <c r="I30" i="15" s="1"/>
  <c r="H32" i="15"/>
  <c r="I32" i="15" s="1"/>
  <c r="H33" i="15"/>
  <c r="I33" i="15" s="1"/>
  <c r="J33" i="15" s="1"/>
  <c r="H34" i="15"/>
  <c r="I34" i="15" s="1"/>
  <c r="J34" i="15" s="1"/>
  <c r="H38" i="15"/>
  <c r="I38" i="15" s="1"/>
  <c r="G39" i="15"/>
  <c r="H39" i="15" s="1"/>
  <c r="I39" i="15" s="1"/>
  <c r="J39" i="15" s="1"/>
  <c r="H40" i="15"/>
  <c r="I40" i="15" s="1"/>
  <c r="J40" i="15" s="1"/>
  <c r="H44" i="15"/>
  <c r="I44" i="15" s="1"/>
  <c r="H45" i="15"/>
  <c r="I45" i="15" s="1"/>
  <c r="I53" i="15"/>
  <c r="I54" i="15" s="1"/>
  <c r="J53" i="15"/>
  <c r="J54" i="15" s="1"/>
  <c r="K53" i="15"/>
  <c r="K54" i="15" s="1"/>
  <c r="L53" i="15"/>
  <c r="L54" i="15" s="1"/>
  <c r="J218" i="14"/>
  <c r="K218" i="14"/>
  <c r="L218" i="14"/>
  <c r="J217" i="14"/>
  <c r="K217" i="14"/>
  <c r="L217" i="14"/>
  <c r="I217" i="14"/>
  <c r="J213" i="14"/>
  <c r="K213" i="14"/>
  <c r="L213" i="14"/>
  <c r="J211" i="14"/>
  <c r="K211" i="14"/>
  <c r="L211" i="14"/>
  <c r="I211" i="14"/>
  <c r="I213" i="14" s="1"/>
  <c r="I218" i="14" s="1"/>
  <c r="J199" i="14"/>
  <c r="K199" i="14"/>
  <c r="L199" i="14"/>
  <c r="I199" i="14"/>
  <c r="K181" i="14"/>
  <c r="L181" i="14"/>
  <c r="K167" i="14"/>
  <c r="L167" i="14"/>
  <c r="K154" i="14"/>
  <c r="L154" i="14"/>
  <c r="J135" i="14"/>
  <c r="K135" i="14"/>
  <c r="L135" i="14"/>
  <c r="I135" i="14"/>
  <c r="J130" i="14"/>
  <c r="K130" i="14"/>
  <c r="L130" i="14"/>
  <c r="I130" i="14"/>
  <c r="J124" i="14"/>
  <c r="K124" i="14"/>
  <c r="L124" i="14"/>
  <c r="I124" i="14"/>
  <c r="J118" i="14"/>
  <c r="K118" i="14"/>
  <c r="L118" i="14"/>
  <c r="I118" i="14"/>
  <c r="J109" i="14"/>
  <c r="K109" i="14"/>
  <c r="L109" i="14"/>
  <c r="I109" i="14"/>
  <c r="J103" i="14"/>
  <c r="J137" i="14" s="1"/>
  <c r="K103" i="14"/>
  <c r="L103" i="14"/>
  <c r="L137" i="14" s="1"/>
  <c r="I103" i="14"/>
  <c r="K93" i="14"/>
  <c r="L93" i="14"/>
  <c r="K80" i="14"/>
  <c r="L80" i="14"/>
  <c r="K74" i="14"/>
  <c r="L74" i="14"/>
  <c r="L46" i="14"/>
  <c r="K35" i="14"/>
  <c r="L35" i="14"/>
  <c r="J25" i="14"/>
  <c r="K25" i="14"/>
  <c r="L25" i="14"/>
  <c r="I25" i="14"/>
  <c r="K16" i="14"/>
  <c r="L16" i="14"/>
  <c r="K10" i="14"/>
  <c r="L10" i="14"/>
  <c r="H186" i="14"/>
  <c r="I186" i="14" s="1"/>
  <c r="J186" i="14" s="1"/>
  <c r="H187" i="14"/>
  <c r="I187" i="14" s="1"/>
  <c r="J187" i="14" s="1"/>
  <c r="H188" i="14"/>
  <c r="I188" i="14" s="1"/>
  <c r="J188" i="14" s="1"/>
  <c r="H189" i="14"/>
  <c r="I189" i="14" s="1"/>
  <c r="J189" i="14" s="1"/>
  <c r="H190" i="14"/>
  <c r="I190" i="14" s="1"/>
  <c r="J190" i="14" s="1"/>
  <c r="H191" i="14"/>
  <c r="I191" i="14" s="1"/>
  <c r="J191" i="14" s="1"/>
  <c r="H192" i="14"/>
  <c r="I192" i="14" s="1"/>
  <c r="J192" i="14" s="1"/>
  <c r="H193" i="14"/>
  <c r="I193" i="14" s="1"/>
  <c r="J193" i="14" s="1"/>
  <c r="H194" i="14"/>
  <c r="I194" i="14" s="1"/>
  <c r="J194" i="14" s="1"/>
  <c r="H195" i="14"/>
  <c r="I195" i="14" s="1"/>
  <c r="J195" i="14" s="1"/>
  <c r="H196" i="14"/>
  <c r="I196" i="14" s="1"/>
  <c r="J196" i="14" s="1"/>
  <c r="H197" i="14"/>
  <c r="I197" i="14" s="1"/>
  <c r="J197" i="14" s="1"/>
  <c r="J44" i="15" l="1"/>
  <c r="I47" i="15"/>
  <c r="J38" i="15"/>
  <c r="J42" i="15" s="1"/>
  <c r="I42" i="15"/>
  <c r="I36" i="15"/>
  <c r="J16" i="15"/>
  <c r="J26" i="15" s="1"/>
  <c r="I26" i="15"/>
  <c r="J12" i="15"/>
  <c r="J14" i="15" s="1"/>
  <c r="J21" i="15"/>
  <c r="J32" i="15"/>
  <c r="J36" i="15" s="1"/>
  <c r="J45" i="15"/>
  <c r="J28" i="15"/>
  <c r="J30" i="15" s="1"/>
  <c r="J17" i="15"/>
  <c r="K137" i="14"/>
  <c r="I137" i="14"/>
  <c r="L95" i="14"/>
  <c r="K95" i="14"/>
  <c r="L37" i="14"/>
  <c r="K37" i="14"/>
  <c r="H7" i="14"/>
  <c r="I7" i="14" s="1"/>
  <c r="H8" i="14"/>
  <c r="I8" i="14" s="1"/>
  <c r="J8" i="14" s="1"/>
  <c r="H13" i="14"/>
  <c r="I13" i="14" s="1"/>
  <c r="H14" i="14"/>
  <c r="I14" i="14" s="1"/>
  <c r="K49" i="14"/>
  <c r="K51" i="14" s="1"/>
  <c r="L49" i="14"/>
  <c r="L51" i="14" s="1"/>
  <c r="H28" i="14"/>
  <c r="I28" i="14" s="1"/>
  <c r="H29" i="14"/>
  <c r="I29" i="14" s="1"/>
  <c r="J29" i="14" s="1"/>
  <c r="H30" i="14"/>
  <c r="I30" i="14" s="1"/>
  <c r="J30" i="14" s="1"/>
  <c r="H31" i="14"/>
  <c r="I31" i="14" s="1"/>
  <c r="J31" i="14" s="1"/>
  <c r="H32" i="14"/>
  <c r="I32" i="14" s="1"/>
  <c r="J32" i="14" s="1"/>
  <c r="H33" i="14"/>
  <c r="I33" i="14" s="1"/>
  <c r="J33" i="14" s="1"/>
  <c r="H40" i="14"/>
  <c r="I40" i="14" s="1"/>
  <c r="H41" i="14"/>
  <c r="I41" i="14" s="1"/>
  <c r="K41" i="14"/>
  <c r="K46" i="14" s="1"/>
  <c r="H42" i="14"/>
  <c r="I42" i="14" s="1"/>
  <c r="J42" i="14" s="1"/>
  <c r="H43" i="14"/>
  <c r="I43" i="14" s="1"/>
  <c r="J43" i="14" s="1"/>
  <c r="H44" i="14"/>
  <c r="I44" i="14" s="1"/>
  <c r="J44" i="14" s="1"/>
  <c r="H49" i="14"/>
  <c r="I49" i="14" s="1"/>
  <c r="J49" i="14" s="1"/>
  <c r="J51" i="14" s="1"/>
  <c r="H55" i="14"/>
  <c r="I55" i="14" s="1"/>
  <c r="K57" i="14"/>
  <c r="L57" i="14"/>
  <c r="H64" i="14"/>
  <c r="I64" i="14" s="1"/>
  <c r="H65" i="14"/>
  <c r="I65" i="14" s="1"/>
  <c r="J65" i="14" s="1"/>
  <c r="H66" i="14"/>
  <c r="I66" i="14" s="1"/>
  <c r="J66" i="14" s="1"/>
  <c r="H67" i="14"/>
  <c r="I67" i="14" s="1"/>
  <c r="J67" i="14" s="1"/>
  <c r="H68" i="14"/>
  <c r="I68" i="14" s="1"/>
  <c r="J68" i="14" s="1"/>
  <c r="H69" i="14"/>
  <c r="I69" i="14" s="1"/>
  <c r="J69" i="14" s="1"/>
  <c r="H70" i="14"/>
  <c r="I70" i="14" s="1"/>
  <c r="J70" i="14" s="1"/>
  <c r="H71" i="14"/>
  <c r="I71" i="14" s="1"/>
  <c r="J71" i="14" s="1"/>
  <c r="H72" i="14"/>
  <c r="I72" i="14" s="1"/>
  <c r="J72" i="14" s="1"/>
  <c r="H76" i="14"/>
  <c r="I76" i="14" s="1"/>
  <c r="F77" i="14"/>
  <c r="H77" i="14" s="1"/>
  <c r="I77" i="14" s="1"/>
  <c r="J77" i="14" s="1"/>
  <c r="H78" i="14"/>
  <c r="I78" i="14" s="1"/>
  <c r="J78" i="14" s="1"/>
  <c r="H82" i="14"/>
  <c r="I82" i="14" s="1"/>
  <c r="H83" i="14"/>
  <c r="I83" i="14" s="1"/>
  <c r="H84" i="14"/>
  <c r="I84" i="14" s="1"/>
  <c r="J84" i="14" s="1"/>
  <c r="H85" i="14"/>
  <c r="I85" i="14" s="1"/>
  <c r="J85" i="14" s="1"/>
  <c r="H86" i="14"/>
  <c r="I86" i="14" s="1"/>
  <c r="J86" i="14" s="1"/>
  <c r="H87" i="14"/>
  <c r="I87" i="14" s="1"/>
  <c r="J87" i="14" s="1"/>
  <c r="H88" i="14"/>
  <c r="I88" i="14" s="1"/>
  <c r="J88" i="14" s="1"/>
  <c r="H89" i="14"/>
  <c r="I89" i="14" s="1"/>
  <c r="H90" i="14"/>
  <c r="I90" i="14" s="1"/>
  <c r="J90" i="14" s="1"/>
  <c r="H91" i="14"/>
  <c r="I91" i="14" s="1"/>
  <c r="H141" i="14"/>
  <c r="I141" i="14" s="1"/>
  <c r="H142" i="14"/>
  <c r="I142" i="14" s="1"/>
  <c r="J142" i="14" s="1"/>
  <c r="H143" i="14"/>
  <c r="I143" i="14" s="1"/>
  <c r="H145" i="14"/>
  <c r="I145" i="14" s="1"/>
  <c r="J145" i="14" s="1"/>
  <c r="H146" i="14"/>
  <c r="I146" i="14" s="1"/>
  <c r="J146" i="14" s="1"/>
  <c r="H147" i="14"/>
  <c r="I147" i="14" s="1"/>
  <c r="J147" i="14" s="1"/>
  <c r="H148" i="14"/>
  <c r="I148" i="14" s="1"/>
  <c r="J148" i="14" s="1"/>
  <c r="H150" i="14"/>
  <c r="I150" i="14" s="1"/>
  <c r="J150" i="14" s="1"/>
  <c r="H151" i="14"/>
  <c r="I151" i="14" s="1"/>
  <c r="J151" i="14" s="1"/>
  <c r="H152" i="14"/>
  <c r="I152" i="14" s="1"/>
  <c r="J152" i="14" s="1"/>
  <c r="K219" i="14"/>
  <c r="L219" i="14"/>
  <c r="H158" i="14"/>
  <c r="I158" i="14" s="1"/>
  <c r="H159" i="14"/>
  <c r="I159" i="14" s="1"/>
  <c r="J159" i="14" s="1"/>
  <c r="H160" i="14"/>
  <c r="I160" i="14" s="1"/>
  <c r="J160" i="14" s="1"/>
  <c r="H161" i="14"/>
  <c r="I161" i="14" s="1"/>
  <c r="J161" i="14" s="1"/>
  <c r="H162" i="14"/>
  <c r="I162" i="14" s="1"/>
  <c r="J162" i="14" s="1"/>
  <c r="H163" i="14"/>
  <c r="I163" i="14" s="1"/>
  <c r="J163" i="14" s="1"/>
  <c r="H164" i="14"/>
  <c r="I164" i="14" s="1"/>
  <c r="J164" i="14" s="1"/>
  <c r="H165" i="14"/>
  <c r="I165" i="14" s="1"/>
  <c r="J165" i="14" s="1"/>
  <c r="H171" i="14"/>
  <c r="I171" i="14" s="1"/>
  <c r="H172" i="14"/>
  <c r="I172" i="14" s="1"/>
  <c r="J172" i="14" s="1"/>
  <c r="H173" i="14"/>
  <c r="I173" i="14" s="1"/>
  <c r="J173" i="14" s="1"/>
  <c r="H174" i="14"/>
  <c r="I174" i="14" s="1"/>
  <c r="J174" i="14" s="1"/>
  <c r="H175" i="14"/>
  <c r="I175" i="14" s="1"/>
  <c r="J175" i="14" s="1"/>
  <c r="H176" i="14"/>
  <c r="I176" i="14" s="1"/>
  <c r="J176" i="14" s="1"/>
  <c r="H177" i="14"/>
  <c r="I177" i="14" s="1"/>
  <c r="H185" i="14"/>
  <c r="I185" i="14" s="1"/>
  <c r="J185" i="14" s="1"/>
  <c r="J110" i="13"/>
  <c r="K110" i="13"/>
  <c r="L110" i="13"/>
  <c r="I110" i="13"/>
  <c r="J108" i="13"/>
  <c r="K108" i="13"/>
  <c r="L108" i="13"/>
  <c r="I108" i="13"/>
  <c r="J101" i="13"/>
  <c r="K101" i="13"/>
  <c r="L101" i="13"/>
  <c r="I101" i="13"/>
  <c r="J97" i="13"/>
  <c r="K97" i="13"/>
  <c r="L97" i="13"/>
  <c r="I97" i="13"/>
  <c r="J77" i="13"/>
  <c r="K77" i="13"/>
  <c r="L77" i="13"/>
  <c r="I77" i="13"/>
  <c r="J36" i="13"/>
  <c r="K36" i="13"/>
  <c r="L36" i="13"/>
  <c r="I36" i="13"/>
  <c r="J32" i="13"/>
  <c r="K32" i="13"/>
  <c r="L32" i="13"/>
  <c r="I32" i="13"/>
  <c r="J26" i="13"/>
  <c r="K26" i="13"/>
  <c r="L26" i="13"/>
  <c r="I26" i="13"/>
  <c r="J24" i="13"/>
  <c r="K24" i="13"/>
  <c r="L24" i="13"/>
  <c r="I24" i="13"/>
  <c r="J9" i="13"/>
  <c r="K9" i="13"/>
  <c r="L9" i="13"/>
  <c r="I9" i="13"/>
  <c r="H105" i="13"/>
  <c r="I105" i="13" s="1"/>
  <c r="J105" i="13" s="1"/>
  <c r="H106" i="13"/>
  <c r="I106" i="13" s="1"/>
  <c r="J106" i="13" s="1"/>
  <c r="H99" i="13"/>
  <c r="I99" i="13" s="1"/>
  <c r="J47" i="15" l="1"/>
  <c r="I181" i="14"/>
  <c r="I167" i="14"/>
  <c r="I154" i="14"/>
  <c r="J82" i="14"/>
  <c r="I93" i="14"/>
  <c r="K59" i="14"/>
  <c r="J76" i="14"/>
  <c r="J80" i="14" s="1"/>
  <c r="I80" i="14"/>
  <c r="I74" i="14"/>
  <c r="L59" i="14"/>
  <c r="I46" i="14"/>
  <c r="J28" i="14"/>
  <c r="J35" i="14" s="1"/>
  <c r="I35" i="14"/>
  <c r="I16" i="14"/>
  <c r="J7" i="14"/>
  <c r="J10" i="14" s="1"/>
  <c r="I10" i="14"/>
  <c r="J55" i="14"/>
  <c r="J57" i="14" s="1"/>
  <c r="I57" i="14"/>
  <c r="J89" i="14"/>
  <c r="J83" i="14"/>
  <c r="J141" i="14"/>
  <c r="J171" i="14"/>
  <c r="J14" i="14"/>
  <c r="J158" i="14"/>
  <c r="J167" i="14" s="1"/>
  <c r="J13" i="14"/>
  <c r="J177" i="14"/>
  <c r="J41" i="14"/>
  <c r="J91" i="14"/>
  <c r="J64" i="14"/>
  <c r="J74" i="14" s="1"/>
  <c r="J40" i="14"/>
  <c r="J143" i="14"/>
  <c r="I51" i="14"/>
  <c r="J99" i="13"/>
  <c r="J181" i="14" l="1"/>
  <c r="I95" i="14"/>
  <c r="I219" i="14" s="1"/>
  <c r="J154" i="14"/>
  <c r="J93" i="14"/>
  <c r="J95" i="14" s="1"/>
  <c r="J219" i="14" s="1"/>
  <c r="J46" i="14"/>
  <c r="J16" i="14"/>
  <c r="J37" i="14" s="1"/>
  <c r="I37" i="14"/>
  <c r="I59" i="14" s="1"/>
  <c r="H6" i="13"/>
  <c r="I6" i="13" s="1"/>
  <c r="H7" i="13"/>
  <c r="I7" i="13" s="1"/>
  <c r="J7" i="13" s="1"/>
  <c r="H11" i="13"/>
  <c r="I11" i="13" s="1"/>
  <c r="H12" i="13"/>
  <c r="I12" i="13" s="1"/>
  <c r="H13" i="13"/>
  <c r="I13" i="13" s="1"/>
  <c r="H14" i="13"/>
  <c r="I14" i="13" s="1"/>
  <c r="H15" i="13"/>
  <c r="I15" i="13" s="1"/>
  <c r="H16" i="13"/>
  <c r="I16" i="13" s="1"/>
  <c r="H17" i="13"/>
  <c r="I17" i="13" s="1"/>
  <c r="J17" i="13" s="1"/>
  <c r="H18" i="13"/>
  <c r="I18" i="13" s="1"/>
  <c r="J18" i="13" s="1"/>
  <c r="H19" i="13"/>
  <c r="I19" i="13" s="1"/>
  <c r="J19" i="13" s="1"/>
  <c r="H20" i="13"/>
  <c r="I20" i="13" s="1"/>
  <c r="J20" i="13" s="1"/>
  <c r="H21" i="13"/>
  <c r="I21" i="13" s="1"/>
  <c r="J21" i="13" s="1"/>
  <c r="H22" i="13"/>
  <c r="I22" i="13" s="1"/>
  <c r="J22" i="13" s="1"/>
  <c r="I113" i="13"/>
  <c r="J113" i="13"/>
  <c r="K113" i="13"/>
  <c r="L113" i="13"/>
  <c r="H30" i="13"/>
  <c r="I30" i="13" s="1"/>
  <c r="H34" i="13"/>
  <c r="I34" i="13" s="1"/>
  <c r="H38" i="13"/>
  <c r="I38" i="13" s="1"/>
  <c r="H39" i="13"/>
  <c r="I39" i="13" s="1"/>
  <c r="J39" i="13" s="1"/>
  <c r="H40" i="13"/>
  <c r="I40" i="13" s="1"/>
  <c r="J40" i="13" s="1"/>
  <c r="H41" i="13"/>
  <c r="I41" i="13" s="1"/>
  <c r="J41" i="13" s="1"/>
  <c r="H42" i="13"/>
  <c r="I42" i="13" s="1"/>
  <c r="J42" i="13" s="1"/>
  <c r="H43" i="13"/>
  <c r="I43" i="13" s="1"/>
  <c r="J43" i="13" s="1"/>
  <c r="H44" i="13"/>
  <c r="I44" i="13" s="1"/>
  <c r="J44" i="13" s="1"/>
  <c r="H45" i="13"/>
  <c r="I45" i="13" s="1"/>
  <c r="J45" i="13" s="1"/>
  <c r="H46" i="13"/>
  <c r="I46" i="13" s="1"/>
  <c r="H47" i="13"/>
  <c r="I47" i="13" s="1"/>
  <c r="H48" i="13"/>
  <c r="I48" i="13" s="1"/>
  <c r="J48" i="13" s="1"/>
  <c r="H49" i="13"/>
  <c r="I49" i="13" s="1"/>
  <c r="J49" i="13" s="1"/>
  <c r="H50" i="13"/>
  <c r="I50" i="13" s="1"/>
  <c r="J50" i="13" s="1"/>
  <c r="H51" i="13"/>
  <c r="I51" i="13" s="1"/>
  <c r="J51" i="13" s="1"/>
  <c r="H52" i="13"/>
  <c r="I52" i="13" s="1"/>
  <c r="J52" i="13" s="1"/>
  <c r="H53" i="13"/>
  <c r="I53" i="13" s="1"/>
  <c r="J53" i="13" s="1"/>
  <c r="L53" i="13"/>
  <c r="H54" i="13"/>
  <c r="I54" i="13" s="1"/>
  <c r="J54" i="13" s="1"/>
  <c r="H55" i="13"/>
  <c r="I55" i="13" s="1"/>
  <c r="J55" i="13" s="1"/>
  <c r="H56" i="13"/>
  <c r="I56" i="13" s="1"/>
  <c r="J56" i="13" s="1"/>
  <c r="H57" i="13"/>
  <c r="I57" i="13" s="1"/>
  <c r="J57" i="13" s="1"/>
  <c r="H58" i="13"/>
  <c r="I58" i="13" s="1"/>
  <c r="J58" i="13" s="1"/>
  <c r="H59" i="13"/>
  <c r="I59" i="13" s="1"/>
  <c r="J59" i="13" s="1"/>
  <c r="H60" i="13"/>
  <c r="I60" i="13" s="1"/>
  <c r="J60" i="13" s="1"/>
  <c r="H61" i="13"/>
  <c r="I61" i="13" s="1"/>
  <c r="J61" i="13" s="1"/>
  <c r="H62" i="13"/>
  <c r="I62" i="13" s="1"/>
  <c r="J62" i="13" s="1"/>
  <c r="H63" i="13"/>
  <c r="I63" i="13" s="1"/>
  <c r="J63" i="13" s="1"/>
  <c r="H64" i="13"/>
  <c r="I64" i="13" s="1"/>
  <c r="J64" i="13" s="1"/>
  <c r="H65" i="13"/>
  <c r="I65" i="13" s="1"/>
  <c r="J65" i="13" s="1"/>
  <c r="H66" i="13"/>
  <c r="I66" i="13" s="1"/>
  <c r="J66" i="13" s="1"/>
  <c r="H67" i="13"/>
  <c r="I67" i="13" s="1"/>
  <c r="J67" i="13" s="1"/>
  <c r="H68" i="13"/>
  <c r="I68" i="13" s="1"/>
  <c r="J68" i="13" s="1"/>
  <c r="H69" i="13"/>
  <c r="I69" i="13" s="1"/>
  <c r="J69" i="13" s="1"/>
  <c r="H70" i="13"/>
  <c r="I70" i="13" s="1"/>
  <c r="J70" i="13" s="1"/>
  <c r="H71" i="13"/>
  <c r="I71" i="13" s="1"/>
  <c r="J71" i="13" s="1"/>
  <c r="H72" i="13"/>
  <c r="I72" i="13" s="1"/>
  <c r="J72" i="13" s="1"/>
  <c r="H73" i="13"/>
  <c r="I73" i="13" s="1"/>
  <c r="J73" i="13" s="1"/>
  <c r="H74" i="13"/>
  <c r="I74" i="13" s="1"/>
  <c r="J74" i="13" s="1"/>
  <c r="H75" i="13"/>
  <c r="I75" i="13" s="1"/>
  <c r="J75" i="13" s="1"/>
  <c r="H79" i="13"/>
  <c r="I79" i="13" s="1"/>
  <c r="H80" i="13"/>
  <c r="I80" i="13" s="1"/>
  <c r="J80" i="13" s="1"/>
  <c r="H81" i="13"/>
  <c r="I81" i="13" s="1"/>
  <c r="J81" i="13" s="1"/>
  <c r="H82" i="13"/>
  <c r="I82" i="13" s="1"/>
  <c r="J82" i="13" s="1"/>
  <c r="H83" i="13"/>
  <c r="I83" i="13" s="1"/>
  <c r="H84" i="13"/>
  <c r="I84" i="13" s="1"/>
  <c r="H85" i="13"/>
  <c r="I85" i="13" s="1"/>
  <c r="H86" i="13"/>
  <c r="I86" i="13" s="1"/>
  <c r="L86" i="13"/>
  <c r="H87" i="13"/>
  <c r="I87" i="13" s="1"/>
  <c r="J87" i="13" s="1"/>
  <c r="H88" i="13"/>
  <c r="I88" i="13" s="1"/>
  <c r="J88" i="13" s="1"/>
  <c r="H89" i="13"/>
  <c r="I89" i="13" s="1"/>
  <c r="J89" i="13" s="1"/>
  <c r="H90" i="13"/>
  <c r="I90" i="13" s="1"/>
  <c r="J90" i="13" s="1"/>
  <c r="H91" i="13"/>
  <c r="I91" i="13" s="1"/>
  <c r="J91" i="13" s="1"/>
  <c r="H92" i="13"/>
  <c r="I92" i="13" s="1"/>
  <c r="J92" i="13" s="1"/>
  <c r="H93" i="13"/>
  <c r="I93" i="13" s="1"/>
  <c r="J93" i="13" s="1"/>
  <c r="H94" i="13"/>
  <c r="I94" i="13" s="1"/>
  <c r="J94" i="13" s="1"/>
  <c r="H95" i="13"/>
  <c r="I95" i="13" s="1"/>
  <c r="J95" i="13" s="1"/>
  <c r="H104" i="13"/>
  <c r="I104" i="13" s="1"/>
  <c r="I114" i="13"/>
  <c r="I115" i="13" s="1"/>
  <c r="J114" i="13"/>
  <c r="J115" i="13" s="1"/>
  <c r="K114" i="13"/>
  <c r="K115" i="13" s="1"/>
  <c r="L114" i="13"/>
  <c r="L115" i="13" s="1"/>
  <c r="J29" i="12"/>
  <c r="K29" i="12"/>
  <c r="L29" i="12"/>
  <c r="I29" i="12"/>
  <c r="J27" i="12"/>
  <c r="K27" i="12"/>
  <c r="L27" i="12"/>
  <c r="I27" i="12"/>
  <c r="K22" i="12"/>
  <c r="L22" i="12"/>
  <c r="K16" i="12"/>
  <c r="L16" i="12"/>
  <c r="J59" i="14" l="1"/>
  <c r="J84" i="13"/>
  <c r="J86" i="13"/>
  <c r="J6" i="13"/>
  <c r="J47" i="13"/>
  <c r="J85" i="13"/>
  <c r="J11" i="13"/>
  <c r="J46" i="13"/>
  <c r="J38" i="13"/>
  <c r="J30" i="13"/>
  <c r="J16" i="13"/>
  <c r="J15" i="13"/>
  <c r="J83" i="13"/>
  <c r="J14" i="13"/>
  <c r="J34" i="13"/>
  <c r="J13" i="13"/>
  <c r="J104" i="13"/>
  <c r="J12" i="13"/>
  <c r="J79" i="13"/>
  <c r="I32" i="12"/>
  <c r="J32" i="12"/>
  <c r="K32" i="12"/>
  <c r="L32" i="12"/>
  <c r="H11" i="12"/>
  <c r="I11" i="12" s="1"/>
  <c r="H12" i="12"/>
  <c r="I12" i="12" s="1"/>
  <c r="J12" i="12" s="1"/>
  <c r="H13" i="12"/>
  <c r="I13" i="12" s="1"/>
  <c r="H14" i="12"/>
  <c r="I14" i="12" s="1"/>
  <c r="J14" i="12" s="1"/>
  <c r="H18" i="12"/>
  <c r="I18" i="12" s="1"/>
  <c r="H19" i="12"/>
  <c r="I19" i="12" s="1"/>
  <c r="J19" i="12" s="1"/>
  <c r="H20" i="12"/>
  <c r="I20" i="12" s="1"/>
  <c r="J20" i="12" s="1"/>
  <c r="H24" i="12"/>
  <c r="I24" i="12" s="1"/>
  <c r="J24" i="12" s="1"/>
  <c r="H25" i="12"/>
  <c r="I25" i="12" s="1"/>
  <c r="J25" i="12" s="1"/>
  <c r="I33" i="12"/>
  <c r="I34" i="12" s="1"/>
  <c r="J33" i="12"/>
  <c r="J34" i="12" s="1"/>
  <c r="K33" i="12"/>
  <c r="K34" i="12" s="1"/>
  <c r="L33" i="12"/>
  <c r="L34" i="12" s="1"/>
  <c r="J18" i="12" l="1"/>
  <c r="J22" i="12" s="1"/>
  <c r="I22" i="12"/>
  <c r="J11" i="12"/>
  <c r="I16" i="12"/>
  <c r="J13" i="12"/>
  <c r="K24" i="12"/>
  <c r="H6" i="11"/>
  <c r="I6" i="11" s="1"/>
  <c r="H7" i="11"/>
  <c r="I7" i="11"/>
  <c r="J7" i="11" s="1"/>
  <c r="K9" i="11"/>
  <c r="L9" i="11"/>
  <c r="I89" i="11"/>
  <c r="J89" i="11"/>
  <c r="K89" i="11"/>
  <c r="L89" i="11"/>
  <c r="H15" i="11"/>
  <c r="I15" i="11" s="1"/>
  <c r="K17" i="11"/>
  <c r="L17" i="11"/>
  <c r="H19" i="11"/>
  <c r="I19" i="11" s="1"/>
  <c r="F20" i="11"/>
  <c r="H20" i="11" s="1"/>
  <c r="I20" i="11" s="1"/>
  <c r="H21" i="11"/>
  <c r="I21" i="11" s="1"/>
  <c r="J21" i="11" s="1"/>
  <c r="H22" i="11"/>
  <c r="I22" i="11" s="1"/>
  <c r="J22" i="11" s="1"/>
  <c r="K24" i="11"/>
  <c r="L24" i="11"/>
  <c r="H26" i="11"/>
  <c r="I26" i="11" s="1"/>
  <c r="J26" i="11" s="1"/>
  <c r="H27" i="11"/>
  <c r="I27" i="11"/>
  <c r="J27" i="11" s="1"/>
  <c r="H28" i="11"/>
  <c r="I28" i="11" s="1"/>
  <c r="J28" i="11" s="1"/>
  <c r="H29" i="11"/>
  <c r="I29" i="11" s="1"/>
  <c r="J29" i="11" s="1"/>
  <c r="F30" i="11"/>
  <c r="H30" i="11" s="1"/>
  <c r="I30" i="11" s="1"/>
  <c r="J30" i="11" s="1"/>
  <c r="H31" i="11"/>
  <c r="I31" i="11" s="1"/>
  <c r="J31" i="11" s="1"/>
  <c r="K33" i="11"/>
  <c r="L33" i="11"/>
  <c r="H35" i="11"/>
  <c r="I35" i="11" s="1"/>
  <c r="H36" i="11"/>
  <c r="I36" i="11" s="1"/>
  <c r="J36" i="11" s="1"/>
  <c r="H37" i="11"/>
  <c r="I37" i="11" s="1"/>
  <c r="J37" i="11" s="1"/>
  <c r="H38" i="11"/>
  <c r="I38" i="11" s="1"/>
  <c r="J38" i="11" s="1"/>
  <c r="K40" i="11"/>
  <c r="L40" i="11"/>
  <c r="H42" i="11"/>
  <c r="I42" i="11" s="1"/>
  <c r="H43" i="11"/>
  <c r="I43" i="11" s="1"/>
  <c r="J43" i="11" s="1"/>
  <c r="H44" i="11"/>
  <c r="I44" i="11" s="1"/>
  <c r="J44" i="11" s="1"/>
  <c r="H45" i="11"/>
  <c r="I45" i="11"/>
  <c r="J45" i="11" s="1"/>
  <c r="H46" i="11"/>
  <c r="I46" i="11" s="1"/>
  <c r="J46" i="11" s="1"/>
  <c r="F47" i="11"/>
  <c r="H47" i="11"/>
  <c r="I47" i="11" s="1"/>
  <c r="J47" i="11" s="1"/>
  <c r="K49" i="11"/>
  <c r="L49" i="11"/>
  <c r="H51" i="11"/>
  <c r="I51" i="11"/>
  <c r="H52" i="11"/>
  <c r="I52" i="11" s="1"/>
  <c r="J52" i="11" s="1"/>
  <c r="H53" i="11"/>
  <c r="I53" i="11" s="1"/>
  <c r="J53" i="11" s="1"/>
  <c r="H54" i="11"/>
  <c r="I54" i="11" s="1"/>
  <c r="J54" i="11" s="1"/>
  <c r="H55" i="11"/>
  <c r="I55" i="11" s="1"/>
  <c r="J55" i="11" s="1"/>
  <c r="H56" i="11"/>
  <c r="I56" i="11" s="1"/>
  <c r="J56" i="11" s="1"/>
  <c r="H57" i="11"/>
  <c r="I57" i="11" s="1"/>
  <c r="J57" i="11" s="1"/>
  <c r="H58" i="11"/>
  <c r="I58" i="11" s="1"/>
  <c r="J58" i="11" s="1"/>
  <c r="H59" i="11"/>
  <c r="I59" i="11"/>
  <c r="J59" i="11" s="1"/>
  <c r="K61" i="11"/>
  <c r="L61" i="11"/>
  <c r="H63" i="11"/>
  <c r="I63" i="11"/>
  <c r="J63" i="11" s="1"/>
  <c r="J65" i="11" s="1"/>
  <c r="K65" i="11"/>
  <c r="L65" i="11"/>
  <c r="H67" i="11"/>
  <c r="I67" i="11"/>
  <c r="J67" i="11" s="1"/>
  <c r="H68" i="11"/>
  <c r="I68" i="11" s="1"/>
  <c r="J68" i="11" s="1"/>
  <c r="F69" i="11"/>
  <c r="H69" i="11" s="1"/>
  <c r="I69" i="11" s="1"/>
  <c r="J69" i="11" s="1"/>
  <c r="H70" i="11"/>
  <c r="I70" i="11" s="1"/>
  <c r="J70" i="11" s="1"/>
  <c r="K72" i="11"/>
  <c r="L72" i="11"/>
  <c r="H74" i="11"/>
  <c r="I74" i="11" s="1"/>
  <c r="K76" i="11"/>
  <c r="L76" i="11"/>
  <c r="H78" i="11"/>
  <c r="I78" i="11" s="1"/>
  <c r="K80" i="11"/>
  <c r="L80" i="11"/>
  <c r="H82" i="11"/>
  <c r="I82" i="11" s="1"/>
  <c r="J82" i="11" s="1"/>
  <c r="J84" i="11" s="1"/>
  <c r="K84" i="11"/>
  <c r="L84" i="11"/>
  <c r="I90" i="11"/>
  <c r="I91" i="11" s="1"/>
  <c r="I30" i="2" s="1"/>
  <c r="J90" i="11"/>
  <c r="J91" i="11" s="1"/>
  <c r="K90" i="11"/>
  <c r="K91" i="11" s="1"/>
  <c r="L90" i="11"/>
  <c r="L91" i="11" s="1"/>
  <c r="J43" i="10"/>
  <c r="K43" i="10"/>
  <c r="L43" i="10"/>
  <c r="I43" i="10"/>
  <c r="J42" i="10"/>
  <c r="K42" i="10"/>
  <c r="L42" i="10"/>
  <c r="I42" i="10"/>
  <c r="J37" i="10"/>
  <c r="K37" i="10"/>
  <c r="L37" i="10"/>
  <c r="J31" i="10"/>
  <c r="K31" i="10"/>
  <c r="L31" i="10"/>
  <c r="I31" i="10"/>
  <c r="J20" i="10"/>
  <c r="K20" i="10"/>
  <c r="L20" i="10"/>
  <c r="I20" i="10"/>
  <c r="J40" i="10"/>
  <c r="J23" i="10"/>
  <c r="J24" i="10"/>
  <c r="J25" i="10"/>
  <c r="J26" i="10"/>
  <c r="J27" i="10"/>
  <c r="J28" i="10"/>
  <c r="J29" i="10"/>
  <c r="J12" i="10"/>
  <c r="J13" i="10"/>
  <c r="J14" i="10"/>
  <c r="J15" i="10"/>
  <c r="J16" i="10"/>
  <c r="J17" i="10"/>
  <c r="J18" i="10"/>
  <c r="I40" i="10"/>
  <c r="I23" i="10"/>
  <c r="I24" i="10"/>
  <c r="I25" i="10"/>
  <c r="I26" i="10"/>
  <c r="I27" i="10"/>
  <c r="I28" i="10"/>
  <c r="I29" i="10"/>
  <c r="I12" i="10"/>
  <c r="I13" i="10"/>
  <c r="I14" i="10"/>
  <c r="I15" i="10"/>
  <c r="I16" i="10"/>
  <c r="I17" i="10"/>
  <c r="I18" i="10"/>
  <c r="H40" i="10"/>
  <c r="H23" i="10"/>
  <c r="H24" i="10"/>
  <c r="H25" i="10"/>
  <c r="H26" i="10"/>
  <c r="H27" i="10"/>
  <c r="H28" i="10"/>
  <c r="H29" i="10"/>
  <c r="H12" i="10"/>
  <c r="H13" i="10"/>
  <c r="H14" i="10"/>
  <c r="H15" i="10"/>
  <c r="H16" i="10"/>
  <c r="H17" i="10"/>
  <c r="H18" i="10"/>
  <c r="J16" i="12" l="1"/>
  <c r="J72" i="11"/>
  <c r="J74" i="11"/>
  <c r="J76" i="11" s="1"/>
  <c r="I76" i="11"/>
  <c r="J33" i="11"/>
  <c r="I24" i="11"/>
  <c r="I61" i="11"/>
  <c r="I49" i="11"/>
  <c r="J42" i="11"/>
  <c r="J49" i="11" s="1"/>
  <c r="J78" i="11"/>
  <c r="J80" i="11" s="1"/>
  <c r="I80" i="11"/>
  <c r="I17" i="11"/>
  <c r="J15" i="11"/>
  <c r="J17" i="11" s="1"/>
  <c r="I40" i="11"/>
  <c r="J35" i="11"/>
  <c r="J40" i="11" s="1"/>
  <c r="J20" i="11"/>
  <c r="J6" i="11"/>
  <c r="J9" i="11" s="1"/>
  <c r="I9" i="11"/>
  <c r="J51" i="11"/>
  <c r="J61" i="11" s="1"/>
  <c r="J19" i="11"/>
  <c r="I72" i="11"/>
  <c r="I65" i="11"/>
  <c r="I84" i="11"/>
  <c r="I33" i="11"/>
  <c r="H11" i="10"/>
  <c r="I11" i="10"/>
  <c r="J11" i="10"/>
  <c r="H22" i="10"/>
  <c r="I22" i="10" s="1"/>
  <c r="H34" i="10"/>
  <c r="I34" i="10"/>
  <c r="J34" i="10" s="1"/>
  <c r="H35" i="10"/>
  <c r="I35" i="10" s="1"/>
  <c r="J35" i="10" s="1"/>
  <c r="H39" i="10"/>
  <c r="I39" i="10" s="1"/>
  <c r="J39" i="10" s="1"/>
  <c r="K47" i="10"/>
  <c r="K48" i="10" s="1"/>
  <c r="J24" i="11" l="1"/>
  <c r="L47" i="10"/>
  <c r="L48" i="10" s="1"/>
  <c r="J22" i="10"/>
  <c r="I37" i="10"/>
  <c r="J47" i="10" l="1"/>
  <c r="J48" i="10" s="1"/>
  <c r="I47" i="10"/>
  <c r="I48" i="10" s="1"/>
  <c r="J62" i="8" l="1"/>
  <c r="K62" i="8"/>
  <c r="L62" i="8"/>
  <c r="I62" i="8"/>
  <c r="J60" i="8"/>
  <c r="K60" i="8"/>
  <c r="L60" i="8"/>
  <c r="I60" i="8"/>
  <c r="J47" i="8"/>
  <c r="K47" i="8"/>
  <c r="L47" i="8"/>
  <c r="I47" i="8"/>
  <c r="J26" i="8"/>
  <c r="K26" i="8"/>
  <c r="L26" i="8"/>
  <c r="I26" i="8"/>
  <c r="L65" i="8" l="1"/>
  <c r="I66" i="8"/>
  <c r="J66" i="8"/>
  <c r="J67" i="8" s="1"/>
  <c r="K66" i="8"/>
  <c r="K67" i="8" s="1"/>
  <c r="L66" i="8"/>
  <c r="I65" i="8"/>
  <c r="J65" i="8"/>
  <c r="K65" i="8"/>
  <c r="J48" i="7"/>
  <c r="K48" i="7"/>
  <c r="L48" i="7"/>
  <c r="L52" i="7" s="1"/>
  <c r="L53" i="7" s="1"/>
  <c r="I48" i="7"/>
  <c r="I52" i="7" s="1"/>
  <c r="I53" i="7" s="1"/>
  <c r="J46" i="7"/>
  <c r="K46" i="7"/>
  <c r="L46" i="7"/>
  <c r="I46" i="7"/>
  <c r="J42" i="7"/>
  <c r="K42" i="7"/>
  <c r="L42" i="7"/>
  <c r="I42" i="7"/>
  <c r="J36" i="7"/>
  <c r="K36" i="7"/>
  <c r="L36" i="7"/>
  <c r="I36" i="7"/>
  <c r="J25" i="7"/>
  <c r="K25" i="7"/>
  <c r="L25" i="7"/>
  <c r="I25" i="7"/>
  <c r="J18" i="7"/>
  <c r="K18" i="7"/>
  <c r="L18" i="7"/>
  <c r="I18" i="7"/>
  <c r="J12" i="7"/>
  <c r="K12" i="7"/>
  <c r="L12" i="7"/>
  <c r="I12" i="7"/>
  <c r="L40" i="7"/>
  <c r="L27" i="7"/>
  <c r="L28" i="7"/>
  <c r="L29" i="7"/>
  <c r="L30" i="7"/>
  <c r="L31" i="7"/>
  <c r="L32" i="7"/>
  <c r="L33" i="7"/>
  <c r="L34" i="7"/>
  <c r="I51" i="7"/>
  <c r="J51" i="7"/>
  <c r="L51" i="7"/>
  <c r="H10" i="7"/>
  <c r="I10" i="7"/>
  <c r="J10" i="7" s="1"/>
  <c r="H14" i="7"/>
  <c r="I14" i="7" s="1"/>
  <c r="H15" i="7"/>
  <c r="I15" i="7" s="1"/>
  <c r="J15" i="7" s="1"/>
  <c r="H16" i="7"/>
  <c r="I16" i="7" s="1"/>
  <c r="J16" i="7" s="1"/>
  <c r="H20" i="7"/>
  <c r="I20" i="7" s="1"/>
  <c r="J20" i="7" s="1"/>
  <c r="H21" i="7"/>
  <c r="I21" i="7" s="1"/>
  <c r="J21" i="7" s="1"/>
  <c r="H22" i="7"/>
  <c r="I22" i="7"/>
  <c r="J22" i="7" s="1"/>
  <c r="H23" i="7"/>
  <c r="I23" i="7" s="1"/>
  <c r="J23" i="7" s="1"/>
  <c r="H27" i="7"/>
  <c r="I27" i="7" s="1"/>
  <c r="J27" i="7" s="1"/>
  <c r="K27" i="7"/>
  <c r="H28" i="7"/>
  <c r="I28" i="7" s="1"/>
  <c r="J28" i="7" s="1"/>
  <c r="K28" i="7"/>
  <c r="H29" i="7"/>
  <c r="I29" i="7" s="1"/>
  <c r="J29" i="7" s="1"/>
  <c r="K29" i="7"/>
  <c r="H30" i="7"/>
  <c r="I30" i="7" s="1"/>
  <c r="J30" i="7" s="1"/>
  <c r="K30" i="7"/>
  <c r="H31" i="7"/>
  <c r="I31" i="7"/>
  <c r="J31" i="7" s="1"/>
  <c r="K31" i="7"/>
  <c r="H32" i="7"/>
  <c r="I32" i="7" s="1"/>
  <c r="J32" i="7" s="1"/>
  <c r="K32" i="7"/>
  <c r="H33" i="7"/>
  <c r="I33" i="7" s="1"/>
  <c r="J33" i="7" s="1"/>
  <c r="K33" i="7"/>
  <c r="H34" i="7"/>
  <c r="I34" i="7" s="1"/>
  <c r="J34" i="7" s="1"/>
  <c r="K34" i="7"/>
  <c r="H38" i="7"/>
  <c r="I38" i="7"/>
  <c r="J38" i="7" s="1"/>
  <c r="H39" i="7"/>
  <c r="I39" i="7" s="1"/>
  <c r="J39" i="7" s="1"/>
  <c r="H40" i="7"/>
  <c r="I40" i="7" s="1"/>
  <c r="J40" i="7" s="1"/>
  <c r="K40" i="7"/>
  <c r="H44" i="7"/>
  <c r="I44" i="7" s="1"/>
  <c r="J52" i="7"/>
  <c r="J53" i="7" s="1"/>
  <c r="K52" i="7"/>
  <c r="K53" i="7" s="1"/>
  <c r="K51" i="7"/>
  <c r="J79" i="6"/>
  <c r="J83" i="6" s="1"/>
  <c r="J84" i="6" s="1"/>
  <c r="K79" i="6"/>
  <c r="L79" i="6"/>
  <c r="I79" i="6"/>
  <c r="J77" i="6"/>
  <c r="K77" i="6"/>
  <c r="L77" i="6"/>
  <c r="I77" i="6"/>
  <c r="J72" i="6"/>
  <c r="K72" i="6"/>
  <c r="L72" i="6"/>
  <c r="I72" i="6"/>
  <c r="J66" i="6"/>
  <c r="K66" i="6"/>
  <c r="L66" i="6"/>
  <c r="I66" i="6"/>
  <c r="J42" i="6"/>
  <c r="K42" i="6"/>
  <c r="L42" i="6"/>
  <c r="I42" i="6"/>
  <c r="J50" i="6"/>
  <c r="K50" i="6"/>
  <c r="L50" i="6"/>
  <c r="I50" i="6"/>
  <c r="J34" i="6"/>
  <c r="K34" i="6"/>
  <c r="L34" i="6"/>
  <c r="I34" i="6"/>
  <c r="J45" i="6"/>
  <c r="J46" i="6"/>
  <c r="J47" i="6"/>
  <c r="J48" i="6"/>
  <c r="J44" i="6"/>
  <c r="J53" i="6"/>
  <c r="J54" i="6"/>
  <c r="J55" i="6"/>
  <c r="J56" i="6"/>
  <c r="J57" i="6"/>
  <c r="J58" i="6"/>
  <c r="J59" i="6"/>
  <c r="J60" i="6"/>
  <c r="J61" i="6"/>
  <c r="J62" i="6"/>
  <c r="J63" i="6"/>
  <c r="J64" i="6"/>
  <c r="J52" i="6"/>
  <c r="H32" i="6"/>
  <c r="I32" i="6" s="1"/>
  <c r="J32" i="6" s="1"/>
  <c r="J25" i="6"/>
  <c r="J26" i="6"/>
  <c r="J27" i="6"/>
  <c r="J28" i="6"/>
  <c r="J29" i="6"/>
  <c r="J30" i="6"/>
  <c r="J31" i="6"/>
  <c r="J24" i="6"/>
  <c r="I75" i="6"/>
  <c r="I74" i="6"/>
  <c r="I69" i="6"/>
  <c r="I70" i="6"/>
  <c r="I68" i="6"/>
  <c r="I64" i="6"/>
  <c r="I53" i="6"/>
  <c r="I54" i="6"/>
  <c r="I55" i="6"/>
  <c r="I56" i="6"/>
  <c r="I57" i="6"/>
  <c r="I58" i="6"/>
  <c r="I59" i="6"/>
  <c r="I60" i="6"/>
  <c r="I61" i="6"/>
  <c r="I62" i="6"/>
  <c r="I63" i="6"/>
  <c r="I52" i="6"/>
  <c r="I45" i="6"/>
  <c r="I46" i="6"/>
  <c r="I47" i="6"/>
  <c r="I48" i="6"/>
  <c r="I44" i="6"/>
  <c r="I37" i="6"/>
  <c r="I38" i="6"/>
  <c r="I39" i="6"/>
  <c r="I40" i="6"/>
  <c r="I36" i="6"/>
  <c r="I25" i="6"/>
  <c r="I26" i="6"/>
  <c r="I27" i="6"/>
  <c r="I28" i="6"/>
  <c r="I29" i="6"/>
  <c r="I30" i="6"/>
  <c r="I31" i="6"/>
  <c r="I24" i="6"/>
  <c r="H75" i="6"/>
  <c r="H74" i="6"/>
  <c r="H69" i="6"/>
  <c r="H70" i="6"/>
  <c r="H68" i="6"/>
  <c r="H53" i="6"/>
  <c r="H54" i="6"/>
  <c r="H55" i="6"/>
  <c r="H56" i="6"/>
  <c r="H57" i="6"/>
  <c r="H58" i="6"/>
  <c r="H59" i="6"/>
  <c r="H60" i="6"/>
  <c r="H61" i="6"/>
  <c r="H62" i="6"/>
  <c r="H63" i="6"/>
  <c r="H64" i="6"/>
  <c r="H52" i="6"/>
  <c r="H45" i="6"/>
  <c r="H46" i="6"/>
  <c r="H47" i="6"/>
  <c r="H48" i="6"/>
  <c r="H44" i="6"/>
  <c r="H40" i="6"/>
  <c r="H37" i="6"/>
  <c r="H38" i="6"/>
  <c r="H39" i="6"/>
  <c r="H36" i="6"/>
  <c r="H25" i="6"/>
  <c r="H26" i="6"/>
  <c r="H27" i="6"/>
  <c r="H28" i="6"/>
  <c r="H29" i="6"/>
  <c r="H30" i="6"/>
  <c r="H31" i="6"/>
  <c r="H24" i="6"/>
  <c r="H9" i="6"/>
  <c r="I9" i="6" s="1"/>
  <c r="J9" i="6" s="1"/>
  <c r="H6" i="6"/>
  <c r="I6" i="6" s="1"/>
  <c r="H7" i="6"/>
  <c r="I7" i="6" s="1"/>
  <c r="J7" i="6" s="1"/>
  <c r="H8" i="6"/>
  <c r="I8" i="6" s="1"/>
  <c r="J8" i="6" s="1"/>
  <c r="K11" i="6"/>
  <c r="L11" i="6"/>
  <c r="K18" i="6"/>
  <c r="K20" i="6" s="1"/>
  <c r="K82" i="6" s="1"/>
  <c r="H13" i="6"/>
  <c r="I13" i="6" s="1"/>
  <c r="H14" i="6"/>
  <c r="I14" i="6" s="1"/>
  <c r="J14" i="6" s="1"/>
  <c r="H15" i="6"/>
  <c r="I15" i="6" s="1"/>
  <c r="J15" i="6" s="1"/>
  <c r="H16" i="6"/>
  <c r="I16" i="6" s="1"/>
  <c r="J16" i="6" s="1"/>
  <c r="I83" i="6"/>
  <c r="I84" i="6" s="1"/>
  <c r="L83" i="6"/>
  <c r="L84" i="6" s="1"/>
  <c r="I67" i="8" l="1"/>
  <c r="L67" i="8"/>
  <c r="J44" i="7"/>
  <c r="J14" i="7"/>
  <c r="I18" i="6"/>
  <c r="J13" i="6"/>
  <c r="J18" i="6" s="1"/>
  <c r="K83" i="6"/>
  <c r="K84" i="6" s="1"/>
  <c r="I11" i="6"/>
  <c r="J6" i="6"/>
  <c r="J11" i="6" s="1"/>
  <c r="J20" i="6" l="1"/>
  <c r="J82" i="6" s="1"/>
  <c r="I20" i="6"/>
  <c r="I82" i="6" s="1"/>
  <c r="L18" i="6"/>
  <c r="L20" i="6" s="1"/>
  <c r="L82" i="6" s="1"/>
  <c r="J14" i="5" l="1"/>
  <c r="J7" i="5"/>
  <c r="J8" i="5"/>
  <c r="J9" i="5"/>
  <c r="I14" i="5"/>
  <c r="I7" i="5"/>
  <c r="I8" i="5"/>
  <c r="I9" i="5"/>
  <c r="H14" i="5"/>
  <c r="H13" i="5"/>
  <c r="H7" i="5"/>
  <c r="H8" i="5"/>
  <c r="H9" i="5"/>
  <c r="H6" i="5"/>
  <c r="I6" i="5" s="1"/>
  <c r="J6" i="5" s="1"/>
  <c r="K22" i="5"/>
  <c r="K23" i="5" s="1"/>
  <c r="I13" i="5"/>
  <c r="K11" i="5"/>
  <c r="L11" i="5"/>
  <c r="L18" i="5" s="1"/>
  <c r="L22" i="5" s="1"/>
  <c r="L23" i="5" s="1"/>
  <c r="I16" i="5" l="1"/>
  <c r="J13" i="5"/>
  <c r="J16" i="5" s="1"/>
  <c r="J11" i="5"/>
  <c r="I11" i="5"/>
  <c r="I18" i="5" l="1"/>
  <c r="I22" i="5" s="1"/>
  <c r="I23" i="5" s="1"/>
  <c r="J18" i="5"/>
  <c r="J22" i="5" s="1"/>
  <c r="J23" i="5" s="1"/>
  <c r="L7" i="4" l="1"/>
  <c r="L15" i="4" s="1"/>
  <c r="L27" i="4" s="1"/>
  <c r="L31" i="4" s="1"/>
  <c r="L32" i="4" s="1"/>
  <c r="I6" i="4"/>
  <c r="J6" i="4" s="1"/>
  <c r="H7" i="4"/>
  <c r="I7" i="4" s="1"/>
  <c r="H8" i="4"/>
  <c r="I8" i="4"/>
  <c r="J8" i="4" s="1"/>
  <c r="H9" i="4"/>
  <c r="I9" i="4" s="1"/>
  <c r="J9" i="4" s="1"/>
  <c r="I10" i="4"/>
  <c r="J10" i="4" s="1"/>
  <c r="H11" i="4"/>
  <c r="I11" i="4" s="1"/>
  <c r="J11" i="4" s="1"/>
  <c r="H12" i="4"/>
  <c r="I12" i="4" s="1"/>
  <c r="J12" i="4" s="1"/>
  <c r="H13" i="4"/>
  <c r="I13" i="4"/>
  <c r="J13" i="4"/>
  <c r="K15" i="4"/>
  <c r="H17" i="4"/>
  <c r="I17" i="4" s="1"/>
  <c r="H18" i="4"/>
  <c r="I18" i="4"/>
  <c r="J18" i="4" s="1"/>
  <c r="H19" i="4"/>
  <c r="I19" i="4" s="1"/>
  <c r="J19" i="4" s="1"/>
  <c r="I20" i="4"/>
  <c r="J20" i="4"/>
  <c r="H21" i="4"/>
  <c r="I21" i="4"/>
  <c r="J21" i="4" s="1"/>
  <c r="I22" i="4"/>
  <c r="J22" i="4" s="1"/>
  <c r="H23" i="4"/>
  <c r="I23" i="4" s="1"/>
  <c r="J23" i="4" s="1"/>
  <c r="K31" i="4"/>
  <c r="K32" i="4" s="1"/>
  <c r="H6" i="3"/>
  <c r="I6" i="3" s="1"/>
  <c r="I12" i="3" s="1"/>
  <c r="H7" i="3"/>
  <c r="I7" i="3"/>
  <c r="H8" i="3"/>
  <c r="I8" i="3"/>
  <c r="F9" i="3"/>
  <c r="H9" i="3"/>
  <c r="I9" i="3" s="1"/>
  <c r="I10" i="3"/>
  <c r="H11" i="3"/>
  <c r="I11" i="3"/>
  <c r="J12" i="3"/>
  <c r="K12" i="3"/>
  <c r="I14" i="3"/>
  <c r="I63" i="3" s="1"/>
  <c r="J14" i="3"/>
  <c r="J63" i="3" s="1"/>
  <c r="K14" i="3"/>
  <c r="K63" i="3" s="1"/>
  <c r="I18" i="3"/>
  <c r="Q18" i="3" s="1"/>
  <c r="J18" i="3"/>
  <c r="K18" i="3"/>
  <c r="R18" i="3" s="1"/>
  <c r="I19" i="3"/>
  <c r="Q19" i="3" s="1"/>
  <c r="J19" i="3"/>
  <c r="K19" i="3"/>
  <c r="R19" i="3" s="1"/>
  <c r="I20" i="3"/>
  <c r="Q20" i="3" s="1"/>
  <c r="J20" i="3"/>
  <c r="R20" i="3"/>
  <c r="I21" i="3"/>
  <c r="Q21" i="3" s="1"/>
  <c r="J21" i="3"/>
  <c r="K21" i="3"/>
  <c r="R21" i="3" s="1"/>
  <c r="I22" i="3"/>
  <c r="Q22" i="3" s="1"/>
  <c r="J22" i="3"/>
  <c r="K22" i="3"/>
  <c r="I23" i="3"/>
  <c r="J23" i="3"/>
  <c r="K23" i="3"/>
  <c r="R23" i="3" s="1"/>
  <c r="I24" i="3"/>
  <c r="Q24" i="3" s="1"/>
  <c r="J24" i="3"/>
  <c r="K24" i="3"/>
  <c r="R24" i="3"/>
  <c r="I25" i="3"/>
  <c r="Q25" i="3" s="1"/>
  <c r="J25" i="3"/>
  <c r="K25" i="3"/>
  <c r="R25" i="3" s="1"/>
  <c r="Q26" i="3"/>
  <c r="R26" i="3"/>
  <c r="S26" i="3" s="1"/>
  <c r="I27" i="3"/>
  <c r="Q27" i="3" s="1"/>
  <c r="J27" i="3"/>
  <c r="K27" i="3"/>
  <c r="R27" i="3" s="1"/>
  <c r="I28" i="3"/>
  <c r="Q28" i="3" s="1"/>
  <c r="J28" i="3"/>
  <c r="K28" i="3"/>
  <c r="I29" i="3"/>
  <c r="Q29" i="3" s="1"/>
  <c r="J29" i="3"/>
  <c r="K29" i="3"/>
  <c r="R29" i="3" s="1"/>
  <c r="I30" i="3"/>
  <c r="Q30" i="3" s="1"/>
  <c r="J30" i="3"/>
  <c r="K30" i="3"/>
  <c r="R30" i="3" s="1"/>
  <c r="I31" i="3"/>
  <c r="Q31" i="3" s="1"/>
  <c r="J31" i="3"/>
  <c r="K31" i="3"/>
  <c r="R31" i="3" s="1"/>
  <c r="I32" i="3"/>
  <c r="Q32" i="3" s="1"/>
  <c r="S32" i="3" s="1"/>
  <c r="J32" i="3"/>
  <c r="K32" i="3"/>
  <c r="I33" i="3"/>
  <c r="Q33" i="3" s="1"/>
  <c r="S33" i="3" s="1"/>
  <c r="J33" i="3"/>
  <c r="K33" i="3"/>
  <c r="I34" i="3"/>
  <c r="Q34" i="3" s="1"/>
  <c r="S34" i="3" s="1"/>
  <c r="J34" i="3"/>
  <c r="K34" i="3"/>
  <c r="H38" i="3"/>
  <c r="I38" i="3"/>
  <c r="H39" i="3"/>
  <c r="I39" i="3" s="1"/>
  <c r="I44" i="3" s="1"/>
  <c r="H40" i="3"/>
  <c r="I40" i="3"/>
  <c r="H41" i="3"/>
  <c r="I41" i="3" s="1"/>
  <c r="Q41" i="3"/>
  <c r="H42" i="3"/>
  <c r="I42" i="3"/>
  <c r="H43" i="3"/>
  <c r="I43" i="3"/>
  <c r="Q43" i="3"/>
  <c r="J44" i="3"/>
  <c r="K44" i="3"/>
  <c r="H46" i="3"/>
  <c r="I46" i="3"/>
  <c r="I52" i="3" s="1"/>
  <c r="H47" i="3"/>
  <c r="I47" i="3"/>
  <c r="H48" i="3"/>
  <c r="I48" i="3"/>
  <c r="I49" i="3"/>
  <c r="H50" i="3"/>
  <c r="I50" i="3" s="1"/>
  <c r="I51" i="3"/>
  <c r="J52" i="3"/>
  <c r="K52" i="3"/>
  <c r="F54" i="3"/>
  <c r="H54" i="3" s="1"/>
  <c r="I54" i="3" s="1"/>
  <c r="I58" i="3" s="1"/>
  <c r="H55" i="3"/>
  <c r="I55" i="3"/>
  <c r="H56" i="3"/>
  <c r="I56" i="3"/>
  <c r="H57" i="3"/>
  <c r="I57" i="3"/>
  <c r="J58" i="3"/>
  <c r="K58" i="3"/>
  <c r="I60" i="3"/>
  <c r="I64" i="3" s="1"/>
  <c r="J60" i="3"/>
  <c r="J64" i="3" s="1"/>
  <c r="J65" i="3" s="1"/>
  <c r="K60" i="3"/>
  <c r="K64" i="3" s="1"/>
  <c r="K65" i="3" s="1"/>
  <c r="H6" i="2"/>
  <c r="I6" i="2"/>
  <c r="H7" i="2"/>
  <c r="I7" i="2" s="1"/>
  <c r="H8" i="2"/>
  <c r="I8" i="2" s="1"/>
  <c r="J8" i="2" s="1"/>
  <c r="K8" i="2" s="1"/>
  <c r="F9" i="2"/>
  <c r="H9" i="2"/>
  <c r="I9" i="2" s="1"/>
  <c r="I10" i="2"/>
  <c r="H11" i="2"/>
  <c r="I11" i="2" s="1"/>
  <c r="I64" i="2"/>
  <c r="J64" i="2"/>
  <c r="K64" i="2"/>
  <c r="H39" i="2"/>
  <c r="I39" i="2"/>
  <c r="J39" i="2"/>
  <c r="H40" i="2"/>
  <c r="I40" i="2" s="1"/>
  <c r="J40" i="2" s="1"/>
  <c r="H41" i="2"/>
  <c r="I41" i="2"/>
  <c r="J41" i="2"/>
  <c r="H42" i="2"/>
  <c r="I42" i="2" s="1"/>
  <c r="J42" i="2" s="1"/>
  <c r="H43" i="2"/>
  <c r="I43" i="2"/>
  <c r="J43" i="2" s="1"/>
  <c r="H44" i="2"/>
  <c r="I44" i="2" s="1"/>
  <c r="J44" i="2" s="1"/>
  <c r="K45" i="2"/>
  <c r="H47" i="2"/>
  <c r="I47" i="2" s="1"/>
  <c r="J47" i="2"/>
  <c r="H48" i="2"/>
  <c r="I48" i="2"/>
  <c r="J48" i="2" s="1"/>
  <c r="H49" i="2"/>
  <c r="I49" i="2" s="1"/>
  <c r="J49" i="2" s="1"/>
  <c r="I50" i="2"/>
  <c r="J50" i="2" s="1"/>
  <c r="H51" i="2"/>
  <c r="I51" i="2"/>
  <c r="J51" i="2" s="1"/>
  <c r="I52" i="2"/>
  <c r="J52" i="2" s="1"/>
  <c r="K53" i="2"/>
  <c r="F55" i="2"/>
  <c r="H55" i="2"/>
  <c r="I55" i="2" s="1"/>
  <c r="H56" i="2"/>
  <c r="I56" i="2" s="1"/>
  <c r="H57" i="2"/>
  <c r="I57" i="2"/>
  <c r="H58" i="2"/>
  <c r="I58" i="2" s="1"/>
  <c r="K59" i="2"/>
  <c r="I65" i="2"/>
  <c r="I66" i="2" s="1"/>
  <c r="J65" i="2"/>
  <c r="J66" i="2" s="1"/>
  <c r="K65" i="2"/>
  <c r="K66" i="2" s="1"/>
  <c r="S19" i="3" l="1"/>
  <c r="S29" i="3"/>
  <c r="S25" i="3"/>
  <c r="S18" i="3"/>
  <c r="S31" i="3"/>
  <c r="S30" i="3"/>
  <c r="S20" i="3"/>
  <c r="S21" i="3"/>
  <c r="I25" i="4"/>
  <c r="J17" i="4"/>
  <c r="J25" i="4" s="1"/>
  <c r="K35" i="3"/>
  <c r="R35" i="3" s="1"/>
  <c r="J35" i="3"/>
  <c r="J36" i="3" s="1"/>
  <c r="I15" i="4"/>
  <c r="J7" i="4"/>
  <c r="J15" i="4" s="1"/>
  <c r="S24" i="3"/>
  <c r="S22" i="3"/>
  <c r="M38" i="3"/>
  <c r="M39" i="3"/>
  <c r="M37" i="3"/>
  <c r="I65" i="3"/>
  <c r="M40" i="3"/>
  <c r="S28" i="3"/>
  <c r="S27" i="3"/>
  <c r="Q23" i="3"/>
  <c r="J7" i="2"/>
  <c r="J53" i="2"/>
  <c r="J45" i="2"/>
  <c r="J55" i="2"/>
  <c r="J59" i="2" s="1"/>
  <c r="K7" i="2" l="1"/>
  <c r="R37" i="3"/>
  <c r="J27" i="4"/>
  <c r="J31" i="4" s="1"/>
  <c r="J32" i="4" s="1"/>
  <c r="I27" i="4"/>
  <c r="I31" i="4" s="1"/>
  <c r="I32" i="4" s="1"/>
  <c r="K36" i="3"/>
  <c r="S23" i="3"/>
  <c r="I35" i="3" l="1"/>
  <c r="Q35" i="3"/>
  <c r="I36" i="3"/>
  <c r="M19" i="3" l="1"/>
  <c r="M33" i="3"/>
  <c r="M20" i="3"/>
  <c r="M28" i="3"/>
  <c r="M34" i="3"/>
  <c r="M29" i="3"/>
  <c r="M18" i="3"/>
  <c r="M24" i="3"/>
  <c r="M22" i="3"/>
  <c r="M25" i="3"/>
  <c r="M30" i="3"/>
  <c r="M31" i="3"/>
  <c r="M27" i="3"/>
  <c r="M32" i="3"/>
  <c r="M26" i="3"/>
  <c r="L26" i="3" s="1"/>
  <c r="M21" i="3"/>
  <c r="M23" i="3"/>
  <c r="M35" i="3"/>
  <c r="S35" i="3"/>
  <c r="L24" i="3" l="1"/>
  <c r="L21" i="3"/>
  <c r="L32" i="3"/>
  <c r="L28" i="3"/>
  <c r="L18" i="3"/>
  <c r="L29" i="3"/>
  <c r="L27" i="3"/>
  <c r="L34" i="3"/>
  <c r="L31" i="3"/>
  <c r="L30" i="3"/>
  <c r="L20" i="3"/>
  <c r="L35" i="3"/>
  <c r="L25" i="3"/>
  <c r="L33" i="3"/>
  <c r="L23" i="3"/>
  <c r="L22" i="3"/>
  <c r="L19"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tc={BFAA3E88-CA30-42E7-B2E5-158A52948EB2}</author>
  </authors>
  <commentList>
    <comment ref="F32" authorId="0" shapeId="0" xr:uid="{BFAA3E88-CA30-42E7-B2E5-158A52948EB2}">
      <text>
        <t>[Threaded comment]
Your version of Excel allows you to read this threaded comment; however, any edits to it will get removed if the file is opened in a newer version of Excel. Learn more: https://go.microsoft.com/fwlink/?linkid=870924
Comment:
    $5 for food and $10 for drink tickets per person</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tc={7BD6225D-6A5D-419A-8882-ACF50C49F74D}</author>
    <author>tc={C2344F27-6DAD-4EEA-9609-0761E6B6AE70}</author>
  </authors>
  <commentList>
    <comment ref="E12" authorId="0" shapeId="0" xr:uid="{7BD6225D-6A5D-419A-8882-ACF50C49F74D}">
      <text>
        <t xml:space="preserve">[Threaded comment]
Your version of Excel allows you to read this threaded comment; however, any edits to it will get removed if the file is opened in a newer version of Excel. Learn more: https://go.microsoft.com/fwlink/?linkid=870924
Comment:
    How long are these meetings usually? 
</t>
      </text>
    </comment>
    <comment ref="D27" authorId="1" shapeId="0" xr:uid="{C2344F27-6DAD-4EEA-9609-0761E6B6AE70}">
      <text>
        <t xml:space="preserve">[Threaded comment]
Your version of Excel allows you to read this threaded comment; however, any edits to it will get removed if the file is opened in a newer version of Excel. Learn more: https://go.microsoft.com/fwlink/?linkid=870924
Comment:
    To be honest, I would personally put advertising for EngSoc elections as last cut priority. I would rather cut anything else and I'll explain my reasoning behind that: Elections are so crucial to the future of EngSoc and we need to increase the interest/engagement this year! Having a competent and strong Executive (and quality candidates to choose from) is an important investment in the Society. I would potentially re-think this one.
</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tc={518F2251-51CD-4D69-B999-6DF8488E8004}</author>
    <author>tc={3895C1C3-1D22-4DE0-A10C-8984D54460DF}</author>
    <author>tc={1C254121-895E-484B-AFF0-63FC22EC5F96}</author>
  </authors>
  <commentList>
    <comment ref="B27" authorId="0" shapeId="0" xr:uid="{518F2251-51CD-4D69-B999-6DF8488E8004}">
      <text>
        <t xml:space="preserve">[Threaded comment]
Your version of Excel allows you to read this threaded comment; however, any edits to it will get removed if the file is opened in a newer version of Excel. Learn more: https://go.microsoft.com/fwlink/?linkid=870924
Comment:
    I agree that cleaning supplies is mega important and should be cut last! Maybe explore new cleaning products this year (cheaper and more environmentally sustainable options)??? Regardless, I agree with this!
</t>
      </text>
    </comment>
    <comment ref="C42" authorId="1" shapeId="0" xr:uid="{3895C1C3-1D22-4DE0-A10C-8984D54460DF}">
      <text>
        <t xml:space="preserve">[Threaded comment]
Your version of Excel allows you to read this threaded comment; however, any edits to it will get removed if the file is opened in a newer version of Excel. Learn more: https://go.microsoft.com/fwlink/?linkid=870924
Comment:
    This is cool! I would maybe think about other ways of appreciation but I understand the thought of renting out Clark for sure.
</t>
      </text>
    </comment>
    <comment ref="A46" authorId="2" shapeId="0" xr:uid="{1C254121-895E-484B-AFF0-63FC22EC5F96}">
      <text>
        <t xml:space="preserve">[Threaded comment]
Your version of Excel allows you to read this threaded comment; however, any edits to it will get removed if the file is opened in a newer version of Excel. Learn more: https://go.microsoft.com/fwlink/?linkid=870924
Comment:
    Since this will be presented at Council eventually, you may want to fix the excel formulas for this section.
</t>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tc={EAD66BBA-F113-4DE5-9FDC-2A5F997CACDB}</author>
    <author>tc={64262658-5C45-4C4B-8F1D-ECF68DEC82FE}</author>
    <author>tc={B9CDBFD7-C85C-4714-8521-AE0B726B73BF}</author>
    <author>tc={6B1758AA-DBC7-4F27-8763-50D40F25F0DB}</author>
    <author>tc={767C2791-96FC-4B93-8352-6A9AC3AC8275}</author>
  </authors>
  <commentList>
    <comment ref="B20" authorId="0" shapeId="0" xr:uid="{EAD66BBA-F113-4DE5-9FDC-2A5F997CACDB}">
      <text>
        <t xml:space="preserve">[Threaded comment]
Your version of Excel allows you to read this threaded comment; however, any edits to it will get removed if the file is opened in a newer version of Excel. Learn more: https://go.microsoft.com/fwlink/?linkid=870924
Comment:
    I agree that cleaning supplies is mega important and should be cut last! Maybe explore new cleaning products this year (cheaper and more environmentally sustainable options)??? Regardless, I agree with this!
</t>
      </text>
    </comment>
    <comment ref="E33" authorId="1" shapeId="0" xr:uid="{64262658-5C45-4C4B-8F1D-ECF68DEC82FE}">
      <text>
        <t xml:space="preserve">[Threaded comment]
Your version of Excel allows you to read this threaded comment; however, any edits to it will get removed if the file is opened in a newer version of Excel. Learn more: https://go.microsoft.com/fwlink/?linkid=870924
Comment:
    Smart way of increasing enagagement amongs design teams! A note however, this may get cut if financials are tighter than expected.
</t>
      </text>
    </comment>
    <comment ref="C38" authorId="2" shapeId="0" xr:uid="{B9CDBFD7-C85C-4714-8521-AE0B726B73BF}">
      <text>
        <t xml:space="preserve">[Threaded comment]
Your version of Excel allows you to read this threaded comment; however, any edits to it will get removed if the file is opened in a newer version of Excel. Learn more: https://go.microsoft.com/fwlink/?linkid=870924
Comment:
    This is cool! I would maybe think about other ways of appreciation but I understand the thought of renting out Clark for sure.
</t>
      </text>
    </comment>
    <comment ref="C44" authorId="3" shapeId="0" xr:uid="{6B1758AA-DBC7-4F27-8763-50D40F25F0DB}">
      <text>
        <t xml:space="preserve">[Threaded comment]
Your version of Excel allows you to read this threaded comment; however, any edits to it will get removed if the file is opened in a newer version of Excel. Learn more: https://go.microsoft.com/fwlink/?linkid=870924
Comment:
    Good thing to budget for in case the Faculty is mean and doesn't help us out with it.
</t>
      </text>
    </comment>
    <comment ref="A49" authorId="4" shapeId="0" xr:uid="{767C2791-96FC-4B93-8352-6A9AC3AC8275}">
      <text>
        <t xml:space="preserve">[Threaded comment]
Your version of Excel allows you to read this threaded comment; however, any edits to it will get removed if the file is opened in a newer version of Excel. Learn more: https://go.microsoft.com/fwlink/?linkid=870924
Comment:
    Since this will be presented at Council eventually, you may want to fix the excel formulas for this section.
</t>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tc={5586791D-8D20-4BEC-9A19-A79E833068AD}</author>
    <author>tc={AF4EE71A-691A-4576-9332-1482BA1525B3}</author>
    <author>tc={A1293E6F-04FB-41F0-A313-0BBB9A3EB375}</author>
    <author>tc={0A8BBE3B-1194-4950-B6E7-C2147EAAA79B}</author>
    <author>tc={2662E0DC-1C45-4FF7-9A27-BA6DBAC8227E}</author>
    <author>tc={196FF3F1-15BF-4815-9135-088516F281C4}</author>
    <author>tc={6CF67D05-1D06-4BDD-B4D8-589287003304}</author>
    <author>tc={2350A37C-3E14-4C6D-8325-F83B2E18788F}</author>
    <author>tc={5D30C620-AE80-482B-A96C-DD580796D5C2}</author>
    <author>tc={BD0F5E1F-3178-43A3-9B27-FAC79ADB6D8B}</author>
    <author>tc={F73B5CE9-9EFD-481C-A39B-89042D764D55}</author>
    <author>tc={12539E90-3B15-428B-9B94-1E5521554D9B}</author>
    <author>tc={982F88B9-0C1E-4FE3-A1F6-6314653CD154}</author>
    <author>tc={E59C1CA0-0E60-4094-B5C5-357EC4BDE089}</author>
    <author>tc={A9F28E91-A30D-49B5-B847-29C90DBD9F8A}</author>
    <author>tc={123A2378-E125-45C9-B333-67B5C460954A}</author>
    <author>tc={A5C39B6E-5CA3-46E0-8B1B-B4194C313773}</author>
    <author>tc={2242BD02-92BB-41EB-A344-18F27FEFC693}</author>
    <author>tc={17A636E8-C07D-4D70-923B-38C7213702DD}</author>
    <author>tc={7FB66D18-0F11-4827-9762-21A692BAACB3}</author>
    <author>tc={54B1C5A3-C5EA-4FEB-A3E2-B215CC1559C7}</author>
    <author>tc={CA84DC85-DAA9-4873-A265-16B280DA801D}</author>
    <author>tc={CD513A63-D892-4A12-A454-4B30CF4AB26D}</author>
    <author>tc={9D9ABEC8-6EB1-4971-B7FF-80D0FA998A0C}</author>
    <author>tc={5ECD57A6-8E78-4E3A-93D5-F86D4E9A65C4}</author>
    <author>tc={6A226975-8C6B-4348-A93B-A41499DA9267}</author>
    <author>tc={A4AA22AB-28F4-4260-86C0-7D5CC359AEDC}</author>
    <author>tc={68DA86E0-A52D-4C6F-B892-C6573CBA51C1}</author>
    <author>tc={F72D686C-6F74-4121-9835-A11262587F51}</author>
  </authors>
  <commentList>
    <comment ref="G7" authorId="0" shapeId="0" xr:uid="{5586791D-8D20-4BEC-9A19-A79E833068AD}">
      <text>
        <t>[Threaded comment]
Your version of Excel allows you to read this threaded comment; however, any edits to it will get removed if the file is opened in a newer version of Excel. Learn more: https://go.microsoft.com/fwlink/?linkid=870924
Comment:
    My team said 30 &amp; 15</t>
      </text>
    </comment>
    <comment ref="G14" authorId="1" shapeId="0" xr:uid="{AF4EE71A-691A-4576-9332-1482BA1525B3}">
      <text>
        <t>[Threaded comment]
Your version of Excel allows you to read this threaded comment; however, any edits to it will get removed if the file is opened in a newer version of Excel. Learn more: https://go.microsoft.com/fwlink/?linkid=870924
Comment:
    My team said 75 and 30 which is based off last year's numbers</t>
      </text>
    </comment>
    <comment ref="E23" authorId="2" shapeId="0" xr:uid="{A1293E6F-04FB-41F0-A313-0BBB9A3EB375}">
      <text>
        <t>[Threaded comment]
Your version of Excel allows you to read this threaded comment; however, any edits to it will get removed if the file is opened in a newer version of Excel. Learn more: https://go.microsoft.com/fwlink/?linkid=870924
Comment:
    Need to confirm with them</t>
      </text>
    </comment>
    <comment ref="B77" authorId="3" shapeId="0" xr:uid="{0A8BBE3B-1194-4950-B6E7-C2147EAAA79B}">
      <text>
        <t xml:space="preserve">[Threaded comment]
Your version of Excel allows you to read this threaded comment; however, any edits to it will get removed if the file is opened in a newer version of Excel. Learn more: https://go.microsoft.com/fwlink/?linkid=870924
Comment:
    Are we doing this electroncially? why is there no cost for the actual raffle ticket?
Reply:
    Yes, tickets will be stored in an excel sheet and a weighted random algorithm will pick the winner
</t>
      </text>
    </comment>
    <comment ref="C77" authorId="4" shapeId="0" xr:uid="{2662E0DC-1C45-4FF7-9A27-BA6DBAC8227E}">
      <text>
        <t xml:space="preserve">[Threaded comment]
Your version of Excel allows you to read this threaded comment; however, any edits to it will get removed if the file is opened in a newer version of Excel. Learn more: https://go.microsoft.com/fwlink/?linkid=870924
Comment:
    Did you reach out to the kingston community to see if anyone was willing to donate for advertising and to support the cause (maybe  barbour shops will give a free or discounted haircut?
Reply:
    Good Idea! Will get on that
</t>
      </text>
    </comment>
    <comment ref="E77" authorId="5" shapeId="0" xr:uid="{196FF3F1-15BF-4815-9135-088516F281C4}">
      <text>
        <t>[Threaded comment]
Your version of Excel allows you to read this threaded comment; however, any edits to it will get removed if the file is opened in a newer version of Excel. Learn more: https://go.microsoft.com/fwlink/?linkid=870924
Comment:
    Can we think of any alternatives to air pods that is still WOW but a little less expensive?</t>
      </text>
    </comment>
    <comment ref="E82" authorId="6" shapeId="0" xr:uid="{6CF67D05-1D06-4BDD-B4D8-589287003304}">
      <text>
        <t xml:space="preserve">[Threaded comment]
Your version of Excel allows you to read this threaded comment; however, any edits to it will get removed if the file is opened in a newer version of Excel. Learn more: https://go.microsoft.com/fwlink/?linkid=870924
Comment:
    Who are we co-hosting with? Why is there a fee for this?
Reply:
    It's just sponsoring
</t>
      </text>
    </comment>
    <comment ref="F84" authorId="7" shapeId="0" xr:uid="{2350A37C-3E14-4C6D-8325-F83B2E18788F}">
      <text>
        <t xml:space="preserve">[Threaded comment]
Your version of Excel allows you to read this threaded comment; however, any edits to it will get removed if the file is opened in a newer version of Excel. Learn more: https://go.microsoft.com/fwlink/?linkid=870924
Comment:
    Did you hear back or is this from last year?
Reply:
    Last Year
</t>
      </text>
    </comment>
    <comment ref="E89" authorId="8" shapeId="0" xr:uid="{5D30C620-AE80-482B-A96C-DD580796D5C2}">
      <text>
        <t xml:space="preserve">[Threaded comment]
Your version of Excel allows you to read this threaded comment; however, any edits to it will get removed if the file is opened in a newer version of Excel. Learn more: https://go.microsoft.com/fwlink/?linkid=870924
Comment:
    Are we renting? making? or buying? Can we use this cost in future years
Reply:
    I'll make it over the summer to cut cost, and it should be re-usable for events
</t>
      </text>
    </comment>
    <comment ref="E99" authorId="9" shapeId="0" xr:uid="{BD0F5E1F-3178-43A3-9B27-FAC79ADB6D8B}">
      <text>
        <t>[Threaded comment]
Your version of Excel allows you to read this threaded comment; however, any edits to it will get removed if the file is opened in a newer version of Excel. Learn more: https://go.microsoft.com/fwlink/?linkid=870924
Comment:
    I will confirm with zaid to check storage, i just to know what kind of stuff are we looking for</t>
      </text>
    </comment>
    <comment ref="G107" authorId="10" shapeId="0" xr:uid="{F73B5CE9-9EFD-481C-A39B-89042D764D55}">
      <text>
        <t>[Threaded comment]
Your version of Excel allows you to read this threaded comment; however, any edits to it will get removed if the file is opened in a newer version of Excel. Learn more: https://go.microsoft.com/fwlink/?linkid=870924
Comment:
    Love this, but will it deter people from coming?</t>
      </text>
    </comment>
    <comment ref="B111" authorId="11" shapeId="0" xr:uid="{12539E90-3B15-428B-9B94-1E5521554D9B}">
      <text>
        <t>[Threaded comment]
Your version of Excel allows you to read this threaded comment; however, any edits to it will get removed if the file is opened in a newer version of Excel. Learn more: https://go.microsoft.com/fwlink/?linkid=870924
Comment:
    Highlighted Red bc will not be using, just for Reference</t>
      </text>
    </comment>
    <comment ref="G111" authorId="12" shapeId="0" xr:uid="{982F88B9-0C1E-4FE3-A1F6-6314653CD154}">
      <text>
        <t>[Threaded comment]
Your version of Excel allows you to read this threaded comment; however, any edits to it will get removed if the file is opened in a newer version of Excel. Learn more: https://go.microsoft.com/fwlink/?linkid=870924
Comment:
    needs to filled on how many we are doing</t>
      </text>
    </comment>
    <comment ref="E113" authorId="13" shapeId="0" xr:uid="{E59C1CA0-0E60-4094-B5C5-357EC4BDE089}">
      <text>
        <t>[Threaded comment]
Your version of Excel allows you to read this threaded comment; however, any edits to it will get removed if the file is opened in a newer version of Excel. Learn more: https://go.microsoft.com/fwlink/?linkid=870924
Comment:
    idk if there is rental fee from them, i will look into</t>
      </text>
    </comment>
    <comment ref="E121" authorId="14" shapeId="0" xr:uid="{A9F28E91-A30D-49B5-B847-29C90DBD9F8A}">
      <text>
        <t>[Threaded comment]
Your version of Excel allows you to read this threaded comment; however, any edits to it will get removed if the file is opened in a newer version of Excel. Learn more: https://go.microsoft.com/fwlink/?linkid=870924
Comment:
    transportation?????</t>
      </text>
    </comment>
    <comment ref="E133" authorId="15" shapeId="0" xr:uid="{123A2378-E125-45C9-B333-67B5C460954A}">
      <text>
        <t>[Threaded comment]
Your version of Excel allows you to read this threaded comment; however, any edits to it will get removed if the file is opened in a newer version of Excel. Learn more: https://go.microsoft.com/fwlink/?linkid=870924
Comment:
    doesnt necessarily have to be pizza, but i think we can get 50 off w dominos</t>
      </text>
    </comment>
    <comment ref="D141" authorId="16" shapeId="0" xr:uid="{A5C39B6E-5CA3-46E0-8B1B-B4194C313773}">
      <text>
        <t>[Threaded comment]
Your version of Excel allows you to read this threaded comment; however, any edits to it will get removed if the file is opened in a newer version of Excel. Learn more: https://go.microsoft.com/fwlink/?linkid=870924
Comment:
    It's wine + cheese so kinda need the food</t>
      </text>
    </comment>
    <comment ref="D143" authorId="17" shapeId="0" xr:uid="{2242BD02-92BB-41EB-A344-18F27FEFC693}">
      <text>
        <t>[Threaded comment]
Your version of Excel allows you to read this threaded comment; however, any edits to it will get removed if the file is opened in a newer version of Excel. Learn more: https://go.microsoft.com/fwlink/?linkid=870924
Comment:
    Should be covered by faculty</t>
      </text>
    </comment>
    <comment ref="D145" authorId="18" shapeId="0" xr:uid="{17A636E8-C07D-4D70-923B-38C7213702DD}">
      <text>
        <t>[Threaded comment]
Your version of Excel allows you to read this threaded comment; however, any edits to it will get removed if the file is opened in a newer version of Excel. Learn more: https://go.microsoft.com/fwlink/?linkid=870924
Comment:
    I need to look into this more</t>
      </text>
    </comment>
    <comment ref="D146" authorId="19" shapeId="0" xr:uid="{7FB66D18-0F11-4827-9762-21A692BAACB3}">
      <text>
        <t>[Threaded comment]
Your version of Excel allows you to read this threaded comment; however, any edits to it will get removed if the file is opened in a newer version of Excel. Learn more: https://go.microsoft.com/fwlink/?linkid=870924
Comment:
    Can just use what we have last year</t>
      </text>
    </comment>
    <comment ref="D147" authorId="20" shapeId="0" xr:uid="{54B1C5A3-C5EA-4FEB-A3E2-B215CC1559C7}">
      <text>
        <t>[Threaded comment]
Your version of Excel allows you to read this threaded comment; however, any edits to it will get removed if the file is opened in a newer version of Excel. Learn more: https://go.microsoft.com/fwlink/?linkid=870924
Comment:
    Aesthetics so not as important as food</t>
      </text>
    </comment>
    <comment ref="D150" authorId="21" shapeId="0" xr:uid="{CA84DC85-DAA9-4873-A265-16B280DA801D}">
      <text>
        <t>[Threaded comment]
Your version of Excel allows you to read this threaded comment; however, any edits to it will get removed if the file is opened in a newer version of Excel. Learn more: https://go.microsoft.com/fwlink/?linkid=870924
Comment:
    It's wine + cheese so kinda need the food</t>
      </text>
    </comment>
    <comment ref="D151" authorId="22" shapeId="0" xr:uid="{CD513A63-D892-4A12-A454-4B30CF4AB26D}">
      <text>
        <t>[Threaded comment]
Your version of Excel allows you to read this threaded comment; however, any edits to it will get removed if the file is opened in a newer version of Excel. Learn more: https://go.microsoft.com/fwlink/?linkid=870924
Comment:
    I need to look into this more</t>
      </text>
    </comment>
    <comment ref="F171" authorId="23" shapeId="0" xr:uid="{9D9ABEC8-6EB1-4971-B7FF-80D0FA998A0C}">
      <text>
        <t>[Threaded comment]
Your version of Excel allows you to read this threaded comment; however, any edits to it will get removed if the file is opened in a newer version of Excel. Learn more: https://go.microsoft.com/fwlink/?linkid=870924
Comment:
    or 2 for 17</t>
      </text>
    </comment>
    <comment ref="G171" authorId="24" shapeId="0" xr:uid="{5ECD57A6-8E78-4E3A-93D5-F86D4E9A65C4}">
      <text>
        <t>[Threaded comment]
Your version of Excel allows you to read this threaded comment; however, any edits to it will get removed if the file is opened in a newer version of Excel. Learn more: https://go.microsoft.com/fwlink/?linkid=870924
Comment:
    Increase from last year because advertising across campus</t>
      </text>
    </comment>
    <comment ref="F172" authorId="25" shapeId="0" xr:uid="{6A226975-8C6B-4348-A93B-A41499DA9267}">
      <text>
        <t>[Threaded comment]
Your version of Excel allows you to read this threaded comment; however, any edits to it will get removed if the file is opened in a newer version of Excel. Learn more: https://go.microsoft.com/fwlink/?linkid=870924
Comment:
    Based off last year
Reply:
    I think the tables and chairs may be free at Mitchell Hall</t>
      </text>
    </comment>
    <comment ref="F173" authorId="26" shapeId="0" xr:uid="{A4AA22AB-28F4-4260-86C0-7D5CC359AEDC}">
      <text>
        <t>[Threaded comment]
Your version of Excel allows you to read this threaded comment; however, any edits to it will get removed if the file is opened in a newer version of Excel. Learn more: https://go.microsoft.com/fwlink/?linkid=870924
Comment:
    https://www.queensu.ca/innovationcentre/facility-rental 
Admin fee per hour
Other option is Sutherland room in JDUC 50$</t>
      </text>
    </comment>
    <comment ref="C204" authorId="27" shapeId="0" xr:uid="{68DA86E0-A52D-4C6F-B892-C6573CBA51C1}">
      <text>
        <t>[Threaded comment]
Your version of Excel allows you to read this threaded comment; however, any edits to it will get removed if the file is opened in a newer version of Excel. Learn more: https://go.microsoft.com/fwlink/?linkid=870924
Comment:
    Maybe go with T-shirt if too much</t>
      </text>
    </comment>
    <comment ref="G204" authorId="28" shapeId="0" xr:uid="{F72D686C-6F74-4121-9835-A11262587F51}">
      <text>
        <t>[Threaded comment]
Your version of Excel allows you to read this threaded comment; however, any edits to it will get removed if the file is opened in a newer version of Excel. Learn more: https://go.microsoft.com/fwlink/?linkid=870924
Comment:
    EngVents x1
Movember x2
TFR x2
Wellness x1
Dec6 x1
FYPCO x1
Me x1
+1 extra</t>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tc={ECD3AA3A-2AA4-4335-A730-A1A9168C9908}</author>
    <author>tc={04A7B284-AA45-4A85-AE52-6D464D065AA8}</author>
    <author>tc={E75BB33B-1B2C-4200-B6B0-A4A171DDC419}</author>
  </authors>
  <commentList>
    <comment ref="F7" authorId="0" shapeId="0" xr:uid="{ECD3AA3A-2AA4-4335-A730-A1A9168C9908}">
      <text>
        <t xml:space="preserve">[Threaded comment]
Your version of Excel allows you to read this threaded comment; however, any edits to it will get removed if the file is opened in a newer version of Excel. Learn more: https://go.microsoft.com/fwlink/?linkid=870924
Comment:
    Where is this price coming from.
Reply:
    For 795 first years. Assuming around 20% enggagement (159 first years) at $1 per ticket, this seems like a reasonable estimate.
</t>
      </text>
    </comment>
    <comment ref="F27" authorId="1" shapeId="0" xr:uid="{04A7B284-AA45-4A85-AE52-6D464D065AA8}">
      <text>
        <t xml:space="preserve">[Threaded comment]
Your version of Excel allows you to read this threaded comment; however, any edits to it will get removed if the file is opened in a newer version of Excel. Learn more: https://go.microsoft.com/fwlink/?linkid=870924
Comment:
    Call Cathy, get waived
</t>
      </text>
    </comment>
    <comment ref="C45" authorId="2" shapeId="0" xr:uid="{E75BB33B-1B2C-4200-B6B0-A4A171DDC419}">
      <text>
        <t xml:space="preserve">[Threaded comment]
Your version of Excel allows you to read this threaded comment; however, any edits to it will get removed if the file is opened in a newer version of Excel. Learn more: https://go.microsoft.com/fwlink/?linkid=870924
Comment:
    Consider cutting
Reply:
    Higher cut priority noted
</t>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Microsoft Office User</author>
  </authors>
  <commentList>
    <comment ref="A20" authorId="0" shapeId="0" xr:uid="{584E1F74-8E73-4D48-AD36-280A8A54FA33}">
      <text>
        <r>
          <rPr>
            <b/>
            <sz val="10"/>
            <color rgb="FF000000"/>
            <rFont val="Tahoma"/>
            <family val="2"/>
          </rPr>
          <t>Microsoft Office User:</t>
        </r>
        <r>
          <rPr>
            <sz val="10"/>
            <color rgb="FF000000"/>
            <rFont val="Tahoma"/>
            <family val="2"/>
          </rPr>
          <t xml:space="preserve">
</t>
        </r>
      </text>
    </comment>
  </commentList>
</comments>
</file>

<file path=xl/sharedStrings.xml><?xml version="1.0" encoding="utf-8"?>
<sst xmlns="http://schemas.openxmlformats.org/spreadsheetml/2006/main" count="1986" uniqueCount="1244">
  <si>
    <t>Revenue</t>
  </si>
  <si>
    <t>Quantity</t>
  </si>
  <si>
    <t>Actual</t>
  </si>
  <si>
    <t>Expenses</t>
  </si>
  <si>
    <t>Net Surplus</t>
  </si>
  <si>
    <t>Total Expenses</t>
  </si>
  <si>
    <t>Total Revenue</t>
  </si>
  <si>
    <t>SUMMARY</t>
  </si>
  <si>
    <t>TOTAL EXPENSES</t>
  </si>
  <si>
    <t>Executive Expense</t>
  </si>
  <si>
    <t>(Average Half Semester Tution + Student Levy) *3 = 6538.05$*3. ERB and Council Approval required</t>
  </si>
  <si>
    <t>2019-2020 Executive Subsidy</t>
  </si>
  <si>
    <t>Based off last year's honorium of $735/person*3. Council Approval required</t>
  </si>
  <si>
    <t>2019-2020 Honorium</t>
  </si>
  <si>
    <t>Based off last year's actual amount near $10,000.00. Council Approval required</t>
  </si>
  <si>
    <t>2020-2021 Executive Summer Projects</t>
  </si>
  <si>
    <t>For 2020-2021 Executives. 21$/hour*35hours/Week*14 Weeks*3 Executives + CPP and EI. In Policy</t>
  </si>
  <si>
    <t>2020-2021 Executive Summer Salary</t>
  </si>
  <si>
    <t>Executive Expenses for the fiscal Year (Sept 1, 2019 - Sept 1 2020)</t>
  </si>
  <si>
    <t>Operating Expense</t>
  </si>
  <si>
    <t>PPS Lounge Maintenance. Reconciled amount from Queen's FInancial Services on average $1200</t>
  </si>
  <si>
    <t>Repair &amp; Maintenance</t>
  </si>
  <si>
    <t>Confidential Document Shredding Company in the lounge. Monrhly bill averages to 80$</t>
  </si>
  <si>
    <t>Shredding</t>
  </si>
  <si>
    <t>Grease Pole Land Insurance quote from this year. 1307.70$</t>
  </si>
  <si>
    <t>ESARK Insurance</t>
  </si>
  <si>
    <t>General Office Supplies including paper, stapler, sticky notes, markers, pens and etc. Last year we spent 1765.65$</t>
  </si>
  <si>
    <t>Office Supplies</t>
  </si>
  <si>
    <t>LBC Captial Printing Rental 3 monthly installmetns ($912.05) x 4</t>
  </si>
  <si>
    <t>Printer Rental LBC Capital</t>
  </si>
  <si>
    <t>OT Group Quote for Month to Month depending on amount of prints we do month. On Average 200$ a month</t>
  </si>
  <si>
    <t>Photocopier and Print Supplier Company Monthly Fee</t>
  </si>
  <si>
    <t>Operating Expenses</t>
  </si>
  <si>
    <t>Administrative Expense</t>
  </si>
  <si>
    <t>Bank charges for our bank accounts with BMO Harris Banking that is applied on the General Account</t>
  </si>
  <si>
    <t>Bank Charges</t>
  </si>
  <si>
    <t>Annual Insurance Cost paid to AMS from previous years</t>
  </si>
  <si>
    <t>Insurance</t>
  </si>
  <si>
    <t>Telephone in all of our offices, this includes all of our alarm system lines</t>
  </si>
  <si>
    <t>Telephone &amp; Long Distance</t>
  </si>
  <si>
    <t>Clark Hall Pub Rent charged by Queen's University on Yearly basis to QFS Account</t>
  </si>
  <si>
    <t>Rent</t>
  </si>
  <si>
    <t>General Manager Salary + Telophone + Milage + Parking + CPP + Health Tax</t>
  </si>
  <si>
    <t>Administration - General Manager</t>
  </si>
  <si>
    <t>RFQ from the New Book-keeper + QuickBooks Online x 10 + Cheque Req Courier</t>
  </si>
  <si>
    <t>Accounting &amp; Legal</t>
  </si>
  <si>
    <t>Administrative Expenses</t>
  </si>
  <si>
    <t>ED Expense</t>
  </si>
  <si>
    <t>Please reference 17. DoSi Tab</t>
  </si>
  <si>
    <t>Social Issues</t>
  </si>
  <si>
    <t>Please reference 16. DoS Tab</t>
  </si>
  <si>
    <t>Services</t>
  </si>
  <si>
    <t>Please reference 15. DoPD Tab</t>
  </si>
  <si>
    <t>Professional Development</t>
  </si>
  <si>
    <t>Please reference 14. DoIT Tab</t>
  </si>
  <si>
    <t>Information Technology</t>
  </si>
  <si>
    <t>Please reference 13. DoIA Tab</t>
  </si>
  <si>
    <t>Internal Affiars</t>
  </si>
  <si>
    <t>Please reference 12. DoHR Tab</t>
  </si>
  <si>
    <t>Human Resources</t>
  </si>
  <si>
    <t>Please reference 11. DoFy Tab</t>
  </si>
  <si>
    <t>First Year</t>
  </si>
  <si>
    <t>Please reference 10. DoF Tab</t>
  </si>
  <si>
    <t>Finance</t>
  </si>
  <si>
    <t>Please reference 9. DoEx Tab</t>
  </si>
  <si>
    <t>External Relations</t>
  </si>
  <si>
    <t>Please reference 1. Prez Tap</t>
  </si>
  <si>
    <t>Please reference 8. DoE Tab</t>
  </si>
  <si>
    <t>Events</t>
  </si>
  <si>
    <t>Please reference 7. DoD Tab</t>
  </si>
  <si>
    <t>Design</t>
  </si>
  <si>
    <t>Please reference 6. DoCon Tab</t>
  </si>
  <si>
    <t>Conferences</t>
  </si>
  <si>
    <t>Please reference 5. DoComm Tab</t>
  </si>
  <si>
    <t>Communications</t>
  </si>
  <si>
    <t>Please reference 4. DoA Tab</t>
  </si>
  <si>
    <t>Academics</t>
  </si>
  <si>
    <t>Please reference 3. VPSA Tab</t>
  </si>
  <si>
    <t>Vice President (Operations)</t>
  </si>
  <si>
    <t>Please reference 2. VPOPs Tab</t>
  </si>
  <si>
    <t>Vice Presidnet (Studnet Affairs)</t>
  </si>
  <si>
    <t>President</t>
  </si>
  <si>
    <t>Exeuctive Director Team Operating Expense</t>
  </si>
  <si>
    <t>TOTAL REVENUE</t>
  </si>
  <si>
    <t>Total Sales Revenue</t>
  </si>
  <si>
    <t>Only doing advertisements on Digital Year Book and Primer this year. Underestimate of $8000.00.</t>
  </si>
  <si>
    <t>CU Advertising Revenue</t>
  </si>
  <si>
    <t>Asus x EngSoc Hosts this poster sale together every year. Organized by VPOPs each semester</t>
  </si>
  <si>
    <t>IMAGINUS Poster Sale</t>
  </si>
  <si>
    <t>0.05$ B&amp;W and 0.25$ Color. Last year's guest code got used for both them to print about 12100 Pages</t>
  </si>
  <si>
    <t>Printing Revenue</t>
  </si>
  <si>
    <t>Bookstore Management Fee</t>
  </si>
  <si>
    <t>QUESSI Management Revenue</t>
  </si>
  <si>
    <t>Fee EngSoc Charges to Services to recover for the administrative costs we share for admin</t>
  </si>
  <si>
    <t>EngServe Recovery</t>
  </si>
  <si>
    <t>80$ Student Fee. 3203 Students. Assuming 80% of people will still be opted-in</t>
  </si>
  <si>
    <t>Stuent Fee (80%)</t>
  </si>
  <si>
    <t>Sales Revenue</t>
  </si>
  <si>
    <t>Pre-Actual</t>
  </si>
  <si>
    <t>Budget</t>
  </si>
  <si>
    <t>Sub-total</t>
  </si>
  <si>
    <t>Unit Price</t>
  </si>
  <si>
    <t>Specifics</t>
  </si>
  <si>
    <t>Cut Priority</t>
  </si>
  <si>
    <t>Item</t>
  </si>
  <si>
    <t>Line #</t>
  </si>
  <si>
    <t>Category</t>
  </si>
  <si>
    <t>EngSoc Overall Budget</t>
  </si>
  <si>
    <t>2. Overall Sponsorship from other organizations on entirity of EngSoc</t>
  </si>
  <si>
    <t>1. Corporate Discount on Pizza from Dominos</t>
  </si>
  <si>
    <t>Alternative Ways to Cut Costs</t>
  </si>
  <si>
    <t>3. Decrease Jay's Salary</t>
  </si>
  <si>
    <t>2. Decrease Honarium?</t>
  </si>
  <si>
    <t>1. 21$ to 18$</t>
  </si>
  <si>
    <t>For 2020-2021 Executives. 21$/hour*35hours/Week*16 Weeks*3 Executives + CPP and EI. In Policy</t>
  </si>
  <si>
    <t>3. We need to cut executive salary things</t>
  </si>
  <si>
    <t>3. Printing Increase</t>
  </si>
  <si>
    <t>2. CU Advertising revenue</t>
  </si>
  <si>
    <t>1. Increase EngServe Recovery : Charge CEO, Clark more</t>
  </si>
  <si>
    <t>3. Find alternative revenue sources</t>
  </si>
  <si>
    <t>2. Del needs to cut her budget</t>
  </si>
  <si>
    <t>3. External Relations</t>
  </si>
  <si>
    <t>2. DoFy</t>
  </si>
  <si>
    <t>1. IA</t>
  </si>
  <si>
    <t>1. Directors need to find ways to cut budgets</t>
  </si>
  <si>
    <t>0. We need find a way to cut 20,000 from ED Team expenses, rougly 11% + Any people who opt out more</t>
  </si>
  <si>
    <t>Steps to take</t>
  </si>
  <si>
    <t>Exec Salary Things</t>
  </si>
  <si>
    <t>Fixed</t>
  </si>
  <si>
    <t>Admin</t>
  </si>
  <si>
    <t>ED Team</t>
  </si>
  <si>
    <t>S</t>
  </si>
  <si>
    <t>% Spent</t>
  </si>
  <si>
    <t>Portfolio</t>
  </si>
  <si>
    <t>Actual (or Pre-Actual)</t>
  </si>
  <si>
    <t>Amount</t>
  </si>
  <si>
    <t>Percent</t>
  </si>
  <si>
    <t>Rank</t>
  </si>
  <si>
    <t>Analysis:</t>
  </si>
  <si>
    <t>Only doing advertisements on Digital Year Book and Primer this year. Won't expect much revenue</t>
  </si>
  <si>
    <t>0.05$ B&amp;W and 0.25$ Color. Last year's guest code got used for both them to print about 12100$ Pages</t>
  </si>
  <si>
    <t>Fee EngSoc Charges to Services to recover for the administrative costs that we share</t>
  </si>
  <si>
    <t>Total Category 2</t>
  </si>
  <si>
    <t>tearoom gift cards meant to serve as a prize for the winners of a draw consisting of people who complete the various surveys that will be sent out throughout the year.</t>
  </si>
  <si>
    <t>Incentive survey prizes</t>
  </si>
  <si>
    <t>A variety of snacks including pizza and candy, meant to be used by various equity team representatives throughout the year in order to encourage people to attend their events. These events include the celebration of nations cultural fair, environmental equity mod 1 material recycling event, ilc mental health info booth, mental health fair, environmental design in eng showcase, and gender and sexual diversity movie nights</t>
  </si>
  <si>
    <t>Incentive snacks</t>
  </si>
  <si>
    <t>from P&amp;CC, with mental health and accessibility resources printed on, and meant to be handed out to those who attend the mental health and accessibility sessions that the representatives on the equity team plan to run</t>
  </si>
  <si>
    <t>Business cards</t>
  </si>
  <si>
    <t>for discount bring your own mug day in association with the tearoom. Possible that this cost could be avoided as the tearoom already has a discount for bringing a reusable mug, but in this case funds could be put towards a free coffee/tea variation for those who bring reusable mugs/containers</t>
  </si>
  <si>
    <t>To subsidize tearoom</t>
  </si>
  <si>
    <t>for plant potting event that the environmental equity rep is planning to run. students will be given a plant and a pot as well as soil and will be able to take their plants home. mental health break during stressful period in the semester.</t>
  </si>
  <si>
    <t>planting materials and plants</t>
  </si>
  <si>
    <t>for gingerbread bridge building contest in collaboration with engiqueers and the events portfolio. event will be inclusive to all and will hopefully boost recognition of engiqueers by students as well as relieve post-exam stress.</t>
  </si>
  <si>
    <t>Gingerbread sheets</t>
  </si>
  <si>
    <t>from P&amp;CC, accounting for events that equity team representatives will be running as well as equity town halls. price based off of p&amp;cc online prices, may be more inexpensive to print in the engsoc lounge and laminate.</t>
  </si>
  <si>
    <t>Posters for events</t>
  </si>
  <si>
    <t>Total Category 1</t>
  </si>
  <si>
    <t xml:space="preserve">Category 2: Equity Team Events and Campaigns </t>
  </si>
  <si>
    <t>from Sticker Mule, design not finalized but will aim to promote all areas of equity represented on equity team and/or include mental health and accessibility resources.</t>
  </si>
  <si>
    <t>Equity Stickers for Events</t>
  </si>
  <si>
    <t>gotta represent (they can pay instead if needed), can be cut if necessary.</t>
  </si>
  <si>
    <t>Equity Team Jacket Bars</t>
  </si>
  <si>
    <t xml:space="preserve">To encourage students to attend the equity town halls and complete equity surveys, these funds will be used to purchase incentives such as candy or other snacks. </t>
  </si>
  <si>
    <t>Survey/Town Hall Incentives</t>
  </si>
  <si>
    <t>I believe that obtaining training in suicide prevention would be highly beneficial for the members of the equity team, and at the very least the mental health representative. Students may approach the team for advice and in the case of this happening they should be equipped to assist.</t>
  </si>
  <si>
    <t>SafeTalk training for equity team</t>
  </si>
  <si>
    <t>10 members + FYPCO, a dinner to thank the equity team representatives and social issues FYPCO for their contributions and work throughout the semester in promoting equity and running events and campaigns throughout the year</t>
  </si>
  <si>
    <t>Equity Team Appreciation Dinner</t>
  </si>
  <si>
    <t>Meetings will run long and involve heavy decisions, and so for the team's contributions I would like to provide those on the committee with snacks at most meetings.</t>
  </si>
  <si>
    <t>Snacks for Bursary Committee Meetings</t>
  </si>
  <si>
    <t>For equity town halls. Plan to have one per semester, providing a feedback forum to give students the opportunity to drop in and share ideas for improvements and any issues that they may have encountered in the realm of social issues.</t>
  </si>
  <si>
    <t>Tea Room Rental Fees</t>
  </si>
  <si>
    <t>Bursary money to divide out to applicants over the year, increased based on feedback from last year which indicated that there was a demand for more financial support</t>
  </si>
  <si>
    <t xml:space="preserve">Bursary Committee Funds </t>
  </si>
  <si>
    <t xml:space="preserve">Category 1: General Expenses </t>
  </si>
  <si>
    <t>25% Contingency</t>
  </si>
  <si>
    <t>Abbey Ford-King
Director of Social Issues</t>
  </si>
  <si>
    <t>// Including Clark Rental for Trivia Night</t>
  </si>
  <si>
    <t>Sarah Hatherly
Director of Services</t>
  </si>
  <si>
    <t>Category 1: Services Appreciation</t>
  </si>
  <si>
    <t>Manager Dinner</t>
  </si>
  <si>
    <t>Service Staff Appreciation</t>
  </si>
  <si>
    <t>Snacks or Pizza for Head Manager Meetings</t>
  </si>
  <si>
    <t>Snacks or Pizza for Assistant Manager Meetings</t>
  </si>
  <si>
    <t>$40.00 per person</t>
  </si>
  <si>
    <t>Event in Fall term for all service staff</t>
  </si>
  <si>
    <t>$7 per person, 8 people at 6 meetings per year</t>
  </si>
  <si>
    <t>Smart Serve</t>
  </si>
  <si>
    <t>Misc Purchases</t>
  </si>
  <si>
    <t>DoS needs a Smart Serve to assist Clark during patio rituals</t>
  </si>
  <si>
    <t>Small broken equipment and other expenses to test projects</t>
  </si>
  <si>
    <t>Total General Expenses</t>
  </si>
  <si>
    <t>Achievement rewaqrd</t>
  </si>
  <si>
    <t>Exec Dinner</t>
  </si>
  <si>
    <t>Brand Identity at Events and Initiatives</t>
  </si>
  <si>
    <t>Team Apparel</t>
  </si>
  <si>
    <t>General Expenses</t>
  </si>
  <si>
    <t>Total Marketing Expenses</t>
  </si>
  <si>
    <t>Promotional Prizes</t>
  </si>
  <si>
    <t>Tea Room Gift Cards</t>
  </si>
  <si>
    <t>Includes stand and banner</t>
  </si>
  <si>
    <t>PD General Banner P&amp;CC</t>
  </si>
  <si>
    <t>Adobe Subscription</t>
  </si>
  <si>
    <t>Marketing Portfolio</t>
  </si>
  <si>
    <t>Total Summit Expenses</t>
  </si>
  <si>
    <t>For students that don’t have financial means but have great interest</t>
  </si>
  <si>
    <t>Summit Bursary</t>
  </si>
  <si>
    <t>Bursary</t>
  </si>
  <si>
    <t>Coffee and Pastries</t>
  </si>
  <si>
    <t>Tim Horton's Refreshments for event</t>
  </si>
  <si>
    <t>Accomodation Night Before</t>
  </si>
  <si>
    <t>Gas</t>
  </si>
  <si>
    <t>Baed off of Boxcar Social last year</t>
  </si>
  <si>
    <t>Drink Tickets</t>
  </si>
  <si>
    <t>Venue</t>
  </si>
  <si>
    <t>Gifts</t>
  </si>
  <si>
    <t>McCoy Transportation</t>
  </si>
  <si>
    <t>Buses to Toronto</t>
  </si>
  <si>
    <t>Estimated</t>
  </si>
  <si>
    <t>Other Food And Drink</t>
  </si>
  <si>
    <t>Donation by Pizza Pizza usually has discount</t>
  </si>
  <si>
    <t>Pizza</t>
  </si>
  <si>
    <t>Food</t>
  </si>
  <si>
    <t>Done by the AMS</t>
  </si>
  <si>
    <t>Event Insurance</t>
  </si>
  <si>
    <t>Donation by Bill MacGowan</t>
  </si>
  <si>
    <t>Cisco Building</t>
  </si>
  <si>
    <t>Summit Portfolio</t>
  </si>
  <si>
    <t>Total Workshops Expenses</t>
  </si>
  <si>
    <t>Coffee for Attendees</t>
  </si>
  <si>
    <t>Interview Workshop</t>
  </si>
  <si>
    <t>Pizza for Attendees</t>
  </si>
  <si>
    <t>Summit Taster</t>
  </si>
  <si>
    <t>Expected lesser turnout</t>
  </si>
  <si>
    <t>Python and R Workshop</t>
  </si>
  <si>
    <t>Upper Year Talk</t>
  </si>
  <si>
    <t>Career Crash Course</t>
  </si>
  <si>
    <t>Workshops Portfolio</t>
  </si>
  <si>
    <t>Total Industry Expenses</t>
  </si>
  <si>
    <t>Planning on hosting another industry event with coffee</t>
  </si>
  <si>
    <t>Other event expenses</t>
  </si>
  <si>
    <t>Based upon last year estimations</t>
  </si>
  <si>
    <t>Consulting Week Info Session 2 Tim's Coffee</t>
  </si>
  <si>
    <t>Consulting Week Info Session 2 Tim's Pastries</t>
  </si>
  <si>
    <t>Industry Nights</t>
  </si>
  <si>
    <t>Consulting Week Info Session 1 Tim's Coffee</t>
  </si>
  <si>
    <t>Consulting Week Info Session 1 Tim's Pastries</t>
  </si>
  <si>
    <t>Consulting Week</t>
  </si>
  <si>
    <t>Industry Portfolio</t>
  </si>
  <si>
    <t>Total Alumni Expenses</t>
  </si>
  <si>
    <t>Additional cost for tea room (UPDATED)</t>
  </si>
  <si>
    <t>Extra Tea Room Expense (Coffee and Incurred Tax)</t>
  </si>
  <si>
    <t>Light lunch for 50</t>
  </si>
  <si>
    <t>Eliza S. Gordon Private Dining Room</t>
  </si>
  <si>
    <t>Venue Reservation Fee</t>
  </si>
  <si>
    <t>Discipline Brunch</t>
  </si>
  <si>
    <t>$40 for 20 desserts, two dessert rows together is to provide 1 dessert per attendee</t>
  </si>
  <si>
    <t>Desserts</t>
  </si>
  <si>
    <t>$60 for 40 desserts, two dessert rows together is to provide 1 dessert per attendee</t>
  </si>
  <si>
    <t>Fee: $50/hour, 2 hour event plus 1 hour setup/takedown</t>
  </si>
  <si>
    <t>Tea Room Booking Fee</t>
  </si>
  <si>
    <t>Women in Engineering Tea Room Event</t>
  </si>
  <si>
    <t>Drinks bought will substract from fee</t>
  </si>
  <si>
    <t>Clark Fee</t>
  </si>
  <si>
    <t>Clark Networking Session</t>
  </si>
  <si>
    <t>For approximately 60 people</t>
  </si>
  <si>
    <t>Tea &amp; Coffee &amp; Assorted Cookies from Tim Hortons</t>
  </si>
  <si>
    <t>4th Year Homecoming Networking Event</t>
  </si>
  <si>
    <t>Meet QYEA team, and other alumni for future events and Summit</t>
  </si>
  <si>
    <t>QYEA Summer Mixer Ticket</t>
  </si>
  <si>
    <t>Networking Events</t>
  </si>
  <si>
    <t>Alumni Portfolio</t>
  </si>
  <si>
    <t>Total Summit Revenue</t>
  </si>
  <si>
    <t>Dean's Donation</t>
  </si>
  <si>
    <t>Estimates based upon participants last year</t>
  </si>
  <si>
    <t>Alumni Partiicipation Fee</t>
  </si>
  <si>
    <t>Early Bird Participation Fee</t>
  </si>
  <si>
    <t>Student Participation Fee</t>
  </si>
  <si>
    <t>Total Alumni Revenue</t>
  </si>
  <si>
    <t>Alumni do not need to purchase tickets, price adjusted based on ratio</t>
  </si>
  <si>
    <t>Student Tickets for Discipline Brunch</t>
  </si>
  <si>
    <t>Alumni do not need to purchase tickets</t>
  </si>
  <si>
    <t>Tea Room Event Tickets</t>
  </si>
  <si>
    <t>This will subtract directly from Clark Fee</t>
  </si>
  <si>
    <t>Attendees buying drinks from Clark</t>
  </si>
  <si>
    <t>Liam Hough
Director of Professional Development</t>
  </si>
  <si>
    <t>QAA Bursary Cheque for Discipline Brunch</t>
  </si>
  <si>
    <t>Provided by Queen's Alumni Association</t>
  </si>
  <si>
    <t>// Unable to filter tickera data, this is all tickets sold</t>
  </si>
  <si>
    <t>Nametag Holders</t>
  </si>
  <si>
    <t>// All expenses included through cheque from QAA, no budget utilized for this event</t>
  </si>
  <si>
    <t>Total Events</t>
  </si>
  <si>
    <t>Food for 2 Workshops</t>
  </si>
  <si>
    <t>Pizza/Food</t>
  </si>
  <si>
    <t>60-50</t>
  </si>
  <si>
    <t>Total Software</t>
  </si>
  <si>
    <t>Sendgrid</t>
  </si>
  <si>
    <t>Service</t>
  </si>
  <si>
    <t>60-42</t>
  </si>
  <si>
    <t>Server monitoring</t>
  </si>
  <si>
    <t>Pingdom</t>
  </si>
  <si>
    <t>60-41</t>
  </si>
  <si>
    <t>Password Storage for 6 People</t>
  </si>
  <si>
    <t>1Password</t>
  </si>
  <si>
    <t>60-40</t>
  </si>
  <si>
    <t>Software</t>
  </si>
  <si>
    <t>Total Servers</t>
  </si>
  <si>
    <t>Dash Hosting</t>
  </si>
  <si>
    <t>Digital Ocean</t>
  </si>
  <si>
    <t>60-37</t>
  </si>
  <si>
    <t>Cloud Backup</t>
  </si>
  <si>
    <t>Rackspace Services</t>
  </si>
  <si>
    <t>60-36</t>
  </si>
  <si>
    <t>Cloud Bandwidth</t>
  </si>
  <si>
    <t>60-35</t>
  </si>
  <si>
    <t>Cloud Files</t>
  </si>
  <si>
    <t>60-34</t>
  </si>
  <si>
    <t>Cloud Block Storage</t>
  </si>
  <si>
    <t>60-33</t>
  </si>
  <si>
    <t>Cloud Load Balancers</t>
  </si>
  <si>
    <t>60-32</t>
  </si>
  <si>
    <t>Cloud Databases</t>
  </si>
  <si>
    <t>60-31</t>
  </si>
  <si>
    <t>Cloud Servers</t>
  </si>
  <si>
    <t>Rackspace Servers</t>
  </si>
  <si>
    <t>60-30</t>
  </si>
  <si>
    <t>Servers</t>
  </si>
  <si>
    <t>Total IT Team</t>
  </si>
  <si>
    <t>Software Budget for IT Team</t>
  </si>
  <si>
    <t>Project Expenses</t>
  </si>
  <si>
    <t>60-23</t>
  </si>
  <si>
    <t>Pizza for ESSDev Meetings</t>
  </si>
  <si>
    <t>Incentivation</t>
  </si>
  <si>
    <t>60-22</t>
  </si>
  <si>
    <t>Sweaters</t>
  </si>
  <si>
    <t>60-21</t>
  </si>
  <si>
    <t>Bars</t>
  </si>
  <si>
    <t>Jacket Bars</t>
  </si>
  <si>
    <t>60-20</t>
  </si>
  <si>
    <t>IT Team</t>
  </si>
  <si>
    <t>Total Websites</t>
  </si>
  <si>
    <t>Name.com</t>
  </si>
  <si>
    <t>Domain Management Fee</t>
  </si>
  <si>
    <t>60-12</t>
  </si>
  <si>
    <t>Expiry.com</t>
  </si>
  <si>
    <t>60-11</t>
  </si>
  <si>
    <t>60-10</t>
  </si>
  <si>
    <t>Websites</t>
  </si>
  <si>
    <t>Total Email/Network</t>
  </si>
  <si>
    <t>Microsoft 365 Licenses for All Emails</t>
  </si>
  <si>
    <t>License Fee</t>
  </si>
  <si>
    <t>60-00</t>
  </si>
  <si>
    <t>Email/Network</t>
  </si>
  <si>
    <t>Andrew Farley
Director of Information Technology</t>
  </si>
  <si>
    <t>Total (Awards Banquet)</t>
  </si>
  <si>
    <t>Paradiso, per drink can</t>
  </si>
  <si>
    <t>Drinks</t>
  </si>
  <si>
    <t>Paradiso Pizza, per large pizza</t>
  </si>
  <si>
    <t>Awards Committee</t>
  </si>
  <si>
    <t>For tables</t>
  </si>
  <si>
    <t>Decorations/Centerpieces</t>
  </si>
  <si>
    <t>RVSPify- 1 event subscription</t>
  </si>
  <si>
    <t>RVSP software</t>
  </si>
  <si>
    <t>To maintain safety, is also mandatory</t>
  </si>
  <si>
    <t>Student Constables</t>
  </si>
  <si>
    <t>For to and from banquet, needed for accessibility</t>
  </si>
  <si>
    <t>Busing</t>
  </si>
  <si>
    <t>For banquet</t>
  </si>
  <si>
    <t>Gratuities</t>
  </si>
  <si>
    <t>Per bottle</t>
  </si>
  <si>
    <t>Wine</t>
  </si>
  <si>
    <t>Per person</t>
  </si>
  <si>
    <t>Dinner</t>
  </si>
  <si>
    <t>The Delta Grandview ballroom</t>
  </si>
  <si>
    <t>Room Rental</t>
  </si>
  <si>
    <t>Banquet</t>
  </si>
  <si>
    <t>Awards Banquet</t>
  </si>
  <si>
    <t>Total (Elections)</t>
  </si>
  <si>
    <t>Appreciation Dinner for the Elections Committee</t>
  </si>
  <si>
    <t>Elections Team Dinner</t>
  </si>
  <si>
    <t>Sci 20 Year Exec Elections</t>
  </si>
  <si>
    <t>Sci 21 Year Exec Elections</t>
  </si>
  <si>
    <t>Sci 22 Year Exec Elections</t>
  </si>
  <si>
    <t>Sci 23 Year Exec Elections (March)</t>
  </si>
  <si>
    <t>Sci 23 Year Exec Elections Part 2 (September), Tim Hortons - Coffee Carafe</t>
  </si>
  <si>
    <t>Coffee</t>
  </si>
  <si>
    <t>Sci 23 Year Exec Elections Part 2 (September), Tim Hortons - 50 pack</t>
  </si>
  <si>
    <t>Timbits</t>
  </si>
  <si>
    <t>Sci 23 Year Exec Elections (September)</t>
  </si>
  <si>
    <t>Year Exec</t>
  </si>
  <si>
    <t>From the Tea Room, for voting booths</t>
  </si>
  <si>
    <t>Tea</t>
  </si>
  <si>
    <t>Handed put at voting booths</t>
  </si>
  <si>
    <t>From AMS</t>
  </si>
  <si>
    <t>Voting Software</t>
  </si>
  <si>
    <t>For both nights, chairs from Sodexo</t>
  </si>
  <si>
    <t>Equipment Rental</t>
  </si>
  <si>
    <t>Debates (Night 2), per person</t>
  </si>
  <si>
    <t>Debates (Night 1), per person</t>
  </si>
  <si>
    <t>Will be included in the 2019/2020 election rules</t>
  </si>
  <si>
    <t>Candidate Refunds (VPs/Senator)</t>
  </si>
  <si>
    <t>Candidate Refunds (Pres)</t>
  </si>
  <si>
    <t>General Elections</t>
  </si>
  <si>
    <t>Elections</t>
  </si>
  <si>
    <t>Total (Council)</t>
  </si>
  <si>
    <t>$50 per Council, Secretary is a payed position</t>
  </si>
  <si>
    <t>Secretary Payroll</t>
  </si>
  <si>
    <t>tbd</t>
  </si>
  <si>
    <t>Council Pizza</t>
  </si>
  <si>
    <t>AGM</t>
  </si>
  <si>
    <t>November 14th, Dominos (Units - large pizzas)</t>
  </si>
  <si>
    <t>October 31st, Dominos (Units - large pizzas)</t>
  </si>
  <si>
    <t>October 17th, Dominos (Units - large pizzas)</t>
  </si>
  <si>
    <t>September 26th, Dominos (Units - large pizzas)</t>
  </si>
  <si>
    <t>September 12th, Dominos (Units - large pizzas)</t>
  </si>
  <si>
    <t>Turning Tech Clicker System License</t>
  </si>
  <si>
    <t>Clickers</t>
  </si>
  <si>
    <t>Multi-colored card stock bundle from Staples</t>
  </si>
  <si>
    <t>Placard Paper</t>
  </si>
  <si>
    <t>Council</t>
  </si>
  <si>
    <t>Ben Zarichny
Director of Internal Affairs</t>
  </si>
  <si>
    <t>Total HR TEAM APPRECIATION</t>
  </si>
  <si>
    <t>Gift given to each Officer at the end of each semester</t>
  </si>
  <si>
    <t>HR TEAM APPRECIATION</t>
  </si>
  <si>
    <t>Total TRAINING OFFICER</t>
  </si>
  <si>
    <t>Stirling Auditorium Booking and Setup Fee</t>
  </si>
  <si>
    <t>Room booking fee for fall and winter training conferences</t>
  </si>
  <si>
    <t>TRAINING OFFICER</t>
  </si>
  <si>
    <t>Total RECRUITMENT OFFICER</t>
  </si>
  <si>
    <t>For fall and winter hiring fairs, hourly wage cost with 3 hours per fair</t>
  </si>
  <si>
    <t>CEO sweaters</t>
  </si>
  <si>
    <t>Posters</t>
  </si>
  <si>
    <t>Staff payment for Puzzle ParTEA international students' event</t>
  </si>
  <si>
    <t>Tea Room Staff Payment</t>
  </si>
  <si>
    <t>Small cambro of tea for attendees plus open bar for tea and coffee</t>
  </si>
  <si>
    <t>Tea Room Rental Fee</t>
  </si>
  <si>
    <t>RECRUITMENT OFFICER</t>
  </si>
  <si>
    <t>Total FEEDBACK OFFICER</t>
  </si>
  <si>
    <t>Open bar for tea and coffee for attendees of one winter semester feedback event</t>
  </si>
  <si>
    <t>Rental for 1 hour for one winter semester feedback event</t>
  </si>
  <si>
    <t>Tea Room gift cards for Fall Interview workshop feedback survey</t>
  </si>
  <si>
    <t>Tea Room gift cards for Orientation Week feedback survey</t>
  </si>
  <si>
    <t>Tea Room gift card for Fall Hiring Fair feedback survey</t>
  </si>
  <si>
    <t>FEEDBACK OFFICER</t>
  </si>
  <si>
    <t>Total Category 0</t>
  </si>
  <si>
    <t>Category 0</t>
  </si>
  <si>
    <t>Bethany Viray
Director of Human Resources</t>
  </si>
  <si>
    <t>Note: All items with a '*' indicate events, initiatives, incentives, etc. that were not able to be achieved/executed due to COVID-19 restrictions, depsite being initially budgeted for.</t>
  </si>
  <si>
    <t xml:space="preserve">One dinner at the end of each semester </t>
  </si>
  <si>
    <t>Team Appreciation Dinner*</t>
  </si>
  <si>
    <t>Individual Appreciation Gift*</t>
  </si>
  <si>
    <t xml:space="preserve">Room booking fee for interview workshops (one per semester) </t>
  </si>
  <si>
    <t>Pizza, drinks, and accommodations for allergies/dietary restrictions for fall and winter training conferences</t>
  </si>
  <si>
    <t xml:space="preserve">Mitchell Hall Event Commons Rental Fee </t>
  </si>
  <si>
    <t>Survey Incentives*</t>
  </si>
  <si>
    <t xml:space="preserve">Advertisement, 11"x17" </t>
  </si>
  <si>
    <t xml:space="preserve">Tea Room Drinks </t>
  </si>
  <si>
    <t xml:space="preserve">Rental for 1 hour for Puzzle ParTEA international students' event </t>
  </si>
  <si>
    <t xml:space="preserve">Pizza for fall and winter hiring fairs </t>
  </si>
  <si>
    <t>Pizza*</t>
  </si>
  <si>
    <t xml:space="preserve">Tim Bits for fall and winter hiring fairs </t>
  </si>
  <si>
    <t>Tim Bits*</t>
  </si>
  <si>
    <t>Tea Room Drinks*</t>
  </si>
  <si>
    <t>Tea Room Rental Fee*</t>
  </si>
  <si>
    <t xml:space="preserve">30 people for one winter semester feedback event </t>
  </si>
  <si>
    <t>Coffee*</t>
  </si>
  <si>
    <t xml:space="preserve">40 for one winter semester feedback event </t>
  </si>
  <si>
    <t xml:space="preserve">CEO sweaters </t>
  </si>
  <si>
    <t xml:space="preserve">Survey Incentives </t>
  </si>
  <si>
    <t>Total Team SafeTalk Training Expenses</t>
  </si>
  <si>
    <t>This price accoutns for antique silver plating and not the 5% discount. With the 5% discount and without the silver plating the cost would be cheaper</t>
  </si>
  <si>
    <t>For the three members of the first year team who have not received safe talk training.</t>
  </si>
  <si>
    <t>Team SafeTalk Training</t>
  </si>
  <si>
    <t>Total Raffle Prize Expenses</t>
  </si>
  <si>
    <t>Ideally some of the prizes may be received by donation. Otherwise $75 will be allocated to fill the raffles. 4 Raffles will run throughout the year.</t>
  </si>
  <si>
    <t>0 (First Cut)</t>
  </si>
  <si>
    <t xml:space="preserve">Raffle Prizes </t>
  </si>
  <si>
    <t>Raffle Prizes</t>
  </si>
  <si>
    <t>Total Iron Pinning Expenses</t>
  </si>
  <si>
    <t>5% discount applied</t>
  </si>
  <si>
    <t xml:space="preserve"> With the 5% discount the cost would be cheaper. Also, will be cheaper in future years as epedited shipping will not be needed.</t>
  </si>
  <si>
    <t>For the new iron pinning ceremony. Price based on email estimates. Buying 800 pins to account for the increased class size and so that some pins can be replaced if they are lost. Further cost increases due to the need for expedited shipping.</t>
  </si>
  <si>
    <t>∞</t>
  </si>
  <si>
    <t>Iron pins</t>
  </si>
  <si>
    <t>Iron Pinning</t>
  </si>
  <si>
    <t>Total Event Contingency Expenses</t>
  </si>
  <si>
    <t>5 bottles bought for a total of 10L. (https://www.metro.ca/en/online-grocery/aisles/beverages/soft-drinks)</t>
  </si>
  <si>
    <t>4 X-large cheese + 5 X-large pepperoni + 1 small gluten free cheese pizza. Feeds around 50. This pizza order will be bought for 1 talent show (Domino's)</t>
  </si>
  <si>
    <t>Talent Show</t>
  </si>
  <si>
    <t>Soft Drinks</t>
  </si>
  <si>
    <t>4 X-large cheese + 5 X-large pepperoni + 1 small gluten free cheese pizza. Feeds around 50. This pizza order will be bought for 1 karaoke night (Domino's)</t>
  </si>
  <si>
    <t xml:space="preserve">Karaoke  </t>
  </si>
  <si>
    <t>Karaoke &amp; Talent Show Nights (Events)</t>
  </si>
  <si>
    <t>Total Ladder Committee Expenses</t>
  </si>
  <si>
    <t xml:space="preserve">Bought From QuickSew. Assuming at least 30 people sign up to be on ladder committee </t>
  </si>
  <si>
    <t xml:space="preserve">Ladder Committee </t>
  </si>
  <si>
    <t>Total Physics Cookies Expenses</t>
  </si>
  <si>
    <t>2019 J-Section APSC 112 Midterm 2</t>
  </si>
  <si>
    <t>Cookies</t>
  </si>
  <si>
    <t>J-Section APSC 112 Midterm 2</t>
  </si>
  <si>
    <t>J-Section APSC 112 Midterm 2. See previous specific.</t>
  </si>
  <si>
    <t>J-Section APSC 112 Midterm 1- Might be lower depending on J-Section attendance</t>
  </si>
  <si>
    <t>J-Section APSC 112 Midterm 1. Buying 2 packs of 36 cookies. Provides 72 cookies.</t>
  </si>
  <si>
    <t>ECEI Midterm 2</t>
  </si>
  <si>
    <t>ECEI Midterm 2. See previous specific</t>
  </si>
  <si>
    <t>ECEI Midterm 1</t>
  </si>
  <si>
    <t>ECEI Midterm 1. Buying 2 packs of 36 cookies. Provides 72 cookies.</t>
  </si>
  <si>
    <t>APSC 112 Midterm 2</t>
  </si>
  <si>
    <t>APSC 112 Midterm 2. See previous specific.</t>
  </si>
  <si>
    <t>APSC 112 Midterm 1</t>
  </si>
  <si>
    <t>APSC 112 Midterm 1. Buying 18 packs of 36 cookies. Provides 648 cookies. Accounting for the fact that some people wont eat them, and we will lose the J-kiddos.</t>
  </si>
  <si>
    <t>APSC 111 Midterm 2</t>
  </si>
  <si>
    <t>APSC 111 Midterm 2. Buying 20 packs of 36 cookies. Provides 720 cookies total. Accounting for the fact that I will likely decrease after gauging interest.</t>
  </si>
  <si>
    <t>APSC 111 Midterm 1</t>
  </si>
  <si>
    <t>APSC 111 Midterm 1. Buying 22 packs of 36 cookies. Provides 792 cookies. Buying a large amount here just to be safe, will gauge how many cookies are eaten and lower amount accordingly.</t>
  </si>
  <si>
    <t>Cookies are currently calculated based on standard subway fees ($18.00 for 36 cookies and $10 for deliver. Estimates based on about 800 students, could probably be lowered since some folks don't eat any)</t>
  </si>
  <si>
    <t>Physics Cookies</t>
  </si>
  <si>
    <t>Total Discipline Fair Expenses</t>
  </si>
  <si>
    <t>This is before any discount has been applied; we could likely use 50off here.</t>
  </si>
  <si>
    <t>13 X-Large Cheese + 20 X- Large Pepperoni + 5 X-Large Veegie + 2 GF cheese. Feeds approximately 200. One order bought only for the discipline fair.</t>
  </si>
  <si>
    <r>
      <rPr>
        <sz val="11"/>
        <rFont val="Calibri"/>
        <family val="2"/>
        <scheme val="minor"/>
      </rPr>
      <t>4 Large containers of tea. Equates to 200 cups of tea total.</t>
    </r>
    <r>
      <rPr>
        <u/>
        <sz val="11"/>
        <color theme="10"/>
        <rFont val="Calibri"/>
        <family val="2"/>
        <scheme val="minor"/>
      </rPr>
      <t>(https://www.tea-room.ca/menu)</t>
    </r>
  </si>
  <si>
    <t>Tea Room Catering (Tea)</t>
  </si>
  <si>
    <t>About 40 pcs of dessert in one large platter</t>
  </si>
  <si>
    <r>
      <rPr>
        <sz val="11"/>
        <rFont val="Calibri"/>
        <family val="2"/>
        <scheme val="minor"/>
      </rPr>
      <t>5 large dessert trays. Equates to 200 pieces of dessert total.</t>
    </r>
    <r>
      <rPr>
        <u/>
        <sz val="11"/>
        <color theme="10"/>
        <rFont val="Calibri"/>
        <family val="2"/>
        <scheme val="minor"/>
      </rPr>
      <t xml:space="preserve"> (https://www.tea-room.ca/menu)</t>
    </r>
  </si>
  <si>
    <t>Tea Room Catering (Desserts)</t>
  </si>
  <si>
    <t>About 50 cups in one large container</t>
  </si>
  <si>
    <r>
      <rPr>
        <sz val="11"/>
        <rFont val="Calibri"/>
        <family val="2"/>
        <scheme val="minor"/>
      </rPr>
      <t>4 large containers of coffee. Equates to 200 cups of coffee total.</t>
    </r>
    <r>
      <rPr>
        <u/>
        <sz val="11"/>
        <color theme="10"/>
        <rFont val="Calibri"/>
        <family val="2"/>
        <scheme val="minor"/>
      </rPr>
      <t xml:space="preserve"> (https://www.tea-room.ca/menu)</t>
    </r>
  </si>
  <si>
    <t>Tea Room Catering (Coffee)</t>
  </si>
  <si>
    <t>See Speakers Section (This event will bring in three speakers)</t>
  </si>
  <si>
    <t>Speakers</t>
  </si>
  <si>
    <t>Booked out due to increased space; Assuming we get A or B rate charge</t>
  </si>
  <si>
    <t>Assuming A or B rate. Booking out biosci once during the year for the discipline fair.(https://eventservices.queensu.ca/wp-content/uploads/2016/11/Room-Booking-Policy-2016.pdf)</t>
  </si>
  <si>
    <t>Booking Biosciences</t>
  </si>
  <si>
    <t>Discipline Fair</t>
  </si>
  <si>
    <t>Total Speakers Expenses</t>
  </si>
  <si>
    <t>It may be necessary to book out rooms for other speakers during the year, the 3 discipline fair speakers will already have a place to speak.</t>
  </si>
  <si>
    <r>
      <rPr>
        <sz val="11"/>
        <rFont val="Calibri"/>
        <family val="2"/>
        <scheme val="minor"/>
      </rPr>
      <t xml:space="preserve">3 of the 5 speakers will be speaking in BioSci for the discipline fair. This accounts for the 2 additional speakers who will also need a place to speak. </t>
    </r>
    <r>
      <rPr>
        <u/>
        <sz val="11"/>
        <color theme="10"/>
        <rFont val="Calibri"/>
        <family val="2"/>
        <scheme val="minor"/>
      </rPr>
      <t>(https://eventservices.queensu.ca/wp-content/uploads/2017/11/Central-Room-Reservations-Bookable-Rooms-with-capacities-and-costs-updated-November-28-2017.pdf)</t>
    </r>
  </si>
  <si>
    <t>Room Booking</t>
  </si>
  <si>
    <t>This one can probably be reduced/may not be needed.</t>
  </si>
  <si>
    <t>In case the 5 speakers have any cost associated with them or need help getting transportation</t>
  </si>
  <si>
    <t>Transportation/Speaker fees</t>
  </si>
  <si>
    <t>This assumes that at least 4 of the speakers we get will need a place to stay the night, this number could very easily be reduced I think. ((https://www.expedia.ca/Kingston-Hotels-Residence-Inn-By-Marriott-Kingston-Waters-Edge.h3551648.Hotel-Information?chkin=14%2F07%2F2019&amp;chkout=15%2F07%2F2019&amp;rm1=a2&amp;hwrqCacheKey=14bccd00-e4ac-49d4-aa2b-300b9a28fd32HWRQ1562470210826&amp;cancellable=false&amp;regionId=6057821&amp;vip=false&amp;c=bab057ec-0f55-4ac9-8e58-988b391e35a9&amp;mctc=10&amp;exp_dp=179.1&amp;exp_ts=1562470216842&amp;exp_curr=CAD&amp;swpToggleOn=false&amp;exp_pg=HSR))</t>
  </si>
  <si>
    <t>Assuming that 4/5 speakers that are brought in will be from out of town and need a place to stay for an evening. Each speaker will get one night in the room.</t>
  </si>
  <si>
    <t>Speaker Room &amp; Board</t>
  </si>
  <si>
    <t>Potential to throw in some queen's eng merch as well.</t>
  </si>
  <si>
    <t xml:space="preserve">A decent bottle of oil. One for each 'keynote' speaker during the year. Assuming around 5. </t>
  </si>
  <si>
    <t>Speaker Gifts</t>
  </si>
  <si>
    <t>Total Workshop Expenses</t>
  </si>
  <si>
    <t xml:space="preserve"> </t>
  </si>
  <si>
    <t>Assorted Allen's juices. 42 packs total throughout the year. 6 packs for each workshop. Provides 48 juice boxes. (Walmart) (https://www.walmart.ca/search/juice)</t>
  </si>
  <si>
    <t>Juice Boxes</t>
  </si>
  <si>
    <t>Amount of people it was bought to accommodate could be reduced; Can exclude during first workshop, since there's no need for this incetive yet.</t>
  </si>
  <si>
    <t>4 X-large cheese + 5 X-large pepperoni + 1 small gluten free cheese pizza. Feeds around 50. This pizza order will be bought for maximum 6 of the workshops.  (Domino's)</t>
  </si>
  <si>
    <t xml:space="preserve">Pizza </t>
  </si>
  <si>
    <t>Great Value granola bars. 42 packs total throughout the year. 6 packs for each workshop, provides 48 granola bars (Walmart) (https://www.walmart.ca/search/granola%20bar)</t>
  </si>
  <si>
    <t>Snacks</t>
  </si>
  <si>
    <t>For all workshops</t>
  </si>
  <si>
    <t>Will likely need to book out smaller rooms 4 times. Accounting for two mental health workshops, a potential APSC 100 workshop, and at least one PD workshop. (https://eventservices.queensu.ca/wp-content/uploads/2017/11/Central-Room-Reservations-Bookable-Rooms-with-capacities-and-costs-updated-November-28-2017.pdf)</t>
  </si>
  <si>
    <t>ILC Rooms/Smaller rooms</t>
  </si>
  <si>
    <t>Mental Health (x2)/APSC 100 Workshop/PD workshop</t>
  </si>
  <si>
    <t>Booked out for some larger scale workshops</t>
  </si>
  <si>
    <t>Large rooms will probably be needed for two of the seven workshops running. One for the housing workshop and one for the FREC workshop. (https://eventservices.queensu.ca/wp-content/uploads/2017/11/Central-Room-Reservations-Bookable-Rooms-with-capacities-and-costs-updated-November-28-2017.pdf)</t>
  </si>
  <si>
    <t>Booking Jeffery Hall (126 or 127)</t>
  </si>
  <si>
    <t>Housing/FREC workshop</t>
  </si>
  <si>
    <t>Booked out for the first workshop to provide an awesome atmosphere to get First Years introduced to the workshops. Not sure if we were actaully charged for the event, never got an invoice.</t>
  </si>
  <si>
    <t>Clark Hall booked out once during the year for the very first workshop. Their will be no DJ or live music and it will be booked on a Mon, Tues, or Wed. Can accommodate up to 140 people. (https://www.clarkhallpub.ca/faqs)</t>
  </si>
  <si>
    <t>Booking Clark</t>
  </si>
  <si>
    <t>Welcome to Queen's Workshop</t>
  </si>
  <si>
    <t>Workshops</t>
  </si>
  <si>
    <t xml:space="preserve">Total FYPCO Expenses </t>
  </si>
  <si>
    <t>Aaron has expressed interest in potentially providing this; Would be a great skill for student leaders such as the FYPCOs to have; we can further reduce numbers here if necessary, first come, first served</t>
  </si>
  <si>
    <t>This will be run on a first come, first served basis for any FYPCOs interested. There will be room for up to 10 FYPCOs to attend, after which any other FYPCOs will have to pay for themselves. (http://www.queensu.ca/studentwellness/mental-health/educational-programs-workshops)</t>
  </si>
  <si>
    <t>SAFEtalk</t>
  </si>
  <si>
    <t>Min. 6 people for cloverleaf (http://cloverleaflanes.com/groups/). Assuming about half of the FYPCOs (12) will attend.</t>
  </si>
  <si>
    <t>Bowling/Bonding</t>
  </si>
  <si>
    <t>Can apply 50off copuon sometimes (can be strategic here)</t>
  </si>
  <si>
    <t>2 X-Large Pepperoni + 2 Large Cheese from dominos (feeds approx 22). Calculated with no coupon. Budgeting an additional $10 on top for potential dollar store snacks. 1 order per meeting, 7 meetings total</t>
  </si>
  <si>
    <t>Pizza/Snacks</t>
  </si>
  <si>
    <t>Bought to thank FYPCOs for their hard work.</t>
  </si>
  <si>
    <t>Bought from Quick Sew. Assuming that the amount of FYPCOs hired will be around 23, which is slightly up from last year.</t>
  </si>
  <si>
    <t>FYPCO Program</t>
  </si>
  <si>
    <t>Total FYE Expenses</t>
  </si>
  <si>
    <t>Bought to thank Year Exec for their hard work</t>
  </si>
  <si>
    <t>Bought from Quick Sew. Accounting for all 20 members of First Year Executive.</t>
  </si>
  <si>
    <t>First Year Executive (FYE)</t>
  </si>
  <si>
    <t>Planning to try and run at least 4 during the year. Assuming $1 per raffle ticket, and around 20% first year engagement (on the lower end) that is around 159 first years.</t>
  </si>
  <si>
    <t>Raffles</t>
  </si>
  <si>
    <t>Bins at most if not all workshops (Assuming 7 workshops run during the year). There may be other areas to implement these as well, but they will assuredly be at workshops.</t>
  </si>
  <si>
    <t>By-Donation-Bin</t>
  </si>
  <si>
    <t>Additional Info</t>
  </si>
  <si>
    <t>Nick Neokleous
Director of First Year</t>
  </si>
  <si>
    <t>Less events ran than  anticipated therefore not as many opportunitites to implement these things</t>
  </si>
  <si>
    <t>COVID-19 happened before i could buy these. Could this be something possible when we all return to university?</t>
  </si>
  <si>
    <t>An outing did happen, i never received the receipts from FYPCOM though</t>
  </si>
  <si>
    <t>Sadly did not happen</t>
  </si>
  <si>
    <t>Many workshops did not end up running</t>
  </si>
  <si>
    <t>Speakers did not need a place to stay</t>
  </si>
  <si>
    <t>Biosci ultimately not booked (see DoFY budget reallocation)</t>
  </si>
  <si>
    <t>Used Ben's pizza discount</t>
  </si>
  <si>
    <t>Lots of zeroes due to Covid-19</t>
  </si>
  <si>
    <t>Sadly these events did not end up running. So no money spent.</t>
  </si>
  <si>
    <t>Only one raffle ended up happening at the All-Discipline Fair</t>
  </si>
  <si>
    <t>Team SafeTalk didn't run since a good day for everyone could not be found</t>
  </si>
  <si>
    <t>Total Fees</t>
  </si>
  <si>
    <t>Used to print receipts (50 pack)</t>
  </si>
  <si>
    <t>Moneris Paper</t>
  </si>
  <si>
    <t>Monthly fees charged by Moneris for C/D machines (tax included)</t>
  </si>
  <si>
    <t>Moneris Fees</t>
  </si>
  <si>
    <t>Fees</t>
  </si>
  <si>
    <t>Total Financial Literacy</t>
  </si>
  <si>
    <t>For any learning materials we might want to give people</t>
  </si>
  <si>
    <t>Printing</t>
  </si>
  <si>
    <t xml:space="preserve">If we have any external speakers come in </t>
  </si>
  <si>
    <t>Speaker gifts/other costs</t>
  </si>
  <si>
    <t>To encourage people to come out, need several pizzas</t>
  </si>
  <si>
    <t>Food for events</t>
  </si>
  <si>
    <t>Financial Literacy</t>
  </si>
  <si>
    <t>Total Finance Team</t>
  </si>
  <si>
    <t>Fees to use deposit edge, 12 months worth</t>
  </si>
  <si>
    <t>Deposit Edge Cost</t>
  </si>
  <si>
    <t>Might use an official course but will likely just do ourselves</t>
  </si>
  <si>
    <t>FO training costs</t>
  </si>
  <si>
    <t>Likely just pizza for the training sessions before school starts</t>
  </si>
  <si>
    <t>Food for FO training</t>
  </si>
  <si>
    <t>Budgeting for 3 as the 4th is covered by services</t>
  </si>
  <si>
    <t>FO Salary</t>
  </si>
  <si>
    <t>Finance Team</t>
  </si>
  <si>
    <t>N/A</t>
  </si>
  <si>
    <t>Liam Cregg
Director of Finance</t>
  </si>
  <si>
    <t>Total Remembrance Day</t>
  </si>
  <si>
    <t>Laying a wreath on the cenotaph for Remebrance Day</t>
  </si>
  <si>
    <t>Wreath</t>
  </si>
  <si>
    <t>Remembrance Day</t>
  </si>
  <si>
    <t>Total Fix n Clean</t>
  </si>
  <si>
    <t>Banner for advertisement</t>
  </si>
  <si>
    <t>Banner</t>
  </si>
  <si>
    <t>Miscellaneous</t>
  </si>
  <si>
    <t>Cabbing volunteers to clients</t>
  </si>
  <si>
    <t>Cabs</t>
  </si>
  <si>
    <t>Costco (in case of no sponsorship)</t>
  </si>
  <si>
    <t>Snacks for volunteers</t>
  </si>
  <si>
    <t>Tim Hortons (in case of no sponsorship)</t>
  </si>
  <si>
    <t>Tea and coffee</t>
  </si>
  <si>
    <t>Pizza/Pita Pit (in case of no sponsorship)</t>
  </si>
  <si>
    <t>Lunch for volunteers</t>
  </si>
  <si>
    <t>T-shirts, cards</t>
  </si>
  <si>
    <t>Sponsor appreciation</t>
  </si>
  <si>
    <t>Posters, flyers</t>
  </si>
  <si>
    <t>Advertising</t>
  </si>
  <si>
    <t>Add to supply closet</t>
  </si>
  <si>
    <t>Cleaning supplies</t>
  </si>
  <si>
    <t>Winter Event</t>
  </si>
  <si>
    <t>Payed for cabs to clients on EngSoc credit card, had volunteers pay for cabs on the way back and reimbursed them when they returned</t>
  </si>
  <si>
    <t>Fall Event</t>
  </si>
  <si>
    <t>Fix n Clean</t>
  </si>
  <si>
    <t>Total Outreach Team</t>
  </si>
  <si>
    <t>For Outreach Team members</t>
  </si>
  <si>
    <t>GPA patches</t>
  </si>
  <si>
    <t>Clothing</t>
  </si>
  <si>
    <t>Money allotted to the costs of new events</t>
  </si>
  <si>
    <t>Cost of events</t>
  </si>
  <si>
    <t>Additional Events</t>
  </si>
  <si>
    <t>Tea and coffee from Tim Hortons</t>
  </si>
  <si>
    <t>Refreshments</t>
  </si>
  <si>
    <t>Gloves and bags to put trash in, $15/50 bags, $15/100 gloves</t>
  </si>
  <si>
    <t>Pizza lunch for volunteers, $15/XL pizza</t>
  </si>
  <si>
    <t>Pier Cleanup</t>
  </si>
  <si>
    <t>Prizes for winners of competition if not donated</t>
  </si>
  <si>
    <t>Prizes</t>
  </si>
  <si>
    <t>Activities and decorations</t>
  </si>
  <si>
    <t>Supplies</t>
  </si>
  <si>
    <t>DJ, fee, event fee</t>
  </si>
  <si>
    <t>Fee</t>
  </si>
  <si>
    <t>Outreach Ritual</t>
  </si>
  <si>
    <t>Costs depending on the nature of the event</t>
  </si>
  <si>
    <t>Event costs</t>
  </si>
  <si>
    <t>Transportation to/from the event</t>
  </si>
  <si>
    <t>Bus</t>
  </si>
  <si>
    <t>High School Students Field Trip</t>
  </si>
  <si>
    <t>Eng-ConEd Reading Buddies</t>
  </si>
  <si>
    <t>Eng-Nursing Event</t>
  </si>
  <si>
    <t>If not donated</t>
  </si>
  <si>
    <t xml:space="preserve">Costs $900, but charge is offset from drink purchases </t>
  </si>
  <si>
    <t>Rent Clark Hall Pub</t>
  </si>
  <si>
    <t>EngComm Event</t>
  </si>
  <si>
    <t>To/from the soup kitchen</t>
  </si>
  <si>
    <t>Soup Kitchen</t>
  </si>
  <si>
    <t xml:space="preserve">25 boxes for transporting donations </t>
  </si>
  <si>
    <t>Boxes</t>
  </si>
  <si>
    <t>Winter Clothing Drive</t>
  </si>
  <si>
    <t>For drinks: 30 builders * 2 cups per builder = 60 cups, $4/60 cups</t>
  </si>
  <si>
    <t>Cups</t>
  </si>
  <si>
    <t>For builders – Tim Hortons</t>
  </si>
  <si>
    <t>Warming refreshments</t>
  </si>
  <si>
    <t>For builders</t>
  </si>
  <si>
    <t>Jacket patches</t>
  </si>
  <si>
    <t>Fort Building</t>
  </si>
  <si>
    <t>Also includes hats for Outreach Team members, fire extinguisher for the float, and snacks for team members</t>
  </si>
  <si>
    <t>Hay, lights, wreath</t>
  </si>
  <si>
    <t>Decorations</t>
  </si>
  <si>
    <t>EngChoir bailed in the end, used speakers from events locker</t>
  </si>
  <si>
    <t>If Eng Choir is on float</t>
  </si>
  <si>
    <t>Sound system</t>
  </si>
  <si>
    <t>This cost was included as part of the entrance fee invoice</t>
  </si>
  <si>
    <t>To hand out food during the parade</t>
  </si>
  <si>
    <t>Food fee</t>
  </si>
  <si>
    <t>To hand out</t>
  </si>
  <si>
    <t>Candy canes</t>
  </si>
  <si>
    <t>For the truck</t>
  </si>
  <si>
    <t>To power the float</t>
  </si>
  <si>
    <t>Generator</t>
  </si>
  <si>
    <t>Includes taxi fees for transportation of truck driver and DoER</t>
  </si>
  <si>
    <t>To pull the float</t>
  </si>
  <si>
    <t>Truck rental</t>
  </si>
  <si>
    <t>Fee to participate</t>
  </si>
  <si>
    <t>Entrance fee</t>
  </si>
  <si>
    <t>Santa Claus Parade</t>
  </si>
  <si>
    <t>For the frosh group that collects the most donations</t>
  </si>
  <si>
    <t>Jacket bars</t>
  </si>
  <si>
    <t>For transporting donations</t>
  </si>
  <si>
    <t>Thundercanz</t>
  </si>
  <si>
    <t xml:space="preserve">To spend a day skating with team </t>
  </si>
  <si>
    <t>Skating rink rental</t>
  </si>
  <si>
    <t>Food for the day we skate with the team</t>
  </si>
  <si>
    <t>For students attending the game</t>
  </si>
  <si>
    <t>Poster supplies</t>
  </si>
  <si>
    <t>To and from the arena</t>
  </si>
  <si>
    <t>Payed for 2018-2019 season, not 2019-2020 season</t>
  </si>
  <si>
    <t>Cost of sponsoring the team</t>
  </si>
  <si>
    <t>Sponsorship fee</t>
  </si>
  <si>
    <t>Youth Hockey Team</t>
  </si>
  <si>
    <t>Outreach Team</t>
  </si>
  <si>
    <t>Total Swab Drive</t>
  </si>
  <si>
    <t>Prize for frosh group that donates the most swabs, $15/XL pizza</t>
  </si>
  <si>
    <t>Swab Drive</t>
  </si>
  <si>
    <t>Total Blood Drives</t>
  </si>
  <si>
    <t>For donors: $30 on snacks * 5 blood donation trips</t>
  </si>
  <si>
    <t>Blood Donation</t>
  </si>
  <si>
    <t>"Clean Sweep" bar sales</t>
  </si>
  <si>
    <t>Granola bars/juiceboxes/water</t>
  </si>
  <si>
    <t>Campus Grocery Store</t>
  </si>
  <si>
    <t>Canadian Tire</t>
  </si>
  <si>
    <t>T-shirts</t>
  </si>
  <si>
    <t>Bookstore</t>
  </si>
  <si>
    <t>Timbits and coffee</t>
  </si>
  <si>
    <t>Tim Hortons</t>
  </si>
  <si>
    <t>Pizza/Pita Pit/Subway</t>
  </si>
  <si>
    <t>ALL FIX N CLEAN REVENUE BASED ON VALUE OF SPONSORSHIP (EXCLUDING BARS)</t>
  </si>
  <si>
    <t>Admission</t>
  </si>
  <si>
    <t>EngComm event</t>
  </si>
  <si>
    <t>Jonah Opler
Director of External Relations</t>
  </si>
  <si>
    <t>CFES Dec 6 memorial wood</t>
  </si>
  <si>
    <t>Queen's 25x25 cm square tile contribution to 2019 Dec 6 memorial</t>
  </si>
  <si>
    <t>CFES Dec 6 memorial paint</t>
  </si>
  <si>
    <t>Paint for Queen's contribution to Dec 6 memorial</t>
  </si>
  <si>
    <t>CFES Dec 6 memorial mail</t>
  </si>
  <si>
    <t>Mailing expenses for Queen's contribution to Dec 6 memorial</t>
  </si>
  <si>
    <t>Total Misc</t>
  </si>
  <si>
    <t>Stickers</t>
  </si>
  <si>
    <t>Raffle Tickets</t>
  </si>
  <si>
    <t>For promotion/free giveaways. Prince includes printing logo. More purchased = cheaper price</t>
  </si>
  <si>
    <t>For movie, 44 bags at costco</t>
  </si>
  <si>
    <t>Gingerbread Bridge Building Competition</t>
  </si>
  <si>
    <t>stress balls</t>
  </si>
  <si>
    <t>popcorn</t>
  </si>
  <si>
    <t>movie night</t>
  </si>
  <si>
    <t>to actual use the pier</t>
  </si>
  <si>
    <t>Permit</t>
  </si>
  <si>
    <t>Need to look into. This is just a guess. Will be for an hour. BYOM(at)</t>
  </si>
  <si>
    <t>Instructor</t>
  </si>
  <si>
    <t>priority cut: 1</t>
  </si>
  <si>
    <t>Yoga on the pier</t>
  </si>
  <si>
    <t>Wellness</t>
  </si>
  <si>
    <t>Total Terry Fox Run Expense</t>
  </si>
  <si>
    <t>From Reenue; was NOT orignally budgeted</t>
  </si>
  <si>
    <t>DONATIONS</t>
  </si>
  <si>
    <t>WAS NOT ORIGINALLY BUDGETED FOR; unexpected expense but we could not find any propane tanks  (checked with PPS) for the BBQ</t>
  </si>
  <si>
    <t>Propane for BBQ</t>
  </si>
  <si>
    <t>For posters and advertising (staples 20x30")</t>
  </si>
  <si>
    <t>Potentially donated from Loblaws</t>
  </si>
  <si>
    <t>Food for BBQ</t>
  </si>
  <si>
    <t>Rain Option During Run</t>
  </si>
  <si>
    <t>Book ARC gym in Case of Rain</t>
  </si>
  <si>
    <t xml:space="preserve">for event; will try to get local band </t>
  </si>
  <si>
    <t xml:space="preserve">Guest Speakers </t>
  </si>
  <si>
    <t xml:space="preserve">Rose Innovation Hub </t>
  </si>
  <si>
    <t>Venue for Dinner</t>
  </si>
  <si>
    <t>Napkins, Cutlery, tablecloths, plates, glasses</t>
  </si>
  <si>
    <t>Dinner Materials</t>
  </si>
  <si>
    <t xml:space="preserve">Ramekins Catering, based off last year Lasagna </t>
  </si>
  <si>
    <t>Catering for Dinner</t>
  </si>
  <si>
    <t>Terry Fox Run</t>
  </si>
  <si>
    <t>Total Dec 6th</t>
  </si>
  <si>
    <t>a gift for speaker</t>
  </si>
  <si>
    <t>Gift</t>
  </si>
  <si>
    <t>CoGro (got 2 last year)</t>
  </si>
  <si>
    <t>Co Gro a gallon</t>
  </si>
  <si>
    <t>CoGro - a dozen</t>
  </si>
  <si>
    <t>for invitations &amp; programs</t>
  </si>
  <si>
    <t>Cardstock</t>
  </si>
  <si>
    <t>for ceremony</t>
  </si>
  <si>
    <t>Candles</t>
  </si>
  <si>
    <t>white</t>
  </si>
  <si>
    <t>Ribbon</t>
  </si>
  <si>
    <t>red or deep violet</t>
  </si>
  <si>
    <t>Roses</t>
  </si>
  <si>
    <t>Dec 6th Memorial</t>
  </si>
  <si>
    <t>Total Dean Wine + Cheese Expense</t>
  </si>
  <si>
    <t>https://www.clarkhallpub.ca/faqs</t>
  </si>
  <si>
    <t>Fee for being on Friday</t>
  </si>
  <si>
    <t>Live Music Entertainment fee</t>
  </si>
  <si>
    <t>Clark Hall Pub</t>
  </si>
  <si>
    <t>Tablecloths</t>
  </si>
  <si>
    <t>Linen Rentals</t>
  </si>
  <si>
    <t>Rental per dozen</t>
  </si>
  <si>
    <t>Wine Glasses</t>
  </si>
  <si>
    <t>For Clark Hall Pub</t>
  </si>
  <si>
    <t>Live Music Entertainment</t>
  </si>
  <si>
    <t>Décor</t>
  </si>
  <si>
    <t>Platters from Widmills</t>
  </si>
  <si>
    <t>Food + Snacks</t>
  </si>
  <si>
    <t>for Non-Alcoholic Punch</t>
  </si>
  <si>
    <t>Juice</t>
  </si>
  <si>
    <t>Supplied by local winery</t>
  </si>
  <si>
    <t>Dean Wine + Cheese</t>
  </si>
  <si>
    <t>TOTAL ENGVENTS EXPENSES</t>
  </si>
  <si>
    <t>Total Volunteer Appreciation</t>
  </si>
  <si>
    <t>First and Last meetings (3 Large?)</t>
  </si>
  <si>
    <t>Pizza (pls)</t>
  </si>
  <si>
    <t>CEO pricing with lettering (site is down rn assumed last years)</t>
  </si>
  <si>
    <t>Volunteer Appreciation</t>
  </si>
  <si>
    <t>Total Chutes and Lattes</t>
  </si>
  <si>
    <t>From tea room catering</t>
  </si>
  <si>
    <t>Tea or Coffee</t>
  </si>
  <si>
    <t>Costco stuff</t>
  </si>
  <si>
    <t>Cookies, Muffins, (snacks)</t>
  </si>
  <si>
    <t>Priority:</t>
  </si>
  <si>
    <t>$50 per hour found on website</t>
  </si>
  <si>
    <t>Tea Room Rental</t>
  </si>
  <si>
    <t>Chutes and Lattes</t>
  </si>
  <si>
    <t>Total Skating With Nurses</t>
  </si>
  <si>
    <t>to serve (pack of 500 at costco</t>
  </si>
  <si>
    <t>To mix with hot chocolate (price is overestimate)</t>
  </si>
  <si>
    <t>linked</t>
  </si>
  <si>
    <t>Tea Room Hot Water</t>
  </si>
  <si>
    <t>Costco Carnation Hot Chocolate Mix (40 pack)</t>
  </si>
  <si>
    <t>Hot Chocolate</t>
  </si>
  <si>
    <t>Skating With Nurses</t>
  </si>
  <si>
    <t>Total Thunder Sledz</t>
  </si>
  <si>
    <t>Ranked low because there have been years where it hasn't been booked and instead has just been used</t>
  </si>
  <si>
    <t>AB Field Rental</t>
  </si>
  <si>
    <t>Last years was 200, but some years have just had a bin dropped off</t>
  </si>
  <si>
    <t>Garbage Disposal</t>
  </si>
  <si>
    <t>Duct tape, ropes, nails, barricades</t>
  </si>
  <si>
    <t>Materials</t>
  </si>
  <si>
    <t>hopefully from engsoc</t>
  </si>
  <si>
    <t>Audio equipment</t>
  </si>
  <si>
    <t>Qtraditions website</t>
  </si>
  <si>
    <t>T'Sledz Bars</t>
  </si>
  <si>
    <t>Arc Upper is $63 per side (126 for both at once)</t>
  </si>
  <si>
    <t>ARC Gym Renting</t>
  </si>
  <si>
    <t>Thunder Sledz</t>
  </si>
  <si>
    <t>Total ThunderBallz</t>
  </si>
  <si>
    <t>Cheaper than the ARC ($25 an hour for one gym)</t>
  </si>
  <si>
    <t>KCVI Gym Rental</t>
  </si>
  <si>
    <t>Already owned</t>
  </si>
  <si>
    <t>ThunderBallz</t>
  </si>
  <si>
    <t>Total Escape Room</t>
  </si>
  <si>
    <t xml:space="preserve">General Advertising for all events; stickers + posters -- DID NOT USE </t>
  </si>
  <si>
    <t xml:space="preserve">Advertising </t>
  </si>
  <si>
    <t>Maybe there'll be stuff from last year? But probably not</t>
  </si>
  <si>
    <t>Room Materials</t>
  </si>
  <si>
    <t>ILC Escape Room(s)</t>
  </si>
  <si>
    <t>EngVents</t>
  </si>
  <si>
    <t>TOTAL MOVEMBER EXPENSE</t>
  </si>
  <si>
    <t xml:space="preserve">Favourite Band (Incenvtive) </t>
  </si>
  <si>
    <t>Indie Night Prize</t>
  </si>
  <si>
    <t>Texas Horshoes, Guessing Games</t>
  </si>
  <si>
    <t>Booth Games</t>
  </si>
  <si>
    <t xml:space="preserve">Indie Night </t>
  </si>
  <si>
    <t>The Underground Booking</t>
  </si>
  <si>
    <t>Indie Night, Ritual</t>
  </si>
  <si>
    <t>Clark Bookings</t>
  </si>
  <si>
    <t>Yoga &amp; Crossfitt</t>
  </si>
  <si>
    <t>Room Bookings</t>
  </si>
  <si>
    <t>2-hour session</t>
  </si>
  <si>
    <t>Yoga Instructor</t>
  </si>
  <si>
    <t>Crossfit Trainer</t>
  </si>
  <si>
    <t>Co-Host Trivia at QP</t>
  </si>
  <si>
    <t>QP Trivia Sponsor</t>
  </si>
  <si>
    <t>Sponsor Trivia at Clark</t>
  </si>
  <si>
    <t>Clark Trivia Sponsor</t>
  </si>
  <si>
    <t>Total Advertising</t>
  </si>
  <si>
    <t>Dedicated Movember Video</t>
  </si>
  <si>
    <t>QTV Advertising</t>
  </si>
  <si>
    <t>Airpods, Ritual Lineskips x4, Escape Room Tickets x4, Assorted Candies, Screening Room Student Pass x2</t>
  </si>
  <si>
    <t xml:space="preserve">Ad in Video </t>
  </si>
  <si>
    <t>Total Food</t>
  </si>
  <si>
    <t>In case we run out</t>
  </si>
  <si>
    <t>Propane</t>
  </si>
  <si>
    <t>https://www.walmart.ca/en/ip/great-value-115x125-paper-napkins/6000196093098</t>
  </si>
  <si>
    <t>Napkins</t>
  </si>
  <si>
    <t>Ketchup &amp; Mustard. https://www.walmart.ca/en/ip/great-value-tomato-ketchup/6000196134401; https://www.walmart.ca/en/ip/great-value-prepared-yellow-mustard/6000130570705</t>
  </si>
  <si>
    <t>Condiments</t>
  </si>
  <si>
    <t>8 Pack. https://www.walmart.ca/en/ip/great-value-hot-dog-buns/6000191280553</t>
  </si>
  <si>
    <t>Hot Dog Buns</t>
  </si>
  <si>
    <t>8 Pack. https://www.walmart.ca/en/ip/great-value-hamburger-buns/6000191280547</t>
  </si>
  <si>
    <t>Burger Buns</t>
  </si>
  <si>
    <t>8 pack. https://www.walmart.ca/en/ip/nanak-veggie-burger-patties/6000196784409</t>
  </si>
  <si>
    <t>Veggie Patties</t>
  </si>
  <si>
    <t>8 Pack. https://www.walmart.com/ip/Oscar-Mayer-Uncured-Jumbo-Hot-Dogs-8-ct-16-0-oz-Package/10292518</t>
  </si>
  <si>
    <t>Hot Dogs</t>
  </si>
  <si>
    <t>Used last year's price for 14-packs</t>
  </si>
  <si>
    <t>Hamburger Patties</t>
  </si>
  <si>
    <t>Movember</t>
  </si>
  <si>
    <t>Total Dec 6th Memorial Sercive</t>
  </si>
  <si>
    <t>Dean Donation</t>
  </si>
  <si>
    <t>Traditionally, part of the event is supported by the Dean, based on last years donation</t>
  </si>
  <si>
    <t>Dean Funding</t>
  </si>
  <si>
    <t>Dec 6th Memorial Service</t>
  </si>
  <si>
    <t>Total Dean Wine+Cheese</t>
  </si>
  <si>
    <t>Dean Wince + Cheese</t>
  </si>
  <si>
    <t>Donations</t>
  </si>
  <si>
    <t>Total  EngVents Events</t>
  </si>
  <si>
    <t>same as 1.0 but in 2nd semester</t>
  </si>
  <si>
    <t>ILC Escape Room 2.0</t>
  </si>
  <si>
    <t>if paying for hot chocolate</t>
  </si>
  <si>
    <t>Skating with Nurses</t>
  </si>
  <si>
    <t>per team (may adjust cost later to get per person which will be max 5$ so not included)</t>
  </si>
  <si>
    <t>Thundersledz</t>
  </si>
  <si>
    <t>Small event, each unit is one team ---we had around 15 people and prices were changed to per head. May not run for 2nd semester</t>
  </si>
  <si>
    <t>ILC Escape Room 1.0</t>
  </si>
  <si>
    <t>TOTAL MOVEMBER REVENUE</t>
  </si>
  <si>
    <t>Total Merchandise</t>
  </si>
  <si>
    <t>CEO Preorder &amp; ILC/ARC booth</t>
  </si>
  <si>
    <t>new sweaters</t>
  </si>
  <si>
    <t>ILC/ARC Booth</t>
  </si>
  <si>
    <t>Stickers + Pizza</t>
  </si>
  <si>
    <t>new hats</t>
  </si>
  <si>
    <t>new shirts</t>
  </si>
  <si>
    <t>sidewalk sale</t>
  </si>
  <si>
    <t>Old hats</t>
  </si>
  <si>
    <t>Old shirts</t>
  </si>
  <si>
    <t>Merchandise</t>
  </si>
  <si>
    <t>TeaRoom Special</t>
  </si>
  <si>
    <t>Movember Mochas</t>
  </si>
  <si>
    <t>Ritual BBQ's</t>
  </si>
  <si>
    <t>Ritual BBQ's -- DID NOT RUN</t>
  </si>
  <si>
    <t>Veggie Burgers</t>
  </si>
  <si>
    <t>Hamburgers</t>
  </si>
  <si>
    <t>Total Donations</t>
  </si>
  <si>
    <t>Minimum donation to attend</t>
  </si>
  <si>
    <t>Yoga</t>
  </si>
  <si>
    <t>Crossfit</t>
  </si>
  <si>
    <t>Total Raffle</t>
  </si>
  <si>
    <t>3 tickets for 5$</t>
  </si>
  <si>
    <t>Raffle Ticket Deal</t>
  </si>
  <si>
    <t>Sold at most events</t>
  </si>
  <si>
    <t>Raffle Ticket Sales</t>
  </si>
  <si>
    <t>Christina Bisol
Director of Events</t>
  </si>
  <si>
    <t>Equipment</t>
  </si>
  <si>
    <t>Gingerbread + icing - Not properly oringally budgeted, which is why the numbers are off</t>
  </si>
  <si>
    <t>Festival of Cheer</t>
  </si>
  <si>
    <t>Wallace Hall room rental</t>
  </si>
  <si>
    <t>For Sat Nov 30; instead of Grant hall which wanted 700</t>
  </si>
  <si>
    <t>Keyboard</t>
  </si>
  <si>
    <t>Rental + Equip</t>
  </si>
  <si>
    <t>Accompanist</t>
  </si>
  <si>
    <t>will try to get student, was in prev years budget</t>
  </si>
  <si>
    <t>Fruit Trays</t>
  </si>
  <si>
    <t>Windmills large</t>
  </si>
  <si>
    <t>CoGro Asserted Dessert Trays</t>
  </si>
  <si>
    <t>hot beverages</t>
  </si>
  <si>
    <t>CoGro - 9 Teas (12) @ 15$ + 19 Coffee (8-10) @ 18</t>
  </si>
  <si>
    <t>Napkins + plates</t>
  </si>
  <si>
    <t>We have in locker, but just in case can go to walmart</t>
  </si>
  <si>
    <t>Total Category 6</t>
  </si>
  <si>
    <t>Incentive</t>
  </si>
  <si>
    <t xml:space="preserve">Coffee+Donuts </t>
  </si>
  <si>
    <t>5111-602</t>
  </si>
  <si>
    <t>Dumpster rental</t>
  </si>
  <si>
    <t>5111-601</t>
  </si>
  <si>
    <t>Move out Day</t>
  </si>
  <si>
    <t>Total Category 5</t>
  </si>
  <si>
    <t>5111-503</t>
  </si>
  <si>
    <t>Drink tickets at clark</t>
  </si>
  <si>
    <t>5111-502</t>
  </si>
  <si>
    <t xml:space="preserve">Only applied if drink minimum isn't meet </t>
  </si>
  <si>
    <t>Clark Hall pub Rental</t>
  </si>
  <si>
    <t>5111-501</t>
  </si>
  <si>
    <t xml:space="preserve">Design Team Appreiciation </t>
  </si>
  <si>
    <t>Total Category 4</t>
  </si>
  <si>
    <t xml:space="preserve">Printing </t>
  </si>
  <si>
    <t>511-403</t>
  </si>
  <si>
    <t>Raffle for those who sign up</t>
  </si>
  <si>
    <t xml:space="preserve">Gift Cards </t>
  </si>
  <si>
    <t>5111-402</t>
  </si>
  <si>
    <t xml:space="preserve">incentive </t>
  </si>
  <si>
    <t>5111-401</t>
  </si>
  <si>
    <t>Design Nights</t>
  </si>
  <si>
    <t>Total Category 3</t>
  </si>
  <si>
    <t xml:space="preserve">For captian meetings as incentive </t>
  </si>
  <si>
    <t>5111-301</t>
  </si>
  <si>
    <t xml:space="preserve">Captian Meetings </t>
  </si>
  <si>
    <t>For more garbage</t>
  </si>
  <si>
    <t>Garbage Bin</t>
  </si>
  <si>
    <t>5111-209</t>
  </si>
  <si>
    <t>For garbage</t>
  </si>
  <si>
    <t>Garbage bags</t>
  </si>
  <si>
    <t>5111-208</t>
  </si>
  <si>
    <t>For cleaner</t>
  </si>
  <si>
    <t>Spray bottle for cleaner</t>
  </si>
  <si>
    <t>5111-207</t>
  </si>
  <si>
    <t>To keep space clean</t>
  </si>
  <si>
    <t xml:space="preserve">Bag of Rags </t>
  </si>
  <si>
    <t>5111-206</t>
  </si>
  <si>
    <t>Keep Space clean</t>
  </si>
  <si>
    <t>General Cleaner</t>
  </si>
  <si>
    <t>5111-205</t>
  </si>
  <si>
    <t xml:space="preserve">For new storage space </t>
  </si>
  <si>
    <t>Lumber</t>
  </si>
  <si>
    <t>5111-203</t>
  </si>
  <si>
    <t>Nails</t>
  </si>
  <si>
    <t>5111-202</t>
  </si>
  <si>
    <t>Keep space clean</t>
  </si>
  <si>
    <t>Dust Pan and Broom</t>
  </si>
  <si>
    <t>5111-201</t>
  </si>
  <si>
    <t>Design Bay</t>
  </si>
  <si>
    <t xml:space="preserve">Incentive </t>
  </si>
  <si>
    <t>5111-101</t>
  </si>
  <si>
    <t xml:space="preserve">Rountables </t>
  </si>
  <si>
    <t>Max Bigioni
Director of Design</t>
  </si>
  <si>
    <t>Funds available to clubs</t>
  </si>
  <si>
    <t>Club Fund</t>
  </si>
  <si>
    <t>19-060</t>
  </si>
  <si>
    <t>Gas/Other fee reimbursment</t>
  </si>
  <si>
    <t>19-051</t>
  </si>
  <si>
    <t>Bursaries/other incentives</t>
  </si>
  <si>
    <t>External Delegates Incentives</t>
  </si>
  <si>
    <t>19-050</t>
  </si>
  <si>
    <t>External Delegates Growth</t>
  </si>
  <si>
    <t>Coffee/Donuts</t>
  </si>
  <si>
    <t>Refreshments for Meeting</t>
  </si>
  <si>
    <t>19-040</t>
  </si>
  <si>
    <t>Conference Meetings</t>
  </si>
  <si>
    <t>Unspecified</t>
  </si>
  <si>
    <t xml:space="preserve">Conference Bursary </t>
  </si>
  <si>
    <t>QCBT</t>
  </si>
  <si>
    <t>19-036</t>
  </si>
  <si>
    <t>QGEC</t>
  </si>
  <si>
    <t>19-035</t>
  </si>
  <si>
    <t>QEC</t>
  </si>
  <si>
    <t>19-034</t>
  </si>
  <si>
    <t>CIRQUE</t>
  </si>
  <si>
    <t>19-032</t>
  </si>
  <si>
    <t>QSC</t>
  </si>
  <si>
    <t>19-031</t>
  </si>
  <si>
    <t>CEEC</t>
  </si>
  <si>
    <t>19-030</t>
  </si>
  <si>
    <t>Partial Conference Bursaries</t>
  </si>
  <si>
    <t>Appreciation Gift Cards for Conference Heads (Likely Tearoom)</t>
  </si>
  <si>
    <t>Appreciation Gift</t>
  </si>
  <si>
    <t>19-018</t>
  </si>
  <si>
    <t>Personal Attendance Fee</t>
  </si>
  <si>
    <t>19-017</t>
  </si>
  <si>
    <t>19-016</t>
  </si>
  <si>
    <t>19-015</t>
  </si>
  <si>
    <t>19-014</t>
  </si>
  <si>
    <t>19-013</t>
  </si>
  <si>
    <t>19-012</t>
  </si>
  <si>
    <t xml:space="preserve">Presented to 1 of our 6 Internal Conferences </t>
  </si>
  <si>
    <t xml:space="preserve">Growth Incentive </t>
  </si>
  <si>
    <t>19-011</t>
  </si>
  <si>
    <t>Allison Finer
Director of Conferences</t>
  </si>
  <si>
    <t>Internal Conferences</t>
  </si>
  <si>
    <t>19-033</t>
  </si>
  <si>
    <t>Travel Reimbursement</t>
  </si>
  <si>
    <t>Comm Team Subscription</t>
  </si>
  <si>
    <t>Facebook advertising and promotion during elections, etc.</t>
  </si>
  <si>
    <t>Social Media Advertising</t>
  </si>
  <si>
    <t>Printing photos to put up around the EngSoc lounge to make it more welcoming and inviting. Prices from P&amp;CC</t>
  </si>
  <si>
    <t>Developing Photos</t>
  </si>
  <si>
    <t>Bristol board, markers, props, etc. for photo booths and promotions</t>
  </si>
  <si>
    <t>Misc. Supplies</t>
  </si>
  <si>
    <t>11x17 colour posters for promotions</t>
  </si>
  <si>
    <t>P&amp;CC Posters</t>
  </si>
  <si>
    <t>Supplies &amp; Misc.</t>
  </si>
  <si>
    <t>New external flash to replace broken ones</t>
  </si>
  <si>
    <t>Flash</t>
  </si>
  <si>
    <t>Tripod for photography and videography, necessary for photo shoots and livestreaming</t>
  </si>
  <si>
    <t>Tripod</t>
  </si>
  <si>
    <t>For the frosh week media crew, for branding and to provide adequate sun protection during the week</t>
  </si>
  <si>
    <t>Hats</t>
  </si>
  <si>
    <t>GPA patches to thank the team for all of their hard work, as well as to carry the brand and legacy of the communications team</t>
  </si>
  <si>
    <t>Comm Team Patches</t>
  </si>
  <si>
    <t>End of year appreciation dinner for the comm team managers</t>
  </si>
  <si>
    <t>Manager Appreciation</t>
  </si>
  <si>
    <t>Sunday meetings and work sessions (10 meetings x 25 people)</t>
  </si>
  <si>
    <t>Crucial for branding and establishing a strong team identity. Price is based off of previous team sweater orders</t>
  </si>
  <si>
    <t>Comm Team Sweaters</t>
  </si>
  <si>
    <t>Comm Team</t>
  </si>
  <si>
    <t>Ally Shikaze
Director of Communications</t>
  </si>
  <si>
    <t>Total Services</t>
  </si>
  <si>
    <t>This night ran last year and was (in my opinion) very successful. People came to hang out, nobody was excessively drunk and it was overall a good time.</t>
  </si>
  <si>
    <t>Service staff appreciation night</t>
  </si>
  <si>
    <t>Service managers appreciation</t>
  </si>
  <si>
    <t>Appreciation / transition dinner for englinks managers. This is enough to go to the works which has recently become a tradition for the team, great for appreciation and getting the new team excited. This includes this years FYPCO(s), and both this and next year's management team and DoA</t>
  </si>
  <si>
    <t>Total Academic Advocacy</t>
  </si>
  <si>
    <t>General materials budget for a feedback box for the engsoc lounge</t>
  </si>
  <si>
    <t>Materials for feedback box</t>
  </si>
  <si>
    <t>For feedback officer and caucus coordinator</t>
  </si>
  <si>
    <t>Appreciation dinner</t>
  </si>
  <si>
    <t>Appreceation for the end of the year for the VP academics (and BED fund reps) to say thanks for all their work for the academics portfolio.</t>
  </si>
  <si>
    <t>Appreciation gift for VP academics</t>
  </si>
  <si>
    <t>Snacks to give out in exchange for academic feedback at feedback booths, help encourage participation and cheap/easy to get</t>
  </si>
  <si>
    <t>Timbits for feedback booths</t>
  </si>
  <si>
    <t>Supplies for printing posters, labelling or printing feedback results</t>
  </si>
  <si>
    <t>Feedback officer supplies</t>
  </si>
  <si>
    <t>Pizza to encourage participation / attendance of thr academic caucuses. Budgeted for the 6 planned caucases, an average of 15 attendants having 2 slices each.</t>
  </si>
  <si>
    <t>Pizza for academic caucuses</t>
  </si>
  <si>
    <t>Academic Advocacy</t>
  </si>
  <si>
    <t>Total BED fund</t>
  </si>
  <si>
    <t>Appreciation dinner for the BED fund committee</t>
  </si>
  <si>
    <t>General materials budget for a idea generation box / folder for the engsoc lounge (or anywhere in the ILC). This can be used to experiment with materials and figure out the best physical system, for people to submit ideas</t>
  </si>
  <si>
    <t>Idea Generation Box</t>
  </si>
  <si>
    <t>Stickers to label purchases, "This is a BED Fund purchase", in size 50mm x 25mm (from StickerMule.com).</t>
  </si>
  <si>
    <t>Initial meeting is higher priority; however, it will be instrumental in ensuring effective proposals that discipline reps attend the proposal-writing workshop meeting as well (which would be encouraged by pizza)</t>
  </si>
  <si>
    <t>Pizza for meetings</t>
  </si>
  <si>
    <t>Timbits for an idea generation event, 4 boxes of 50 timbits. Can potentially be split into 2 events</t>
  </si>
  <si>
    <t>Tea and Coffee for an idea generation event.</t>
  </si>
  <si>
    <t>Tea / coffee</t>
  </si>
  <si>
    <t>Used as prizes for idea submission contests. Incentive for people to submit ideas</t>
  </si>
  <si>
    <t>Tea room gift cards</t>
  </si>
  <si>
    <t>Pizza for an idea event. Budgeted at 2.50 per slice and 100 slices, this was the most succesfull event last year so we would like to continue it as a high priority</t>
  </si>
  <si>
    <t>Pizza for idea generation events</t>
  </si>
  <si>
    <t>BED Fund</t>
  </si>
  <si>
    <t>Helen Rotenberg
Director of Academics</t>
  </si>
  <si>
    <t>Total Miscellaneuous</t>
  </si>
  <si>
    <t>This is for volunteer of the month! We'll be giving out $20 per month.</t>
  </si>
  <si>
    <t>TeaRoom Gift Cards - Volunteer of the Month</t>
  </si>
  <si>
    <t>We pay for this monthly (DoFy, PD Connects, Council, AllEng, etc…)</t>
  </si>
  <si>
    <t>Mailing Lists - MailChimp Subscription</t>
  </si>
  <si>
    <t>This is for lending things out! (Markers, Tape, Stapler, Stickies, Scissors, Pens/Pencils, etc…)</t>
  </si>
  <si>
    <t>Lounge Supplies</t>
  </si>
  <si>
    <t>I pay for this monthly for the EngSoc Spotify --&gt; Improves environment in Student Lounge</t>
  </si>
  <si>
    <t>Spotify Subscription</t>
  </si>
  <si>
    <t>Total Year Executive and Discipline Clubs</t>
  </si>
  <si>
    <t>This will be intended to subsidize any other initiatives!</t>
  </si>
  <si>
    <t>General Bursary</t>
  </si>
  <si>
    <t>This will be intended to subsidize StuCons for these groups (if needed)</t>
  </si>
  <si>
    <t>StuCon Bursary</t>
  </si>
  <si>
    <t>Like the Year Executives, I will be hosting 2 roundtables for Discipline Clubs --&gt; I need pizza</t>
  </si>
  <si>
    <t>Pizza for Discipline Clubs</t>
  </si>
  <si>
    <t>This is for the roundtables I'll be hosting once per semester! By slice…</t>
  </si>
  <si>
    <t>Pizza for Year Executives ('23 - '20)</t>
  </si>
  <si>
    <t>Year Executives and Discipline Clubs</t>
  </si>
  <si>
    <t>Total VPSA Revenue</t>
  </si>
  <si>
    <t>VPSA Revenue</t>
  </si>
  <si>
    <t>Zaid Kasim
Vice-President (Student Affairs)</t>
  </si>
  <si>
    <t>Quote from Queen's Event Services</t>
  </si>
  <si>
    <t>IMAGINUS Room Booking Fee</t>
  </si>
  <si>
    <t>10-5</t>
  </si>
  <si>
    <t>15/per member</t>
  </si>
  <si>
    <t>Appreciation Gifts</t>
  </si>
  <si>
    <t>10-4</t>
  </si>
  <si>
    <t>Incoming and Outgoing board members</t>
  </si>
  <si>
    <t>Transition Dinner</t>
  </si>
  <si>
    <t>10-3</t>
  </si>
  <si>
    <t>10$/Member per meeting</t>
  </si>
  <si>
    <t>Advisory Board Food</t>
  </si>
  <si>
    <t>10-2</t>
  </si>
  <si>
    <t>Vice President (Operations) Jinho Lee</t>
  </si>
  <si>
    <t>Delaney Benoit
President 2019-2020</t>
  </si>
  <si>
    <t>Faculty Support (0)</t>
  </si>
  <si>
    <t>FEAS Donation</t>
  </si>
  <si>
    <t>Donation given to EngSoc from FEAS - amount may vary, $4000 given in 2018-2019 for special iniatives, $1200 typically allocated</t>
  </si>
  <si>
    <t>Total Faculty Support</t>
  </si>
  <si>
    <t>Executive/Director Appreciation (1)</t>
  </si>
  <si>
    <t>Mid Year Brunch</t>
  </si>
  <si>
    <t>Meal before Winter Break for E/D, $25 each at Megalos (+13% tax and 18% gratuity added in "budget" column)</t>
  </si>
  <si>
    <t>TeaRoom Allotment</t>
  </si>
  <si>
    <t xml:space="preserve">$30/person/month to TeaRoom for 8 months, $510/month for full team </t>
  </si>
  <si>
    <t>E/D Clothing</t>
  </si>
  <si>
    <t>Visors (12.26 ea) and T-shirts (16.70 ea) For Summer Events and Oweek, Crewnecks (30.27 ea) for Winter Events (+ royalites)</t>
  </si>
  <si>
    <t>Invoice #2019 8/7/2019 Ordered by VPSA</t>
  </si>
  <si>
    <t>Executive/Director Transition Dinner</t>
  </si>
  <si>
    <t>Both outgoing and incoming teams, Dinner at Chez Piggy at $44 set menu +$10 drink/extra (+18% gratuity and 13% tax in "budget" column)</t>
  </si>
  <si>
    <t>EngSoc Jacket Crests</t>
  </si>
  <si>
    <t>Custom Made Patches by Quick Sew, $10/patch</t>
  </si>
  <si>
    <t>Alumni Summit Tickets</t>
  </si>
  <si>
    <t>To attend Alumni Networking Summit (note: DoPD already attends, thus only 16 tickets), $65 each in 2019</t>
  </si>
  <si>
    <t>Executive Transition Dinner</t>
  </si>
  <si>
    <t>Both outgoing and incoming Executives, Dinner at Atomica at $35 each (+18% gratuity and 13% tax in "budget" column)</t>
  </si>
  <si>
    <t>Total Executive/Director Appreciation</t>
  </si>
  <si>
    <t>Orientation Week Appreciation (2)</t>
  </si>
  <si>
    <t>Orientation Chair TeaRoom Giftcard</t>
  </si>
  <si>
    <t>$30/month, 1 Orientation Chair</t>
  </si>
  <si>
    <t>FREC Committee TeaRoom Giftcards</t>
  </si>
  <si>
    <t>$15/month/person, 14 Committee Members, $210/month for all members</t>
  </si>
  <si>
    <t>FREC Committee Transition Dinner</t>
  </si>
  <si>
    <t>Appreciaication for outgoing and incoming committees, 30 guests total, $30 each (+13% tax and 18% gratuity in "budget" column)</t>
  </si>
  <si>
    <t>Water Team Dinner</t>
  </si>
  <si>
    <t>Appreciation for water team after the pole climb, $30 each (+13% tax and 18% gratuity in "budget" column)</t>
  </si>
  <si>
    <t>Total Orientation Week Appreciation</t>
  </si>
  <si>
    <t>Science Formal Appreciation (3)</t>
  </si>
  <si>
    <t>Convenor TeaRoom Giftcard</t>
  </si>
  <si>
    <t>$30/month, 1 Convenor</t>
  </si>
  <si>
    <t>Science Formal Executive TeaRoom Giftcards</t>
  </si>
  <si>
    <t>$15/month/person, 4 Executive Committee Members, $60/month for all members</t>
  </si>
  <si>
    <t>Total Science Formal Appreciation</t>
  </si>
  <si>
    <t>External Membership Fees (5)</t>
  </si>
  <si>
    <t>CFES Membership Fee</t>
  </si>
  <si>
    <t>CFES Membership, $0.5/member, 3066 students last year + 70 students per enrollment increase = 3136 students</t>
  </si>
  <si>
    <t>ESSCO Membership Fee</t>
  </si>
  <si>
    <t>ESSCO Membership (OEC Only Level), $0.1/member, 3066 students last year + 70 students per enrollment increase = 3136 students</t>
  </si>
  <si>
    <t>Invoice #004, Received August 2 2019</t>
  </si>
  <si>
    <t>Total External Membership Fees</t>
  </si>
  <si>
    <t>CFES Conference Attendance (6)</t>
  </si>
  <si>
    <t>President Meeting (Sept 26-29, 2019)</t>
  </si>
  <si>
    <t>Travel Expenses (PM)</t>
  </si>
  <si>
    <t>Flights to and from conference in Okanagan, BC, roundtrip with Air Canada (Kingston to Toronto to Kelowna)</t>
  </si>
  <si>
    <t>Degelate Fee (PM)</t>
  </si>
  <si>
    <t>$125/first person +5% GST (included in "budget" column), covers accomodations, food, events entry</t>
  </si>
  <si>
    <t>Conference on Diversity in Engineering (Nov 1-3, 2019)</t>
  </si>
  <si>
    <t>Travel Expenses (CDE)</t>
  </si>
  <si>
    <t>Travel to and from conference at Western, via rail train ticket (delegates chosen by ECC), calcuated Sept 23</t>
  </si>
  <si>
    <t>Delegate Fees (CDE)</t>
  </si>
  <si>
    <t>$125/first person, $175/each additonal person, assuming 4 attendees = $650 total, covers accomodations, food events entry</t>
  </si>
  <si>
    <t>Conference on Sustainability in Engineering (Feb 21-24, 2020)</t>
  </si>
  <si>
    <t>Travel Expenses (CSE)</t>
  </si>
  <si>
    <t>Travel to and from conference at Waterloo, car rental + gas (1 delegate must then be 21+, delegates chosen by ECC)</t>
  </si>
  <si>
    <t>Delegate Fees (CSE)</t>
  </si>
  <si>
    <t>$125/first person, $175/each additonal person, assuming 5 attendees = $825 total, covers accomodations, food events entry</t>
  </si>
  <si>
    <t>Canadian Engineering Competition (March 6-9, 2020)</t>
  </si>
  <si>
    <t>Delegate Fees (CEC)</t>
  </si>
  <si>
    <t>$325/person, covers accomodations, food events entry, per anyone who moves on from OEC</t>
  </si>
  <si>
    <t>Total CFES Conference Attendance</t>
  </si>
  <si>
    <t>ESSCO Confeence Attendance (7)</t>
  </si>
  <si>
    <t>Ontario Engineering Competition (Jan 17-19, 2020)</t>
  </si>
  <si>
    <t>Competitor Fee (OEC)</t>
  </si>
  <si>
    <t>Paying half the ticket for all compeitiors, anyone who got first place at QEC</t>
  </si>
  <si>
    <t>Observer Fee (OEC)</t>
  </si>
  <si>
    <t>Sending 2 OEC 2021 Chairs to observe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</si>
</sst>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8" formatCode="&quot;$&quot;#,##0.00;[Red]\-&quot;$&quot;#,##0.00"/>
    <numFmt numFmtId="44" formatCode="_-&quot;$&quot;* #,##0.00_-;\-&quot;$&quot;* #,##0.00_-;_-&quot;$&quot;* &quot;-&quot;??_-;_-@_-"/>
    <numFmt numFmtId="164" formatCode="_([$$-409]* #,##0.00_);_([$$-409]* \(#,##0.00\);_([$$-409]* &quot;-&quot;??_);_(@_)"/>
    <numFmt numFmtId="165" formatCode="&quot;$&quot;#,##0.00"/>
  </numFmts>
  <fonts count="25">
    <font>
      <sz val="12"/>
      <color theme="1"/>
      <name val="Calibri"/>
      <family val="2"/>
      <scheme val="minor"/>
    </font>
    <font>
      <sz val="11"/>
      <color theme="1"/>
      <name val="Calibri"/>
      <family val="2"/>
      <scheme val="minor"/>
    </font>
    <font>
      <sz val="11"/>
      <color theme="1"/>
      <name val="Calibri"/>
      <family val="2"/>
      <scheme val="minor"/>
    </font>
    <font>
      <sz val="12"/>
      <color theme="1"/>
      <name val="Calibri"/>
      <family val="2"/>
      <scheme val="minor"/>
    </font>
    <font>
      <sz val="11"/>
      <color rgb="FF9C0006"/>
      <name val="Calibri"/>
      <family val="2"/>
      <scheme val="minor"/>
    </font>
    <font>
      <b/>
      <sz val="11"/>
      <color theme="0"/>
      <name val="Calibri"/>
      <family val="2"/>
      <scheme val="minor"/>
    </font>
    <font>
      <b/>
      <sz val="11"/>
      <color theme="1"/>
      <name val="Calibri"/>
      <family val="2"/>
      <scheme val="minor"/>
    </font>
    <font>
      <b/>
      <sz val="11"/>
      <color rgb="FF7030A0"/>
      <name val="Calibri"/>
      <family val="2"/>
      <scheme val="minor"/>
    </font>
    <font>
      <sz val="11"/>
      <color theme="1"/>
      <name val="Palatino Linotype"/>
      <family val="1"/>
    </font>
    <font>
      <b/>
      <sz val="11"/>
      <color theme="0"/>
      <name val="Segoe UI"/>
      <family val="2"/>
    </font>
    <font>
      <b/>
      <sz val="22"/>
      <color rgb="FF7030A0"/>
      <name val="Calibri"/>
      <family val="2"/>
      <scheme val="minor"/>
    </font>
    <font>
      <sz val="11"/>
      <name val="Calibri"/>
      <family val="2"/>
      <scheme val="minor"/>
    </font>
    <font>
      <b/>
      <u/>
      <sz val="11"/>
      <color theme="1"/>
      <name val="Calibri"/>
      <family val="2"/>
      <scheme val="minor"/>
    </font>
    <font>
      <sz val="11"/>
      <color rgb="FF000000"/>
      <name val="Calibri"/>
      <family val="2"/>
      <scheme val="minor"/>
    </font>
    <font>
      <i/>
      <sz val="11"/>
      <color theme="1"/>
      <name val="Calibri"/>
      <family val="2"/>
      <scheme val="minor"/>
    </font>
    <font>
      <b/>
      <sz val="10"/>
      <color rgb="FF000000"/>
      <name val="Tahoma"/>
      <family val="2"/>
    </font>
    <font>
      <sz val="10"/>
      <color rgb="FF000000"/>
      <name val="Tahoma"/>
      <family val="2"/>
    </font>
    <font>
      <sz val="11"/>
      <color theme="1"/>
      <name val="Calibri Light"/>
      <family val="2"/>
      <scheme val="major"/>
    </font>
    <font>
      <sz val="11"/>
      <color theme="1"/>
      <name val="Engravers MT"/>
      <family val="1"/>
    </font>
    <font>
      <u/>
      <sz val="11"/>
      <color theme="10"/>
      <name val="Calibri"/>
      <family val="2"/>
      <scheme val="minor"/>
    </font>
    <font>
      <i/>
      <sz val="11"/>
      <color rgb="FF7A3EA6"/>
      <name val="Segoe UI (Body)"/>
    </font>
    <font>
      <b/>
      <i/>
      <sz val="11"/>
      <color rgb="FF7A3EA6"/>
      <name val="Segoe UI"/>
      <family val="2"/>
    </font>
    <font>
      <sz val="11"/>
      <name val="Segoe UI"/>
      <family val="2"/>
    </font>
    <font>
      <sz val="8"/>
      <name val="Calibri"/>
      <family val="2"/>
      <scheme val="minor"/>
    </font>
    <font>
      <i/>
      <sz val="11"/>
      <name val="Calibri"/>
      <family val="2"/>
      <scheme val="minor"/>
    </font>
  </fonts>
  <fills count="19">
    <fill>
      <patternFill patternType="none"/>
    </fill>
    <fill>
      <patternFill patternType="gray125"/>
    </fill>
    <fill>
      <patternFill patternType="solid">
        <fgColor rgb="FFFFC7CE"/>
      </patternFill>
    </fill>
    <fill>
      <patternFill patternType="solid">
        <fgColor theme="6" tint="0.79998168889431442"/>
        <bgColor indexed="65"/>
      </patternFill>
    </fill>
    <fill>
      <patternFill patternType="solid">
        <fgColor theme="6" tint="0.59999389629810485"/>
        <bgColor indexed="65"/>
      </patternFill>
    </fill>
    <fill>
      <patternFill patternType="solid">
        <fgColor theme="0"/>
        <bgColor indexed="64"/>
      </patternFill>
    </fill>
    <fill>
      <patternFill patternType="solid">
        <fgColor rgb="FF92D050"/>
        <bgColor indexed="64"/>
      </patternFill>
    </fill>
    <fill>
      <patternFill patternType="solid">
        <fgColor theme="7"/>
        <bgColor indexed="64"/>
      </patternFill>
    </fill>
    <fill>
      <patternFill patternType="solid">
        <fgColor theme="2"/>
        <bgColor indexed="64"/>
      </patternFill>
    </fill>
    <fill>
      <patternFill patternType="solid">
        <fgColor rgb="FF7030A0"/>
        <bgColor indexed="64"/>
      </patternFill>
    </fill>
    <fill>
      <patternFill patternType="solid">
        <fgColor rgb="FFFFFFFF"/>
        <bgColor rgb="FF000000"/>
      </patternFill>
    </fill>
    <fill>
      <patternFill patternType="solid">
        <fgColor theme="7" tint="0.79998168889431442"/>
        <bgColor indexed="64"/>
      </patternFill>
    </fill>
    <fill>
      <patternFill patternType="solid">
        <fgColor rgb="FFFFFFFF"/>
        <bgColor indexed="64"/>
      </patternFill>
    </fill>
    <fill>
      <patternFill patternType="solid">
        <fgColor rgb="FFFF0000"/>
        <bgColor indexed="64"/>
      </patternFill>
    </fill>
    <fill>
      <patternFill patternType="solid">
        <fgColor rgb="FFF2F2F2"/>
        <bgColor rgb="FF000000"/>
      </patternFill>
    </fill>
    <fill>
      <patternFill patternType="solid">
        <fgColor rgb="FFF2F2F2"/>
        <bgColor indexed="64"/>
      </patternFill>
    </fill>
    <fill>
      <patternFill patternType="solid">
        <fgColor theme="2"/>
        <bgColor rgb="FF000000"/>
      </patternFill>
    </fill>
    <fill>
      <patternFill patternType="solid">
        <fgColor theme="0"/>
        <bgColor rgb="FF000000"/>
      </patternFill>
    </fill>
    <fill>
      <patternFill patternType="solid">
        <fgColor rgb="FFFFFF00"/>
        <bgColor indexed="64"/>
      </patternFill>
    </fill>
  </fills>
  <borders count="18">
    <border>
      <left/>
      <right/>
      <top/>
      <bottom/>
      <diagonal/>
    </border>
    <border>
      <left/>
      <right style="thin">
        <color auto="1"/>
      </right>
      <top/>
      <bottom style="thin">
        <color auto="1"/>
      </bottom>
      <diagonal/>
    </border>
    <border>
      <left/>
      <right/>
      <top/>
      <bottom style="thin">
        <color auto="1"/>
      </bottom>
      <diagonal/>
    </border>
    <border>
      <left/>
      <right style="thin">
        <color auto="1"/>
      </right>
      <top/>
      <bottom/>
      <diagonal/>
    </border>
    <border>
      <left/>
      <right style="thin">
        <color auto="1"/>
      </right>
      <top style="thin">
        <color auto="1"/>
      </top>
      <bottom/>
      <diagonal/>
    </border>
    <border>
      <left/>
      <right style="thin">
        <color auto="1"/>
      </right>
      <top style="thin">
        <color auto="1"/>
      </top>
      <bottom style="thin">
        <color auto="1"/>
      </bottom>
      <diagonal/>
    </border>
    <border>
      <left/>
      <right/>
      <top style="thin">
        <color auto="1"/>
      </top>
      <bottom style="thin">
        <color auto="1"/>
      </bottom>
      <diagonal/>
    </border>
    <border>
      <left/>
      <right style="thin">
        <color auto="1"/>
      </right>
      <top style="thin">
        <color theme="7"/>
      </top>
      <bottom style="thin">
        <color theme="7"/>
      </bottom>
      <diagonal/>
    </border>
    <border>
      <left/>
      <right/>
      <top style="thin">
        <color theme="7"/>
      </top>
      <bottom style="thin">
        <color theme="7"/>
      </bottom>
      <diagonal/>
    </border>
    <border>
      <left style="thin">
        <color theme="7"/>
      </left>
      <right/>
      <top style="thin">
        <color theme="7"/>
      </top>
      <bottom style="thin">
        <color theme="7"/>
      </bottom>
      <diagonal/>
    </border>
    <border>
      <left style="thin">
        <color auto="1"/>
      </left>
      <right/>
      <top style="thin">
        <color auto="1"/>
      </top>
      <bottom style="thin">
        <color auto="1"/>
      </bottom>
      <diagonal/>
    </border>
    <border>
      <left/>
      <right style="thin">
        <color auto="1"/>
      </right>
      <top style="thin">
        <color theme="6"/>
      </top>
      <bottom/>
      <diagonal/>
    </border>
    <border>
      <left/>
      <right style="thin">
        <color indexed="64"/>
      </right>
      <top style="thin">
        <color theme="7"/>
      </top>
      <bottom/>
      <diagonal/>
    </border>
    <border>
      <left style="thin">
        <color theme="7"/>
      </left>
      <right/>
      <top/>
      <bottom style="thin">
        <color theme="7"/>
      </bottom>
      <diagonal/>
    </border>
    <border>
      <left/>
      <right/>
      <top/>
      <bottom style="thin">
        <color theme="7"/>
      </bottom>
      <diagonal/>
    </border>
    <border>
      <left/>
      <right style="thin">
        <color auto="1"/>
      </right>
      <top/>
      <bottom style="thin">
        <color theme="7"/>
      </bottom>
      <diagonal/>
    </border>
    <border>
      <left style="thin">
        <color rgb="FF000000"/>
      </left>
      <right/>
      <top/>
      <bottom/>
      <diagonal/>
    </border>
    <border>
      <left/>
      <right/>
      <top style="thin">
        <color auto="1"/>
      </top>
      <bottom/>
      <diagonal/>
    </border>
  </borders>
  <cellStyleXfs count="11">
    <xf numFmtId="0" fontId="0" fillId="0" borderId="0"/>
    <xf numFmtId="44" fontId="3" fillId="0" borderId="0" applyFont="0" applyFill="0" applyBorder="0" applyAlignment="0" applyProtection="0"/>
    <xf numFmtId="0" fontId="4"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0" borderId="0"/>
    <xf numFmtId="44" fontId="2" fillId="0" borderId="0" applyFont="0" applyFill="0" applyBorder="0" applyAlignment="0" applyProtection="0"/>
    <xf numFmtId="0" fontId="3" fillId="0" borderId="0"/>
    <xf numFmtId="0" fontId="19" fillId="0" borderId="0" applyNumberFormat="0" applyFill="0" applyBorder="0" applyAlignment="0" applyProtection="0"/>
    <xf numFmtId="0" fontId="1" fillId="0" borderId="0"/>
    <xf numFmtId="44" fontId="1" fillId="0" borderId="0" applyFont="0" applyFill="0" applyBorder="0" applyAlignment="0" applyProtection="0"/>
  </cellStyleXfs>
  <cellXfs count="374">
    <xf numFmtId="0" fontId="0" fillId="0" borderId="0" xfId="0"/>
    <xf numFmtId="0" fontId="2" fillId="5" borderId="0" xfId="5" applyFill="1"/>
    <xf numFmtId="44" fontId="0" fillId="5" borderId="0" xfId="6" applyFont="1" applyFill="1"/>
    <xf numFmtId="44" fontId="0" fillId="5" borderId="0" xfId="6" applyFont="1" applyFill="1" applyAlignment="1">
      <alignment horizontal="right"/>
    </xf>
    <xf numFmtId="0" fontId="2" fillId="5" borderId="0" xfId="5" applyFill="1" applyAlignment="1">
      <alignment horizontal="right"/>
    </xf>
    <xf numFmtId="0" fontId="2" fillId="5" borderId="0" xfId="5" applyFill="1" applyAlignment="1">
      <alignment horizontal="center"/>
    </xf>
    <xf numFmtId="0" fontId="6" fillId="5" borderId="0" xfId="5" applyFont="1" applyFill="1"/>
    <xf numFmtId="44" fontId="6" fillId="0" borderId="1" xfId="6" applyFont="1" applyBorder="1" applyAlignment="1">
      <alignment horizontal="right"/>
    </xf>
    <xf numFmtId="44" fontId="6" fillId="0" borderId="2" xfId="6" applyFont="1" applyBorder="1" applyAlignment="1">
      <alignment horizontal="right"/>
    </xf>
    <xf numFmtId="44" fontId="6" fillId="6" borderId="2" xfId="6" applyFont="1" applyFill="1" applyBorder="1" applyAlignment="1">
      <alignment horizontal="right"/>
    </xf>
    <xf numFmtId="0" fontId="6" fillId="0" borderId="2" xfId="5" applyFont="1" applyBorder="1" applyAlignment="1">
      <alignment horizontal="right"/>
    </xf>
    <xf numFmtId="0" fontId="6" fillId="0" borderId="2" xfId="5" applyFont="1" applyBorder="1"/>
    <xf numFmtId="0" fontId="6" fillId="0" borderId="2" xfId="5" applyFont="1" applyBorder="1" applyAlignment="1">
      <alignment horizontal="center"/>
    </xf>
    <xf numFmtId="44" fontId="6" fillId="0" borderId="3" xfId="6" applyFont="1" applyBorder="1" applyAlignment="1">
      <alignment horizontal="right"/>
    </xf>
    <xf numFmtId="44" fontId="6" fillId="0" borderId="0" xfId="6" applyFont="1" applyAlignment="1">
      <alignment horizontal="right"/>
    </xf>
    <xf numFmtId="0" fontId="6" fillId="0" borderId="0" xfId="5" applyFont="1" applyAlignment="1">
      <alignment horizontal="right"/>
    </xf>
    <xf numFmtId="0" fontId="6" fillId="0" borderId="0" xfId="5" applyFont="1"/>
    <xf numFmtId="0" fontId="6" fillId="0" borderId="0" xfId="5" applyFont="1" applyAlignment="1">
      <alignment horizontal="center"/>
    </xf>
    <xf numFmtId="44" fontId="6" fillId="0" borderId="4" xfId="6" applyFont="1" applyBorder="1" applyAlignment="1">
      <alignment horizontal="right"/>
    </xf>
    <xf numFmtId="44" fontId="0" fillId="7" borderId="5" xfId="6" applyFont="1" applyFill="1" applyBorder="1"/>
    <xf numFmtId="44" fontId="0" fillId="7" borderId="6" xfId="6" applyFont="1" applyFill="1" applyBorder="1" applyAlignment="1">
      <alignment horizontal="right"/>
    </xf>
    <xf numFmtId="0" fontId="2" fillId="7" borderId="6" xfId="5" applyFill="1" applyBorder="1" applyAlignment="1">
      <alignment horizontal="right"/>
    </xf>
    <xf numFmtId="0" fontId="2" fillId="7" borderId="6" xfId="5" applyFill="1" applyBorder="1"/>
    <xf numFmtId="0" fontId="2" fillId="7" borderId="6" xfId="5" applyFill="1" applyBorder="1" applyAlignment="1">
      <alignment horizontal="center"/>
    </xf>
    <xf numFmtId="0" fontId="6" fillId="7" borderId="6" xfId="5" applyFont="1" applyFill="1" applyBorder="1"/>
    <xf numFmtId="44" fontId="0" fillId="0" borderId="3" xfId="6" applyFont="1" applyBorder="1"/>
    <xf numFmtId="44" fontId="0" fillId="0" borderId="0" xfId="6" applyFont="1" applyAlignment="1">
      <alignment horizontal="right"/>
    </xf>
    <xf numFmtId="0" fontId="2" fillId="0" borderId="0" xfId="5" applyAlignment="1">
      <alignment horizontal="right"/>
    </xf>
    <xf numFmtId="0" fontId="2" fillId="0" borderId="0" xfId="5"/>
    <xf numFmtId="0" fontId="2" fillId="0" borderId="0" xfId="5" applyAlignment="1">
      <alignment horizontal="center"/>
    </xf>
    <xf numFmtId="0" fontId="7" fillId="5" borderId="0" xfId="5" applyFont="1" applyFill="1"/>
    <xf numFmtId="44" fontId="7" fillId="0" borderId="7" xfId="6" applyFont="1" applyBorder="1" applyAlignment="1">
      <alignment horizontal="right"/>
    </xf>
    <xf numFmtId="44" fontId="7" fillId="0" borderId="8" xfId="6" applyFont="1" applyBorder="1" applyAlignment="1">
      <alignment horizontal="right"/>
    </xf>
    <xf numFmtId="0" fontId="7" fillId="0" borderId="8" xfId="5" applyFont="1" applyBorder="1" applyAlignment="1">
      <alignment horizontal="right"/>
    </xf>
    <xf numFmtId="0" fontId="7" fillId="0" borderId="8" xfId="5" applyFont="1" applyBorder="1"/>
    <xf numFmtId="0" fontId="7" fillId="0" borderId="8" xfId="5" applyFont="1" applyBorder="1" applyAlignment="1">
      <alignment horizontal="center"/>
    </xf>
    <xf numFmtId="0" fontId="7" fillId="0" borderId="9" xfId="5" applyFont="1" applyBorder="1" applyAlignment="1">
      <alignment horizontal="center"/>
    </xf>
    <xf numFmtId="0" fontId="7" fillId="0" borderId="0" xfId="5" applyFont="1"/>
    <xf numFmtId="44" fontId="6" fillId="0" borderId="5" xfId="6" applyFont="1" applyBorder="1" applyAlignment="1">
      <alignment horizontal="right"/>
    </xf>
    <xf numFmtId="44" fontId="6" fillId="0" borderId="6" xfId="6" applyFont="1" applyBorder="1" applyAlignment="1">
      <alignment horizontal="right"/>
    </xf>
    <xf numFmtId="0" fontId="6" fillId="0" borderId="6" xfId="5" applyFont="1" applyBorder="1" applyAlignment="1">
      <alignment horizontal="right"/>
    </xf>
    <xf numFmtId="0" fontId="6" fillId="0" borderId="6" xfId="5" applyFont="1" applyBorder="1"/>
    <xf numFmtId="0" fontId="6" fillId="0" borderId="6" xfId="5" applyFont="1" applyBorder="1" applyAlignment="1">
      <alignment horizontal="center"/>
    </xf>
    <xf numFmtId="0" fontId="6" fillId="0" borderId="10" xfId="5" applyFont="1" applyBorder="1" applyAlignment="1">
      <alignment horizontal="center"/>
    </xf>
    <xf numFmtId="0" fontId="2" fillId="0" borderId="0" xfId="5" applyAlignment="1">
      <alignment wrapText="1"/>
    </xf>
    <xf numFmtId="44" fontId="4" fillId="2" borderId="0" xfId="2" applyNumberFormat="1" applyAlignment="1">
      <alignment horizontal="right"/>
    </xf>
    <xf numFmtId="44" fontId="6" fillId="5" borderId="0" xfId="6" applyFont="1" applyFill="1" applyBorder="1" applyAlignment="1">
      <alignment horizontal="right"/>
    </xf>
    <xf numFmtId="0" fontId="6" fillId="0" borderId="6" xfId="5" applyFont="1" applyBorder="1" applyAlignment="1">
      <alignment wrapText="1"/>
    </xf>
    <xf numFmtId="44" fontId="0" fillId="5" borderId="0" xfId="6" applyFont="1" applyFill="1" applyBorder="1" applyAlignment="1">
      <alignment horizontal="right"/>
    </xf>
    <xf numFmtId="44" fontId="0" fillId="0" borderId="3" xfId="6" applyFont="1" applyBorder="1" applyAlignment="1">
      <alignment horizontal="right"/>
    </xf>
    <xf numFmtId="44" fontId="0" fillId="0" borderId="0" xfId="6" applyFont="1" applyFill="1" applyAlignment="1">
      <alignment horizontal="right"/>
    </xf>
    <xf numFmtId="0" fontId="8" fillId="0" borderId="0" xfId="5" applyFont="1" applyAlignment="1">
      <alignment horizontal="left" wrapText="1"/>
    </xf>
    <xf numFmtId="44" fontId="0" fillId="0" borderId="3" xfId="6" applyFont="1" applyFill="1" applyBorder="1" applyAlignment="1">
      <alignment horizontal="right"/>
    </xf>
    <xf numFmtId="44" fontId="0" fillId="8" borderId="3" xfId="6" applyFont="1" applyFill="1" applyBorder="1" applyAlignment="1">
      <alignment horizontal="right"/>
    </xf>
    <xf numFmtId="44" fontId="0" fillId="8" borderId="0" xfId="6" applyFont="1" applyFill="1" applyAlignment="1">
      <alignment horizontal="right"/>
    </xf>
    <xf numFmtId="0" fontId="2" fillId="8" borderId="0" xfId="5" applyFill="1" applyAlignment="1">
      <alignment horizontal="right"/>
    </xf>
    <xf numFmtId="0" fontId="2" fillId="8" borderId="0" xfId="5" applyFill="1"/>
    <xf numFmtId="0" fontId="2" fillId="8" borderId="0" xfId="5" applyFill="1" applyAlignment="1">
      <alignment horizontal="center"/>
    </xf>
    <xf numFmtId="44" fontId="0" fillId="0" borderId="0" xfId="6" applyFont="1"/>
    <xf numFmtId="44" fontId="0" fillId="6" borderId="0" xfId="6" applyFont="1" applyFill="1" applyAlignment="1">
      <alignment horizontal="right"/>
    </xf>
    <xf numFmtId="44" fontId="0" fillId="0" borderId="4" xfId="6" applyFont="1" applyBorder="1"/>
    <xf numFmtId="44" fontId="0" fillId="0" borderId="5" xfId="6" applyFont="1" applyBorder="1"/>
    <xf numFmtId="0" fontId="5" fillId="5" borderId="0" xfId="5" applyFont="1" applyFill="1" applyAlignment="1">
      <alignment horizontal="center"/>
    </xf>
    <xf numFmtId="44" fontId="9" fillId="9" borderId="5" xfId="6" applyFont="1" applyFill="1" applyBorder="1" applyAlignment="1">
      <alignment horizontal="center"/>
    </xf>
    <xf numFmtId="44" fontId="5" fillId="9" borderId="0" xfId="6" applyFont="1" applyFill="1" applyAlignment="1">
      <alignment horizontal="center"/>
    </xf>
    <xf numFmtId="0" fontId="5" fillId="9" borderId="0" xfId="5" applyFont="1" applyFill="1" applyAlignment="1">
      <alignment horizontal="center"/>
    </xf>
    <xf numFmtId="10" fontId="2" fillId="5" borderId="0" xfId="5" applyNumberFormat="1" applyFill="1"/>
    <xf numFmtId="44" fontId="2" fillId="5" borderId="0" xfId="5" applyNumberFormat="1" applyFill="1"/>
    <xf numFmtId="2" fontId="2" fillId="5" borderId="0" xfId="5" applyNumberFormat="1" applyFill="1"/>
    <xf numFmtId="10" fontId="0" fillId="5" borderId="0" xfId="6" applyNumberFormat="1" applyFont="1" applyFill="1" applyBorder="1" applyAlignment="1">
      <alignment horizontal="right"/>
    </xf>
    <xf numFmtId="2" fontId="11" fillId="5" borderId="0" xfId="5" applyNumberFormat="1" applyFont="1" applyFill="1"/>
    <xf numFmtId="0" fontId="11" fillId="5" borderId="0" xfId="5" applyFont="1" applyFill="1" applyAlignment="1">
      <alignment horizontal="center"/>
    </xf>
    <xf numFmtId="44" fontId="9" fillId="9" borderId="6" xfId="6" applyFont="1" applyFill="1" applyBorder="1" applyAlignment="1">
      <alignment horizontal="center"/>
    </xf>
    <xf numFmtId="0" fontId="5" fillId="9" borderId="0" xfId="5" applyFont="1" applyFill="1" applyAlignment="1">
      <alignment horizontal="center" vertical="center"/>
    </xf>
    <xf numFmtId="0" fontId="2" fillId="0" borderId="0" xfId="5" applyAlignment="1"/>
    <xf numFmtId="0" fontId="6" fillId="0" borderId="6" xfId="5" applyFont="1" applyBorder="1" applyAlignment="1"/>
    <xf numFmtId="0" fontId="6" fillId="0" borderId="0" xfId="5" applyFont="1" applyAlignment="1"/>
    <xf numFmtId="0" fontId="2" fillId="0" borderId="6" xfId="5" applyBorder="1" applyAlignment="1">
      <alignment horizontal="center"/>
    </xf>
    <xf numFmtId="0" fontId="2" fillId="0" borderId="6" xfId="5" applyBorder="1"/>
    <xf numFmtId="44" fontId="0" fillId="0" borderId="6" xfId="6" applyFont="1" applyBorder="1" applyAlignment="1">
      <alignment horizontal="right"/>
    </xf>
    <xf numFmtId="0" fontId="2" fillId="0" borderId="6" xfId="5" applyBorder="1" applyAlignment="1">
      <alignment horizontal="right"/>
    </xf>
    <xf numFmtId="0" fontId="2" fillId="0" borderId="0" xfId="5" applyAlignment="1">
      <alignment horizontal="center" vertical="center"/>
    </xf>
    <xf numFmtId="0" fontId="2" fillId="7" borderId="6" xfId="5" applyFill="1" applyBorder="1" applyAlignment="1">
      <alignment horizontal="center" vertical="center"/>
    </xf>
    <xf numFmtId="0" fontId="6" fillId="0" borderId="6" xfId="5" applyFont="1" applyBorder="1" applyAlignment="1">
      <alignment horizontal="center" vertical="center"/>
    </xf>
    <xf numFmtId="0" fontId="2" fillId="0" borderId="6" xfId="5" applyBorder="1" applyAlignment="1">
      <alignment horizontal="center" vertical="center"/>
    </xf>
    <xf numFmtId="0" fontId="7" fillId="0" borderId="8" xfId="5" applyFont="1" applyBorder="1" applyAlignment="1">
      <alignment horizontal="center" vertical="center"/>
    </xf>
    <xf numFmtId="0" fontId="6" fillId="0" borderId="0" xfId="5" applyFont="1" applyAlignment="1">
      <alignment horizontal="center" vertical="center"/>
    </xf>
    <xf numFmtId="0" fontId="6" fillId="0" borderId="2" xfId="5" applyFont="1" applyBorder="1" applyAlignment="1">
      <alignment horizontal="center" vertical="center"/>
    </xf>
    <xf numFmtId="0" fontId="6" fillId="0" borderId="0" xfId="5" applyFont="1" applyAlignment="1">
      <alignment wrapText="1"/>
    </xf>
    <xf numFmtId="44" fontId="0" fillId="0" borderId="3" xfId="6" applyFont="1" applyBorder="1" applyAlignment="1"/>
    <xf numFmtId="0" fontId="2" fillId="5" borderId="0" xfId="5" applyFill="1" applyAlignment="1"/>
    <xf numFmtId="0" fontId="6" fillId="5" borderId="0" xfId="5" applyFont="1" applyFill="1" applyAlignment="1"/>
    <xf numFmtId="0" fontId="7" fillId="5" borderId="0" xfId="5" applyFont="1" applyFill="1" applyAlignment="1"/>
    <xf numFmtId="44" fontId="0" fillId="0" borderId="0" xfId="6" applyFont="1" applyBorder="1"/>
    <xf numFmtId="0" fontId="12" fillId="0" borderId="0" xfId="5" applyFont="1"/>
    <xf numFmtId="0" fontId="13" fillId="5" borderId="0" xfId="5" applyFont="1" applyFill="1" applyAlignment="1">
      <alignment horizontal="right"/>
    </xf>
    <xf numFmtId="0" fontId="13" fillId="5" borderId="0" xfId="5" applyFont="1" applyFill="1"/>
    <xf numFmtId="0" fontId="13" fillId="0" borderId="0" xfId="5" applyFont="1"/>
    <xf numFmtId="0" fontId="2" fillId="0" borderId="11" xfId="5" applyBorder="1"/>
    <xf numFmtId="0" fontId="2" fillId="0" borderId="0" xfId="5" applyAlignment="1">
      <alignment horizontal="left"/>
    </xf>
    <xf numFmtId="0" fontId="2" fillId="0" borderId="0" xfId="5" applyAlignment="1">
      <alignment horizontal="left" vertical="center"/>
    </xf>
    <xf numFmtId="0" fontId="2" fillId="7" borderId="6" xfId="5" applyFill="1" applyBorder="1" applyAlignment="1">
      <alignment horizontal="left" vertical="center"/>
    </xf>
    <xf numFmtId="0" fontId="6" fillId="0" borderId="6" xfId="5" applyFont="1" applyBorder="1" applyAlignment="1">
      <alignment horizontal="left" vertical="center"/>
    </xf>
    <xf numFmtId="0" fontId="6" fillId="0" borderId="0" xfId="5" applyFont="1" applyAlignment="1">
      <alignment horizontal="left" vertical="center"/>
    </xf>
    <xf numFmtId="0" fontId="7" fillId="0" borderId="8" xfId="5" applyFont="1" applyBorder="1" applyAlignment="1">
      <alignment horizontal="left" vertical="center"/>
    </xf>
    <xf numFmtId="0" fontId="13" fillId="5" borderId="0" xfId="5" applyFont="1" applyFill="1" applyAlignment="1">
      <alignment horizontal="left" vertical="center"/>
    </xf>
    <xf numFmtId="0" fontId="6" fillId="0" borderId="2" xfId="5" applyFont="1" applyBorder="1" applyAlignment="1">
      <alignment horizontal="left" vertical="center"/>
    </xf>
    <xf numFmtId="0" fontId="14" fillId="0" borderId="0" xfId="5" applyFont="1" applyAlignment="1">
      <alignment horizontal="right"/>
    </xf>
    <xf numFmtId="0" fontId="2" fillId="3" borderId="0" xfId="3" applyAlignment="1">
      <alignment horizontal="center" vertical="center"/>
    </xf>
    <xf numFmtId="0" fontId="2" fillId="3" borderId="0" xfId="3"/>
    <xf numFmtId="44" fontId="5" fillId="9" borderId="0" xfId="1" applyFont="1" applyFill="1" applyAlignment="1">
      <alignment horizontal="center"/>
    </xf>
    <xf numFmtId="44" fontId="0" fillId="0" borderId="0" xfId="1" applyFont="1" applyAlignment="1">
      <alignment horizontal="right"/>
    </xf>
    <xf numFmtId="44" fontId="0" fillId="7" borderId="6" xfId="1" applyFont="1" applyFill="1" applyBorder="1" applyAlignment="1">
      <alignment horizontal="right"/>
    </xf>
    <xf numFmtId="44" fontId="2" fillId="3" borderId="0" xfId="1" applyFont="1" applyFill="1"/>
    <xf numFmtId="44" fontId="6" fillId="0" borderId="6" xfId="1" applyFont="1" applyBorder="1" applyAlignment="1">
      <alignment horizontal="right"/>
    </xf>
    <xf numFmtId="44" fontId="6" fillId="0" borderId="0" xfId="1" applyFont="1" applyAlignment="1">
      <alignment horizontal="right"/>
    </xf>
    <xf numFmtId="44" fontId="7" fillId="0" borderId="8" xfId="1" applyFont="1" applyBorder="1" applyAlignment="1">
      <alignment horizontal="right"/>
    </xf>
    <xf numFmtId="44" fontId="13" fillId="5" borderId="0" xfId="1" applyFont="1" applyFill="1" applyAlignment="1">
      <alignment horizontal="right"/>
    </xf>
    <xf numFmtId="44" fontId="6" fillId="0" borderId="2" xfId="1" applyFont="1" applyBorder="1" applyAlignment="1">
      <alignment horizontal="right"/>
    </xf>
    <xf numFmtId="44" fontId="0" fillId="5" borderId="0" xfId="1" applyFont="1" applyFill="1" applyAlignment="1">
      <alignment horizontal="right"/>
    </xf>
    <xf numFmtId="44" fontId="0" fillId="0" borderId="0" xfId="1" applyFont="1"/>
    <xf numFmtId="44" fontId="9" fillId="9" borderId="6" xfId="1" applyFont="1" applyFill="1" applyBorder="1" applyAlignment="1">
      <alignment horizontal="center"/>
    </xf>
    <xf numFmtId="44" fontId="0" fillId="0" borderId="5" xfId="1" applyFont="1" applyBorder="1"/>
    <xf numFmtId="44" fontId="0" fillId="7" borderId="5" xfId="1" applyFont="1" applyFill="1" applyBorder="1"/>
    <xf numFmtId="44" fontId="0" fillId="0" borderId="4" xfId="1" applyFont="1" applyBorder="1"/>
    <xf numFmtId="44" fontId="0" fillId="0" borderId="3" xfId="1" applyFont="1" applyBorder="1"/>
    <xf numFmtId="44" fontId="6" fillId="0" borderId="5" xfId="1" applyFont="1" applyBorder="1" applyAlignment="1">
      <alignment horizontal="right"/>
    </xf>
    <xf numFmtId="44" fontId="6" fillId="0" borderId="3" xfId="1" applyFont="1" applyBorder="1" applyAlignment="1">
      <alignment horizontal="right"/>
    </xf>
    <xf numFmtId="44" fontId="7" fillId="0" borderId="7" xfId="1" applyFont="1" applyBorder="1" applyAlignment="1">
      <alignment horizontal="right"/>
    </xf>
    <xf numFmtId="44" fontId="13" fillId="5" borderId="3" xfId="1" applyFont="1" applyFill="1" applyBorder="1"/>
    <xf numFmtId="44" fontId="6" fillId="0" borderId="4" xfId="1" applyFont="1" applyBorder="1" applyAlignment="1">
      <alignment horizontal="right"/>
    </xf>
    <xf numFmtId="44" fontId="6" fillId="0" borderId="1" xfId="1" applyFont="1" applyBorder="1" applyAlignment="1">
      <alignment horizontal="right"/>
    </xf>
    <xf numFmtId="44" fontId="2" fillId="3" borderId="3" xfId="1" applyFont="1" applyFill="1" applyBorder="1"/>
    <xf numFmtId="44" fontId="0" fillId="0" borderId="3" xfId="1" applyFont="1" applyBorder="1" applyAlignment="1">
      <alignment horizontal="right"/>
    </xf>
    <xf numFmtId="44" fontId="0" fillId="0" borderId="1" xfId="1" applyFont="1" applyBorder="1"/>
    <xf numFmtId="164" fontId="0" fillId="0" borderId="0" xfId="6" applyNumberFormat="1" applyFont="1" applyAlignment="1">
      <alignment horizontal="right"/>
    </xf>
    <xf numFmtId="164" fontId="2" fillId="0" borderId="0" xfId="5" applyNumberFormat="1"/>
    <xf numFmtId="49" fontId="2" fillId="0" borderId="0" xfId="5" applyNumberFormat="1" applyAlignment="1">
      <alignment horizontal="center"/>
    </xf>
    <xf numFmtId="0" fontId="2" fillId="0" borderId="3" xfId="5" applyBorder="1"/>
    <xf numFmtId="44" fontId="0" fillId="0" borderId="12" xfId="6" applyFont="1" applyBorder="1"/>
    <xf numFmtId="164" fontId="0" fillId="0" borderId="3" xfId="6" applyNumberFormat="1" applyFont="1" applyBorder="1" applyAlignment="1">
      <alignment horizontal="right"/>
    </xf>
    <xf numFmtId="164" fontId="2" fillId="0" borderId="3" xfId="5" applyNumberFormat="1" applyBorder="1"/>
    <xf numFmtId="0" fontId="2" fillId="4" borderId="0" xfId="4" applyAlignment="1">
      <alignment horizontal="right"/>
    </xf>
    <xf numFmtId="0" fontId="2" fillId="4" borderId="0" xfId="4"/>
    <xf numFmtId="0" fontId="2" fillId="4" borderId="0" xfId="4" applyAlignment="1">
      <alignment horizontal="center"/>
    </xf>
    <xf numFmtId="44" fontId="2" fillId="4" borderId="0" xfId="1" applyFont="1" applyFill="1" applyAlignment="1">
      <alignment horizontal="right"/>
    </xf>
    <xf numFmtId="44" fontId="2" fillId="4" borderId="3" xfId="1" applyFont="1" applyFill="1" applyBorder="1"/>
    <xf numFmtId="44" fontId="6" fillId="0" borderId="3" xfId="1" applyFont="1" applyBorder="1"/>
    <xf numFmtId="44" fontId="0" fillId="0" borderId="6" xfId="1" applyFont="1" applyBorder="1" applyAlignment="1">
      <alignment horizontal="right"/>
    </xf>
    <xf numFmtId="0" fontId="7" fillId="0" borderId="13" xfId="5" applyFont="1" applyBorder="1" applyAlignment="1">
      <alignment horizontal="center"/>
    </xf>
    <xf numFmtId="0" fontId="7" fillId="0" borderId="14" xfId="5" applyFont="1" applyBorder="1" applyAlignment="1">
      <alignment horizontal="center"/>
    </xf>
    <xf numFmtId="0" fontId="7" fillId="0" borderId="14" xfId="5" applyFont="1" applyBorder="1"/>
    <xf numFmtId="0" fontId="7" fillId="0" borderId="14" xfId="5" applyFont="1" applyBorder="1" applyAlignment="1">
      <alignment horizontal="right"/>
    </xf>
    <xf numFmtId="0" fontId="6" fillId="0" borderId="0" xfId="5" applyFont="1" applyBorder="1" applyAlignment="1">
      <alignment horizontal="center"/>
    </xf>
    <xf numFmtId="0" fontId="2" fillId="0" borderId="0" xfId="5" applyBorder="1" applyAlignment="1">
      <alignment horizontal="center"/>
    </xf>
    <xf numFmtId="0" fontId="2" fillId="0" borderId="0" xfId="5" applyBorder="1"/>
    <xf numFmtId="44" fontId="0" fillId="0" borderId="0" xfId="1" applyFont="1" applyBorder="1" applyAlignment="1">
      <alignment horizontal="right"/>
    </xf>
    <xf numFmtId="0" fontId="2" fillId="0" borderId="0" xfId="5" applyBorder="1" applyAlignment="1">
      <alignment horizontal="right"/>
    </xf>
    <xf numFmtId="44" fontId="6" fillId="0" borderId="0" xfId="1" applyFont="1" applyBorder="1" applyAlignment="1">
      <alignment horizontal="right"/>
    </xf>
    <xf numFmtId="0" fontId="0" fillId="0" borderId="3" xfId="0" applyBorder="1"/>
    <xf numFmtId="44" fontId="7" fillId="0" borderId="14" xfId="6" applyFont="1" applyBorder="1" applyAlignment="1">
      <alignment horizontal="right"/>
    </xf>
    <xf numFmtId="44" fontId="7" fillId="0" borderId="15" xfId="6" applyFont="1" applyBorder="1" applyAlignment="1">
      <alignment horizontal="right"/>
    </xf>
    <xf numFmtId="0" fontId="6" fillId="0" borderId="2" xfId="5" applyFont="1" applyBorder="1" applyAlignment="1">
      <alignment wrapText="1"/>
    </xf>
    <xf numFmtId="0" fontId="17" fillId="0" borderId="0" xfId="5" applyFont="1" applyAlignment="1">
      <alignment horizontal="center"/>
    </xf>
    <xf numFmtId="0" fontId="18" fillId="0" borderId="0" xfId="5" applyFont="1" applyAlignment="1">
      <alignment horizontal="center"/>
    </xf>
    <xf numFmtId="0" fontId="14" fillId="0" borderId="0" xfId="5" applyFont="1" applyAlignment="1">
      <alignment wrapText="1"/>
    </xf>
    <xf numFmtId="0" fontId="5" fillId="9" borderId="0" xfId="5" applyFont="1" applyFill="1" applyAlignment="1">
      <alignment horizontal="center" wrapText="1"/>
    </xf>
    <xf numFmtId="0" fontId="6" fillId="7" borderId="6" xfId="5" applyFont="1" applyFill="1" applyBorder="1" applyAlignment="1">
      <alignment wrapText="1"/>
    </xf>
    <xf numFmtId="0" fontId="7" fillId="0" borderId="0" xfId="5" applyFont="1" applyAlignment="1">
      <alignment wrapText="1"/>
    </xf>
    <xf numFmtId="0" fontId="2" fillId="7" borderId="6" xfId="5" applyFill="1" applyBorder="1" applyAlignment="1"/>
    <xf numFmtId="44" fontId="0" fillId="7" borderId="5" xfId="6" applyFont="1" applyFill="1" applyBorder="1" applyAlignment="1"/>
    <xf numFmtId="44" fontId="0" fillId="0" borderId="4" xfId="6" applyFont="1" applyBorder="1" applyAlignment="1"/>
    <xf numFmtId="0" fontId="7" fillId="0" borderId="8" xfId="5" applyFont="1" applyBorder="1" applyAlignment="1"/>
    <xf numFmtId="0" fontId="11" fillId="0" borderId="0" xfId="8" applyFont="1" applyAlignment="1"/>
    <xf numFmtId="0" fontId="19" fillId="0" borderId="0" xfId="8" applyAlignment="1"/>
    <xf numFmtId="0" fontId="6" fillId="0" borderId="2" xfId="5" applyFont="1" applyBorder="1" applyAlignment="1"/>
    <xf numFmtId="0" fontId="0" fillId="5" borderId="0" xfId="0" applyFill="1"/>
    <xf numFmtId="0" fontId="6" fillId="5" borderId="0" xfId="0" applyFont="1" applyFill="1"/>
    <xf numFmtId="0" fontId="1" fillId="5" borderId="0" xfId="9" applyFill="1"/>
    <xf numFmtId="44" fontId="0" fillId="0" borderId="0" xfId="10" applyFont="1"/>
    <xf numFmtId="44" fontId="0" fillId="0" borderId="0" xfId="10" applyFont="1" applyAlignment="1">
      <alignment horizontal="right"/>
    </xf>
    <xf numFmtId="0" fontId="1" fillId="0" borderId="0" xfId="9" applyAlignment="1">
      <alignment horizontal="right"/>
    </xf>
    <xf numFmtId="0" fontId="1" fillId="0" borderId="0" xfId="9"/>
    <xf numFmtId="0" fontId="1" fillId="0" borderId="0" xfId="9" applyAlignment="1">
      <alignment horizontal="center"/>
    </xf>
    <xf numFmtId="0" fontId="6" fillId="5" borderId="0" xfId="9" applyFont="1" applyFill="1"/>
    <xf numFmtId="44" fontId="6" fillId="0" borderId="1" xfId="10" applyFont="1" applyBorder="1" applyAlignment="1">
      <alignment horizontal="right"/>
    </xf>
    <xf numFmtId="44" fontId="6" fillId="0" borderId="2" xfId="10" applyFont="1" applyBorder="1" applyAlignment="1">
      <alignment horizontal="right"/>
    </xf>
    <xf numFmtId="0" fontId="6" fillId="0" borderId="2" xfId="9" applyFont="1" applyBorder="1" applyAlignment="1">
      <alignment horizontal="right"/>
    </xf>
    <xf numFmtId="0" fontId="6" fillId="0" borderId="2" xfId="9" applyFont="1" applyBorder="1"/>
    <xf numFmtId="0" fontId="6" fillId="0" borderId="2" xfId="9" applyFont="1" applyBorder="1" applyAlignment="1">
      <alignment horizontal="center"/>
    </xf>
    <xf numFmtId="44" fontId="6" fillId="0" borderId="3" xfId="10" applyFont="1" applyBorder="1" applyAlignment="1">
      <alignment horizontal="right"/>
    </xf>
    <xf numFmtId="44" fontId="6" fillId="0" borderId="0" xfId="10" applyFont="1" applyAlignment="1">
      <alignment horizontal="right"/>
    </xf>
    <xf numFmtId="0" fontId="6" fillId="0" borderId="0" xfId="9" applyFont="1" applyAlignment="1">
      <alignment horizontal="right"/>
    </xf>
    <xf numFmtId="0" fontId="6" fillId="0" borderId="0" xfId="9" applyFont="1"/>
    <xf numFmtId="0" fontId="6" fillId="0" borderId="0" xfId="9" applyFont="1" applyAlignment="1">
      <alignment horizontal="center"/>
    </xf>
    <xf numFmtId="44" fontId="6" fillId="0" borderId="4" xfId="10" applyFont="1" applyBorder="1" applyAlignment="1">
      <alignment horizontal="right"/>
    </xf>
    <xf numFmtId="44" fontId="0" fillId="7" borderId="5" xfId="10" applyFont="1" applyFill="1" applyBorder="1"/>
    <xf numFmtId="44" fontId="0" fillId="7" borderId="6" xfId="10" applyFont="1" applyFill="1" applyBorder="1" applyAlignment="1">
      <alignment horizontal="right"/>
    </xf>
    <xf numFmtId="0" fontId="1" fillId="7" borderId="6" xfId="9" applyFill="1" applyBorder="1" applyAlignment="1">
      <alignment horizontal="right"/>
    </xf>
    <xf numFmtId="0" fontId="1" fillId="7" borderId="6" xfId="9" applyFill="1" applyBorder="1"/>
    <xf numFmtId="0" fontId="1" fillId="7" borderId="6" xfId="9" applyFill="1" applyBorder="1" applyAlignment="1">
      <alignment horizontal="center"/>
    </xf>
    <xf numFmtId="0" fontId="6" fillId="7" borderId="6" xfId="9" applyFont="1" applyFill="1" applyBorder="1"/>
    <xf numFmtId="44" fontId="0" fillId="0" borderId="3" xfId="10" applyFont="1" applyBorder="1"/>
    <xf numFmtId="0" fontId="7" fillId="5" borderId="0" xfId="9" applyFont="1" applyFill="1"/>
    <xf numFmtId="44" fontId="7" fillId="0" borderId="8" xfId="10" applyFont="1" applyBorder="1" applyAlignment="1">
      <alignment horizontal="right"/>
    </xf>
    <xf numFmtId="0" fontId="7" fillId="0" borderId="8" xfId="9" applyFont="1" applyBorder="1" applyAlignment="1">
      <alignment horizontal="right"/>
    </xf>
    <xf numFmtId="0" fontId="7" fillId="0" borderId="8" xfId="9" applyFont="1" applyBorder="1"/>
    <xf numFmtId="0" fontId="7" fillId="0" borderId="8" xfId="9" applyFont="1" applyBorder="1" applyAlignment="1">
      <alignment horizontal="center"/>
    </xf>
    <xf numFmtId="0" fontId="7" fillId="0" borderId="9" xfId="9" applyFont="1" applyBorder="1" applyAlignment="1">
      <alignment horizontal="center"/>
    </xf>
    <xf numFmtId="0" fontId="7" fillId="0" borderId="0" xfId="9" applyFont="1"/>
    <xf numFmtId="44" fontId="6" fillId="0" borderId="6" xfId="10" applyFont="1" applyBorder="1" applyAlignment="1">
      <alignment horizontal="right"/>
    </xf>
    <xf numFmtId="0" fontId="6" fillId="0" borderId="6" xfId="9" applyFont="1" applyBorder="1" applyAlignment="1">
      <alignment horizontal="right"/>
    </xf>
    <xf numFmtId="0" fontId="6" fillId="0" borderId="6" xfId="9" applyFont="1" applyBorder="1"/>
    <xf numFmtId="0" fontId="6" fillId="0" borderId="6" xfId="9" applyFont="1" applyBorder="1" applyAlignment="1">
      <alignment horizontal="center"/>
    </xf>
    <xf numFmtId="0" fontId="6" fillId="0" borderId="10" xfId="9" applyFont="1" applyBorder="1" applyAlignment="1">
      <alignment horizontal="center"/>
    </xf>
    <xf numFmtId="44" fontId="7" fillId="0" borderId="7" xfId="10" applyFont="1" applyBorder="1" applyAlignment="1">
      <alignment horizontal="right"/>
    </xf>
    <xf numFmtId="44" fontId="6" fillId="0" borderId="5" xfId="10" applyFont="1" applyBorder="1" applyAlignment="1">
      <alignment horizontal="right"/>
    </xf>
    <xf numFmtId="44" fontId="0" fillId="0" borderId="4" xfId="10" applyFont="1" applyBorder="1"/>
    <xf numFmtId="44" fontId="0" fillId="0" borderId="5" xfId="10" applyFont="1" applyBorder="1"/>
    <xf numFmtId="0" fontId="5" fillId="5" borderId="0" xfId="9" applyFont="1" applyFill="1" applyAlignment="1">
      <alignment horizontal="center"/>
    </xf>
    <xf numFmtId="44" fontId="9" fillId="9" borderId="6" xfId="10" applyFont="1" applyFill="1" applyBorder="1" applyAlignment="1">
      <alignment horizontal="center"/>
    </xf>
    <xf numFmtId="44" fontId="5" fillId="9" borderId="0" xfId="10" applyFont="1" applyFill="1" applyAlignment="1">
      <alignment horizontal="center"/>
    </xf>
    <xf numFmtId="0" fontId="5" fillId="9" borderId="0" xfId="9" applyFont="1" applyFill="1" applyAlignment="1">
      <alignment horizontal="center"/>
    </xf>
    <xf numFmtId="44" fontId="0" fillId="0" borderId="12" xfId="10" applyFont="1" applyBorder="1"/>
    <xf numFmtId="44" fontId="6" fillId="0" borderId="0" xfId="10" applyFont="1" applyBorder="1" applyAlignment="1">
      <alignment horizontal="right"/>
    </xf>
    <xf numFmtId="44" fontId="7" fillId="0" borderId="0" xfId="10" applyFont="1" applyBorder="1" applyAlignment="1">
      <alignment horizontal="right"/>
    </xf>
    <xf numFmtId="0" fontId="20" fillId="0" borderId="0" xfId="9" applyFont="1"/>
    <xf numFmtId="0" fontId="1" fillId="0" borderId="0" xfId="9" applyAlignment="1">
      <alignment horizontal="left"/>
    </xf>
    <xf numFmtId="0" fontId="14" fillId="0" borderId="0" xfId="9" applyFont="1"/>
    <xf numFmtId="0" fontId="14" fillId="0" borderId="0" xfId="9" applyFont="1" applyAlignment="1">
      <alignment horizontal="center"/>
    </xf>
    <xf numFmtId="49" fontId="21" fillId="10" borderId="16" xfId="9" applyNumberFormat="1" applyFont="1" applyFill="1" applyBorder="1"/>
    <xf numFmtId="0" fontId="6" fillId="0" borderId="0" xfId="9" applyFont="1" applyBorder="1" applyAlignment="1">
      <alignment horizontal="center"/>
    </xf>
    <xf numFmtId="0" fontId="6" fillId="0" borderId="0" xfId="9" applyFont="1" applyBorder="1"/>
    <xf numFmtId="0" fontId="6" fillId="0" borderId="0" xfId="9" applyFont="1" applyBorder="1" applyAlignment="1">
      <alignment horizontal="right"/>
    </xf>
    <xf numFmtId="0" fontId="6" fillId="0" borderId="0" xfId="9" applyFont="1" applyAlignment="1">
      <alignment horizontal="left"/>
    </xf>
    <xf numFmtId="44" fontId="0" fillId="0" borderId="0" xfId="10" applyFont="1" applyFill="1" applyAlignment="1">
      <alignment horizontal="right"/>
    </xf>
    <xf numFmtId="44" fontId="0" fillId="11" borderId="0" xfId="10" applyFont="1" applyFill="1" applyAlignment="1">
      <alignment horizontal="right"/>
    </xf>
    <xf numFmtId="0" fontId="1" fillId="11" borderId="0" xfId="9" applyFill="1" applyAlignment="1">
      <alignment horizontal="right"/>
    </xf>
    <xf numFmtId="0" fontId="1" fillId="11" borderId="0" xfId="9" applyFill="1" applyAlignment="1">
      <alignment horizontal="center"/>
    </xf>
    <xf numFmtId="44" fontId="0" fillId="5" borderId="0" xfId="10" applyFont="1" applyFill="1" applyAlignment="1">
      <alignment horizontal="right"/>
    </xf>
    <xf numFmtId="1" fontId="22" fillId="5" borderId="0" xfId="7" applyNumberFormat="1" applyFont="1" applyFill="1" applyAlignment="1">
      <alignment horizontal="center" vertical="center"/>
    </xf>
    <xf numFmtId="165" fontId="22" fillId="5" borderId="0" xfId="7" applyNumberFormat="1" applyFont="1" applyFill="1" applyAlignment="1">
      <alignment horizontal="center" vertical="center"/>
    </xf>
    <xf numFmtId="0" fontId="1" fillId="5" borderId="0" xfId="9" applyFill="1" applyAlignment="1">
      <alignment horizontal="center"/>
    </xf>
    <xf numFmtId="3" fontId="22" fillId="5" borderId="0" xfId="7" applyNumberFormat="1" applyFont="1" applyFill="1" applyAlignment="1">
      <alignment horizontal="center" vertical="center"/>
    </xf>
    <xf numFmtId="1" fontId="22" fillId="5" borderId="0" xfId="7" applyNumberFormat="1" applyFont="1" applyFill="1" applyAlignment="1">
      <alignment horizontal="right" vertical="center"/>
    </xf>
    <xf numFmtId="44" fontId="22" fillId="5" borderId="0" xfId="10" applyFont="1" applyFill="1" applyAlignment="1">
      <alignment horizontal="center" vertical="center"/>
    </xf>
    <xf numFmtId="1" fontId="22" fillId="12" borderId="0" xfId="7" applyNumberFormat="1" applyFont="1" applyFill="1" applyAlignment="1">
      <alignment horizontal="right"/>
    </xf>
    <xf numFmtId="44" fontId="22" fillId="12" borderId="0" xfId="10" applyFont="1" applyFill="1" applyAlignment="1">
      <alignment horizontal="center"/>
    </xf>
    <xf numFmtId="3" fontId="22" fillId="12" borderId="0" xfId="7" applyNumberFormat="1" applyFont="1" applyFill="1" applyAlignment="1">
      <alignment horizontal="center"/>
    </xf>
    <xf numFmtId="0" fontId="7" fillId="0" borderId="0" xfId="9" applyFont="1" applyAlignment="1">
      <alignment horizontal="right"/>
    </xf>
    <xf numFmtId="0" fontId="7" fillId="0" borderId="0" xfId="9" applyFont="1" applyAlignment="1">
      <alignment horizontal="center"/>
    </xf>
    <xf numFmtId="0" fontId="1" fillId="5" borderId="0" xfId="9" applyFill="1" applyAlignment="1">
      <alignment horizontal="right"/>
    </xf>
    <xf numFmtId="0" fontId="1" fillId="8" borderId="0" xfId="9" applyFill="1" applyAlignment="1">
      <alignment horizontal="center"/>
    </xf>
    <xf numFmtId="0" fontId="1" fillId="0" borderId="0" xfId="9" applyAlignment="1">
      <alignment horizontal="center" vertical="center"/>
    </xf>
    <xf numFmtId="0" fontId="1" fillId="0" borderId="0" xfId="9" applyAlignment="1">
      <alignment wrapText="1"/>
    </xf>
    <xf numFmtId="44" fontId="0" fillId="13" borderId="0" xfId="10" applyFont="1" applyFill="1" applyAlignment="1">
      <alignment horizontal="right"/>
    </xf>
    <xf numFmtId="0" fontId="1" fillId="13" borderId="0" xfId="9" applyFill="1" applyAlignment="1">
      <alignment horizontal="right"/>
    </xf>
    <xf numFmtId="0" fontId="1" fillId="13" borderId="0" xfId="9" applyFill="1" applyAlignment="1">
      <alignment horizontal="center"/>
    </xf>
    <xf numFmtId="44" fontId="0" fillId="5" borderId="0" xfId="10" applyFont="1" applyFill="1" applyBorder="1"/>
    <xf numFmtId="44" fontId="7" fillId="0" borderId="0" xfId="10" applyFont="1" applyAlignment="1">
      <alignment horizontal="right"/>
    </xf>
    <xf numFmtId="0" fontId="5" fillId="0" borderId="0" xfId="9" applyFont="1" applyAlignment="1">
      <alignment horizontal="center"/>
    </xf>
    <xf numFmtId="0" fontId="6" fillId="0" borderId="0" xfId="9" applyFont="1" applyAlignment="1">
      <alignment wrapText="1"/>
    </xf>
    <xf numFmtId="0" fontId="1" fillId="0" borderId="0" xfId="9" applyAlignment="1"/>
    <xf numFmtId="44" fontId="0" fillId="0" borderId="5" xfId="10" applyFont="1" applyBorder="1" applyAlignment="1"/>
    <xf numFmtId="0" fontId="6" fillId="7" borderId="6" xfId="9" applyFont="1" applyFill="1" applyBorder="1" applyAlignment="1"/>
    <xf numFmtId="0" fontId="1" fillId="7" borderId="6" xfId="9" applyFill="1" applyBorder="1" applyAlignment="1"/>
    <xf numFmtId="44" fontId="0" fillId="7" borderId="5" xfId="10" applyFont="1" applyFill="1" applyBorder="1" applyAlignment="1"/>
    <xf numFmtId="0" fontId="6" fillId="11" borderId="0" xfId="9" applyFont="1" applyFill="1" applyAlignment="1"/>
    <xf numFmtId="0" fontId="1" fillId="11" borderId="0" xfId="9" applyFill="1" applyAlignment="1"/>
    <xf numFmtId="44" fontId="0" fillId="11" borderId="4" xfId="10" applyFont="1" applyFill="1" applyBorder="1" applyAlignment="1"/>
    <xf numFmtId="44" fontId="0" fillId="0" borderId="3" xfId="10" applyFont="1" applyBorder="1" applyAlignment="1"/>
    <xf numFmtId="0" fontId="6" fillId="0" borderId="0" xfId="9" applyFont="1" applyAlignment="1"/>
    <xf numFmtId="0" fontId="6" fillId="0" borderId="6" xfId="9" applyFont="1" applyBorder="1" applyAlignment="1"/>
    <xf numFmtId="0" fontId="7" fillId="0" borderId="0" xfId="9" applyFont="1" applyAlignment="1"/>
    <xf numFmtId="0" fontId="7" fillId="0" borderId="8" xfId="9" applyFont="1" applyBorder="1" applyAlignment="1"/>
    <xf numFmtId="0" fontId="1" fillId="5" borderId="0" xfId="9" applyFill="1" applyAlignment="1">
      <alignment horizontal="left"/>
    </xf>
    <xf numFmtId="44" fontId="0" fillId="5" borderId="3" xfId="10" applyFont="1" applyFill="1" applyBorder="1" applyAlignment="1"/>
    <xf numFmtId="0" fontId="1" fillId="0" borderId="0" xfId="9" applyAlignment="1">
      <alignment horizontal="center"/>
    </xf>
    <xf numFmtId="0" fontId="1" fillId="8" borderId="0" xfId="9" applyFill="1" applyAlignment="1"/>
    <xf numFmtId="0" fontId="6" fillId="5" borderId="0" xfId="9" applyFont="1" applyFill="1" applyAlignment="1"/>
    <xf numFmtId="0" fontId="7" fillId="5" borderId="0" xfId="9" applyFont="1" applyFill="1" applyAlignment="1"/>
    <xf numFmtId="0" fontId="1" fillId="5" borderId="0" xfId="9" applyFill="1" applyAlignment="1"/>
    <xf numFmtId="44" fontId="1" fillId="0" borderId="0" xfId="9" applyNumberFormat="1" applyAlignment="1"/>
    <xf numFmtId="0" fontId="1" fillId="13" borderId="0" xfId="9" applyFill="1" applyAlignment="1"/>
    <xf numFmtId="44" fontId="0" fillId="13" borderId="3" xfId="10" applyFont="1" applyFill="1" applyBorder="1" applyAlignment="1"/>
    <xf numFmtId="0" fontId="19" fillId="8" borderId="0" xfId="8" applyFill="1" applyAlignment="1"/>
    <xf numFmtId="165" fontId="22" fillId="12" borderId="0" xfId="7" applyNumberFormat="1" applyFont="1" applyFill="1" applyAlignment="1">
      <alignment horizontal="center"/>
    </xf>
    <xf numFmtId="44" fontId="0" fillId="11" borderId="3" xfId="10" applyFont="1" applyFill="1" applyBorder="1" applyAlignment="1"/>
    <xf numFmtId="44" fontId="0" fillId="0" borderId="4" xfId="10" applyFont="1" applyBorder="1" applyAlignment="1"/>
    <xf numFmtId="44" fontId="0" fillId="0" borderId="3" xfId="10" applyFont="1" applyBorder="1" applyAlignment="1">
      <alignment horizontal="right"/>
    </xf>
    <xf numFmtId="44" fontId="7" fillId="0" borderId="3" xfId="10" applyFont="1" applyBorder="1" applyAlignment="1">
      <alignment horizontal="right"/>
    </xf>
    <xf numFmtId="44" fontId="0" fillId="0" borderId="1" xfId="10" applyFont="1" applyBorder="1" applyAlignment="1"/>
    <xf numFmtId="44" fontId="9" fillId="9" borderId="5" xfId="10" applyFont="1" applyFill="1" applyBorder="1" applyAlignment="1">
      <alignment horizontal="center"/>
    </xf>
    <xf numFmtId="44" fontId="0" fillId="11" borderId="3" xfId="10" applyFont="1" applyFill="1" applyBorder="1" applyAlignment="1">
      <alignment horizontal="right"/>
    </xf>
    <xf numFmtId="44" fontId="0" fillId="0" borderId="3" xfId="10" applyFont="1" applyFill="1" applyBorder="1" applyAlignment="1">
      <alignment horizontal="right"/>
    </xf>
    <xf numFmtId="44" fontId="0" fillId="5" borderId="3" xfId="10" applyFont="1" applyFill="1" applyBorder="1" applyAlignment="1">
      <alignment horizontal="right"/>
    </xf>
    <xf numFmtId="44" fontId="0" fillId="7" borderId="5" xfId="10" applyFont="1" applyFill="1" applyBorder="1" applyAlignment="1">
      <alignment horizontal="right"/>
    </xf>
    <xf numFmtId="0" fontId="1" fillId="0" borderId="6" xfId="9" applyBorder="1" applyAlignment="1">
      <alignment horizontal="center"/>
    </xf>
    <xf numFmtId="0" fontId="1" fillId="0" borderId="6" xfId="9" applyBorder="1"/>
    <xf numFmtId="0" fontId="6" fillId="5" borderId="0" xfId="9" applyFont="1" applyFill="1" applyAlignment="1">
      <alignment horizontal="center"/>
    </xf>
    <xf numFmtId="0" fontId="11" fillId="5" borderId="0" xfId="9" applyFont="1" applyFill="1" applyAlignment="1">
      <alignment horizontal="center"/>
    </xf>
    <xf numFmtId="0" fontId="11" fillId="5" borderId="0" xfId="9" applyFont="1" applyFill="1"/>
    <xf numFmtId="44" fontId="6" fillId="5" borderId="0" xfId="1" applyFont="1" applyFill="1"/>
    <xf numFmtId="44" fontId="7" fillId="5" borderId="0" xfId="1" applyFont="1" applyFill="1"/>
    <xf numFmtId="0" fontId="1" fillId="0" borderId="0" xfId="9" applyBorder="1" applyAlignment="1">
      <alignment horizontal="center"/>
    </xf>
    <xf numFmtId="0" fontId="1" fillId="0" borderId="0" xfId="9" applyBorder="1"/>
    <xf numFmtId="44" fontId="9" fillId="9" borderId="5" xfId="1" applyFont="1" applyFill="1" applyBorder="1" applyAlignment="1">
      <alignment horizontal="center"/>
    </xf>
    <xf numFmtId="44" fontId="6" fillId="5" borderId="3" xfId="1" applyFont="1" applyFill="1" applyBorder="1"/>
    <xf numFmtId="44" fontId="7" fillId="5" borderId="3" xfId="1" applyFont="1" applyFill="1" applyBorder="1"/>
    <xf numFmtId="165" fontId="22" fillId="10" borderId="0" xfId="7" applyNumberFormat="1" applyFont="1" applyFill="1" applyAlignment="1">
      <alignment horizontal="center"/>
    </xf>
    <xf numFmtId="1" fontId="22" fillId="10" borderId="0" xfId="7" applyNumberFormat="1" applyFont="1" applyFill="1" applyAlignment="1">
      <alignment horizontal="center"/>
    </xf>
    <xf numFmtId="165" fontId="22" fillId="15" borderId="0" xfId="7" applyNumberFormat="1" applyFont="1" applyFill="1" applyAlignment="1">
      <alignment horizontal="center"/>
    </xf>
    <xf numFmtId="1" fontId="22" fillId="15" borderId="0" xfId="7" applyNumberFormat="1" applyFont="1" applyFill="1" applyAlignment="1">
      <alignment horizontal="center"/>
    </xf>
    <xf numFmtId="165" fontId="22" fillId="14" borderId="0" xfId="7" applyNumberFormat="1" applyFont="1" applyFill="1" applyAlignment="1">
      <alignment horizontal="center"/>
    </xf>
    <xf numFmtId="1" fontId="22" fillId="14" borderId="0" xfId="7" applyNumberFormat="1" applyFont="1" applyFill="1" applyAlignment="1">
      <alignment horizontal="center"/>
    </xf>
    <xf numFmtId="165" fontId="22" fillId="16" borderId="0" xfId="7" applyNumberFormat="1" applyFont="1" applyFill="1" applyAlignment="1">
      <alignment horizontal="center"/>
    </xf>
    <xf numFmtId="1" fontId="22" fillId="16" borderId="0" xfId="7" applyNumberFormat="1" applyFont="1" applyFill="1" applyAlignment="1">
      <alignment horizontal="center"/>
    </xf>
    <xf numFmtId="165" fontId="22" fillId="17" borderId="0" xfId="7" applyNumberFormat="1" applyFont="1" applyFill="1" applyAlignment="1">
      <alignment horizontal="center"/>
    </xf>
    <xf numFmtId="1" fontId="22" fillId="17" borderId="0" xfId="7" applyNumberFormat="1" applyFont="1" applyFill="1" applyAlignment="1">
      <alignment horizontal="center"/>
    </xf>
    <xf numFmtId="0" fontId="1" fillId="0" borderId="0" xfId="9" applyAlignment="1">
      <alignment horizontal="left" vertical="center"/>
    </xf>
    <xf numFmtId="44" fontId="22" fillId="16" borderId="0" xfId="1" applyFont="1" applyFill="1" applyAlignment="1">
      <alignment horizontal="center"/>
    </xf>
    <xf numFmtId="44" fontId="22" fillId="16" borderId="3" xfId="1" applyFont="1" applyFill="1" applyBorder="1" applyAlignment="1">
      <alignment horizontal="center"/>
    </xf>
    <xf numFmtId="44" fontId="22" fillId="17" borderId="0" xfId="1" applyFont="1" applyFill="1" applyAlignment="1">
      <alignment horizontal="center"/>
    </xf>
    <xf numFmtId="44" fontId="22" fillId="17" borderId="3" xfId="1" applyFont="1" applyFill="1" applyBorder="1" applyAlignment="1">
      <alignment horizontal="center"/>
    </xf>
    <xf numFmtId="44" fontId="22" fillId="14" borderId="0" xfId="1" applyFont="1" applyFill="1" applyAlignment="1">
      <alignment horizontal="center"/>
    </xf>
    <xf numFmtId="44" fontId="22" fillId="14" borderId="3" xfId="1" applyFont="1" applyFill="1" applyBorder="1" applyAlignment="1">
      <alignment horizontal="center"/>
    </xf>
    <xf numFmtId="8" fontId="7" fillId="0" borderId="7" xfId="10" applyNumberFormat="1" applyFont="1" applyBorder="1" applyAlignment="1">
      <alignment horizontal="right"/>
    </xf>
    <xf numFmtId="8" fontId="0" fillId="0" borderId="0" xfId="10" applyNumberFormat="1" applyFont="1" applyAlignment="1">
      <alignment horizontal="right"/>
    </xf>
    <xf numFmtId="8" fontId="6" fillId="0" borderId="6" xfId="10" applyNumberFormat="1" applyFont="1" applyBorder="1" applyAlignment="1">
      <alignment horizontal="right"/>
    </xf>
    <xf numFmtId="44" fontId="0" fillId="8" borderId="0" xfId="10" applyFont="1" applyFill="1" applyAlignment="1">
      <alignment horizontal="right"/>
    </xf>
    <xf numFmtId="8" fontId="0" fillId="8" borderId="0" xfId="10" applyNumberFormat="1" applyFont="1" applyFill="1" applyAlignment="1">
      <alignment horizontal="right"/>
    </xf>
    <xf numFmtId="0" fontId="1" fillId="8" borderId="0" xfId="9" applyFill="1" applyAlignment="1">
      <alignment horizontal="right"/>
    </xf>
    <xf numFmtId="8" fontId="6" fillId="0" borderId="5" xfId="10" applyNumberFormat="1" applyFont="1" applyBorder="1" applyAlignment="1">
      <alignment horizontal="right"/>
    </xf>
    <xf numFmtId="8" fontId="7" fillId="0" borderId="8" xfId="10" applyNumberFormat="1" applyFont="1" applyBorder="1" applyAlignment="1">
      <alignment horizontal="right"/>
    </xf>
    <xf numFmtId="49" fontId="1" fillId="0" borderId="0" xfId="9" applyNumberFormat="1" applyAlignment="1">
      <alignment horizontal="center"/>
    </xf>
    <xf numFmtId="49" fontId="6" fillId="0" borderId="2" xfId="9" applyNumberFormat="1" applyFont="1" applyBorder="1" applyAlignment="1">
      <alignment horizontal="center"/>
    </xf>
    <xf numFmtId="49" fontId="6" fillId="0" borderId="0" xfId="9" applyNumberFormat="1" applyFont="1" applyAlignment="1">
      <alignment horizontal="center"/>
    </xf>
    <xf numFmtId="49" fontId="1" fillId="7" borderId="6" xfId="9" applyNumberFormat="1" applyFill="1" applyBorder="1" applyAlignment="1">
      <alignment horizontal="center"/>
    </xf>
    <xf numFmtId="49" fontId="7" fillId="0" borderId="9" xfId="9" applyNumberFormat="1" applyFont="1" applyBorder="1" applyAlignment="1">
      <alignment horizontal="center"/>
    </xf>
    <xf numFmtId="49" fontId="6" fillId="0" borderId="10" xfId="9" applyNumberFormat="1" applyFont="1" applyBorder="1" applyAlignment="1">
      <alignment horizontal="center"/>
    </xf>
    <xf numFmtId="49" fontId="5" fillId="9" borderId="0" xfId="9" applyNumberFormat="1" applyFont="1" applyFill="1" applyAlignment="1">
      <alignment horizontal="center"/>
    </xf>
    <xf numFmtId="0" fontId="14" fillId="0" borderId="0" xfId="9" applyFont="1" applyAlignment="1">
      <alignment wrapText="1"/>
    </xf>
    <xf numFmtId="44" fontId="0" fillId="18" borderId="0" xfId="10" applyFont="1" applyFill="1" applyAlignment="1">
      <alignment horizontal="right"/>
    </xf>
    <xf numFmtId="0" fontId="24" fillId="0" borderId="0" xfId="9" applyFont="1" applyAlignment="1">
      <alignment wrapText="1"/>
    </xf>
    <xf numFmtId="44" fontId="0" fillId="0" borderId="4" xfId="10" applyFont="1" applyBorder="1" applyAlignment="1">
      <alignment horizontal="right"/>
    </xf>
    <xf numFmtId="44" fontId="0" fillId="0" borderId="17" xfId="10" applyFont="1" applyBorder="1"/>
    <xf numFmtId="44" fontId="0" fillId="5" borderId="0" xfId="10" applyFont="1" applyFill="1" applyBorder="1" applyAlignment="1">
      <alignment horizontal="right"/>
    </xf>
    <xf numFmtId="44" fontId="6" fillId="5" borderId="0" xfId="10" applyFont="1" applyFill="1" applyBorder="1" applyAlignment="1">
      <alignment horizontal="right"/>
    </xf>
    <xf numFmtId="0" fontId="6" fillId="5" borderId="0" xfId="9" applyFont="1" applyFill="1" applyAlignment="1">
      <alignment horizontal="right"/>
    </xf>
    <xf numFmtId="0" fontId="7" fillId="5" borderId="0" xfId="9" applyFont="1" applyFill="1" applyAlignment="1">
      <alignment horizontal="center"/>
    </xf>
    <xf numFmtId="44" fontId="7" fillId="5" borderId="0" xfId="10" applyFont="1" applyFill="1" applyBorder="1" applyAlignment="1">
      <alignment horizontal="right"/>
    </xf>
    <xf numFmtId="0" fontId="7" fillId="5" borderId="0" xfId="9" applyFont="1" applyFill="1" applyAlignment="1">
      <alignment horizontal="right"/>
    </xf>
    <xf numFmtId="0" fontId="1" fillId="5" borderId="0" xfId="9" applyFill="1" applyAlignment="1">
      <alignment wrapText="1"/>
    </xf>
    <xf numFmtId="0" fontId="7" fillId="0" borderId="0" xfId="9" applyFont="1" applyAlignment="1">
      <alignment wrapText="1"/>
    </xf>
    <xf numFmtId="0" fontId="6" fillId="7" borderId="6" xfId="9" applyFont="1" applyFill="1" applyBorder="1" applyAlignment="1">
      <alignment wrapText="1"/>
    </xf>
    <xf numFmtId="0" fontId="6" fillId="5" borderId="0" xfId="9" applyFont="1" applyFill="1" applyAlignment="1">
      <alignment wrapText="1"/>
    </xf>
    <xf numFmtId="0" fontId="7" fillId="5" borderId="0" xfId="9" applyFont="1" applyFill="1" applyAlignment="1">
      <alignment wrapText="1"/>
    </xf>
    <xf numFmtId="44" fontId="0" fillId="8" borderId="3" xfId="10" applyFont="1" applyFill="1" applyBorder="1" applyAlignment="1"/>
    <xf numFmtId="0" fontId="5" fillId="9" borderId="0" xfId="9" applyFont="1" applyFill="1" applyAlignment="1">
      <alignment horizontal="center" wrapText="1"/>
    </xf>
    <xf numFmtId="0" fontId="6" fillId="0" borderId="2" xfId="9" applyFont="1" applyBorder="1" applyAlignment="1">
      <alignment wrapText="1"/>
    </xf>
    <xf numFmtId="44" fontId="0" fillId="0" borderId="0" xfId="10" applyFont="1" applyBorder="1" applyAlignment="1">
      <alignment horizontal="right"/>
    </xf>
    <xf numFmtId="44" fontId="0" fillId="8" borderId="0" xfId="10" applyFont="1" applyFill="1" applyBorder="1" applyAlignment="1">
      <alignment horizontal="right"/>
    </xf>
    <xf numFmtId="0" fontId="8" fillId="0" borderId="0" xfId="9" applyFont="1" applyAlignment="1">
      <alignment horizontal="left"/>
    </xf>
    <xf numFmtId="8" fontId="0" fillId="0" borderId="3" xfId="10" applyNumberFormat="1" applyFont="1" applyBorder="1" applyAlignment="1"/>
    <xf numFmtId="0" fontId="8" fillId="8" borderId="0" xfId="9" applyFont="1" applyFill="1" applyAlignment="1"/>
    <xf numFmtId="0" fontId="8" fillId="0" borderId="0" xfId="9" applyFont="1" applyAlignment="1"/>
    <xf numFmtId="0" fontId="8" fillId="0" borderId="0" xfId="9" applyFont="1" applyAlignment="1">
      <alignment vertical="center"/>
    </xf>
    <xf numFmtId="44" fontId="0" fillId="5" borderId="3" xfId="6" applyFont="1" applyFill="1" applyBorder="1"/>
    <xf numFmtId="0" fontId="10" fillId="0" borderId="0" xfId="5" applyFont="1" applyAlignment="1">
      <alignment horizontal="center" vertical="center" wrapText="1"/>
    </xf>
    <xf numFmtId="0" fontId="10" fillId="0" borderId="0" xfId="9" applyFont="1" applyAlignment="1">
      <alignment horizontal="center" vertical="center" wrapText="1"/>
    </xf>
    <xf numFmtId="0" fontId="6" fillId="0" borderId="10" xfId="9" applyFont="1" applyBorder="1" applyAlignment="1">
      <alignment horizontal="left"/>
    </xf>
    <xf numFmtId="0" fontId="6" fillId="0" borderId="6" xfId="9" applyFont="1" applyBorder="1" applyAlignment="1">
      <alignment horizontal="left"/>
    </xf>
    <xf numFmtId="0" fontId="1" fillId="0" borderId="0" xfId="9" applyAlignment="1">
      <alignment horizontal="center"/>
    </xf>
    <xf numFmtId="0" fontId="1" fillId="0" borderId="2" xfId="9" applyBorder="1" applyAlignment="1">
      <alignment horizontal="center"/>
    </xf>
  </cellXfs>
  <cellStyles count="11">
    <cellStyle name="20% - Accent3" xfId="3" builtinId="38"/>
    <cellStyle name="40% - Accent3" xfId="4" builtinId="39"/>
    <cellStyle name="Bad" xfId="2" builtinId="27"/>
    <cellStyle name="Currency" xfId="1" builtinId="4"/>
    <cellStyle name="Currency 2" xfId="6" xr:uid="{623B1774-EEEA-428B-8366-3E5924692B80}"/>
    <cellStyle name="Currency 3" xfId="10" xr:uid="{702AC83E-6211-49D1-992F-CCD518E11BD5}"/>
    <cellStyle name="Hyperlink" xfId="8" builtinId="8"/>
    <cellStyle name="Normal" xfId="0" builtinId="0"/>
    <cellStyle name="Normal 2" xfId="5" xr:uid="{9869939F-A6D2-4CE4-B13B-415884B50B4A}"/>
    <cellStyle name="Normal 2 2" xfId="7" xr:uid="{6319F936-EF06-4BD3-9AC0-FDF0F037EFF9}"/>
    <cellStyle name="Normal 3" xfId="9" xr:uid="{6E7C4279-3F6D-4918-BD34-D9937C3B324A}"/>
  </cellStyles>
  <dxfs count="258">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numFmt numFmtId="2" formatCode="0.00"/>
      <fill>
        <patternFill patternType="solid">
          <fgColor indexed="64"/>
          <bgColor theme="0"/>
        </patternFill>
      </fill>
    </dxf>
    <dxf>
      <fill>
        <patternFill patternType="solid">
          <fgColor indexed="64"/>
          <bgColor theme="0"/>
        </patternFill>
      </fill>
      <alignment horizontal="center" vertical="bottom" textRotation="0" wrapText="0" indent="0" justifyLastLine="0" shrinkToFit="0" readingOrder="0"/>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microsoft.com/office/2017/10/relationships/person" Target="persons/perso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28"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 Id="rId27"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Director</a:t>
            </a:r>
            <a:r>
              <a:rPr lang="en-US" baseline="0"/>
              <a:t> Expense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'EngServe Recovery Increase'!$C$18:$C$35</c:f>
              <c:strCache>
                <c:ptCount val="17"/>
                <c:pt idx="0">
                  <c:v>President</c:v>
                </c:pt>
                <c:pt idx="1">
                  <c:v>Vice President (Operations)</c:v>
                </c:pt>
                <c:pt idx="2">
                  <c:v>Vice Presidnet (Studnet Affairs)</c:v>
                </c:pt>
                <c:pt idx="3">
                  <c:v>Academics</c:v>
                </c:pt>
                <c:pt idx="4">
                  <c:v>Communications</c:v>
                </c:pt>
                <c:pt idx="5">
                  <c:v>Conferences</c:v>
                </c:pt>
                <c:pt idx="6">
                  <c:v>Design</c:v>
                </c:pt>
                <c:pt idx="7">
                  <c:v>Events</c:v>
                </c:pt>
                <c:pt idx="8">
                  <c:v>External Relations</c:v>
                </c:pt>
                <c:pt idx="9">
                  <c:v>Finance</c:v>
                </c:pt>
                <c:pt idx="10">
                  <c:v>First Year</c:v>
                </c:pt>
                <c:pt idx="11">
                  <c:v>Human Resources</c:v>
                </c:pt>
                <c:pt idx="12">
                  <c:v>Internal Affiars</c:v>
                </c:pt>
                <c:pt idx="13">
                  <c:v>Information Technology</c:v>
                </c:pt>
                <c:pt idx="14">
                  <c:v>Professional Development</c:v>
                </c:pt>
                <c:pt idx="15">
                  <c:v>Services</c:v>
                </c:pt>
                <c:pt idx="16">
                  <c:v>Social Issues</c:v>
                </c:pt>
              </c:strCache>
            </c:strRef>
          </c:cat>
          <c:val>
            <c:numRef>
              <c:f>'EngServe Recovery Increase'!$I$18:$I$35</c:f>
              <c:numCache>
                <c:formatCode>_("$"* #,##0.00_);_("$"* \(#,##0.00\);_("$"* "-"??_);_(@_)</c:formatCode>
                <c:ptCount val="17"/>
                <c:pt idx="0">
                  <c:v>28712.891</c:v>
                </c:pt>
                <c:pt idx="1">
                  <c:v>2553.7999999999997</c:v>
                </c:pt>
                <c:pt idx="2">
                  <c:v>3116.0201999999999</c:v>
                </c:pt>
                <c:pt idx="3">
                  <c:v>3888.3300000000004</c:v>
                </c:pt>
                <c:pt idx="4">
                  <c:v>6164.3449999999993</c:v>
                </c:pt>
                <c:pt idx="5">
                  <c:v>0</c:v>
                </c:pt>
                <c:pt idx="6">
                  <c:v>8581.5024999999987</c:v>
                </c:pt>
                <c:pt idx="7">
                  <c:v>9486.3274000000001</c:v>
                </c:pt>
                <c:pt idx="8">
                  <c:v>9250.6659</c:v>
                </c:pt>
                <c:pt idx="9">
                  <c:v>7103.9773999999998</c:v>
                </c:pt>
                <c:pt idx="10">
                  <c:v>11091.895064999997</c:v>
                </c:pt>
                <c:pt idx="11">
                  <c:v>0</c:v>
                </c:pt>
                <c:pt idx="12">
                  <c:v>19518.43</c:v>
                </c:pt>
                <c:pt idx="13">
                  <c:v>17306.718400000002</c:v>
                </c:pt>
                <c:pt idx="14">
                  <c:v>4437.9054999999989</c:v>
                </c:pt>
                <c:pt idx="15">
                  <c:v>0</c:v>
                </c:pt>
                <c:pt idx="16">
                  <c:v>5441.5149999999985</c:v>
                </c:pt>
              </c:numCache>
            </c:numRef>
          </c:val>
          <c:extLst>
            <c:ext xmlns:c16="http://schemas.microsoft.com/office/drawing/2014/chart" uri="{C3380CC4-5D6E-409C-BE32-E72D297353CC}">
              <c16:uniqueId val="{00000000-D35C-458E-803A-A429D6F72A58}"/>
            </c:ext>
          </c:extLst>
        </c:ser>
        <c:ser>
          <c:idx val="1"/>
          <c:order val="1"/>
          <c:tx>
            <c:v>Actuals</c:v>
          </c:tx>
          <c:spPr>
            <a:solidFill>
              <a:schemeClr val="accent2"/>
            </a:solidFill>
            <a:ln>
              <a:noFill/>
            </a:ln>
            <a:effectLst/>
          </c:spPr>
          <c:invertIfNegative val="0"/>
          <c:val>
            <c:numRef>
              <c:f>'EngServe Recovery Increase'!$R$18:$R$35</c:f>
              <c:numCache>
                <c:formatCode>_("$"* #,##0.00_);_("$"* \(#,##0.00\);_("$"* "-"??_);_(@_)</c:formatCode>
                <c:ptCount val="17"/>
                <c:pt idx="0">
                  <c:v>11793.86</c:v>
                </c:pt>
                <c:pt idx="1">
                  <c:v>0</c:v>
                </c:pt>
                <c:pt idx="2">
                  <c:v>0</c:v>
                </c:pt>
                <c:pt idx="3">
                  <c:v>2332.79</c:v>
                </c:pt>
                <c:pt idx="4">
                  <c:v>812.28</c:v>
                </c:pt>
                <c:pt idx="5">
                  <c:v>0</c:v>
                </c:pt>
                <c:pt idx="6">
                  <c:v>232.3</c:v>
                </c:pt>
                <c:pt idx="7">
                  <c:v>4017.6899999999996</c:v>
                </c:pt>
                <c:pt idx="8">
                  <c:v>1861.69</c:v>
                </c:pt>
                <c:pt idx="9">
                  <c:v>1339.66</c:v>
                </c:pt>
                <c:pt idx="10">
                  <c:v>4510.1800000000012</c:v>
                </c:pt>
                <c:pt idx="11">
                  <c:v>0</c:v>
                </c:pt>
                <c:pt idx="12">
                  <c:v>3141.38</c:v>
                </c:pt>
                <c:pt idx="13">
                  <c:v>4008.7</c:v>
                </c:pt>
                <c:pt idx="14">
                  <c:v>1290.8399999999999</c:v>
                </c:pt>
                <c:pt idx="15">
                  <c:v>39.49</c:v>
                </c:pt>
                <c:pt idx="16">
                  <c:v>291.25</c:v>
                </c:pt>
              </c:numCache>
            </c:numRef>
          </c:val>
          <c:extLst>
            <c:ext xmlns:c16="http://schemas.microsoft.com/office/drawing/2014/chart" uri="{C3380CC4-5D6E-409C-BE32-E72D297353CC}">
              <c16:uniqueId val="{00000001-D35C-458E-803A-A429D6F72A58}"/>
            </c:ext>
          </c:extLst>
        </c:ser>
        <c:dLbls>
          <c:showLegendKey val="0"/>
          <c:showVal val="0"/>
          <c:showCatName val="0"/>
          <c:showSerName val="0"/>
          <c:showPercent val="0"/>
          <c:showBubbleSize val="0"/>
        </c:dLbls>
        <c:gapWidth val="219"/>
        <c:overlap val="-27"/>
        <c:axId val="287927408"/>
        <c:axId val="2109968736"/>
      </c:barChart>
      <c:catAx>
        <c:axId val="2879274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09968736"/>
        <c:crosses val="autoZero"/>
        <c:auto val="1"/>
        <c:lblAlgn val="ctr"/>
        <c:lblOffset val="100"/>
        <c:noMultiLvlLbl val="0"/>
      </c:catAx>
      <c:valAx>
        <c:axId val="2109968736"/>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00_);_(&quot;$&quot;* \(#,##0.0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8792740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aseline="0"/>
              <a:t>Bigger Expeneses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0384098862642172"/>
          <c:y val="0.13930555555555557"/>
          <c:w val="0.85219685039370074"/>
          <c:h val="0.72088764946048411"/>
        </c:manualLayout>
      </c:layout>
      <c:barChart>
        <c:barDir val="col"/>
        <c:grouping val="clustered"/>
        <c:varyColors val="0"/>
        <c:ser>
          <c:idx val="0"/>
          <c:order val="0"/>
          <c:spPr>
            <a:solidFill>
              <a:schemeClr val="accent1"/>
            </a:solidFill>
            <a:ln>
              <a:noFill/>
            </a:ln>
            <a:effectLst/>
          </c:spPr>
          <c:invertIfNegative val="0"/>
          <c:cat>
            <c:strRef>
              <c:f>'EngServe Recovery Increase'!$O$37:$O$40</c:f>
              <c:strCache>
                <c:ptCount val="4"/>
                <c:pt idx="0">
                  <c:v>ED Team</c:v>
                </c:pt>
                <c:pt idx="1">
                  <c:v>Admin</c:v>
                </c:pt>
                <c:pt idx="2">
                  <c:v>Operating Expense</c:v>
                </c:pt>
                <c:pt idx="3">
                  <c:v>Exec Salary Things</c:v>
                </c:pt>
              </c:strCache>
            </c:strRef>
          </c:cat>
          <c:val>
            <c:numRef>
              <c:f>'EngServe Recovery Increase'!$Q$37:$Q$40</c:f>
              <c:numCache>
                <c:formatCode>General</c:formatCode>
                <c:ptCount val="4"/>
                <c:pt idx="0">
                  <c:v>179592.74</c:v>
                </c:pt>
                <c:pt idx="1">
                  <c:v>134517.39000000001</c:v>
                </c:pt>
                <c:pt idx="2">
                  <c:v>11608.2</c:v>
                </c:pt>
                <c:pt idx="3">
                  <c:v>63070.58</c:v>
                </c:pt>
              </c:numCache>
            </c:numRef>
          </c:val>
          <c:extLst>
            <c:ext xmlns:c16="http://schemas.microsoft.com/office/drawing/2014/chart" uri="{C3380CC4-5D6E-409C-BE32-E72D297353CC}">
              <c16:uniqueId val="{00000000-6C86-42A8-8C02-9C92137C42D2}"/>
            </c:ext>
          </c:extLst>
        </c:ser>
        <c:dLbls>
          <c:showLegendKey val="0"/>
          <c:showVal val="0"/>
          <c:showCatName val="0"/>
          <c:showSerName val="0"/>
          <c:showPercent val="0"/>
          <c:showBubbleSize val="0"/>
        </c:dLbls>
        <c:gapWidth val="219"/>
        <c:overlap val="-27"/>
        <c:axId val="298157056"/>
        <c:axId val="1887482336"/>
      </c:barChart>
      <c:catAx>
        <c:axId val="2981570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87482336"/>
        <c:crosses val="autoZero"/>
        <c:auto val="1"/>
        <c:lblAlgn val="ctr"/>
        <c:lblOffset val="100"/>
        <c:noMultiLvlLbl val="0"/>
      </c:catAx>
      <c:valAx>
        <c:axId val="188748233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9815705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2.xml.rels><?xml version="1.0" encoding="UTF-8" standalone="yes"?>
<Relationships xmlns="http://schemas.openxmlformats.org/package/2006/relationships"><Relationship Id="rId1" Type="http://schemas.openxmlformats.org/officeDocument/2006/relationships/image" Target="../media/image1.jpg"/></Relationships>
</file>

<file path=xl/drawings/_rels/drawing1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g"/><Relationship Id="rId5" Type="http://schemas.openxmlformats.org/officeDocument/2006/relationships/image" Target="../media/image5.png"/><Relationship Id="rId4" Type="http://schemas.openxmlformats.org/officeDocument/2006/relationships/image" Target="../media/image4.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jpg"/></Relationships>
</file>

<file path=xl/drawings/_rels/drawing15.xml.rels><?xml version="1.0" encoding="UTF-8" standalone="yes"?>
<Relationships xmlns="http://schemas.openxmlformats.org/package/2006/relationships"><Relationship Id="rId1" Type="http://schemas.openxmlformats.org/officeDocument/2006/relationships/image" Target="../media/image1.jpg"/></Relationships>
</file>

<file path=xl/drawings/_rels/drawing16.xml.rels><?xml version="1.0" encoding="UTF-8" standalone="yes"?>
<Relationships xmlns="http://schemas.openxmlformats.org/package/2006/relationships"><Relationship Id="rId1" Type="http://schemas.openxmlformats.org/officeDocument/2006/relationships/image" Target="../media/image1.jpg"/></Relationships>
</file>

<file path=xl/drawings/_rels/drawing17.xml.rels><?xml version="1.0" encoding="UTF-8" standalone="yes"?>
<Relationships xmlns="http://schemas.openxmlformats.org/package/2006/relationships"><Relationship Id="rId1" Type="http://schemas.openxmlformats.org/officeDocument/2006/relationships/image" Target="../media/image1.jpg"/></Relationships>
</file>

<file path=xl/drawings/_rels/drawing18.xml.rels><?xml version="1.0" encoding="UTF-8" standalone="yes"?>
<Relationships xmlns="http://schemas.openxmlformats.org/package/2006/relationships"><Relationship Id="rId1" Type="http://schemas.openxmlformats.org/officeDocument/2006/relationships/image" Target="../media/image1.jpg"/></Relationships>
</file>

<file path=xl/drawings/_rels/drawing19.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chart" Target="../charts/chart1.xml"/><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1" Type="http://schemas.openxmlformats.org/officeDocument/2006/relationships/image" Target="../media/image1.jpg"/></Relationships>
</file>

<file path=xl/drawings/_rels/drawing5.xml.rels><?xml version="1.0" encoding="UTF-8" standalone="yes"?>
<Relationships xmlns="http://schemas.openxmlformats.org/package/2006/relationships"><Relationship Id="rId1" Type="http://schemas.openxmlformats.org/officeDocument/2006/relationships/image" Target="../media/image1.jpg"/></Relationships>
</file>

<file path=xl/drawings/_rels/drawing6.xml.rels><?xml version="1.0" encoding="UTF-8" standalone="yes"?>
<Relationships xmlns="http://schemas.openxmlformats.org/package/2006/relationships"><Relationship Id="rId1" Type="http://schemas.openxmlformats.org/officeDocument/2006/relationships/image" Target="../media/image1.jpg"/></Relationships>
</file>

<file path=xl/drawings/_rels/drawing7.xml.rels><?xml version="1.0" encoding="UTF-8" standalone="yes"?>
<Relationships xmlns="http://schemas.openxmlformats.org/package/2006/relationships"><Relationship Id="rId1" Type="http://schemas.openxmlformats.org/officeDocument/2006/relationships/image" Target="../media/image1.jpg"/></Relationships>
</file>

<file path=xl/drawings/_rels/drawing8.xml.rels><?xml version="1.0" encoding="UTF-8" standalone="yes"?>
<Relationships xmlns="http://schemas.openxmlformats.org/package/2006/relationships"><Relationship Id="rId1" Type="http://schemas.openxmlformats.org/officeDocument/2006/relationships/image" Target="../media/image1.jpg"/></Relationships>
</file>

<file path=xl/drawings/_rels/drawing9.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0</xdr:rowOff>
    </xdr:from>
    <xdr:ext cx="1819274" cy="1857374"/>
    <xdr:pic>
      <xdr:nvPicPr>
        <xdr:cNvPr id="2" name="Picture 1">
          <a:extLst>
            <a:ext uri="{FF2B5EF4-FFF2-40B4-BE49-F238E27FC236}">
              <a16:creationId xmlns:a16="http://schemas.microsoft.com/office/drawing/2014/main" id="{F870F114-9EFC-4D7A-9D97-BF08086B04E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819274" cy="1857374"/>
        </a:xfrm>
        <a:prstGeom prst="rect">
          <a:avLst/>
        </a:prstGeom>
      </xdr:spPr>
    </xdr:pic>
    <xdr:clientData/>
  </xdr:oneCellAnchor>
</xdr:wsDr>
</file>

<file path=xl/drawings/drawing10.xml><?xml version="1.0" encoding="utf-8"?>
<xdr:wsDr xmlns:xdr="http://schemas.openxmlformats.org/drawingml/2006/spreadsheetDrawing" xmlns:a="http://schemas.openxmlformats.org/drawingml/2006/main">
  <xdr:oneCellAnchor>
    <xdr:from>
      <xdr:col>0</xdr:col>
      <xdr:colOff>0</xdr:colOff>
      <xdr:row>0</xdr:row>
      <xdr:rowOff>0</xdr:rowOff>
    </xdr:from>
    <xdr:ext cx="1819274" cy="1857374"/>
    <xdr:pic>
      <xdr:nvPicPr>
        <xdr:cNvPr id="2" name="Picture 1">
          <a:extLst>
            <a:ext uri="{FF2B5EF4-FFF2-40B4-BE49-F238E27FC236}">
              <a16:creationId xmlns:a16="http://schemas.microsoft.com/office/drawing/2014/main" id="{BC8BEBF6-6419-4AEE-A0CB-88B566116D9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819274" cy="1857374"/>
        </a:xfrm>
        <a:prstGeom prst="rect">
          <a:avLst/>
        </a:prstGeom>
      </xdr:spPr>
    </xdr:pic>
    <xdr:clientData/>
  </xdr:oneCellAnchor>
</xdr:wsDr>
</file>

<file path=xl/drawings/drawing11.xml><?xml version="1.0" encoding="utf-8"?>
<xdr:wsDr xmlns:xdr="http://schemas.openxmlformats.org/drawingml/2006/spreadsheetDrawing" xmlns:a="http://schemas.openxmlformats.org/drawingml/2006/main">
  <xdr:oneCellAnchor>
    <xdr:from>
      <xdr:col>0</xdr:col>
      <xdr:colOff>0</xdr:colOff>
      <xdr:row>0</xdr:row>
      <xdr:rowOff>0</xdr:rowOff>
    </xdr:from>
    <xdr:ext cx="1819274" cy="1857374"/>
    <xdr:pic>
      <xdr:nvPicPr>
        <xdr:cNvPr id="2" name="Picture 1">
          <a:extLst>
            <a:ext uri="{FF2B5EF4-FFF2-40B4-BE49-F238E27FC236}">
              <a16:creationId xmlns:a16="http://schemas.microsoft.com/office/drawing/2014/main" id="{EA5FB39B-BC73-4FB1-948F-FC25CDB2DB1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819274" cy="1857374"/>
        </a:xfrm>
        <a:prstGeom prst="rect">
          <a:avLst/>
        </a:prstGeom>
      </xdr:spPr>
    </xdr:pic>
    <xdr:clientData/>
  </xdr:oneCellAnchor>
</xdr:wsDr>
</file>

<file path=xl/drawings/drawing12.xml><?xml version="1.0" encoding="utf-8"?>
<xdr:wsDr xmlns:xdr="http://schemas.openxmlformats.org/drawingml/2006/spreadsheetDrawing" xmlns:a="http://schemas.openxmlformats.org/drawingml/2006/main">
  <xdr:oneCellAnchor>
    <xdr:from>
      <xdr:col>0</xdr:col>
      <xdr:colOff>0</xdr:colOff>
      <xdr:row>0</xdr:row>
      <xdr:rowOff>0</xdr:rowOff>
    </xdr:from>
    <xdr:ext cx="1819274" cy="1857374"/>
    <xdr:pic>
      <xdr:nvPicPr>
        <xdr:cNvPr id="2" name="Picture 1">
          <a:extLst>
            <a:ext uri="{FF2B5EF4-FFF2-40B4-BE49-F238E27FC236}">
              <a16:creationId xmlns:a16="http://schemas.microsoft.com/office/drawing/2014/main" id="{52B3B26F-006E-42ED-8ADB-858F898A056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819274" cy="1857374"/>
        </a:xfrm>
        <a:prstGeom prst="rect">
          <a:avLst/>
        </a:prstGeom>
      </xdr:spPr>
    </xdr:pic>
    <xdr:clientData/>
  </xdr:oneCellAnchor>
</xdr:wsDr>
</file>

<file path=xl/drawings/drawing13.xml><?xml version="1.0" encoding="utf-8"?>
<xdr:wsDr xmlns:xdr="http://schemas.openxmlformats.org/drawingml/2006/spreadsheetDrawing" xmlns:a="http://schemas.openxmlformats.org/drawingml/2006/main">
  <xdr:oneCellAnchor>
    <xdr:from>
      <xdr:col>0</xdr:col>
      <xdr:colOff>0</xdr:colOff>
      <xdr:row>0</xdr:row>
      <xdr:rowOff>0</xdr:rowOff>
    </xdr:from>
    <xdr:ext cx="1819274" cy="1857374"/>
    <xdr:pic>
      <xdr:nvPicPr>
        <xdr:cNvPr id="2" name="Picture 1">
          <a:extLst>
            <a:ext uri="{FF2B5EF4-FFF2-40B4-BE49-F238E27FC236}">
              <a16:creationId xmlns:a16="http://schemas.microsoft.com/office/drawing/2014/main" id="{18BA44AA-EB19-479E-B522-90D742350D5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819274" cy="1857374"/>
        </a:xfrm>
        <a:prstGeom prst="rect">
          <a:avLst/>
        </a:prstGeom>
      </xdr:spPr>
    </xdr:pic>
    <xdr:clientData/>
  </xdr:oneCellAnchor>
  <xdr:oneCellAnchor>
    <xdr:from>
      <xdr:col>18</xdr:col>
      <xdr:colOff>540019</xdr:colOff>
      <xdr:row>10</xdr:row>
      <xdr:rowOff>64588</xdr:rowOff>
    </xdr:from>
    <xdr:ext cx="4455160" cy="2218772"/>
    <xdr:pic>
      <xdr:nvPicPr>
        <xdr:cNvPr id="3" name="Picture 2">
          <a:extLst>
            <a:ext uri="{FF2B5EF4-FFF2-40B4-BE49-F238E27FC236}">
              <a16:creationId xmlns:a16="http://schemas.microsoft.com/office/drawing/2014/main" id="{4F4F15C8-9A99-44E3-BBE0-C381A78FBEA6}"/>
            </a:ext>
            <a:ext uri="{147F2762-F138-4A5C-976F-8EAC2B608ADB}">
              <a16:predDERef xmlns:a16="http://schemas.microsoft.com/office/drawing/2014/main" pred="{81EAFF8C-97CF-4A55-8249-07DA9648A0AB}"/>
            </a:ext>
          </a:extLst>
        </xdr:cNvPr>
        <xdr:cNvPicPr>
          <a:picLocks noChangeAspect="1"/>
        </xdr:cNvPicPr>
      </xdr:nvPicPr>
      <xdr:blipFill>
        <a:blip xmlns:r="http://schemas.openxmlformats.org/officeDocument/2006/relationships" r:embed="rId2"/>
        <a:stretch>
          <a:fillRect/>
        </a:stretch>
      </xdr:blipFill>
      <xdr:spPr>
        <a:xfrm>
          <a:off x="14475094" y="1874338"/>
          <a:ext cx="4455160" cy="2218772"/>
        </a:xfrm>
        <a:prstGeom prst="rect">
          <a:avLst/>
        </a:prstGeom>
      </xdr:spPr>
    </xdr:pic>
    <xdr:clientData/>
  </xdr:oneCellAnchor>
  <xdr:oneCellAnchor>
    <xdr:from>
      <xdr:col>26</xdr:col>
      <xdr:colOff>600206</xdr:colOff>
      <xdr:row>13</xdr:row>
      <xdr:rowOff>0</xdr:rowOff>
    </xdr:from>
    <xdr:ext cx="5061769" cy="2795995"/>
    <xdr:pic>
      <xdr:nvPicPr>
        <xdr:cNvPr id="4" name="Picture 3">
          <a:extLst>
            <a:ext uri="{FF2B5EF4-FFF2-40B4-BE49-F238E27FC236}">
              <a16:creationId xmlns:a16="http://schemas.microsoft.com/office/drawing/2014/main" id="{1B0DD18B-0A32-435C-8FFF-C371C346C7E5}"/>
            </a:ext>
          </a:extLst>
        </xdr:cNvPr>
        <xdr:cNvPicPr>
          <a:picLocks noChangeAspect="1"/>
        </xdr:cNvPicPr>
      </xdr:nvPicPr>
      <xdr:blipFill>
        <a:blip xmlns:r="http://schemas.openxmlformats.org/officeDocument/2006/relationships" r:embed="rId3"/>
        <a:stretch>
          <a:fillRect/>
        </a:stretch>
      </xdr:blipFill>
      <xdr:spPr>
        <a:xfrm>
          <a:off x="20402681" y="2352675"/>
          <a:ext cx="5061769" cy="2795995"/>
        </a:xfrm>
        <a:prstGeom prst="rect">
          <a:avLst/>
        </a:prstGeom>
      </xdr:spPr>
    </xdr:pic>
    <xdr:clientData/>
  </xdr:oneCellAnchor>
  <xdr:oneCellAnchor>
    <xdr:from>
      <xdr:col>30</xdr:col>
      <xdr:colOff>297493</xdr:colOff>
      <xdr:row>13</xdr:row>
      <xdr:rowOff>0</xdr:rowOff>
    </xdr:from>
    <xdr:ext cx="4628367" cy="2744688"/>
    <xdr:pic>
      <xdr:nvPicPr>
        <xdr:cNvPr id="5" name="Picture 4">
          <a:extLst>
            <a:ext uri="{FF2B5EF4-FFF2-40B4-BE49-F238E27FC236}">
              <a16:creationId xmlns:a16="http://schemas.microsoft.com/office/drawing/2014/main" id="{B9D64C89-DF36-4772-94DA-7E384064BA33}"/>
            </a:ext>
          </a:extLst>
        </xdr:cNvPr>
        <xdr:cNvPicPr>
          <a:picLocks noChangeAspect="1"/>
        </xdr:cNvPicPr>
      </xdr:nvPicPr>
      <xdr:blipFill>
        <a:blip xmlns:r="http://schemas.openxmlformats.org/officeDocument/2006/relationships" r:embed="rId4"/>
        <a:stretch>
          <a:fillRect/>
        </a:stretch>
      </xdr:blipFill>
      <xdr:spPr>
        <a:xfrm>
          <a:off x="23033668" y="2352675"/>
          <a:ext cx="4628367" cy="2744688"/>
        </a:xfrm>
        <a:prstGeom prst="rect">
          <a:avLst/>
        </a:prstGeom>
      </xdr:spPr>
    </xdr:pic>
    <xdr:clientData/>
  </xdr:oneCellAnchor>
  <xdr:oneCellAnchor>
    <xdr:from>
      <xdr:col>12</xdr:col>
      <xdr:colOff>266700</xdr:colOff>
      <xdr:row>86</xdr:row>
      <xdr:rowOff>0</xdr:rowOff>
    </xdr:from>
    <xdr:ext cx="8361085" cy="1744223"/>
    <xdr:pic>
      <xdr:nvPicPr>
        <xdr:cNvPr id="6" name="Picture 5">
          <a:extLst>
            <a:ext uri="{FF2B5EF4-FFF2-40B4-BE49-F238E27FC236}">
              <a16:creationId xmlns:a16="http://schemas.microsoft.com/office/drawing/2014/main" id="{2C7D1602-F3A2-42C3-B0C4-C20AE176E7AE}"/>
            </a:ext>
          </a:extLst>
        </xdr:cNvPr>
        <xdr:cNvPicPr>
          <a:picLocks noChangeAspect="1"/>
        </xdr:cNvPicPr>
      </xdr:nvPicPr>
      <xdr:blipFill>
        <a:blip xmlns:r="http://schemas.openxmlformats.org/officeDocument/2006/relationships" r:embed="rId5"/>
        <a:stretch>
          <a:fillRect/>
        </a:stretch>
      </xdr:blipFill>
      <xdr:spPr>
        <a:xfrm>
          <a:off x="9801225" y="15563850"/>
          <a:ext cx="8361085" cy="1744223"/>
        </a:xfrm>
        <a:prstGeom prst="rect">
          <a:avLst/>
        </a:prstGeom>
      </xdr:spPr>
    </xdr:pic>
    <xdr:clientData/>
  </xdr:oneCellAnchor>
</xdr:wsDr>
</file>

<file path=xl/drawings/drawing14.xml><?xml version="1.0" encoding="utf-8"?>
<xdr:wsDr xmlns:xdr="http://schemas.openxmlformats.org/drawingml/2006/spreadsheetDrawing" xmlns:a="http://schemas.openxmlformats.org/drawingml/2006/main">
  <xdr:oneCellAnchor>
    <xdr:from>
      <xdr:col>0</xdr:col>
      <xdr:colOff>66675</xdr:colOff>
      <xdr:row>0</xdr:row>
      <xdr:rowOff>0</xdr:rowOff>
    </xdr:from>
    <xdr:ext cx="1930853" cy="1857374"/>
    <xdr:pic>
      <xdr:nvPicPr>
        <xdr:cNvPr id="2" name="Picture 1">
          <a:extLst>
            <a:ext uri="{FF2B5EF4-FFF2-40B4-BE49-F238E27FC236}">
              <a16:creationId xmlns:a16="http://schemas.microsoft.com/office/drawing/2014/main" id="{135BC6D7-51A8-4B4B-8A72-35CFB001C33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6675" y="0"/>
          <a:ext cx="1930853" cy="1857374"/>
        </a:xfrm>
        <a:prstGeom prst="rect">
          <a:avLst/>
        </a:prstGeom>
      </xdr:spPr>
    </xdr:pic>
    <xdr:clientData/>
  </xdr:oneCellAnchor>
</xdr:wsDr>
</file>

<file path=xl/drawings/drawing15.xml><?xml version="1.0" encoding="utf-8"?>
<xdr:wsDr xmlns:xdr="http://schemas.openxmlformats.org/drawingml/2006/spreadsheetDrawing" xmlns:a="http://schemas.openxmlformats.org/drawingml/2006/main">
  <xdr:oneCellAnchor>
    <xdr:from>
      <xdr:col>0</xdr:col>
      <xdr:colOff>0</xdr:colOff>
      <xdr:row>0</xdr:row>
      <xdr:rowOff>0</xdr:rowOff>
    </xdr:from>
    <xdr:ext cx="1819274" cy="1857374"/>
    <xdr:pic>
      <xdr:nvPicPr>
        <xdr:cNvPr id="2" name="Picture 1">
          <a:extLst>
            <a:ext uri="{FF2B5EF4-FFF2-40B4-BE49-F238E27FC236}">
              <a16:creationId xmlns:a16="http://schemas.microsoft.com/office/drawing/2014/main" id="{A9370E85-4853-41DF-B95E-89D2899806E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819274" cy="1857374"/>
        </a:xfrm>
        <a:prstGeom prst="rect">
          <a:avLst/>
        </a:prstGeom>
      </xdr:spPr>
    </xdr:pic>
    <xdr:clientData/>
  </xdr:oneCellAnchor>
</xdr:wsDr>
</file>

<file path=xl/drawings/drawing16.xml><?xml version="1.0" encoding="utf-8"?>
<xdr:wsDr xmlns:xdr="http://schemas.openxmlformats.org/drawingml/2006/spreadsheetDrawing" xmlns:a="http://schemas.openxmlformats.org/drawingml/2006/main">
  <xdr:oneCellAnchor>
    <xdr:from>
      <xdr:col>0</xdr:col>
      <xdr:colOff>0</xdr:colOff>
      <xdr:row>0</xdr:row>
      <xdr:rowOff>0</xdr:rowOff>
    </xdr:from>
    <xdr:ext cx="1819274" cy="1857374"/>
    <xdr:pic>
      <xdr:nvPicPr>
        <xdr:cNvPr id="2" name="Picture 1">
          <a:extLst>
            <a:ext uri="{FF2B5EF4-FFF2-40B4-BE49-F238E27FC236}">
              <a16:creationId xmlns:a16="http://schemas.microsoft.com/office/drawing/2014/main" id="{975780E7-2C1A-4C4B-85A5-45FD5D5368B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819274" cy="1857374"/>
        </a:xfrm>
        <a:prstGeom prst="rect">
          <a:avLst/>
        </a:prstGeom>
      </xdr:spPr>
    </xdr:pic>
    <xdr:clientData/>
  </xdr:oneCellAnchor>
</xdr:wsDr>
</file>

<file path=xl/drawings/drawing17.xml><?xml version="1.0" encoding="utf-8"?>
<xdr:wsDr xmlns:xdr="http://schemas.openxmlformats.org/drawingml/2006/spreadsheetDrawing" xmlns:a="http://schemas.openxmlformats.org/drawingml/2006/main">
  <xdr:oneCellAnchor>
    <xdr:from>
      <xdr:col>0</xdr:col>
      <xdr:colOff>0</xdr:colOff>
      <xdr:row>0</xdr:row>
      <xdr:rowOff>0</xdr:rowOff>
    </xdr:from>
    <xdr:ext cx="1819274" cy="1857374"/>
    <xdr:pic>
      <xdr:nvPicPr>
        <xdr:cNvPr id="2" name="Picture 1">
          <a:extLst>
            <a:ext uri="{FF2B5EF4-FFF2-40B4-BE49-F238E27FC236}">
              <a16:creationId xmlns:a16="http://schemas.microsoft.com/office/drawing/2014/main" id="{090C35D7-A796-444F-8C80-42D378F2A70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819274" cy="1857374"/>
        </a:xfrm>
        <a:prstGeom prst="rect">
          <a:avLst/>
        </a:prstGeom>
      </xdr:spPr>
    </xdr:pic>
    <xdr:clientData/>
  </xdr:oneCellAnchor>
</xdr:wsDr>
</file>

<file path=xl/drawings/drawing18.xml><?xml version="1.0" encoding="utf-8"?>
<xdr:wsDr xmlns:xdr="http://schemas.openxmlformats.org/drawingml/2006/spreadsheetDrawing" xmlns:a="http://schemas.openxmlformats.org/drawingml/2006/main">
  <xdr:oneCellAnchor>
    <xdr:from>
      <xdr:col>0</xdr:col>
      <xdr:colOff>0</xdr:colOff>
      <xdr:row>0</xdr:row>
      <xdr:rowOff>0</xdr:rowOff>
    </xdr:from>
    <xdr:ext cx="1819274" cy="1857374"/>
    <xdr:pic>
      <xdr:nvPicPr>
        <xdr:cNvPr id="2" name="Picture 1">
          <a:extLst>
            <a:ext uri="{FF2B5EF4-FFF2-40B4-BE49-F238E27FC236}">
              <a16:creationId xmlns:a16="http://schemas.microsoft.com/office/drawing/2014/main" id="{D358CD0C-CCB6-49A3-BB54-48330792D6B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819274" cy="1857374"/>
        </a:xfrm>
        <a:prstGeom prst="rect">
          <a:avLst/>
        </a:prstGeom>
      </xdr:spPr>
    </xdr:pic>
    <xdr:clientData/>
  </xdr:oneCellAnchor>
</xdr:wsDr>
</file>

<file path=xl/drawings/drawing19.xml><?xml version="1.0" encoding="utf-8"?>
<xdr:wsDr xmlns:xdr="http://schemas.openxmlformats.org/drawingml/2006/spreadsheetDrawing" xmlns:a="http://schemas.openxmlformats.org/drawingml/2006/main">
  <xdr:oneCellAnchor>
    <xdr:from>
      <xdr:col>0</xdr:col>
      <xdr:colOff>0</xdr:colOff>
      <xdr:row>0</xdr:row>
      <xdr:rowOff>0</xdr:rowOff>
    </xdr:from>
    <xdr:ext cx="1819274" cy="1857374"/>
    <xdr:pic>
      <xdr:nvPicPr>
        <xdr:cNvPr id="2" name="Picture 1">
          <a:extLst>
            <a:ext uri="{FF2B5EF4-FFF2-40B4-BE49-F238E27FC236}">
              <a16:creationId xmlns:a16="http://schemas.microsoft.com/office/drawing/2014/main" id="{394A09E6-D9B5-4A20-A8D9-DE6E0FB705E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819274" cy="1857374"/>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oneCellAnchor>
    <xdr:from>
      <xdr:col>0</xdr:col>
      <xdr:colOff>0</xdr:colOff>
      <xdr:row>0</xdr:row>
      <xdr:rowOff>0</xdr:rowOff>
    </xdr:from>
    <xdr:ext cx="1819274" cy="1857374"/>
    <xdr:pic>
      <xdr:nvPicPr>
        <xdr:cNvPr id="2" name="Picture 1">
          <a:extLst>
            <a:ext uri="{FF2B5EF4-FFF2-40B4-BE49-F238E27FC236}">
              <a16:creationId xmlns:a16="http://schemas.microsoft.com/office/drawing/2014/main" id="{5EBA4917-3C74-4197-A829-9F680627A3F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819274" cy="1857374"/>
        </a:xfrm>
        <a:prstGeom prst="rect">
          <a:avLst/>
        </a:prstGeom>
      </xdr:spPr>
    </xdr:pic>
    <xdr:clientData/>
  </xdr:oneCellAnchor>
  <xdr:twoCellAnchor>
    <xdr:from>
      <xdr:col>21</xdr:col>
      <xdr:colOff>399862</xdr:colOff>
      <xdr:row>14</xdr:row>
      <xdr:rowOff>188817</xdr:rowOff>
    </xdr:from>
    <xdr:to>
      <xdr:col>32</xdr:col>
      <xdr:colOff>557678</xdr:colOff>
      <xdr:row>38</xdr:row>
      <xdr:rowOff>111311</xdr:rowOff>
    </xdr:to>
    <xdr:graphicFrame macro="">
      <xdr:nvGraphicFramePr>
        <xdr:cNvPr id="3" name="Chart 2">
          <a:extLst>
            <a:ext uri="{FF2B5EF4-FFF2-40B4-BE49-F238E27FC236}">
              <a16:creationId xmlns:a16="http://schemas.microsoft.com/office/drawing/2014/main" id="{14345312-8828-4601-93BE-A8135E74193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18</xdr:col>
      <xdr:colOff>56963</xdr:colOff>
      <xdr:row>40</xdr:row>
      <xdr:rowOff>104401</xdr:rowOff>
    </xdr:from>
    <xdr:to>
      <xdr:col>29</xdr:col>
      <xdr:colOff>186764</xdr:colOff>
      <xdr:row>64</xdr:row>
      <xdr:rowOff>56028</xdr:rowOff>
    </xdr:to>
    <xdr:graphicFrame macro="">
      <xdr:nvGraphicFramePr>
        <xdr:cNvPr id="4" name="Chart 3">
          <a:extLst>
            <a:ext uri="{FF2B5EF4-FFF2-40B4-BE49-F238E27FC236}">
              <a16:creationId xmlns:a16="http://schemas.microsoft.com/office/drawing/2014/main" id="{4050E6E5-83F1-4EBF-A55D-B45F63E51A5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1927712</xdr:colOff>
      <xdr:row>0</xdr:row>
      <xdr:rowOff>1857374</xdr:rowOff>
    </xdr:to>
    <xdr:pic>
      <xdr:nvPicPr>
        <xdr:cNvPr id="2" name="Picture 1">
          <a:extLst>
            <a:ext uri="{FF2B5EF4-FFF2-40B4-BE49-F238E27FC236}">
              <a16:creationId xmlns:a16="http://schemas.microsoft.com/office/drawing/2014/main" id="{72C2A4A1-B521-44B7-8CAB-FFD6C53C69A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927224" cy="185737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0</xdr:col>
      <xdr:colOff>0</xdr:colOff>
      <xdr:row>0</xdr:row>
      <xdr:rowOff>0</xdr:rowOff>
    </xdr:from>
    <xdr:ext cx="1819274" cy="1857374"/>
    <xdr:pic>
      <xdr:nvPicPr>
        <xdr:cNvPr id="2" name="Picture 1">
          <a:extLst>
            <a:ext uri="{FF2B5EF4-FFF2-40B4-BE49-F238E27FC236}">
              <a16:creationId xmlns:a16="http://schemas.microsoft.com/office/drawing/2014/main" id="{57A8734E-5699-4C2A-98C3-BB5507496DF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819274" cy="1857374"/>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oneCellAnchor>
    <xdr:from>
      <xdr:col>0</xdr:col>
      <xdr:colOff>0</xdr:colOff>
      <xdr:row>0</xdr:row>
      <xdr:rowOff>0</xdr:rowOff>
    </xdr:from>
    <xdr:ext cx="1819274" cy="1857374"/>
    <xdr:pic>
      <xdr:nvPicPr>
        <xdr:cNvPr id="2" name="Picture 1">
          <a:extLst>
            <a:ext uri="{FF2B5EF4-FFF2-40B4-BE49-F238E27FC236}">
              <a16:creationId xmlns:a16="http://schemas.microsoft.com/office/drawing/2014/main" id="{5C8BD300-4B4E-46B9-B53E-BA0F815D4E8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819274" cy="1857374"/>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oneCellAnchor>
    <xdr:from>
      <xdr:col>0</xdr:col>
      <xdr:colOff>0</xdr:colOff>
      <xdr:row>0</xdr:row>
      <xdr:rowOff>0</xdr:rowOff>
    </xdr:from>
    <xdr:ext cx="1819274" cy="1857374"/>
    <xdr:pic>
      <xdr:nvPicPr>
        <xdr:cNvPr id="2" name="Picture 1">
          <a:extLst>
            <a:ext uri="{FF2B5EF4-FFF2-40B4-BE49-F238E27FC236}">
              <a16:creationId xmlns:a16="http://schemas.microsoft.com/office/drawing/2014/main" id="{137BF62D-2367-4F53-80A8-A2148273E81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819274" cy="1857374"/>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oneCellAnchor>
    <xdr:from>
      <xdr:col>0</xdr:col>
      <xdr:colOff>0</xdr:colOff>
      <xdr:row>0</xdr:row>
      <xdr:rowOff>0</xdr:rowOff>
    </xdr:from>
    <xdr:ext cx="1819274" cy="1857374"/>
    <xdr:pic>
      <xdr:nvPicPr>
        <xdr:cNvPr id="2" name="Picture 1">
          <a:extLst>
            <a:ext uri="{FF2B5EF4-FFF2-40B4-BE49-F238E27FC236}">
              <a16:creationId xmlns:a16="http://schemas.microsoft.com/office/drawing/2014/main" id="{2F4DC0AF-F172-48B3-BF68-E98419AE617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819274" cy="1857374"/>
        </a:xfrm>
        <a:prstGeom prst="rect">
          <a:avLst/>
        </a:prstGeom>
      </xdr:spPr>
    </xdr:pic>
    <xdr:clientData/>
  </xdr:oneCellAnchor>
</xdr:wsDr>
</file>

<file path=xl/drawings/drawing8.xml><?xml version="1.0" encoding="utf-8"?>
<xdr:wsDr xmlns:xdr="http://schemas.openxmlformats.org/drawingml/2006/spreadsheetDrawing" xmlns:a="http://schemas.openxmlformats.org/drawingml/2006/main">
  <xdr:oneCellAnchor>
    <xdr:from>
      <xdr:col>0</xdr:col>
      <xdr:colOff>0</xdr:colOff>
      <xdr:row>0</xdr:row>
      <xdr:rowOff>0</xdr:rowOff>
    </xdr:from>
    <xdr:ext cx="1819274" cy="1857374"/>
    <xdr:pic>
      <xdr:nvPicPr>
        <xdr:cNvPr id="2" name="Picture 1">
          <a:extLst>
            <a:ext uri="{FF2B5EF4-FFF2-40B4-BE49-F238E27FC236}">
              <a16:creationId xmlns:a16="http://schemas.microsoft.com/office/drawing/2014/main" id="{C47E3DC0-F5F0-4E79-BFE8-2A95E303C3B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819274" cy="1857374"/>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oneCellAnchor>
    <xdr:from>
      <xdr:col>0</xdr:col>
      <xdr:colOff>0</xdr:colOff>
      <xdr:row>0</xdr:row>
      <xdr:rowOff>0</xdr:rowOff>
    </xdr:from>
    <xdr:ext cx="1819274" cy="1857374"/>
    <xdr:pic>
      <xdr:nvPicPr>
        <xdr:cNvPr id="2" name="Picture 1">
          <a:extLst>
            <a:ext uri="{FF2B5EF4-FFF2-40B4-BE49-F238E27FC236}">
              <a16:creationId xmlns:a16="http://schemas.microsoft.com/office/drawing/2014/main" id="{E53977DA-2F89-4498-80B7-A783BD637D4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819274" cy="1857374"/>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6b85161547743502/Desktop/Operational%20Budgets/Operational%20Budget%202019-2020/OPERATIONAL%20BUDGET%20-%20V2.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Prez"/>
    </sheetNames>
    <sheetDataSet>
      <sheetData sheetId="0">
        <row r="62">
          <cell r="I62">
            <v>-28712.891</v>
          </cell>
          <cell r="K62">
            <v>0</v>
          </cell>
          <cell r="L62">
            <v>-11793.86</v>
          </cell>
        </row>
      </sheetData>
    </sheetDataSet>
  </externalBook>
</externalLink>
</file>

<file path=xl/persons/person.xml><?xml version="1.0" encoding="utf-8"?>
<personList xmlns="http://schemas.microsoft.com/office/spreadsheetml/2018/threadedcomments" xmlns:x="http://schemas.openxmlformats.org/spreadsheetml/2006/main">
  <person displayName="Christina Bisol" id="{B375EAE1-D792-4885-A074-52FC80AB4A42}" userId="Christina Bisol" providerId="None"/>
  <person displayName="Christina Bisol" id="{C25BCA5B-B886-4C8B-BFE6-26B23FC671F0}" userId="2307dfc6ec61aedb" providerId="Windows Live"/>
  <person displayName="Helen Rotenberg" id="{76D8D229-2069-4ED6-9562-CD2AB9EC1D72}" userId="d4b3501a1c9039c1" providerId="Windows Live"/>
  <person displayName="Zaid Kasim" id="{EEE74721-09EF-4CE3-AD13-63CB5A07C01A}" userId="S::vpsa@engsoc.queensu.ca::f6959acd-fd3a-4b92-a8dc-8777c9fbabb9" providerId="AD"/>
  <person displayName="Nick Neokleous" id="{03D621F4-C6A2-42C0-8E23-FF66015885CB}" userId="S::firstyear@engsoc.queensu.ca::13a2cd62-a8f4-42f5-874a-9370f1144cb5" providerId="AD"/>
  <person displayName="Guest User" id="{8F806BB9-318D-4434-926B-F995F76386B7}" userId="S::urn:spo:anon#29b02c4ce620159169b6c3c69eb20fd47516756db31dbf4446d7fe959cb464aa::" providerId="AD"/>
</personList>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DF0246E-0D7A-48DA-926B-318400FBAE9D}" name="Table1" displayName="Table1" ref="AI17:AJ35" totalsRowShown="0">
  <autoFilter ref="AI17:AJ35" xr:uid="{8B632699-2C46-4581-BF4B-9E80C96C6791}"/>
  <tableColumns count="2">
    <tableColumn id="1" xr3:uid="{3980265C-331B-4E49-873F-C3374B3458E1}" name="Portfolio" dataDxfId="224"/>
    <tableColumn id="2" xr3:uid="{46C6C627-94FE-4929-BC2E-B9DE683E8149}" name="% Spent" dataDxfId="223"/>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F32" dT="2019-06-15T23:54:01.37" personId="{76D8D229-2069-4ED6-9562-CD2AB9EC1D72}" id="{BFAA3E88-CA30-42E7-B2E5-158A52948EB2}">
    <text>$5 for food and $10 for drink tickets per person</text>
  </threadedComment>
</ThreadedComments>
</file>

<file path=xl/threadedComments/threadedComment2.xml><?xml version="1.0" encoding="utf-8"?>
<ThreadedComments xmlns="http://schemas.microsoft.com/office/spreadsheetml/2018/threadedcomments" xmlns:x="http://schemas.openxmlformats.org/spreadsheetml/2006/main">
  <threadedComment ref="E12" dT="2019-07-18T14:46:16.90" personId="{EEE74721-09EF-4CE3-AD13-63CB5A07C01A}" id="{7BD6225D-6A5D-419A-8882-ACF50C49F74D}">
    <text xml:space="preserve">How long are these meetings usually? 
</text>
  </threadedComment>
  <threadedComment ref="D27" dT="2019-07-18T14:49:18.78" personId="{EEE74721-09EF-4CE3-AD13-63CB5A07C01A}" id="{C2344F27-6DAD-4EEA-9609-0761E6B6AE70}">
    <text xml:space="preserve">To be honest, I would personally put advertising for EngSoc elections as last cut priority. I would rather cut anything else and I'll explain my reasoning behind that: Elections are so crucial to the future of EngSoc and we need to increase the interest/engagement this year! Having a competent and strong Executive (and quality candidates to choose from) is an important investment in the Society. I would potentially re-think this one.
</text>
  </threadedComment>
</ThreadedComments>
</file>

<file path=xl/threadedComments/threadedComment3.xml><?xml version="1.0" encoding="utf-8"?>
<ThreadedComments xmlns="http://schemas.microsoft.com/office/spreadsheetml/2018/threadedcomments" xmlns:x="http://schemas.openxmlformats.org/spreadsheetml/2006/main">
  <threadedComment ref="B27" dT="2019-07-18T16:52:32.14" personId="{EEE74721-09EF-4CE3-AD13-63CB5A07C01A}" id="{518F2251-51CD-4D69-B999-6DF8488E8004}">
    <text xml:space="preserve">I agree that cleaning supplies is mega important and should be cut last! Maybe explore new cleaning products this year (cheaper and more environmentally sustainable options)??? Regardless, I agree with this!
</text>
  </threadedComment>
  <threadedComment ref="C42" dT="2019-07-18T16:54:44.50" personId="{EEE74721-09EF-4CE3-AD13-63CB5A07C01A}" id="{3895C1C3-1D22-4DE0-A10C-8984D54460DF}">
    <text xml:space="preserve">This is cool! I would maybe think about other ways of appreciation but I understand the thought of renting out Clark for sure.
</text>
  </threadedComment>
  <threadedComment ref="A46" dT="2019-07-18T16:54:22.39" personId="{EEE74721-09EF-4CE3-AD13-63CB5A07C01A}" id="{1C254121-895E-484B-AFF0-63FC22EC5F96}">
    <text xml:space="preserve">Since this will be presented at Council eventually, you may want to fix the excel formulas for this section.
</text>
  </threadedComment>
</ThreadedComments>
</file>

<file path=xl/threadedComments/threadedComment4.xml><?xml version="1.0" encoding="utf-8"?>
<ThreadedComments xmlns="http://schemas.microsoft.com/office/spreadsheetml/2018/threadedcomments" xmlns:x="http://schemas.openxmlformats.org/spreadsheetml/2006/main">
  <threadedComment ref="B20" dT="2019-07-18T16:52:32.14" personId="{EEE74721-09EF-4CE3-AD13-63CB5A07C01A}" id="{EAD66BBA-F113-4DE5-9FDC-2A5F997CACDB}">
    <text xml:space="preserve">I agree that cleaning supplies is mega important and should be cut last! Maybe explore new cleaning products this year (cheaper and more environmentally sustainable options)??? Regardless, I agree with this!
</text>
  </threadedComment>
  <threadedComment ref="E33" dT="2019-07-18T16:51:25.24" personId="{EEE74721-09EF-4CE3-AD13-63CB5A07C01A}" id="{64262658-5C45-4C4B-8F1D-ECF68DEC82FE}">
    <text xml:space="preserve">Smart way of increasing enagagement amongs design teams! A note however, this may get cut if financials are tighter than expected.
</text>
  </threadedComment>
  <threadedComment ref="C38" dT="2019-07-18T16:54:44.50" personId="{EEE74721-09EF-4CE3-AD13-63CB5A07C01A}" id="{B9CDBFD7-C85C-4714-8521-AE0B726B73BF}">
    <text xml:space="preserve">This is cool! I would maybe think about other ways of appreciation but I understand the thought of renting out Clark for sure.
</text>
  </threadedComment>
  <threadedComment ref="C44" dT="2019-07-18T16:53:22.41" personId="{EEE74721-09EF-4CE3-AD13-63CB5A07C01A}" id="{6B1758AA-DBC7-4F27-8763-50D40F25F0DB}">
    <text xml:space="preserve">Good thing to budget for in case the Faculty is mean and doesn't help us out with it.
</text>
  </threadedComment>
  <threadedComment ref="A49" dT="2019-07-18T16:54:22.39" personId="{EEE74721-09EF-4CE3-AD13-63CB5A07C01A}" id="{767C2791-96FC-4B93-8352-6A9AC3AC8275}">
    <text xml:space="preserve">Since this will be presented at Council eventually, you may want to fix the excel formulas for this section.
</text>
  </threadedComment>
</ThreadedComments>
</file>

<file path=xl/threadedComments/threadedComment5.xml><?xml version="1.0" encoding="utf-8"?>
<ThreadedComments xmlns="http://schemas.microsoft.com/office/spreadsheetml/2018/threadedcomments" xmlns:x="http://schemas.openxmlformats.org/spreadsheetml/2006/main">
  <threadedComment ref="G7" dT="2019-06-19T22:42:33.70" personId="{C25BCA5B-B886-4C8B-BFE6-26B23FC671F0}" id="{5586791D-8D20-4BEC-9A19-A79E833068AD}">
    <text>My team said 30 &amp; 15</text>
  </threadedComment>
  <threadedComment ref="G14" dT="2019-06-19T22:42:45.62" personId="{C25BCA5B-B886-4C8B-BFE6-26B23FC671F0}" id="{AF4EE71A-691A-4576-9332-1482BA1525B3}">
    <text>My team said 75 and 30 which is based off last year's numbers</text>
  </threadedComment>
  <threadedComment ref="E23" dT="2019-06-19T22:45:57.30" personId="{C25BCA5B-B886-4C8B-BFE6-26B23FC671F0}" id="{A1293E6F-04FB-41F0-A313-0BBB9A3EB375}">
    <text>Need to confirm with them</text>
  </threadedComment>
  <threadedComment ref="B77" dT="2019-06-10T23:20:42.52" personId="{B375EAE1-D792-4885-A074-52FC80AB4A42}" id="{0A8BBE3B-1194-4950-B6E7-C2147EAAA79B}">
    <text>Are we doing this electroncially? why is there no cost for the actual raffle ticket?</text>
  </threadedComment>
  <threadedComment ref="B77" dT="2019-06-11T21:40:28.80" personId="{8F806BB9-318D-4434-926B-F995F76386B7}" id="{4EEF86B8-1B5C-4E3A-B0A2-32204DB31B2D}" parentId="{0A8BBE3B-1194-4950-B6E7-C2147EAAA79B}">
    <text xml:space="preserve">Yes, tickets will be stored in an excel sheet and a weighted random algorithm will pick the winner
</text>
  </threadedComment>
  <threadedComment ref="C77" dT="2019-06-10T23:20:19.02" personId="{B375EAE1-D792-4885-A074-52FC80AB4A42}" id="{2662E0DC-1C45-4FF7-9A27-BA6DBAC8227E}">
    <text>Did you reach out to the kingston community to see if anyone was willing to donate for advertising and to support the cause (maybe  barbour shops will give a free or discounted haircut?</text>
  </threadedComment>
  <threadedComment ref="C77" dT="2019-06-11T21:41:04.16" personId="{8F806BB9-318D-4434-926B-F995F76386B7}" id="{1CA6ED0C-B079-4FE9-A270-C17C25A2149C}" parentId="{2662E0DC-1C45-4FF7-9A27-BA6DBAC8227E}">
    <text xml:space="preserve">Good Idea! Will get on that
</text>
  </threadedComment>
  <threadedComment ref="E77" dT="2019-06-10T23:18:00.91" personId="{B375EAE1-D792-4885-A074-52FC80AB4A42}" id="{196FF3F1-15BF-4815-9135-088516F281C4}">
    <text>Can we think of any alternatives to air pods that is still WOW but a little less expensive?</text>
  </threadedComment>
  <threadedComment ref="E82" dT="2019-06-10T23:18:30.18" personId="{B375EAE1-D792-4885-A074-52FC80AB4A42}" id="{6CF67D05-1D06-4BDD-B4D8-589287003304}">
    <text>Who are we co-hosting with? Why is there a fee for this?</text>
  </threadedComment>
  <threadedComment ref="E82" dT="2019-06-11T21:48:38.88" personId="{8F806BB9-318D-4434-926B-F995F76386B7}" id="{CEB951B8-70ED-42F0-8C39-BC73F2440FC4}" parentId="{6CF67D05-1D06-4BDD-B4D8-589287003304}">
    <text xml:space="preserve">It's just sponsoring
</text>
  </threadedComment>
  <threadedComment ref="F84" dT="2019-06-10T23:18:56.70" personId="{B375EAE1-D792-4885-A074-52FC80AB4A42}" id="{2350A37C-3E14-4C6D-8325-F83B2E18788F}">
    <text>Did you hear back or is this from last year?</text>
  </threadedComment>
  <threadedComment ref="F84" dT="2019-06-11T21:48:47.02" personId="{8F806BB9-318D-4434-926B-F995F76386B7}" id="{C5FC554B-C206-4F26-BDB0-A71087E648DD}" parentId="{2350A37C-3E14-4C6D-8325-F83B2E18788F}">
    <text xml:space="preserve">Last Year
</text>
  </threadedComment>
  <threadedComment ref="E89" dT="2019-06-10T23:21:12.10" personId="{B375EAE1-D792-4885-A074-52FC80AB4A42}" id="{5D30C620-AE80-482B-A96C-DD580796D5C2}">
    <text>Are we renting? making? or buying? Can we use this cost in future years</text>
  </threadedComment>
  <threadedComment ref="E89" dT="2019-06-11T21:50:00.41" personId="{8F806BB9-318D-4434-926B-F995F76386B7}" id="{71F9C88E-8AD5-4DA8-9167-AEABEE308327}" parentId="{5D30C620-AE80-482B-A96C-DD580796D5C2}">
    <text xml:space="preserve">I'll make it over the summer to cut cost, and it should be re-usable for events
</text>
  </threadedComment>
  <threadedComment ref="E99" dT="2019-06-11T23:14:54.08" personId="{B375EAE1-D792-4885-A074-52FC80AB4A42}" id="{BD0F5E1F-3178-43A3-9B27-FAC79ADB6D8B}">
    <text>I will confirm with zaid to check storage, i just to know what kind of stuff are we looking for</text>
  </threadedComment>
  <threadedComment ref="G107" dT="2019-06-11T23:15:36.16" personId="{B375EAE1-D792-4885-A074-52FC80AB4A42}" id="{F73B5CE9-9EFD-481C-A39B-89042D764D55}">
    <text>Love this, but will it deter people from coming?</text>
  </threadedComment>
  <threadedComment ref="B111" dT="2019-06-24T21:19:37.93" personId="{C25BCA5B-B886-4C8B-BFE6-26B23FC671F0}" id="{12539E90-3B15-428B-9B94-1E5521554D9B}">
    <text>Highlighted Red bc will not be using, just for Reference</text>
  </threadedComment>
  <threadedComment ref="G111" dT="2019-06-11T23:15:22.91" personId="{B375EAE1-D792-4885-A074-52FC80AB4A42}" id="{982F88B9-0C1E-4FE3-A1F6-6314653CD154}">
    <text>needs to filled on how many we are doing</text>
  </threadedComment>
  <threadedComment ref="E113" dT="2019-06-11T23:16:14.22" personId="{B375EAE1-D792-4885-A074-52FC80AB4A42}" id="{E59C1CA0-0E60-4094-B5C5-357EC4BDE089}">
    <text>idk if there is rental fee from them, i will look into</text>
  </threadedComment>
  <threadedComment ref="E121" dT="2019-06-11T23:16:57.93" personId="{B375EAE1-D792-4885-A074-52FC80AB4A42}" id="{A9F28E91-A30D-49B5-B847-29C90DBD9F8A}">
    <text>transportation?????</text>
  </threadedComment>
  <threadedComment ref="E133" dT="2019-06-11T23:18:38.51" personId="{B375EAE1-D792-4885-A074-52FC80AB4A42}" id="{123A2378-E125-45C9-B333-67B5C460954A}">
    <text>doesnt necessarily have to be pizza, but i think we can get 50 off w dominos</text>
  </threadedComment>
  <threadedComment ref="D141" dT="2019-06-19T22:23:20.24" personId="{C25BCA5B-B886-4C8B-BFE6-26B23FC671F0}" id="{A5C39B6E-5CA3-46E0-8B1B-B4194C313773}">
    <text>It's wine + cheese so kinda need the food</text>
  </threadedComment>
  <threadedComment ref="D143" dT="2019-06-19T22:23:48.49" personId="{C25BCA5B-B886-4C8B-BFE6-26B23FC671F0}" id="{2242BD02-92BB-41EB-A344-18F27FEFC693}">
    <text>Should be covered by faculty</text>
  </threadedComment>
  <threadedComment ref="D145" dT="2019-06-19T22:24:52.67" personId="{C25BCA5B-B886-4C8B-BFE6-26B23FC671F0}" id="{17A636E8-C07D-4D70-923B-38C7213702DD}">
    <text>I need to look into this more</text>
  </threadedComment>
  <threadedComment ref="D146" dT="2019-06-19T22:24:02.94" personId="{C25BCA5B-B886-4C8B-BFE6-26B23FC671F0}" id="{7FB66D18-0F11-4827-9762-21A692BAACB3}">
    <text>Can just use what we have last year</text>
  </threadedComment>
  <threadedComment ref="D147" dT="2019-06-19T22:24:25.62" personId="{C25BCA5B-B886-4C8B-BFE6-26B23FC671F0}" id="{54B1C5A3-C5EA-4FEB-A3E2-B215CC1559C7}">
    <text>Aesthetics so not as important as food</text>
  </threadedComment>
  <threadedComment ref="D150" dT="2019-06-19T22:23:20.24" personId="{C25BCA5B-B886-4C8B-BFE6-26B23FC671F0}" id="{CA84DC85-DAA9-4873-A265-16B280DA801D}">
    <text>It's wine + cheese so kinda need the food</text>
  </threadedComment>
  <threadedComment ref="D151" dT="2019-06-19T22:24:52.67" personId="{C25BCA5B-B886-4C8B-BFE6-26B23FC671F0}" id="{CD513A63-D892-4A12-A454-4B30CF4AB26D}">
    <text>I need to look into this more</text>
  </threadedComment>
  <threadedComment ref="F171" dT="2019-07-03T00:59:52.07" personId="{C25BCA5B-B886-4C8B-BFE6-26B23FC671F0}" id="{9D9ABEC8-6EB1-4971-B7FF-80D0FA998A0C}">
    <text>or 2 for 17</text>
  </threadedComment>
  <threadedComment ref="G171" dT="2019-07-03T01:00:19.18" personId="{C25BCA5B-B886-4C8B-BFE6-26B23FC671F0}" id="{5ECD57A6-8E78-4E3A-93D5-F86D4E9A65C4}">
    <text>Increase from last year because advertising across campus</text>
  </threadedComment>
  <threadedComment ref="F172" dT="2019-07-03T00:21:42.80" personId="{C25BCA5B-B886-4C8B-BFE6-26B23FC671F0}" id="{6A226975-8C6B-4348-A93B-A41499DA9267}">
    <text>Based off last year</text>
  </threadedComment>
  <threadedComment ref="F172" dT="2019-07-03T00:57:27.25" personId="{C25BCA5B-B886-4C8B-BFE6-26B23FC671F0}" id="{24ECF7E2-3847-4234-8D2D-2CBADFA19852}" parentId="{6A226975-8C6B-4348-A93B-A41499DA9267}">
    <text>I think the tables and chairs may be free at Mitchell Hall</text>
  </threadedComment>
  <threadedComment ref="F173" dT="2019-07-03T00:56:58.28" personId="{C25BCA5B-B886-4C8B-BFE6-26B23FC671F0}" id="{A4AA22AB-28F4-4260-86C0-7D5CC359AEDC}">
    <text>https://www.queensu.ca/innovationcentre/facility-rental 
Admin fee per hour
Other option is Sutherland room in JDUC 50$</text>
  </threadedComment>
  <threadedComment ref="C204" dT="2019-07-09T22:46:13.27" personId="{C25BCA5B-B886-4C8B-BFE6-26B23FC671F0}" id="{68DA86E0-A52D-4C6F-B892-C6573CBA51C1}">
    <text>Maybe go with T-shirt if too much</text>
  </threadedComment>
  <threadedComment ref="G204" dT="2019-07-06T19:58:47.71" personId="{C25BCA5B-B886-4C8B-BFE6-26B23FC671F0}" id="{F72D686C-6F74-4121-9835-A11262587F51}">
    <text>EngVents x1
Movember x2
TFR x2
Wellness x1
Dec6 x1
FYPCO x1
Me x1
+1 extra</text>
  </threadedComment>
</ThreadedComments>
</file>

<file path=xl/threadedComments/threadedComment6.xml><?xml version="1.0" encoding="utf-8"?>
<ThreadedComments xmlns="http://schemas.microsoft.com/office/spreadsheetml/2018/threadedcomments" xmlns:x="http://schemas.openxmlformats.org/spreadsheetml/2006/main">
  <threadedComment ref="F7" dT="2019-08-12T22:23:16.46" personId="{03D621F4-C6A2-42C0-8E23-FF66015885CB}" id="{ECD3AA3A-2AA4-4335-A730-A1A9168C9908}">
    <text xml:space="preserve">Where is this price coming from.
</text>
  </threadedComment>
  <threadedComment ref="F7" dT="2019-09-22T22:56:27.62" personId="{03D621F4-C6A2-42C0-8E23-FF66015885CB}" id="{CADFDD2C-2EA5-49ED-9CA1-3691A544A606}" parentId="{ECD3AA3A-2AA4-4335-A730-A1A9168C9908}">
    <text xml:space="preserve">For 795 first years. Assuming around 20% enggagement (159 first years) at $1 per ticket, this seems like a reasonable estimate.
</text>
  </threadedComment>
  <threadedComment ref="F27" dT="2019-08-12T22:28:46.07" personId="{03D621F4-C6A2-42C0-8E23-FF66015885CB}" id="{04A7B284-AA45-4A85-AE52-6D464D065AA8}">
    <text xml:space="preserve">Call Cathy, get waived
</text>
  </threadedComment>
  <threadedComment ref="C45" dT="2019-08-12T22:31:21.68" personId="{03D621F4-C6A2-42C0-8E23-FF66015885CB}" id="{E75BB33B-1B2C-4200-B6B0-A4A171DDC419}">
    <text xml:space="preserve">Consider cutting
</text>
  </threadedComment>
  <threadedComment ref="C45" dT="2019-09-22T22:56:38.77" personId="{03D621F4-C6A2-42C0-8E23-FF66015885CB}" id="{029AD0A1-FAA6-46A3-BA31-450EC124844E}" parentId="{E75BB33B-1B2C-4200-B6B0-A4A171DDC419}">
    <text xml:space="preserve">Higher cut priority noted
</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microsoft.com/office/2017/10/relationships/threadedComment" Target="../threadedComments/threadedComment5.xml"/><Relationship Id="rId3" Type="http://schemas.openxmlformats.org/officeDocument/2006/relationships/hyperlink" Target="https://www.clarkhallpub.ca/faqs" TargetMode="External"/><Relationship Id="rId7" Type="http://schemas.openxmlformats.org/officeDocument/2006/relationships/comments" Target="../comments5.xml"/><Relationship Id="rId2" Type="http://schemas.openxmlformats.org/officeDocument/2006/relationships/hyperlink" Target="https://www.clarkhallpub.ca/faqs" TargetMode="External"/><Relationship Id="rId1" Type="http://schemas.openxmlformats.org/officeDocument/2006/relationships/hyperlink" Target="https://www.clarkhallpub.ca/faqs" TargetMode="External"/><Relationship Id="rId6" Type="http://schemas.openxmlformats.org/officeDocument/2006/relationships/vmlDrawing" Target="../drawings/vmlDrawing5.vml"/><Relationship Id="rId5" Type="http://schemas.openxmlformats.org/officeDocument/2006/relationships/drawing" Target="../drawings/drawing10.xml"/><Relationship Id="rId4"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8" Type="http://schemas.openxmlformats.org/officeDocument/2006/relationships/hyperlink" Target="https://eventservices.queensu.ca/wp-content/uploads/2017/11/Central-Room-Reservations-Bookable-Rooms-with-capacities-and-costs-updated-November-28-2017.pdf" TargetMode="External"/><Relationship Id="rId13" Type="http://schemas.microsoft.com/office/2017/10/relationships/threadedComment" Target="../threadedComments/threadedComment6.xml"/><Relationship Id="rId3" Type="http://schemas.openxmlformats.org/officeDocument/2006/relationships/hyperlink" Target="https://www.tea-room.ca/menu" TargetMode="External"/><Relationship Id="rId7" Type="http://schemas.openxmlformats.org/officeDocument/2006/relationships/hyperlink" Target="https://www.expedia.ca/Kingston-Hotels-Residence-Inn-By-Marriott-Kingston-Waters-Edge.h3551648.Hotel-Information?chkin=14%2F07%2F2019&amp;chkout=15%2F07%2F2019&amp;rm1=a2&amp;hwrqCacheKey=14bccd00-e4ac-49d4-aa2b-300b9a28fd32HWRQ1562470210826&amp;cancellable=false&amp;regionId=6057821&amp;vip=false&amp;c=bab057ec-0f55-4ac9-8e58-988b391e35a9&amp;mctc=10&amp;exp_dp=179.1&amp;exp_ts=1562470216842&amp;exp_curr=CAD&amp;swpToggleOn=false&amp;exp_pg=HSR" TargetMode="External"/><Relationship Id="rId12" Type="http://schemas.openxmlformats.org/officeDocument/2006/relationships/comments" Target="../comments6.xml"/><Relationship Id="rId2" Type="http://schemas.openxmlformats.org/officeDocument/2006/relationships/hyperlink" Target="https://www.tea-room.ca/menu" TargetMode="External"/><Relationship Id="rId1" Type="http://schemas.openxmlformats.org/officeDocument/2006/relationships/hyperlink" Target="https://www.tea-room.ca/menu" TargetMode="External"/><Relationship Id="rId6" Type="http://schemas.openxmlformats.org/officeDocument/2006/relationships/hyperlink" Target="https://eventservices.queensu.ca/wp-content/uploads/2017/11/Central-Room-Reservations-Bookable-Rooms-with-capacities-and-costs-updated-November-28-2017.pdf" TargetMode="External"/><Relationship Id="rId11" Type="http://schemas.openxmlformats.org/officeDocument/2006/relationships/vmlDrawing" Target="../drawings/vmlDrawing6.vml"/><Relationship Id="rId5" Type="http://schemas.openxmlformats.org/officeDocument/2006/relationships/hyperlink" Target="https://eventservices.queensu.ca/wp-content/uploads/2017/11/Central-Room-Reservations-Bookable-Rooms-with-capacities-and-costs-updated-November-28-2017.pdf" TargetMode="External"/><Relationship Id="rId10" Type="http://schemas.openxmlformats.org/officeDocument/2006/relationships/drawing" Target="../drawings/drawing13.xml"/><Relationship Id="rId4" Type="http://schemas.openxmlformats.org/officeDocument/2006/relationships/hyperlink" Target="https://www.clarkhallpub.ca/faqs" TargetMode="External"/><Relationship Id="rId9"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7.xml"/><Relationship Id="rId1" Type="http://schemas.openxmlformats.org/officeDocument/2006/relationships/printerSettings" Target="../printerSettings/printerSettings17.bin"/><Relationship Id="rId4" Type="http://schemas.openxmlformats.org/officeDocument/2006/relationships/comments" Target="../comments7.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6.xml"/><Relationship Id="rId1" Type="http://schemas.openxmlformats.org/officeDocument/2006/relationships/printerSettings" Target="../printerSettings/printerSettings6.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7.xml"/><Relationship Id="rId1" Type="http://schemas.openxmlformats.org/officeDocument/2006/relationships/printerSettings" Target="../printerSettings/printerSettings7.bin"/><Relationship Id="rId5" Type="http://schemas.microsoft.com/office/2017/10/relationships/threadedComment" Target="../threadedComments/threadedComment2.xml"/><Relationship Id="rId4" Type="http://schemas.openxmlformats.org/officeDocument/2006/relationships/comments" Target="../comments2.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8.xml"/><Relationship Id="rId1" Type="http://schemas.openxmlformats.org/officeDocument/2006/relationships/printerSettings" Target="../printerSettings/printerSettings8.bin"/><Relationship Id="rId5" Type="http://schemas.microsoft.com/office/2017/10/relationships/threadedComment" Target="../threadedComments/threadedComment3.xml"/><Relationship Id="rId4" Type="http://schemas.openxmlformats.org/officeDocument/2006/relationships/comments" Target="../comments3.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9.xml"/><Relationship Id="rId1" Type="http://schemas.openxmlformats.org/officeDocument/2006/relationships/printerSettings" Target="../printerSettings/printerSettings9.bin"/><Relationship Id="rId5" Type="http://schemas.microsoft.com/office/2017/10/relationships/threadedComment" Target="../threadedComments/threadedComment4.xml"/><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62CDEF-FEEE-462C-A854-71C3C2BB25D8}">
  <sheetPr codeName="Sheet3"/>
  <dimension ref="A1:M66"/>
  <sheetViews>
    <sheetView tabSelected="1" zoomScale="54" zoomScaleNormal="75" workbookViewId="0">
      <pane ySplit="2" topLeftCell="A3" activePane="bottomLeft" state="frozen"/>
      <selection activeCell="E17" sqref="E17"/>
      <selection pane="bottomLeft" activeCell="E41" sqref="E41"/>
    </sheetView>
  </sheetViews>
  <sheetFormatPr defaultColWidth="9.58203125" defaultRowHeight="15.5"/>
  <cols>
    <col min="1" max="1" width="12.58203125" style="1" customWidth="1"/>
    <col min="2" max="2" width="19.75" style="5" customWidth="1"/>
    <col min="3" max="3" width="34" style="5" customWidth="1"/>
    <col min="4" max="4" width="17.25" style="1" customWidth="1"/>
    <col min="5" max="5" width="91.83203125" style="1" customWidth="1"/>
    <col min="6" max="6" width="15.25" style="3" customWidth="1"/>
    <col min="7" max="7" width="15.25" style="4" customWidth="1"/>
    <col min="8" max="8" width="19.33203125" style="3" customWidth="1"/>
    <col min="9" max="9" width="18.1640625" style="3" customWidth="1"/>
    <col min="10" max="10" width="20.58203125" style="3" customWidth="1"/>
    <col min="11" max="11" width="20.83203125" style="2" customWidth="1"/>
    <col min="12" max="16384" width="9.58203125" style="1"/>
  </cols>
  <sheetData>
    <row r="1" spans="1:11" ht="148.5" customHeight="1">
      <c r="A1" s="28"/>
      <c r="B1" s="368" t="s">
        <v>107</v>
      </c>
      <c r="C1" s="368"/>
      <c r="D1" s="368"/>
      <c r="E1" s="368"/>
      <c r="F1" s="368"/>
      <c r="G1" s="368"/>
      <c r="H1" s="368"/>
      <c r="I1" s="368"/>
      <c r="J1" s="368"/>
      <c r="K1" s="368"/>
    </row>
    <row r="2" spans="1:11" s="62" customFormat="1" ht="15" customHeight="1">
      <c r="A2" s="65" t="s">
        <v>106</v>
      </c>
      <c r="B2" s="65" t="s">
        <v>105</v>
      </c>
      <c r="C2" s="65" t="s">
        <v>104</v>
      </c>
      <c r="D2" s="65" t="s">
        <v>103</v>
      </c>
      <c r="E2" s="65" t="s">
        <v>102</v>
      </c>
      <c r="F2" s="64" t="s">
        <v>101</v>
      </c>
      <c r="G2" s="65" t="s">
        <v>1</v>
      </c>
      <c r="H2" s="64" t="s">
        <v>100</v>
      </c>
      <c r="I2" s="64" t="s">
        <v>99</v>
      </c>
      <c r="J2" s="64" t="s">
        <v>98</v>
      </c>
      <c r="K2" s="63" t="s">
        <v>2</v>
      </c>
    </row>
    <row r="3" spans="1:11" ht="14.25" customHeight="1">
      <c r="A3" s="28"/>
      <c r="B3" s="29"/>
      <c r="C3" s="29"/>
      <c r="D3" s="28"/>
      <c r="E3" s="28"/>
      <c r="F3" s="26"/>
      <c r="G3" s="27"/>
      <c r="H3" s="26"/>
      <c r="I3" s="26"/>
      <c r="J3" s="26"/>
      <c r="K3" s="61"/>
    </row>
    <row r="4" spans="1:11" ht="15" customHeight="1">
      <c r="A4" s="24" t="s">
        <v>0</v>
      </c>
      <c r="B4" s="23"/>
      <c r="C4" s="23"/>
      <c r="D4" s="22"/>
      <c r="E4" s="22"/>
      <c r="F4" s="20"/>
      <c r="G4" s="21"/>
      <c r="H4" s="20"/>
      <c r="I4" s="20"/>
      <c r="J4" s="20"/>
      <c r="K4" s="19"/>
    </row>
    <row r="5" spans="1:11">
      <c r="A5" s="16" t="s">
        <v>97</v>
      </c>
      <c r="B5" s="29"/>
      <c r="C5" s="29"/>
      <c r="D5" s="28"/>
      <c r="E5" s="28"/>
      <c r="F5" s="26"/>
      <c r="G5" s="27"/>
      <c r="H5" s="26"/>
      <c r="I5" s="26"/>
      <c r="J5" s="26"/>
      <c r="K5" s="367"/>
    </row>
    <row r="6" spans="1:11">
      <c r="A6" s="28"/>
      <c r="B6" s="29"/>
      <c r="C6" s="29" t="s">
        <v>96</v>
      </c>
      <c r="D6" s="28"/>
      <c r="E6" s="28" t="s">
        <v>95</v>
      </c>
      <c r="F6" s="26">
        <v>80</v>
      </c>
      <c r="G6" s="27">
        <v>3203</v>
      </c>
      <c r="H6" s="26">
        <f>F6*G6*0.8</f>
        <v>204992</v>
      </c>
      <c r="I6" s="26">
        <f t="shared" ref="I6:I11" si="0">H6</f>
        <v>204992</v>
      </c>
      <c r="J6" s="26"/>
      <c r="K6" s="49">
        <v>227187.50879999998</v>
      </c>
    </row>
    <row r="7" spans="1:11">
      <c r="A7" s="28"/>
      <c r="B7" s="29"/>
      <c r="C7" s="29" t="s">
        <v>94</v>
      </c>
      <c r="D7" s="29"/>
      <c r="E7" s="28" t="s">
        <v>93</v>
      </c>
      <c r="F7" s="59">
        <v>114015.95</v>
      </c>
      <c r="G7" s="27">
        <v>1</v>
      </c>
      <c r="H7" s="26">
        <f>F7*G7</f>
        <v>114015.95</v>
      </c>
      <c r="I7" s="26">
        <f t="shared" si="0"/>
        <v>114015.95</v>
      </c>
      <c r="J7" s="26">
        <f>0.25*I7</f>
        <v>28503.987499999999</v>
      </c>
      <c r="K7" s="49">
        <f>0.25*J7</f>
        <v>7125.9968749999998</v>
      </c>
    </row>
    <row r="8" spans="1:11">
      <c r="A8" s="28"/>
      <c r="B8" s="29"/>
      <c r="C8" s="29" t="s">
        <v>92</v>
      </c>
      <c r="D8" s="28"/>
      <c r="E8" s="28" t="s">
        <v>91</v>
      </c>
      <c r="F8" s="26">
        <v>3247.22</v>
      </c>
      <c r="G8" s="27">
        <v>12</v>
      </c>
      <c r="H8" s="26">
        <f>F8*G8</f>
        <v>38966.639999999999</v>
      </c>
      <c r="I8" s="26">
        <f t="shared" si="0"/>
        <v>38966.639999999999</v>
      </c>
      <c r="J8" s="26">
        <f>0.25*I8</f>
        <v>9741.66</v>
      </c>
      <c r="K8" s="49">
        <f>0.25*J8</f>
        <v>2435.415</v>
      </c>
    </row>
    <row r="9" spans="1:11">
      <c r="A9" s="28"/>
      <c r="B9" s="29"/>
      <c r="C9" s="29" t="s">
        <v>90</v>
      </c>
      <c r="D9" s="28"/>
      <c r="E9" s="28" t="s">
        <v>89</v>
      </c>
      <c r="F9" s="26">
        <f>0.05*8600+0.25*(12100-8600)</f>
        <v>1305</v>
      </c>
      <c r="G9" s="27">
        <v>1</v>
      </c>
      <c r="H9" s="26">
        <f>F9*G9</f>
        <v>1305</v>
      </c>
      <c r="I9" s="26">
        <f t="shared" si="0"/>
        <v>1305</v>
      </c>
      <c r="J9" s="26">
        <v>430</v>
      </c>
      <c r="K9" s="49">
        <v>430</v>
      </c>
    </row>
    <row r="10" spans="1:11">
      <c r="A10" s="28"/>
      <c r="B10" s="29"/>
      <c r="C10" s="29" t="s">
        <v>88</v>
      </c>
      <c r="D10" s="28"/>
      <c r="E10" s="28" t="s">
        <v>87</v>
      </c>
      <c r="F10" s="26">
        <v>8000</v>
      </c>
      <c r="G10" s="27">
        <v>2</v>
      </c>
      <c r="H10" s="26">
        <v>16000</v>
      </c>
      <c r="I10" s="26">
        <f t="shared" si="0"/>
        <v>16000</v>
      </c>
      <c r="J10" s="58">
        <v>9040</v>
      </c>
      <c r="K10" s="25">
        <v>9040</v>
      </c>
    </row>
    <row r="11" spans="1:11">
      <c r="A11" s="28"/>
      <c r="B11" s="29"/>
      <c r="C11" s="29" t="s">
        <v>86</v>
      </c>
      <c r="D11" s="28"/>
      <c r="E11" s="28" t="s">
        <v>85</v>
      </c>
      <c r="F11" s="26">
        <v>1000</v>
      </c>
      <c r="G11" s="27">
        <v>1</v>
      </c>
      <c r="H11" s="26">
        <f>F11</f>
        <v>1000</v>
      </c>
      <c r="I11" s="26">
        <f t="shared" si="0"/>
        <v>1000</v>
      </c>
      <c r="J11" s="26"/>
      <c r="K11" s="25"/>
    </row>
    <row r="12" spans="1:11">
      <c r="A12" s="28"/>
      <c r="B12" s="29"/>
      <c r="C12" s="29"/>
      <c r="D12" s="28"/>
      <c r="E12" s="28"/>
      <c r="F12" s="26"/>
      <c r="G12" s="27"/>
      <c r="H12" s="26"/>
      <c r="I12" s="26"/>
      <c r="J12" s="26"/>
      <c r="K12" s="25"/>
    </row>
    <row r="13" spans="1:11" s="6" customFormat="1" ht="14.5">
      <c r="A13" s="16"/>
      <c r="B13" s="43" t="s">
        <v>84</v>
      </c>
      <c r="C13" s="42"/>
      <c r="D13" s="41"/>
      <c r="E13" s="41"/>
      <c r="F13" s="39"/>
      <c r="G13" s="40"/>
      <c r="H13" s="39"/>
      <c r="I13" s="39">
        <f>SUM(I6:I11)</f>
        <v>376279.59</v>
      </c>
      <c r="J13" s="39">
        <f t="shared" ref="J13:K13" si="1">SUM(J6:J11)</f>
        <v>47715.647499999999</v>
      </c>
      <c r="K13" s="38">
        <f t="shared" si="1"/>
        <v>246218.920675</v>
      </c>
    </row>
    <row r="14" spans="1:11">
      <c r="A14" s="28"/>
      <c r="B14" s="29"/>
      <c r="C14" s="29"/>
      <c r="D14" s="28"/>
      <c r="E14" s="28"/>
      <c r="F14" s="26"/>
      <c r="G14" s="27"/>
      <c r="H14" s="26"/>
      <c r="I14" s="26"/>
      <c r="J14" s="26"/>
      <c r="K14" s="25"/>
    </row>
    <row r="15" spans="1:11" s="30" customFormat="1" ht="14.5">
      <c r="A15" s="37"/>
      <c r="B15" s="36" t="s">
        <v>83</v>
      </c>
      <c r="C15" s="35"/>
      <c r="D15" s="34"/>
      <c r="E15" s="34"/>
      <c r="F15" s="32"/>
      <c r="G15" s="33"/>
      <c r="H15" s="32"/>
      <c r="I15" s="32">
        <f>I13</f>
        <v>376279.59</v>
      </c>
      <c r="J15" s="32">
        <f t="shared" ref="J15:K15" si="2">J13</f>
        <v>47715.647499999999</v>
      </c>
      <c r="K15" s="31">
        <f t="shared" si="2"/>
        <v>246218.920675</v>
      </c>
    </row>
    <row r="16" spans="1:11">
      <c r="A16" s="28"/>
      <c r="B16" s="29"/>
      <c r="C16" s="29"/>
      <c r="D16" s="28"/>
      <c r="E16" s="28"/>
      <c r="F16" s="26"/>
      <c r="G16" s="27"/>
      <c r="H16" s="26"/>
      <c r="I16" s="26"/>
      <c r="J16" s="26"/>
      <c r="K16" s="25"/>
    </row>
    <row r="17" spans="1:13" ht="15" customHeight="1">
      <c r="A17" s="24" t="s">
        <v>3</v>
      </c>
      <c r="B17" s="23"/>
      <c r="C17" s="23"/>
      <c r="D17" s="22"/>
      <c r="E17" s="22"/>
      <c r="F17" s="20"/>
      <c r="G17" s="21"/>
      <c r="H17" s="20"/>
      <c r="I17" s="20"/>
      <c r="J17" s="20"/>
      <c r="K17" s="19"/>
    </row>
    <row r="18" spans="1:13">
      <c r="A18" s="16" t="s">
        <v>82</v>
      </c>
      <c r="B18" s="29"/>
      <c r="C18" s="29"/>
      <c r="D18" s="28"/>
      <c r="E18" s="28"/>
      <c r="F18" s="26"/>
      <c r="G18" s="27"/>
      <c r="H18" s="26"/>
      <c r="I18" s="26"/>
      <c r="J18" s="26"/>
      <c r="K18" s="25"/>
    </row>
    <row r="19" spans="1:13" ht="16">
      <c r="A19" s="28"/>
      <c r="B19" s="29"/>
      <c r="C19" s="29" t="s">
        <v>81</v>
      </c>
      <c r="D19" s="28"/>
      <c r="E19" s="51" t="s">
        <v>66</v>
      </c>
      <c r="F19" s="26"/>
      <c r="G19" s="27"/>
      <c r="H19" s="26"/>
      <c r="I19" s="26">
        <f>-1*'1. Prez'!I61</f>
        <v>28712.890999999996</v>
      </c>
      <c r="J19" s="26">
        <f>-1*'1. Prez'!K61</f>
        <v>0</v>
      </c>
      <c r="K19" s="49">
        <f>-1*'1. Prez'!L61</f>
        <v>11793.86</v>
      </c>
      <c r="M19" s="48"/>
    </row>
    <row r="20" spans="1:13" ht="16">
      <c r="A20" s="28"/>
      <c r="B20" s="29"/>
      <c r="C20" s="29" t="s">
        <v>80</v>
      </c>
      <c r="D20" s="28"/>
      <c r="E20" s="51" t="s">
        <v>79</v>
      </c>
      <c r="F20" s="26"/>
      <c r="G20" s="27"/>
      <c r="H20" s="26"/>
      <c r="I20" s="26">
        <f>-1*'3. VPSA'!I33</f>
        <v>3116.0201999999999</v>
      </c>
      <c r="J20" s="26">
        <f>-1*'3. VPSA'!K33</f>
        <v>0</v>
      </c>
      <c r="K20" s="49">
        <f>-1*'3. VPSA'!L33</f>
        <v>0</v>
      </c>
      <c r="M20" s="48"/>
    </row>
    <row r="21" spans="1:13" ht="16">
      <c r="A21" s="28"/>
      <c r="B21" s="29"/>
      <c r="C21" s="29" t="s">
        <v>78</v>
      </c>
      <c r="D21" s="28"/>
      <c r="E21" s="51" t="s">
        <v>77</v>
      </c>
      <c r="F21" s="26"/>
      <c r="G21" s="27"/>
      <c r="H21" s="26"/>
      <c r="I21" s="26">
        <f>-1*'2. VPOPs'!I26</f>
        <v>2553.7999999999997</v>
      </c>
      <c r="J21" s="26">
        <f>-1*'2. VPOPs'!K26</f>
        <v>0</v>
      </c>
      <c r="K21" s="49">
        <f>-1*'2. VPOPs'!L26</f>
        <v>0</v>
      </c>
      <c r="M21" s="48"/>
    </row>
    <row r="22" spans="1:13" ht="16">
      <c r="A22" s="28"/>
      <c r="B22" s="29"/>
      <c r="C22" s="29" t="s">
        <v>76</v>
      </c>
      <c r="D22" s="28"/>
      <c r="E22" s="51" t="s">
        <v>75</v>
      </c>
      <c r="F22" s="26"/>
      <c r="G22" s="27"/>
      <c r="H22" s="26"/>
      <c r="I22" s="26">
        <f>-1*'4. DoA'!I41</f>
        <v>3888.3300000000004</v>
      </c>
      <c r="J22" s="26">
        <f>-1*'4. DoA'!K41</f>
        <v>0</v>
      </c>
      <c r="K22" s="49">
        <f>-1*'4. DoA'!L41</f>
        <v>2332.79</v>
      </c>
      <c r="M22" s="48"/>
    </row>
    <row r="23" spans="1:13" ht="16">
      <c r="A23" s="28"/>
      <c r="B23" s="29"/>
      <c r="C23" s="29" t="s">
        <v>74</v>
      </c>
      <c r="D23" s="28"/>
      <c r="E23" s="51" t="s">
        <v>73</v>
      </c>
      <c r="F23" s="26"/>
      <c r="G23" s="27"/>
      <c r="H23" s="26"/>
      <c r="I23" s="26">
        <f>-1*'5. DoComm'!I37</f>
        <v>6164.3449999999993</v>
      </c>
      <c r="J23" s="26">
        <f>-1*'5. DoComm'!K37</f>
        <v>0</v>
      </c>
      <c r="K23" s="49">
        <f>-1*'5. DoComm'!L37</f>
        <v>6048.66</v>
      </c>
      <c r="M23" s="48"/>
    </row>
    <row r="24" spans="1:13" ht="16">
      <c r="A24" s="28"/>
      <c r="B24" s="29"/>
      <c r="C24" s="29" t="s">
        <v>72</v>
      </c>
      <c r="D24" s="28"/>
      <c r="E24" s="51" t="s">
        <v>71</v>
      </c>
      <c r="F24" s="26"/>
      <c r="G24" s="27"/>
      <c r="H24" s="26"/>
      <c r="I24" s="26">
        <f>-1*'6. DoCon'!I51</f>
        <v>9226.4499999999989</v>
      </c>
      <c r="J24" s="26">
        <f>-1*'6. DoCon'!K51</f>
        <v>2611.48</v>
      </c>
      <c r="K24" s="49">
        <f>-1*'6. DoCon'!L51</f>
        <v>3772.15</v>
      </c>
      <c r="M24" s="48"/>
    </row>
    <row r="25" spans="1:13" ht="16">
      <c r="A25" s="28"/>
      <c r="B25" s="29"/>
      <c r="C25" s="29" t="s">
        <v>70</v>
      </c>
      <c r="D25" s="28"/>
      <c r="E25" s="51" t="s">
        <v>69</v>
      </c>
      <c r="F25" s="26"/>
      <c r="G25" s="27"/>
      <c r="H25" s="26"/>
      <c r="I25" s="26">
        <f>-1*'7. DoD'!I54</f>
        <v>8581.5024999999987</v>
      </c>
      <c r="J25" s="26">
        <f>-1*'7. DoD'!K54</f>
        <v>125.35</v>
      </c>
      <c r="K25" s="49">
        <f>-1*'7. DoD'!L54</f>
        <v>403.28999999999996</v>
      </c>
      <c r="M25" s="48"/>
    </row>
    <row r="26" spans="1:13" ht="16">
      <c r="A26" s="28"/>
      <c r="B26" s="29"/>
      <c r="C26" s="29" t="s">
        <v>68</v>
      </c>
      <c r="D26" s="28"/>
      <c r="E26" s="51" t="s">
        <v>67</v>
      </c>
      <c r="F26" s="26"/>
      <c r="G26" s="27"/>
      <c r="H26" s="26"/>
      <c r="I26" s="26">
        <f>-1*'8. DoE'!I219</f>
        <v>9486.3274000000001</v>
      </c>
      <c r="J26" s="26">
        <f>-1*'8. DoE'!K219</f>
        <v>2920.19</v>
      </c>
      <c r="K26" s="49">
        <f>-1*'8. DoE'!L219</f>
        <v>2618.2599999999993</v>
      </c>
      <c r="M26" s="48"/>
    </row>
    <row r="27" spans="1:13" ht="16" hidden="1">
      <c r="A27" s="28"/>
      <c r="B27" s="57"/>
      <c r="C27" s="57"/>
      <c r="D27" s="56"/>
      <c r="E27" s="51" t="s">
        <v>66</v>
      </c>
      <c r="F27" s="54"/>
      <c r="G27" s="55"/>
      <c r="H27" s="54"/>
      <c r="I27" s="54"/>
      <c r="J27" s="54"/>
      <c r="K27" s="53"/>
      <c r="M27" s="48"/>
    </row>
    <row r="28" spans="1:13" ht="16">
      <c r="A28" s="28"/>
      <c r="B28" s="29"/>
      <c r="C28" s="29" t="s">
        <v>65</v>
      </c>
      <c r="D28" s="28"/>
      <c r="E28" s="51" t="s">
        <v>64</v>
      </c>
      <c r="F28" s="50"/>
      <c r="G28" s="27"/>
      <c r="H28" s="50"/>
      <c r="I28" s="50">
        <f>-1*'9. DoER'!I115</f>
        <v>9250.6659</v>
      </c>
      <c r="J28" s="50">
        <f>-1*'9. DoER'!K115</f>
        <v>0</v>
      </c>
      <c r="K28" s="52">
        <f>-1*'9. DoER'!L115</f>
        <v>1861.69</v>
      </c>
      <c r="M28" s="48"/>
    </row>
    <row r="29" spans="1:13" ht="16">
      <c r="A29" s="28"/>
      <c r="B29" s="29"/>
      <c r="C29" s="29" t="s">
        <v>63</v>
      </c>
      <c r="D29" s="28"/>
      <c r="E29" s="51" t="s">
        <v>62</v>
      </c>
      <c r="F29" s="50"/>
      <c r="G29" s="27"/>
      <c r="H29" s="50"/>
      <c r="I29" s="50">
        <f>-1*'10. DoF'!I34</f>
        <v>7103.9773999999998</v>
      </c>
      <c r="J29" s="50">
        <f>-1*'10. DoF'!K34</f>
        <v>1339.66</v>
      </c>
      <c r="K29" s="52">
        <f>-1*'10. DoF'!L34</f>
        <v>0</v>
      </c>
      <c r="M29" s="48"/>
    </row>
    <row r="30" spans="1:13" ht="16">
      <c r="A30" s="28"/>
      <c r="B30" s="29"/>
      <c r="C30" s="29" t="s">
        <v>61</v>
      </c>
      <c r="D30" s="28"/>
      <c r="E30" s="51" t="s">
        <v>60</v>
      </c>
      <c r="F30" s="50"/>
      <c r="G30" s="27"/>
      <c r="H30" s="50"/>
      <c r="I30" s="50">
        <f>-1*'11. DoFY'!I91</f>
        <v>11091.895064999997</v>
      </c>
      <c r="J30" s="50">
        <f>-1*'11. DoFY'!K91</f>
        <v>4880.8200000000006</v>
      </c>
      <c r="K30" s="52">
        <f>-1*'11. DoFY'!L91</f>
        <v>4510.1800000000012</v>
      </c>
      <c r="M30" s="48"/>
    </row>
    <row r="31" spans="1:13" ht="16">
      <c r="A31" s="28"/>
      <c r="B31" s="29"/>
      <c r="C31" s="29" t="s">
        <v>59</v>
      </c>
      <c r="D31" s="28"/>
      <c r="E31" s="51" t="s">
        <v>58</v>
      </c>
      <c r="F31" s="50"/>
      <c r="G31" s="27"/>
      <c r="H31" s="50"/>
      <c r="I31" s="50">
        <f>-1*'12. DoHR'!I48</f>
        <v>3828.4399999999996</v>
      </c>
      <c r="J31" s="50">
        <f>-1*'12. DoHR'!K48</f>
        <v>0</v>
      </c>
      <c r="K31" s="52">
        <f>-1*'12. DoHR'!L48</f>
        <v>1101.6499999999999</v>
      </c>
      <c r="M31" s="48"/>
    </row>
    <row r="32" spans="1:13" ht="16">
      <c r="A32" s="28"/>
      <c r="B32" s="29"/>
      <c r="C32" s="29" t="s">
        <v>57</v>
      </c>
      <c r="D32" s="28"/>
      <c r="E32" s="51" t="s">
        <v>56</v>
      </c>
      <c r="F32" s="50"/>
      <c r="G32" s="27"/>
      <c r="H32" s="50"/>
      <c r="I32" s="50">
        <f>-1*'13. DoIA'!I67</f>
        <v>19518.43</v>
      </c>
      <c r="J32" s="50">
        <f>-1*'13. DoIA'!K67</f>
        <v>2714</v>
      </c>
      <c r="K32" s="52">
        <f>-1*'13. DoIA'!L67</f>
        <v>2541.38</v>
      </c>
      <c r="M32" s="48"/>
    </row>
    <row r="33" spans="1:13" ht="16">
      <c r="A33" s="28"/>
      <c r="B33" s="29"/>
      <c r="C33" s="29" t="s">
        <v>55</v>
      </c>
      <c r="D33" s="28"/>
      <c r="E33" s="51" t="s">
        <v>54</v>
      </c>
      <c r="F33" s="50"/>
      <c r="G33" s="27"/>
      <c r="H33" s="50"/>
      <c r="I33" s="50">
        <f>-1*'14. DoIT'!I53</f>
        <v>17306.718400000002</v>
      </c>
      <c r="J33" s="50">
        <f>-1*'14. DoIT'!K53</f>
        <v>4008.6999999999994</v>
      </c>
      <c r="K33" s="52">
        <f>-1*'14. DoIT'!L53</f>
        <v>4008.6999999999994</v>
      </c>
      <c r="M33" s="48"/>
    </row>
    <row r="34" spans="1:13" ht="16">
      <c r="A34" s="28"/>
      <c r="B34" s="29"/>
      <c r="C34" s="29" t="s">
        <v>53</v>
      </c>
      <c r="D34" s="28"/>
      <c r="E34" s="51" t="s">
        <v>52</v>
      </c>
      <c r="F34" s="50"/>
      <c r="G34" s="27"/>
      <c r="H34" s="50"/>
      <c r="I34" s="50">
        <f>-1*'15. DoPD'!I84</f>
        <v>4437.9054999999989</v>
      </c>
      <c r="J34" s="50">
        <f>-1*'15. DoPD'!K84</f>
        <v>6796.7599999999993</v>
      </c>
      <c r="K34" s="52">
        <f>-1*'15. DoPD'!L84</f>
        <v>6692.2999999999993</v>
      </c>
      <c r="M34" s="48"/>
    </row>
    <row r="35" spans="1:13" ht="16">
      <c r="A35" s="28"/>
      <c r="B35" s="29"/>
      <c r="C35" s="29" t="s">
        <v>51</v>
      </c>
      <c r="D35" s="28"/>
      <c r="E35" s="51" t="s">
        <v>50</v>
      </c>
      <c r="F35" s="50"/>
      <c r="G35" s="27"/>
      <c r="H35" s="50"/>
      <c r="I35" s="50">
        <f>-1*'16. DoS'!I23</f>
        <v>3736.9099999999994</v>
      </c>
      <c r="J35" s="50">
        <f>-1*'16. DoS'!K23</f>
        <v>0</v>
      </c>
      <c r="K35" s="52">
        <f>-1*'16. DoS'!L23</f>
        <v>158.9</v>
      </c>
      <c r="M35" s="48"/>
    </row>
    <row r="36" spans="1:13" ht="16">
      <c r="A36" s="28"/>
      <c r="B36" s="29"/>
      <c r="C36" s="29" t="s">
        <v>49</v>
      </c>
      <c r="D36" s="28"/>
      <c r="E36" s="51" t="s">
        <v>48</v>
      </c>
      <c r="F36" s="50"/>
      <c r="G36" s="27"/>
      <c r="H36" s="50"/>
      <c r="I36" s="50">
        <f>-1*'17. DoSi'!I32</f>
        <v>5441.5149999999985</v>
      </c>
      <c r="J36" s="50">
        <f>-1*'17. DoSi'!K32</f>
        <v>0</v>
      </c>
      <c r="K36" s="52">
        <f>-1*'17. DoSi'!L32</f>
        <v>291.25</v>
      </c>
      <c r="M36" s="48"/>
    </row>
    <row r="37" spans="1:13" s="6" customFormat="1" ht="15" customHeight="1">
      <c r="A37" s="16"/>
      <c r="B37" s="43" t="s">
        <v>47</v>
      </c>
      <c r="C37" s="42"/>
      <c r="D37" s="41"/>
      <c r="E37" s="47"/>
      <c r="F37" s="39"/>
      <c r="G37" s="40"/>
      <c r="H37" s="39"/>
      <c r="I37" s="39">
        <f>SUM(I19:I36)</f>
        <v>153446.12336499998</v>
      </c>
      <c r="J37" s="39">
        <f t="shared" ref="J37:K37" si="3">SUM(J19:J36)</f>
        <v>25396.959999999999</v>
      </c>
      <c r="K37" s="38">
        <f t="shared" si="3"/>
        <v>48135.060000000005</v>
      </c>
      <c r="M37" s="46"/>
    </row>
    <row r="38" spans="1:13" ht="14.25" customHeight="1">
      <c r="A38" s="16" t="s">
        <v>46</v>
      </c>
      <c r="B38" s="29"/>
      <c r="C38" s="29"/>
      <c r="D38" s="28"/>
      <c r="E38" s="44"/>
      <c r="F38" s="26"/>
      <c r="G38" s="27"/>
      <c r="H38" s="26"/>
      <c r="I38" s="26"/>
      <c r="J38" s="26"/>
      <c r="K38" s="25"/>
    </row>
    <row r="39" spans="1:13" ht="14.25" customHeight="1">
      <c r="A39" s="28"/>
      <c r="B39" s="29"/>
      <c r="C39" s="29" t="s">
        <v>45</v>
      </c>
      <c r="D39" s="28"/>
      <c r="E39" s="28" t="s">
        <v>44</v>
      </c>
      <c r="F39" s="26">
        <v>32950</v>
      </c>
      <c r="G39" s="27">
        <v>1</v>
      </c>
      <c r="H39" s="26">
        <f t="shared" ref="H39:H44" si="4">F39*G39</f>
        <v>32950</v>
      </c>
      <c r="I39" s="26">
        <f t="shared" ref="I39:I44" si="5">H39</f>
        <v>32950</v>
      </c>
      <c r="J39" s="26">
        <f>2815+192.1</f>
        <v>3007.1</v>
      </c>
      <c r="K39" s="25"/>
    </row>
    <row r="40" spans="1:13" ht="14.25" customHeight="1">
      <c r="A40" s="28"/>
      <c r="B40" s="29"/>
      <c r="C40" s="29" t="s">
        <v>43</v>
      </c>
      <c r="D40" s="28"/>
      <c r="E40" s="28" t="s">
        <v>42</v>
      </c>
      <c r="F40" s="26">
        <v>73942.67</v>
      </c>
      <c r="G40" s="27">
        <v>1</v>
      </c>
      <c r="H40" s="26">
        <f t="shared" si="4"/>
        <v>73942.67</v>
      </c>
      <c r="I40" s="26">
        <f t="shared" si="5"/>
        <v>73942.67</v>
      </c>
      <c r="J40" s="26">
        <f>0.25*I40</f>
        <v>18485.6675</v>
      </c>
      <c r="K40" s="25"/>
    </row>
    <row r="41" spans="1:13" ht="14.25" customHeight="1">
      <c r="A41" s="28"/>
      <c r="B41" s="29"/>
      <c r="C41" s="29" t="s">
        <v>41</v>
      </c>
      <c r="D41" s="28"/>
      <c r="E41" s="44" t="s">
        <v>40</v>
      </c>
      <c r="F41" s="26">
        <v>21744.560000000001</v>
      </c>
      <c r="G41" s="27">
        <v>1</v>
      </c>
      <c r="H41" s="26">
        <f t="shared" si="4"/>
        <v>21744.560000000001</v>
      </c>
      <c r="I41" s="26">
        <f t="shared" si="5"/>
        <v>21744.560000000001</v>
      </c>
      <c r="J41" s="26">
        <f>0.25*I41</f>
        <v>5436.14</v>
      </c>
      <c r="K41" s="25"/>
    </row>
    <row r="42" spans="1:13" ht="14.25" customHeight="1">
      <c r="A42" s="28"/>
      <c r="B42" s="29"/>
      <c r="C42" s="29" t="s">
        <v>39</v>
      </c>
      <c r="D42" s="28"/>
      <c r="E42" s="28" t="s">
        <v>38</v>
      </c>
      <c r="F42" s="26">
        <v>320.45</v>
      </c>
      <c r="G42" s="27">
        <v>1</v>
      </c>
      <c r="H42" s="26">
        <f t="shared" si="4"/>
        <v>320.45</v>
      </c>
      <c r="I42" s="26">
        <f t="shared" si="5"/>
        <v>320.45</v>
      </c>
      <c r="J42" s="26">
        <f>0.25*I42</f>
        <v>80.112499999999997</v>
      </c>
      <c r="K42" s="25"/>
    </row>
    <row r="43" spans="1:13" ht="14.25" customHeight="1">
      <c r="A43" s="28"/>
      <c r="B43" s="29"/>
      <c r="C43" s="29" t="s">
        <v>37</v>
      </c>
      <c r="D43" s="28"/>
      <c r="E43" s="28" t="s">
        <v>36</v>
      </c>
      <c r="F43" s="26">
        <v>4972</v>
      </c>
      <c r="G43" s="27">
        <v>1</v>
      </c>
      <c r="H43" s="26">
        <f t="shared" si="4"/>
        <v>4972</v>
      </c>
      <c r="I43" s="26">
        <f t="shared" si="5"/>
        <v>4972</v>
      </c>
      <c r="J43" s="26">
        <f>0.25*I43</f>
        <v>1243</v>
      </c>
      <c r="K43" s="25"/>
    </row>
    <row r="44" spans="1:13" ht="14.25" customHeight="1">
      <c r="A44" s="28"/>
      <c r="B44" s="29"/>
      <c r="C44" s="29" t="s">
        <v>35</v>
      </c>
      <c r="D44" s="28"/>
      <c r="E44" s="28" t="s">
        <v>34</v>
      </c>
      <c r="F44" s="26">
        <v>587.71</v>
      </c>
      <c r="G44" s="27">
        <v>1</v>
      </c>
      <c r="H44" s="26">
        <f t="shared" si="4"/>
        <v>587.71</v>
      </c>
      <c r="I44" s="26">
        <f t="shared" si="5"/>
        <v>587.71</v>
      </c>
      <c r="J44" s="26">
        <f>0.25*I44</f>
        <v>146.92750000000001</v>
      </c>
      <c r="K44" s="25"/>
    </row>
    <row r="45" spans="1:13" s="6" customFormat="1" ht="15" customHeight="1">
      <c r="A45" s="16"/>
      <c r="B45" s="43" t="s">
        <v>33</v>
      </c>
      <c r="C45" s="42"/>
      <c r="D45" s="41"/>
      <c r="E45" s="41"/>
      <c r="F45" s="39"/>
      <c r="G45" s="40"/>
      <c r="H45" s="39"/>
      <c r="I45" s="39">
        <f>SUM(I39:I44)</f>
        <v>134517.38999999998</v>
      </c>
      <c r="J45" s="39">
        <f>SUM(J39:J44)</f>
        <v>28398.947499999998</v>
      </c>
      <c r="K45" s="38">
        <f>SUM(K39:K44)</f>
        <v>0</v>
      </c>
    </row>
    <row r="46" spans="1:13" ht="18.75" customHeight="1">
      <c r="A46" s="16" t="s">
        <v>32</v>
      </c>
      <c r="B46" s="29"/>
      <c r="C46" s="29"/>
      <c r="D46" s="28"/>
      <c r="E46" s="44"/>
      <c r="F46" s="26"/>
      <c r="G46" s="27"/>
      <c r="H46" s="26"/>
      <c r="I46" s="26"/>
      <c r="J46" s="26"/>
      <c r="K46" s="25"/>
    </row>
    <row r="47" spans="1:13">
      <c r="A47" s="28"/>
      <c r="B47" s="29"/>
      <c r="C47" s="29" t="s">
        <v>31</v>
      </c>
      <c r="D47" s="28"/>
      <c r="E47" s="28" t="s">
        <v>30</v>
      </c>
      <c r="F47" s="26">
        <v>200</v>
      </c>
      <c r="G47" s="27">
        <v>12</v>
      </c>
      <c r="H47" s="26">
        <f>F47*G47</f>
        <v>2400</v>
      </c>
      <c r="I47" s="26">
        <f t="shared" ref="I47:I52" si="6">H47</f>
        <v>2400</v>
      </c>
      <c r="J47" s="26">
        <f>120.89+252.05+232.42</f>
        <v>605.36</v>
      </c>
      <c r="K47" s="25"/>
    </row>
    <row r="48" spans="1:13">
      <c r="A48" s="28"/>
      <c r="B48" s="29"/>
      <c r="C48" s="29" t="s">
        <v>29</v>
      </c>
      <c r="D48" s="28"/>
      <c r="E48" s="44" t="s">
        <v>28</v>
      </c>
      <c r="F48" s="26">
        <v>912.05</v>
      </c>
      <c r="G48" s="27">
        <v>4</v>
      </c>
      <c r="H48" s="26">
        <f>F48*G48</f>
        <v>3648.2</v>
      </c>
      <c r="I48" s="26">
        <f t="shared" si="6"/>
        <v>3648.2</v>
      </c>
      <c r="J48" s="26">
        <f>0.25*I48</f>
        <v>912.05</v>
      </c>
      <c r="K48" s="25"/>
    </row>
    <row r="49" spans="1:11" ht="15" customHeight="1">
      <c r="A49" s="28"/>
      <c r="B49" s="29"/>
      <c r="C49" s="29" t="s">
        <v>27</v>
      </c>
      <c r="D49" s="28"/>
      <c r="E49" s="44" t="s">
        <v>26</v>
      </c>
      <c r="F49" s="26">
        <v>2000</v>
      </c>
      <c r="G49" s="27">
        <v>1</v>
      </c>
      <c r="H49" s="26">
        <f>F49*G49</f>
        <v>2000</v>
      </c>
      <c r="I49" s="26">
        <f t="shared" si="6"/>
        <v>2000</v>
      </c>
      <c r="J49" s="26">
        <f>0.25*I49</f>
        <v>500</v>
      </c>
      <c r="K49" s="25"/>
    </row>
    <row r="50" spans="1:11">
      <c r="A50" s="28"/>
      <c r="B50" s="29"/>
      <c r="C50" s="29" t="s">
        <v>25</v>
      </c>
      <c r="D50" s="28"/>
      <c r="E50" s="44" t="s">
        <v>24</v>
      </c>
      <c r="F50" s="26">
        <v>1400</v>
      </c>
      <c r="G50" s="27">
        <v>1</v>
      </c>
      <c r="H50" s="26">
        <v>1400</v>
      </c>
      <c r="I50" s="26">
        <f t="shared" si="6"/>
        <v>1400</v>
      </c>
      <c r="J50" s="26">
        <f>0.25*I50</f>
        <v>350</v>
      </c>
      <c r="K50" s="25"/>
    </row>
    <row r="51" spans="1:11">
      <c r="A51" s="28"/>
      <c r="B51" s="29"/>
      <c r="C51" s="29" t="s">
        <v>23</v>
      </c>
      <c r="D51" s="28"/>
      <c r="E51" s="44" t="s">
        <v>22</v>
      </c>
      <c r="F51" s="26">
        <v>80</v>
      </c>
      <c r="G51" s="27">
        <v>12</v>
      </c>
      <c r="H51" s="26">
        <f>F51*12</f>
        <v>960</v>
      </c>
      <c r="I51" s="26">
        <f t="shared" si="6"/>
        <v>960</v>
      </c>
      <c r="J51" s="26">
        <f>0.25*I51</f>
        <v>240</v>
      </c>
      <c r="K51" s="25"/>
    </row>
    <row r="52" spans="1:11">
      <c r="A52" s="28"/>
      <c r="B52" s="29"/>
      <c r="C52" s="29" t="s">
        <v>21</v>
      </c>
      <c r="D52" s="28"/>
      <c r="E52" s="44" t="s">
        <v>20</v>
      </c>
      <c r="F52" s="26">
        <v>1200</v>
      </c>
      <c r="G52" s="27">
        <v>1</v>
      </c>
      <c r="H52" s="26">
        <v>1200</v>
      </c>
      <c r="I52" s="26">
        <f t="shared" si="6"/>
        <v>1200</v>
      </c>
      <c r="J52" s="26">
        <f>0.25*I52</f>
        <v>300</v>
      </c>
      <c r="K52" s="25"/>
    </row>
    <row r="53" spans="1:11" s="6" customFormat="1" ht="14.5">
      <c r="A53" s="16"/>
      <c r="B53" s="43" t="s">
        <v>19</v>
      </c>
      <c r="C53" s="42"/>
      <c r="D53" s="41"/>
      <c r="E53" s="41"/>
      <c r="F53" s="39"/>
      <c r="G53" s="40"/>
      <c r="H53" s="39"/>
      <c r="I53" s="39">
        <f>SUM(I47:I52)</f>
        <v>11608.2</v>
      </c>
      <c r="J53" s="39">
        <f>SUM(J47:J52)</f>
        <v>2907.41</v>
      </c>
      <c r="K53" s="38">
        <f>SUM(K47:K52)</f>
        <v>0</v>
      </c>
    </row>
    <row r="54" spans="1:11">
      <c r="A54" s="16" t="s">
        <v>18</v>
      </c>
      <c r="B54" s="29"/>
      <c r="C54" s="29"/>
      <c r="D54" s="28"/>
      <c r="E54" s="44"/>
      <c r="F54" s="26"/>
      <c r="G54" s="27"/>
      <c r="H54" s="26"/>
      <c r="I54" s="26"/>
      <c r="J54" s="26"/>
      <c r="K54" s="25"/>
    </row>
    <row r="55" spans="1:11">
      <c r="A55" s="28"/>
      <c r="B55" s="29"/>
      <c r="C55" s="29" t="s">
        <v>17</v>
      </c>
      <c r="D55" s="28"/>
      <c r="E55" s="28" t="s">
        <v>16</v>
      </c>
      <c r="F55" s="26">
        <f>21*35*14+(1709.52+3081.91)/3</f>
        <v>11887.143333333333</v>
      </c>
      <c r="G55" s="27">
        <v>3</v>
      </c>
      <c r="H55" s="26">
        <f>F55*G55</f>
        <v>35661.43</v>
      </c>
      <c r="I55" s="26">
        <f>H55</f>
        <v>35661.43</v>
      </c>
      <c r="J55" s="26">
        <f>I55</f>
        <v>35661.43</v>
      </c>
      <c r="K55" s="25"/>
    </row>
    <row r="56" spans="1:11">
      <c r="A56" s="28"/>
      <c r="B56" s="29"/>
      <c r="C56" s="29" t="s">
        <v>15</v>
      </c>
      <c r="D56" s="28"/>
      <c r="E56" s="28" t="s">
        <v>14</v>
      </c>
      <c r="F56" s="26">
        <v>10000</v>
      </c>
      <c r="G56" s="27">
        <v>1</v>
      </c>
      <c r="H56" s="26">
        <f>F56*G56</f>
        <v>10000</v>
      </c>
      <c r="I56" s="26">
        <f>H56</f>
        <v>10000</v>
      </c>
      <c r="J56" s="45"/>
      <c r="K56" s="25"/>
    </row>
    <row r="57" spans="1:11">
      <c r="A57" s="28"/>
      <c r="B57" s="29"/>
      <c r="C57" s="29" t="s">
        <v>13</v>
      </c>
      <c r="D57" s="28"/>
      <c r="E57" s="44" t="s">
        <v>12</v>
      </c>
      <c r="F57" s="26">
        <v>735</v>
      </c>
      <c r="G57" s="27">
        <v>3</v>
      </c>
      <c r="H57" s="26">
        <f>F57*G57</f>
        <v>2205</v>
      </c>
      <c r="I57" s="26">
        <f>H57</f>
        <v>2205</v>
      </c>
      <c r="J57" s="26"/>
      <c r="K57" s="25"/>
    </row>
    <row r="58" spans="1:11">
      <c r="A58" s="28"/>
      <c r="B58" s="29"/>
      <c r="C58" s="29" t="s">
        <v>11</v>
      </c>
      <c r="D58" s="28"/>
      <c r="E58" s="28" t="s">
        <v>10</v>
      </c>
      <c r="F58" s="26">
        <v>6538.05</v>
      </c>
      <c r="G58" s="27">
        <v>3</v>
      </c>
      <c r="H58" s="26">
        <f>F58*G58</f>
        <v>19614.150000000001</v>
      </c>
      <c r="I58" s="26">
        <f>H58</f>
        <v>19614.150000000001</v>
      </c>
      <c r="J58" s="26"/>
      <c r="K58" s="25"/>
    </row>
    <row r="59" spans="1:11" s="6" customFormat="1" ht="14.5">
      <c r="A59" s="16"/>
      <c r="B59" s="43" t="s">
        <v>9</v>
      </c>
      <c r="C59" s="42"/>
      <c r="D59" s="41"/>
      <c r="E59" s="41"/>
      <c r="F59" s="39"/>
      <c r="G59" s="40"/>
      <c r="H59" s="39"/>
      <c r="I59" s="39">
        <f>SUM(I55:I58)</f>
        <v>67480.58</v>
      </c>
      <c r="J59" s="39">
        <f>SUM(J55:J58)</f>
        <v>35661.43</v>
      </c>
      <c r="K59" s="38">
        <f>SUM(K55:K58)</f>
        <v>0</v>
      </c>
    </row>
    <row r="60" spans="1:11">
      <c r="A60" s="28"/>
      <c r="B60" s="29"/>
      <c r="C60" s="29"/>
      <c r="D60" s="28"/>
      <c r="E60" s="28"/>
      <c r="F60" s="26"/>
      <c r="G60" s="27"/>
      <c r="H60" s="26"/>
      <c r="I60" s="26"/>
      <c r="J60" s="26"/>
      <c r="K60" s="25"/>
    </row>
    <row r="61" spans="1:11" s="30" customFormat="1" ht="14.5">
      <c r="A61" s="37"/>
      <c r="B61" s="36" t="s">
        <v>8</v>
      </c>
      <c r="C61" s="35"/>
      <c r="D61" s="34"/>
      <c r="E61" s="34"/>
      <c r="F61" s="32"/>
      <c r="G61" s="33"/>
      <c r="H61" s="32"/>
      <c r="I61" s="32">
        <f>SUM(I59,I53,I45,I37)</f>
        <v>367052.29336499993</v>
      </c>
      <c r="J61" s="32">
        <f t="shared" ref="J61:K61" si="7">SUM(J59,J53,J45,J37)</f>
        <v>92364.747499999998</v>
      </c>
      <c r="K61" s="31">
        <f t="shared" si="7"/>
        <v>48135.060000000005</v>
      </c>
    </row>
    <row r="62" spans="1:11">
      <c r="A62" s="28"/>
      <c r="B62" s="29"/>
      <c r="C62" s="29"/>
      <c r="D62" s="28"/>
      <c r="E62" s="28"/>
      <c r="F62" s="26"/>
      <c r="G62" s="27"/>
      <c r="H62" s="26"/>
      <c r="I62" s="26"/>
      <c r="J62" s="26"/>
      <c r="K62" s="25"/>
    </row>
    <row r="63" spans="1:11" ht="15" customHeight="1">
      <c r="A63" s="24" t="s">
        <v>7</v>
      </c>
      <c r="B63" s="23"/>
      <c r="C63" s="23"/>
      <c r="D63" s="22"/>
      <c r="E63" s="22"/>
      <c r="F63" s="20"/>
      <c r="G63" s="21"/>
      <c r="H63" s="20"/>
      <c r="I63" s="20"/>
      <c r="J63" s="20"/>
      <c r="K63" s="19"/>
    </row>
    <row r="64" spans="1:11" s="6" customFormat="1" ht="14.5">
      <c r="A64" s="16"/>
      <c r="B64" s="17" t="s">
        <v>6</v>
      </c>
      <c r="C64" s="17"/>
      <c r="D64" s="16"/>
      <c r="E64" s="16"/>
      <c r="F64" s="14"/>
      <c r="G64" s="15"/>
      <c r="H64" s="14"/>
      <c r="I64" s="14">
        <f>I15</f>
        <v>376279.59</v>
      </c>
      <c r="J64" s="14">
        <f>J15</f>
        <v>47715.647499999999</v>
      </c>
      <c r="K64" s="18">
        <f>K15</f>
        <v>246218.920675</v>
      </c>
    </row>
    <row r="65" spans="1:11" s="6" customFormat="1" ht="14.5">
      <c r="A65" s="16"/>
      <c r="B65" s="17" t="s">
        <v>5</v>
      </c>
      <c r="C65" s="17"/>
      <c r="D65" s="16"/>
      <c r="E65" s="16"/>
      <c r="F65" s="14"/>
      <c r="G65" s="15"/>
      <c r="H65" s="14"/>
      <c r="I65" s="14">
        <f>I61</f>
        <v>367052.29336499993</v>
      </c>
      <c r="J65" s="14">
        <f>J61</f>
        <v>92364.747499999998</v>
      </c>
      <c r="K65" s="13">
        <f>K61</f>
        <v>48135.060000000005</v>
      </c>
    </row>
    <row r="66" spans="1:11" s="6" customFormat="1" ht="14.5">
      <c r="A66" s="11"/>
      <c r="B66" s="12" t="s">
        <v>4</v>
      </c>
      <c r="C66" s="12"/>
      <c r="D66" s="11"/>
      <c r="E66" s="11"/>
      <c r="F66" s="8"/>
      <c r="G66" s="10"/>
      <c r="H66" s="8"/>
      <c r="I66" s="9">
        <f>SUM(I64,I65*-1)</f>
        <v>9227.2966350000934</v>
      </c>
      <c r="J66" s="8">
        <f>SUM(J64,J65*-1)</f>
        <v>-44649.1</v>
      </c>
      <c r="K66" s="7">
        <f>SUM(K64,K65*-1)</f>
        <v>198083.860675</v>
      </c>
    </row>
  </sheetData>
  <mergeCells count="1">
    <mergeCell ref="B1:K1"/>
  </mergeCells>
  <conditionalFormatting sqref="B46:D47 B19:D27 B41:K45 F46:K47 B6:K6 B48:K53 F54:K55 F38:K39 B7:E7 G7:J7 B8:J10 B11:K16 K6:K10 F19:K36 B37:K37 B57:K66">
    <cfRule type="expression" dxfId="257" priority="10">
      <formula>MOD($B6,2)=1</formula>
    </cfRule>
  </conditionalFormatting>
  <conditionalFormatting sqref="B34:D36">
    <cfRule type="expression" dxfId="256" priority="9">
      <formula>MOD($B34,2)=1</formula>
    </cfRule>
  </conditionalFormatting>
  <conditionalFormatting sqref="E46">
    <cfRule type="expression" dxfId="255" priority="11">
      <formula>MOD($B47,2)=1</formula>
    </cfRule>
  </conditionalFormatting>
  <conditionalFormatting sqref="B54:D56 F56:K56">
    <cfRule type="expression" dxfId="254" priority="7">
      <formula>MOD($B54,2)=1</formula>
    </cfRule>
  </conditionalFormatting>
  <conditionalFormatting sqref="E54">
    <cfRule type="expression" dxfId="253" priority="8">
      <formula>MOD($B55,2)=1</formula>
    </cfRule>
  </conditionalFormatting>
  <conditionalFormatting sqref="B31:D33">
    <cfRule type="expression" dxfId="252" priority="6">
      <formula>MOD($B31,2)=1</formula>
    </cfRule>
  </conditionalFormatting>
  <conditionalFormatting sqref="B28:D30">
    <cfRule type="expression" dxfId="251" priority="5">
      <formula>MOD($B28,2)=1</formula>
    </cfRule>
  </conditionalFormatting>
  <conditionalFormatting sqref="B38:D40 F40:K40">
    <cfRule type="expression" dxfId="250" priority="3">
      <formula>MOD($B38,2)=1</formula>
    </cfRule>
  </conditionalFormatting>
  <conditionalFormatting sqref="E38">
    <cfRule type="expression" dxfId="249" priority="4">
      <formula>MOD($B39,2)=1</formula>
    </cfRule>
  </conditionalFormatting>
  <conditionalFormatting sqref="M19:M37">
    <cfRule type="expression" dxfId="248" priority="2">
      <formula>MOD($B19,2)=1</formula>
    </cfRule>
  </conditionalFormatting>
  <conditionalFormatting sqref="F7">
    <cfRule type="expression" dxfId="247" priority="1">
      <formula>MOD($B7,2)=1</formula>
    </cfRule>
  </conditionalFormatting>
  <pageMargins left="0.7" right="0.7" top="0.75" bottom="0.75" header="0.3" footer="0.3"/>
  <pageSetup scale="26" fitToWidth="0" fitToHeight="0"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854319-6537-46CD-91D0-CFD5F240518F}">
  <sheetPr codeName="Sheet8"/>
  <dimension ref="A1:M220"/>
  <sheetViews>
    <sheetView showGridLines="0" zoomScale="36" zoomScaleNormal="75" workbookViewId="0">
      <pane ySplit="2" topLeftCell="A183" activePane="bottomLeft" state="frozen"/>
      <selection pane="bottomLeft" activeCell="J36" sqref="J36"/>
    </sheetView>
  </sheetViews>
  <sheetFormatPr defaultColWidth="9.58203125" defaultRowHeight="15.5"/>
  <cols>
    <col min="1" max="1" width="29.58203125" style="182" customWidth="1"/>
    <col min="2" max="3" width="23.1640625" style="183" customWidth="1"/>
    <col min="4" max="4" width="29.4140625" style="183" customWidth="1"/>
    <col min="5" max="5" width="36.33203125" style="182" customWidth="1"/>
    <col min="6" max="6" width="15.25" style="180" customWidth="1"/>
    <col min="7" max="7" width="15.25" style="181" customWidth="1"/>
    <col min="8" max="8" width="19.33203125" style="180" customWidth="1"/>
    <col min="9" max="9" width="18.83203125" style="180" customWidth="1"/>
    <col min="10" max="11" width="20.58203125" style="180" customWidth="1"/>
    <col min="12" max="12" width="20.83203125" style="179" customWidth="1"/>
    <col min="13" max="13" width="14.33203125" style="182" customWidth="1"/>
    <col min="14" max="16384" width="9.58203125" style="182"/>
  </cols>
  <sheetData>
    <row r="1" spans="1:12" ht="148.5" customHeight="1">
      <c r="B1" s="369" t="s">
        <v>960</v>
      </c>
      <c r="C1" s="369"/>
      <c r="D1" s="369"/>
      <c r="E1" s="369"/>
      <c r="F1" s="369"/>
      <c r="G1" s="369"/>
      <c r="H1" s="369"/>
      <c r="I1" s="369"/>
      <c r="J1" s="369"/>
      <c r="K1" s="369"/>
    </row>
    <row r="2" spans="1:12" s="260" customFormat="1" ht="15" customHeight="1">
      <c r="A2" s="222" t="s">
        <v>106</v>
      </c>
      <c r="B2" s="222" t="s">
        <v>105</v>
      </c>
      <c r="C2" s="222" t="s">
        <v>104</v>
      </c>
      <c r="D2" s="222" t="s">
        <v>103</v>
      </c>
      <c r="E2" s="222" t="s">
        <v>102</v>
      </c>
      <c r="F2" s="221" t="s">
        <v>101</v>
      </c>
      <c r="G2" s="222" t="s">
        <v>1</v>
      </c>
      <c r="H2" s="221" t="s">
        <v>100</v>
      </c>
      <c r="I2" s="221" t="s">
        <v>99</v>
      </c>
      <c r="J2" s="221" t="s">
        <v>176</v>
      </c>
      <c r="K2" s="221" t="s">
        <v>98</v>
      </c>
      <c r="L2" s="292" t="s">
        <v>2</v>
      </c>
    </row>
    <row r="3" spans="1:12" s="262" customFormat="1">
      <c r="B3" s="183"/>
      <c r="C3" s="183"/>
      <c r="D3" s="183"/>
      <c r="F3" s="180"/>
      <c r="G3" s="181"/>
      <c r="H3" s="180"/>
      <c r="I3" s="180"/>
      <c r="J3" s="180"/>
      <c r="K3" s="180"/>
      <c r="L3" s="263"/>
    </row>
    <row r="4" spans="1:12" s="262" customFormat="1">
      <c r="A4" s="264" t="s">
        <v>0</v>
      </c>
      <c r="B4" s="200"/>
      <c r="C4" s="200"/>
      <c r="D4" s="200"/>
      <c r="E4" s="265"/>
      <c r="F4" s="197"/>
      <c r="G4" s="198"/>
      <c r="H4" s="197"/>
      <c r="I4" s="197"/>
      <c r="J4" s="197"/>
      <c r="K4" s="197"/>
      <c r="L4" s="266"/>
    </row>
    <row r="5" spans="1:12" s="262" customFormat="1">
      <c r="A5" s="267" t="s">
        <v>915</v>
      </c>
      <c r="B5" s="238"/>
      <c r="C5" s="238"/>
      <c r="D5" s="238"/>
      <c r="E5" s="268"/>
      <c r="F5" s="236"/>
      <c r="G5" s="237"/>
      <c r="H5" s="236"/>
      <c r="I5" s="236"/>
      <c r="J5" s="236"/>
      <c r="K5" s="236"/>
      <c r="L5" s="269"/>
    </row>
    <row r="6" spans="1:12" s="262" customFormat="1">
      <c r="A6" s="227" t="s">
        <v>959</v>
      </c>
      <c r="B6" s="183"/>
      <c r="C6" s="183"/>
      <c r="D6" s="183"/>
      <c r="F6" s="180"/>
      <c r="G6" s="181"/>
      <c r="H6" s="180"/>
      <c r="I6" s="180"/>
      <c r="J6" s="180"/>
      <c r="K6" s="180"/>
      <c r="L6" s="270"/>
    </row>
    <row r="7" spans="1:12" s="262" customFormat="1">
      <c r="B7" s="183">
        <v>85000</v>
      </c>
      <c r="C7" s="183" t="s">
        <v>760</v>
      </c>
      <c r="D7" s="183"/>
      <c r="E7" s="262" t="s">
        <v>958</v>
      </c>
      <c r="F7" s="180">
        <v>2</v>
      </c>
      <c r="G7" s="181">
        <v>20</v>
      </c>
      <c r="H7" s="180">
        <f>F7*G7</f>
        <v>40</v>
      </c>
      <c r="I7" s="180">
        <f>H7*1.13</f>
        <v>45.199999999999996</v>
      </c>
      <c r="J7" s="180">
        <f>I7*0.75</f>
        <v>33.9</v>
      </c>
      <c r="K7" s="180"/>
      <c r="L7" s="270"/>
    </row>
    <row r="8" spans="1:12" s="262" customFormat="1">
      <c r="B8" s="183">
        <v>85001</v>
      </c>
      <c r="C8" s="183" t="s">
        <v>957</v>
      </c>
      <c r="D8" s="183"/>
      <c r="E8" s="262" t="s">
        <v>956</v>
      </c>
      <c r="F8" s="180">
        <v>5</v>
      </c>
      <c r="G8" s="181">
        <v>10</v>
      </c>
      <c r="H8" s="180">
        <f>F8*G8</f>
        <v>50</v>
      </c>
      <c r="I8" s="180">
        <f>H8*1.13</f>
        <v>56.499999999999993</v>
      </c>
      <c r="J8" s="180">
        <f>I8*0.75</f>
        <v>42.374999999999993</v>
      </c>
      <c r="K8" s="180"/>
      <c r="L8" s="270"/>
    </row>
    <row r="9" spans="1:12" s="262" customFormat="1">
      <c r="B9" s="183"/>
      <c r="C9" s="183"/>
      <c r="D9" s="183"/>
      <c r="F9" s="180"/>
      <c r="G9" s="181"/>
      <c r="H9" s="180"/>
      <c r="I9" s="180"/>
      <c r="J9" s="180"/>
      <c r="K9" s="180"/>
      <c r="L9" s="270"/>
    </row>
    <row r="10" spans="1:12" s="262" customFormat="1" ht="14.5">
      <c r="A10" s="271"/>
      <c r="B10" s="214" t="s">
        <v>955</v>
      </c>
      <c r="C10" s="213"/>
      <c r="D10" s="213"/>
      <c r="E10" s="272"/>
      <c r="F10" s="210"/>
      <c r="G10" s="211"/>
      <c r="H10" s="210"/>
      <c r="I10" s="210">
        <f>SUM(I7:I8)</f>
        <v>101.69999999999999</v>
      </c>
      <c r="J10" s="210">
        <f t="shared" ref="J10:L10" si="0">SUM(J7:J8)</f>
        <v>76.274999999999991</v>
      </c>
      <c r="K10" s="210">
        <f t="shared" si="0"/>
        <v>0</v>
      </c>
      <c r="L10" s="216">
        <f t="shared" si="0"/>
        <v>0</v>
      </c>
    </row>
    <row r="11" spans="1:12" s="262" customFormat="1">
      <c r="B11" s="183"/>
      <c r="C11" s="183"/>
      <c r="D11" s="183"/>
      <c r="F11" s="180"/>
      <c r="G11" s="181"/>
      <c r="H11" s="180"/>
      <c r="I11" s="180"/>
      <c r="J11" s="180"/>
      <c r="K11" s="180"/>
      <c r="L11" s="270"/>
    </row>
    <row r="12" spans="1:12" s="262" customFormat="1">
      <c r="A12" s="227" t="s">
        <v>923</v>
      </c>
      <c r="B12" s="183"/>
      <c r="C12" s="183"/>
      <c r="D12" s="183"/>
      <c r="F12" s="180"/>
      <c r="G12" s="181"/>
      <c r="H12" s="180"/>
      <c r="I12" s="180"/>
      <c r="J12" s="180"/>
      <c r="K12" s="180"/>
      <c r="L12" s="270"/>
    </row>
    <row r="13" spans="1:12" s="262" customFormat="1">
      <c r="B13" s="183">
        <v>85003</v>
      </c>
      <c r="C13" s="183" t="s">
        <v>954</v>
      </c>
      <c r="D13" s="183"/>
      <c r="E13" s="262" t="s">
        <v>952</v>
      </c>
      <c r="F13" s="180">
        <v>5</v>
      </c>
      <c r="G13" s="181">
        <v>60</v>
      </c>
      <c r="H13" s="180">
        <f>F13*G13</f>
        <v>300</v>
      </c>
      <c r="I13" s="180">
        <f>H13*1.13</f>
        <v>338.99999999999994</v>
      </c>
      <c r="J13" s="180">
        <f>I13*0.75</f>
        <v>254.24999999999994</v>
      </c>
      <c r="K13" s="180"/>
      <c r="L13" s="270"/>
    </row>
    <row r="14" spans="1:12" s="262" customFormat="1">
      <c r="B14" s="183">
        <v>85004</v>
      </c>
      <c r="C14" s="183" t="s">
        <v>953</v>
      </c>
      <c r="D14" s="183"/>
      <c r="E14" s="262" t="s">
        <v>952</v>
      </c>
      <c r="F14" s="180">
        <v>5</v>
      </c>
      <c r="G14" s="181">
        <v>30</v>
      </c>
      <c r="H14" s="180">
        <f>F14*G14</f>
        <v>150</v>
      </c>
      <c r="I14" s="180">
        <f>H14*1.13</f>
        <v>169.49999999999997</v>
      </c>
      <c r="J14" s="180">
        <f>I14*0.75</f>
        <v>127.12499999999997</v>
      </c>
      <c r="K14" s="180">
        <v>40</v>
      </c>
      <c r="L14" s="270">
        <v>42.5</v>
      </c>
    </row>
    <row r="15" spans="1:12" s="262" customFormat="1">
      <c r="B15" s="183"/>
      <c r="C15" s="183"/>
      <c r="D15" s="183"/>
      <c r="F15" s="180"/>
      <c r="G15" s="181"/>
      <c r="H15" s="180"/>
      <c r="I15" s="180"/>
      <c r="J15" s="180"/>
      <c r="K15" s="180"/>
      <c r="L15" s="270"/>
    </row>
    <row r="16" spans="1:12" s="262" customFormat="1" ht="14.5">
      <c r="A16" s="271"/>
      <c r="B16" s="214" t="s">
        <v>951</v>
      </c>
      <c r="C16" s="213"/>
      <c r="D16" s="213"/>
      <c r="E16" s="272"/>
      <c r="F16" s="210"/>
      <c r="G16" s="211"/>
      <c r="H16" s="210"/>
      <c r="I16" s="210">
        <f>SUM(I13:I14)</f>
        <v>508.49999999999989</v>
      </c>
      <c r="J16" s="210">
        <f t="shared" ref="J16:L16" si="1">SUM(J13:J14)</f>
        <v>381.37499999999989</v>
      </c>
      <c r="K16" s="210">
        <f t="shared" si="1"/>
        <v>40</v>
      </c>
      <c r="L16" s="216">
        <f t="shared" si="1"/>
        <v>42.5</v>
      </c>
    </row>
    <row r="17" spans="1:12" s="262" customFormat="1">
      <c r="B17" s="183"/>
      <c r="C17" s="183"/>
      <c r="D17" s="183"/>
      <c r="F17" s="180"/>
      <c r="G17" s="181"/>
      <c r="H17" s="180"/>
      <c r="I17" s="180"/>
      <c r="J17" s="180"/>
      <c r="K17" s="180"/>
      <c r="L17" s="270"/>
    </row>
    <row r="18" spans="1:12" s="262" customFormat="1">
      <c r="A18" s="227" t="s">
        <v>223</v>
      </c>
      <c r="B18" s="183"/>
      <c r="C18" s="183"/>
      <c r="D18" s="183"/>
      <c r="F18" s="180"/>
      <c r="G18" s="181"/>
      <c r="H18" s="180"/>
      <c r="I18" s="180"/>
      <c r="J18" s="180"/>
      <c r="K18" s="180"/>
      <c r="L18" s="270"/>
    </row>
    <row r="19" spans="1:12" s="262" customFormat="1">
      <c r="B19" s="183">
        <v>85005</v>
      </c>
      <c r="C19" s="183" t="s">
        <v>950</v>
      </c>
      <c r="D19" s="183"/>
      <c r="E19" s="262" t="s">
        <v>948</v>
      </c>
      <c r="F19" s="180">
        <v>3.5</v>
      </c>
      <c r="G19" s="181">
        <v>60</v>
      </c>
      <c r="H19" s="180">
        <v>210</v>
      </c>
      <c r="I19" s="180">
        <v>237.3</v>
      </c>
      <c r="J19" s="180">
        <v>177.98</v>
      </c>
      <c r="K19" s="180">
        <v>0</v>
      </c>
      <c r="L19" s="270">
        <v>0</v>
      </c>
    </row>
    <row r="20" spans="1:12" s="262" customFormat="1">
      <c r="B20" s="183">
        <v>85006</v>
      </c>
      <c r="C20" s="183" t="s">
        <v>912</v>
      </c>
      <c r="D20" s="183"/>
      <c r="E20" s="262" t="s">
        <v>948</v>
      </c>
      <c r="F20" s="180">
        <v>3.5</v>
      </c>
      <c r="G20" s="181">
        <v>40</v>
      </c>
      <c r="H20" s="180">
        <v>140</v>
      </c>
      <c r="I20" s="180">
        <v>158.19999999999999</v>
      </c>
      <c r="J20" s="180">
        <v>118.65</v>
      </c>
      <c r="K20" s="180">
        <v>0</v>
      </c>
      <c r="L20" s="270">
        <v>0</v>
      </c>
    </row>
    <row r="21" spans="1:12" s="262" customFormat="1">
      <c r="B21" s="183">
        <v>85007</v>
      </c>
      <c r="C21" s="183" t="s">
        <v>949</v>
      </c>
      <c r="D21" s="183"/>
      <c r="E21" s="262" t="s">
        <v>948</v>
      </c>
      <c r="F21" s="180">
        <v>3.5</v>
      </c>
      <c r="G21" s="181">
        <v>30</v>
      </c>
      <c r="H21" s="180">
        <v>105</v>
      </c>
      <c r="I21" s="180">
        <v>118.65</v>
      </c>
      <c r="J21" s="180">
        <v>88.99</v>
      </c>
      <c r="K21" s="180">
        <v>0</v>
      </c>
      <c r="L21" s="270">
        <v>0</v>
      </c>
    </row>
    <row r="22" spans="1:12" s="262" customFormat="1">
      <c r="B22" s="183">
        <v>85008</v>
      </c>
      <c r="C22" s="183" t="s">
        <v>847</v>
      </c>
      <c r="D22" s="183"/>
      <c r="E22" s="262" t="s">
        <v>947</v>
      </c>
      <c r="F22" s="180">
        <v>1.5</v>
      </c>
      <c r="G22" s="181">
        <v>40</v>
      </c>
      <c r="H22" s="180">
        <v>60</v>
      </c>
      <c r="I22" s="180">
        <v>67.8</v>
      </c>
      <c r="J22" s="180">
        <v>50.85</v>
      </c>
      <c r="K22" s="180">
        <v>0</v>
      </c>
      <c r="L22" s="270">
        <v>0</v>
      </c>
    </row>
    <row r="23" spans="1:12" s="262" customFormat="1">
      <c r="B23" s="183">
        <v>85009</v>
      </c>
      <c r="C23" s="183" t="s">
        <v>946</v>
      </c>
      <c r="D23" s="183"/>
      <c r="E23" s="262" t="s">
        <v>945</v>
      </c>
      <c r="F23" s="180">
        <v>0.5</v>
      </c>
      <c r="G23" s="181">
        <v>50</v>
      </c>
      <c r="H23" s="180">
        <v>25</v>
      </c>
      <c r="I23" s="180">
        <v>28.25</v>
      </c>
      <c r="J23" s="180">
        <v>21.19</v>
      </c>
      <c r="K23" s="180">
        <v>0</v>
      </c>
      <c r="L23" s="270">
        <v>0</v>
      </c>
    </row>
    <row r="24" spans="1:12" s="262" customFormat="1">
      <c r="B24" s="183"/>
      <c r="C24" s="183"/>
      <c r="D24" s="183"/>
      <c r="F24" s="180"/>
      <c r="G24" s="181"/>
      <c r="H24" s="180"/>
      <c r="I24" s="180"/>
      <c r="J24" s="180"/>
      <c r="K24" s="180"/>
      <c r="L24" s="270"/>
    </row>
    <row r="25" spans="1:12" s="262" customFormat="1" ht="14.5">
      <c r="A25" s="271"/>
      <c r="B25" s="214" t="s">
        <v>898</v>
      </c>
      <c r="C25" s="213"/>
      <c r="D25" s="213"/>
      <c r="E25" s="272"/>
      <c r="F25" s="210"/>
      <c r="G25" s="211"/>
      <c r="H25" s="210"/>
      <c r="I25" s="210">
        <f>SUM(I19:I23)</f>
        <v>610.19999999999993</v>
      </c>
      <c r="J25" s="210">
        <f t="shared" ref="J25:L25" si="2">SUM(J19:J23)</f>
        <v>457.66</v>
      </c>
      <c r="K25" s="210">
        <f t="shared" si="2"/>
        <v>0</v>
      </c>
      <c r="L25" s="216">
        <f t="shared" si="2"/>
        <v>0</v>
      </c>
    </row>
    <row r="26" spans="1:12" s="262" customFormat="1">
      <c r="B26" s="183"/>
      <c r="C26" s="183"/>
      <c r="D26" s="183"/>
      <c r="F26" s="180"/>
      <c r="G26" s="181"/>
      <c r="H26" s="180"/>
      <c r="I26" s="180"/>
      <c r="J26" s="180"/>
      <c r="K26" s="180"/>
      <c r="L26" s="270"/>
    </row>
    <row r="27" spans="1:12" s="262" customFormat="1">
      <c r="A27" s="227" t="s">
        <v>944</v>
      </c>
      <c r="B27" s="183"/>
      <c r="C27" s="183"/>
      <c r="D27" s="183"/>
      <c r="F27" s="180"/>
      <c r="G27" s="181"/>
      <c r="H27" s="180"/>
      <c r="I27" s="180"/>
      <c r="J27" s="180"/>
      <c r="K27" s="180"/>
      <c r="L27" s="270"/>
    </row>
    <row r="28" spans="1:12" s="262" customFormat="1">
      <c r="B28" s="183">
        <v>85010</v>
      </c>
      <c r="C28" s="183" t="s">
        <v>943</v>
      </c>
      <c r="D28" s="183"/>
      <c r="E28" s="262" t="s">
        <v>941</v>
      </c>
      <c r="F28" s="180">
        <v>8</v>
      </c>
      <c r="G28" s="181">
        <v>10</v>
      </c>
      <c r="H28" s="180">
        <f t="shared" ref="H28:H33" si="3">F28*G28</f>
        <v>80</v>
      </c>
      <c r="I28" s="180">
        <f t="shared" ref="I28:I33" si="4">H28*1.13</f>
        <v>90.399999999999991</v>
      </c>
      <c r="J28" s="180">
        <f t="shared" ref="J28:J33" si="5">I28*0.75</f>
        <v>67.8</v>
      </c>
      <c r="K28" s="180"/>
      <c r="L28" s="270"/>
    </row>
    <row r="29" spans="1:12" s="262" customFormat="1">
      <c r="B29" s="183">
        <v>85011</v>
      </c>
      <c r="C29" s="183" t="s">
        <v>942</v>
      </c>
      <c r="D29" s="183"/>
      <c r="E29" s="262" t="s">
        <v>941</v>
      </c>
      <c r="F29" s="180">
        <v>5</v>
      </c>
      <c r="G29" s="181">
        <v>10</v>
      </c>
      <c r="H29" s="180">
        <f t="shared" si="3"/>
        <v>50</v>
      </c>
      <c r="I29" s="180">
        <f t="shared" si="4"/>
        <v>56.499999999999993</v>
      </c>
      <c r="J29" s="180">
        <f t="shared" si="5"/>
        <v>42.374999999999993</v>
      </c>
      <c r="K29" s="180"/>
      <c r="L29" s="270"/>
    </row>
    <row r="30" spans="1:12" s="262" customFormat="1">
      <c r="B30" s="183">
        <v>85012</v>
      </c>
      <c r="C30" s="183" t="s">
        <v>940</v>
      </c>
      <c r="D30" s="183"/>
      <c r="E30" s="262" t="s">
        <v>935</v>
      </c>
      <c r="F30" s="180">
        <v>15</v>
      </c>
      <c r="G30" s="181">
        <v>20</v>
      </c>
      <c r="H30" s="180">
        <f t="shared" si="3"/>
        <v>300</v>
      </c>
      <c r="I30" s="180">
        <f t="shared" si="4"/>
        <v>338.99999999999994</v>
      </c>
      <c r="J30" s="180">
        <f t="shared" si="5"/>
        <v>254.24999999999994</v>
      </c>
      <c r="K30" s="180">
        <v>0</v>
      </c>
      <c r="L30" s="270">
        <v>0</v>
      </c>
    </row>
    <row r="31" spans="1:12" s="262" customFormat="1">
      <c r="B31" s="183">
        <v>85013</v>
      </c>
      <c r="C31" s="183" t="s">
        <v>939</v>
      </c>
      <c r="D31" s="183"/>
      <c r="E31" s="262" t="s">
        <v>935</v>
      </c>
      <c r="F31" s="180">
        <v>10</v>
      </c>
      <c r="G31" s="181">
        <v>10</v>
      </c>
      <c r="H31" s="180">
        <f t="shared" si="3"/>
        <v>100</v>
      </c>
      <c r="I31" s="180">
        <f t="shared" si="4"/>
        <v>112.99999999999999</v>
      </c>
      <c r="J31" s="180">
        <f t="shared" si="5"/>
        <v>84.749999999999986</v>
      </c>
      <c r="K31" s="180">
        <v>0</v>
      </c>
      <c r="L31" s="270">
        <v>0</v>
      </c>
    </row>
    <row r="32" spans="1:12" s="262" customFormat="1">
      <c r="B32" s="183">
        <v>85014</v>
      </c>
      <c r="C32" s="183" t="s">
        <v>938</v>
      </c>
      <c r="D32" s="183"/>
      <c r="E32" s="262" t="s">
        <v>937</v>
      </c>
      <c r="F32" s="180">
        <v>2</v>
      </c>
      <c r="G32" s="181">
        <v>25</v>
      </c>
      <c r="H32" s="180">
        <f t="shared" si="3"/>
        <v>50</v>
      </c>
      <c r="I32" s="180">
        <f t="shared" si="4"/>
        <v>56.499999999999993</v>
      </c>
      <c r="J32" s="180">
        <f t="shared" si="5"/>
        <v>42.374999999999993</v>
      </c>
      <c r="K32" s="180">
        <v>61.25</v>
      </c>
      <c r="L32" s="270">
        <v>61.25</v>
      </c>
    </row>
    <row r="33" spans="1:12" s="262" customFormat="1">
      <c r="B33" s="183">
        <v>85015</v>
      </c>
      <c r="C33" s="183" t="s">
        <v>936</v>
      </c>
      <c r="D33" s="183"/>
      <c r="E33" s="262" t="s">
        <v>935</v>
      </c>
      <c r="F33" s="180">
        <v>30</v>
      </c>
      <c r="G33" s="181">
        <v>15</v>
      </c>
      <c r="H33" s="180">
        <f t="shared" si="3"/>
        <v>450</v>
      </c>
      <c r="I33" s="180">
        <f t="shared" si="4"/>
        <v>508.49999999999994</v>
      </c>
      <c r="J33" s="180">
        <f t="shared" si="5"/>
        <v>381.37499999999994</v>
      </c>
      <c r="K33" s="180"/>
      <c r="L33" s="270"/>
    </row>
    <row r="34" spans="1:12" s="262" customFormat="1">
      <c r="B34" s="183"/>
      <c r="C34" s="183"/>
      <c r="D34" s="183"/>
      <c r="F34" s="180"/>
      <c r="G34" s="181"/>
      <c r="H34" s="180"/>
      <c r="I34" s="180"/>
      <c r="J34" s="180"/>
      <c r="K34" s="180"/>
      <c r="L34" s="270"/>
    </row>
    <row r="35" spans="1:12" s="262" customFormat="1" ht="14.5">
      <c r="A35" s="271"/>
      <c r="B35" s="214" t="s">
        <v>934</v>
      </c>
      <c r="C35" s="213"/>
      <c r="D35" s="213"/>
      <c r="E35" s="272"/>
      <c r="F35" s="210"/>
      <c r="G35" s="211"/>
      <c r="H35" s="210"/>
      <c r="I35" s="210">
        <f>SUM(I28:I33)</f>
        <v>1163.8999999999999</v>
      </c>
      <c r="J35" s="210">
        <f t="shared" ref="J35:L35" si="6">SUM(J28:J33)</f>
        <v>872.92499999999995</v>
      </c>
      <c r="K35" s="210">
        <f t="shared" si="6"/>
        <v>61.25</v>
      </c>
      <c r="L35" s="216">
        <f t="shared" si="6"/>
        <v>61.25</v>
      </c>
    </row>
    <row r="36" spans="1:12" s="262" customFormat="1">
      <c r="B36" s="183"/>
      <c r="C36" s="183"/>
      <c r="D36" s="183"/>
      <c r="F36" s="180"/>
      <c r="G36" s="181"/>
      <c r="H36" s="180"/>
      <c r="I36" s="180"/>
      <c r="J36" s="180"/>
      <c r="K36" s="180"/>
      <c r="L36" s="270"/>
    </row>
    <row r="37" spans="1:12" s="262" customFormat="1" ht="14.5">
      <c r="A37" s="273"/>
      <c r="B37" s="208" t="s">
        <v>933</v>
      </c>
      <c r="C37" s="207"/>
      <c r="D37" s="207"/>
      <c r="E37" s="274"/>
      <c r="F37" s="204"/>
      <c r="G37" s="205"/>
      <c r="H37" s="204"/>
      <c r="I37" s="204">
        <f>SUM(I35,I25,I16,I10)</f>
        <v>2384.2999999999997</v>
      </c>
      <c r="J37" s="204">
        <f t="shared" ref="J37:L37" si="7">SUM(J35,J25,J16,J10)</f>
        <v>1788.2350000000001</v>
      </c>
      <c r="K37" s="204">
        <f t="shared" si="7"/>
        <v>101.25</v>
      </c>
      <c r="L37" s="215">
        <f t="shared" si="7"/>
        <v>103.75</v>
      </c>
    </row>
    <row r="38" spans="1:12" s="262" customFormat="1">
      <c r="B38" s="183"/>
      <c r="C38" s="183"/>
      <c r="D38" s="183"/>
      <c r="F38" s="180"/>
      <c r="G38" s="181"/>
      <c r="H38" s="180"/>
      <c r="I38" s="180"/>
      <c r="J38" s="180"/>
      <c r="K38" s="180"/>
      <c r="L38" s="270"/>
    </row>
    <row r="39" spans="1:12" s="262" customFormat="1">
      <c r="A39" s="267" t="s">
        <v>874</v>
      </c>
      <c r="B39" s="238"/>
      <c r="C39" s="238"/>
      <c r="D39" s="238"/>
      <c r="E39" s="268"/>
      <c r="F39" s="236"/>
      <c r="G39" s="237"/>
      <c r="H39" s="236"/>
      <c r="I39" s="236"/>
      <c r="J39" s="236"/>
      <c r="K39" s="236"/>
      <c r="L39" s="287"/>
    </row>
    <row r="40" spans="1:12" s="262" customFormat="1">
      <c r="B40" s="183">
        <v>85010</v>
      </c>
      <c r="C40" s="183" t="s">
        <v>932</v>
      </c>
      <c r="D40" s="183"/>
      <c r="E40" s="262" t="s">
        <v>931</v>
      </c>
      <c r="F40" s="180">
        <v>20</v>
      </c>
      <c r="G40" s="181">
        <v>10</v>
      </c>
      <c r="H40" s="180">
        <f>F40*G40</f>
        <v>200</v>
      </c>
      <c r="I40" s="180">
        <f>H40*1.13</f>
        <v>225.99999999999997</v>
      </c>
      <c r="J40" s="180">
        <f>I40*0.75</f>
        <v>169.49999999999997</v>
      </c>
      <c r="K40" s="180">
        <v>30</v>
      </c>
      <c r="L40" s="270"/>
    </row>
    <row r="41" spans="1:12" s="262" customFormat="1">
      <c r="B41" s="183">
        <v>85011</v>
      </c>
      <c r="C41" s="183" t="s">
        <v>867</v>
      </c>
      <c r="D41" s="183"/>
      <c r="E41" s="262" t="s">
        <v>929</v>
      </c>
      <c r="F41" s="180">
        <v>25</v>
      </c>
      <c r="G41" s="181">
        <v>10</v>
      </c>
      <c r="H41" s="180">
        <f>F41*G41</f>
        <v>250</v>
      </c>
      <c r="I41" s="180">
        <f>H41*1.13</f>
        <v>282.5</v>
      </c>
      <c r="J41" s="180">
        <f>I41*0.75</f>
        <v>211.875</v>
      </c>
      <c r="K41" s="180">
        <f>15*19.12</f>
        <v>286.8</v>
      </c>
      <c r="L41" s="270"/>
    </row>
    <row r="42" spans="1:12" s="262" customFormat="1">
      <c r="B42" s="183">
        <v>85012</v>
      </c>
      <c r="C42" s="183" t="s">
        <v>930</v>
      </c>
      <c r="D42" s="183"/>
      <c r="E42" s="262" t="s">
        <v>929</v>
      </c>
      <c r="F42" s="180">
        <v>25</v>
      </c>
      <c r="G42" s="181">
        <v>10</v>
      </c>
      <c r="H42" s="180">
        <f>F42*G42</f>
        <v>250</v>
      </c>
      <c r="I42" s="180">
        <f>H42*1.13</f>
        <v>282.5</v>
      </c>
      <c r="J42" s="180">
        <f>I42*0.75</f>
        <v>211.875</v>
      </c>
      <c r="K42" s="180"/>
      <c r="L42" s="270"/>
    </row>
    <row r="43" spans="1:12" s="262" customFormat="1">
      <c r="B43" s="183">
        <v>85013</v>
      </c>
      <c r="C43" s="183" t="s">
        <v>928</v>
      </c>
      <c r="D43" s="183"/>
      <c r="E43" s="262" t="s">
        <v>927</v>
      </c>
      <c r="F43" s="180">
        <v>0.5</v>
      </c>
      <c r="G43" s="181">
        <v>50</v>
      </c>
      <c r="H43" s="180">
        <f>F43*G43</f>
        <v>25</v>
      </c>
      <c r="I43" s="180">
        <f>H43*1.13</f>
        <v>28.249999999999996</v>
      </c>
      <c r="J43" s="180">
        <f>I43*0.75</f>
        <v>21.187499999999996</v>
      </c>
      <c r="K43" s="180"/>
      <c r="L43" s="270"/>
    </row>
    <row r="44" spans="1:12" s="262" customFormat="1">
      <c r="B44" s="183">
        <v>85014</v>
      </c>
      <c r="C44" s="183" t="s">
        <v>926</v>
      </c>
      <c r="D44" s="183"/>
      <c r="E44" s="262" t="s">
        <v>925</v>
      </c>
      <c r="F44" s="180">
        <v>2</v>
      </c>
      <c r="G44" s="181">
        <v>15</v>
      </c>
      <c r="H44" s="180">
        <f>F44*G44</f>
        <v>30</v>
      </c>
      <c r="I44" s="180">
        <f>H44*1.13</f>
        <v>33.9</v>
      </c>
      <c r="J44" s="180">
        <f>I44*0.75</f>
        <v>25.424999999999997</v>
      </c>
      <c r="K44" s="180"/>
      <c r="L44" s="270"/>
    </row>
    <row r="45" spans="1:12" s="262" customFormat="1">
      <c r="B45" s="183"/>
      <c r="C45" s="183"/>
      <c r="D45" s="183"/>
      <c r="F45" s="180"/>
      <c r="G45" s="181"/>
      <c r="H45" s="180"/>
      <c r="I45" s="180"/>
      <c r="J45" s="180"/>
      <c r="K45" s="180"/>
      <c r="L45" s="270"/>
    </row>
    <row r="46" spans="1:12" s="262" customFormat="1" ht="14.5">
      <c r="A46" s="271"/>
      <c r="B46" s="214" t="s">
        <v>924</v>
      </c>
      <c r="C46" s="213"/>
      <c r="D46" s="213"/>
      <c r="E46" s="272"/>
      <c r="F46" s="210"/>
      <c r="G46" s="211"/>
      <c r="H46" s="210"/>
      <c r="I46" s="210">
        <f>SUM(I40:I44)</f>
        <v>853.15</v>
      </c>
      <c r="J46" s="210">
        <f t="shared" ref="J46:L46" si="8">SUM(J40:J44)</f>
        <v>639.86249999999995</v>
      </c>
      <c r="K46" s="210">
        <f t="shared" si="8"/>
        <v>316.8</v>
      </c>
      <c r="L46" s="195">
        <f t="shared" si="8"/>
        <v>0</v>
      </c>
    </row>
    <row r="47" spans="1:12" s="262" customFormat="1">
      <c r="B47" s="183"/>
      <c r="C47" s="183"/>
      <c r="D47" s="183"/>
      <c r="F47" s="180"/>
      <c r="G47" s="181"/>
      <c r="H47" s="180"/>
      <c r="I47" s="180"/>
      <c r="J47" s="180"/>
      <c r="K47" s="180"/>
      <c r="L47" s="288"/>
    </row>
    <row r="48" spans="1:12" s="262" customFormat="1">
      <c r="A48" s="267" t="s">
        <v>922</v>
      </c>
      <c r="B48" s="238"/>
      <c r="C48" s="238"/>
      <c r="D48" s="238"/>
      <c r="E48" s="268"/>
      <c r="F48" s="236"/>
      <c r="G48" s="237"/>
      <c r="H48" s="236"/>
      <c r="I48" s="236"/>
      <c r="J48" s="236"/>
      <c r="K48" s="236"/>
      <c r="L48" s="287"/>
    </row>
    <row r="49" spans="1:12" s="262" customFormat="1">
      <c r="B49" s="183">
        <v>85016</v>
      </c>
      <c r="C49" s="183" t="s">
        <v>917</v>
      </c>
      <c r="D49" s="183"/>
      <c r="E49" s="372"/>
      <c r="F49" s="180">
        <v>1200</v>
      </c>
      <c r="G49" s="181">
        <v>1</v>
      </c>
      <c r="H49" s="180">
        <f>F49*G49</f>
        <v>1200</v>
      </c>
      <c r="I49" s="180">
        <f>H49*1.13</f>
        <v>1355.9999999999998</v>
      </c>
      <c r="J49" s="180">
        <f>I49*0.75</f>
        <v>1016.9999999999998</v>
      </c>
      <c r="K49" s="180">
        <f>SUM(K143,K16,K148)</f>
        <v>1293.18</v>
      </c>
      <c r="L49" s="289">
        <f>SUM(L143,L16,L148)</f>
        <v>1295.68</v>
      </c>
    </row>
    <row r="50" spans="1:12" s="262" customFormat="1">
      <c r="B50" s="183"/>
      <c r="C50" s="183"/>
      <c r="D50" s="183"/>
      <c r="E50" s="373"/>
      <c r="F50" s="180"/>
      <c r="G50" s="181"/>
      <c r="H50" s="180"/>
      <c r="I50" s="180"/>
      <c r="J50" s="180"/>
      <c r="K50" s="180"/>
      <c r="L50" s="270"/>
    </row>
    <row r="51" spans="1:12" s="262" customFormat="1" ht="14.5">
      <c r="A51" s="271"/>
      <c r="B51" s="214" t="s">
        <v>921</v>
      </c>
      <c r="C51" s="213"/>
      <c r="D51" s="213"/>
      <c r="E51" s="272"/>
      <c r="F51" s="210"/>
      <c r="G51" s="211"/>
      <c r="H51" s="210"/>
      <c r="I51" s="210">
        <f>SUM(I49:I49)</f>
        <v>1355.9999999999998</v>
      </c>
      <c r="J51" s="210">
        <f>SUM(J49:J49)</f>
        <v>1016.9999999999998</v>
      </c>
      <c r="K51" s="210">
        <f>SUM(K49:K49)</f>
        <v>1293.18</v>
      </c>
      <c r="L51" s="216">
        <f>SUM(L49:L49)</f>
        <v>1295.68</v>
      </c>
    </row>
    <row r="52" spans="1:12" s="262" customFormat="1" ht="14.5">
      <c r="A52" s="273"/>
      <c r="B52" s="250"/>
      <c r="C52" s="250"/>
      <c r="D52" s="250"/>
      <c r="E52" s="273"/>
      <c r="F52" s="259"/>
      <c r="G52" s="249"/>
      <c r="H52" s="259"/>
      <c r="I52" s="259"/>
      <c r="J52" s="259"/>
      <c r="K52" s="259"/>
      <c r="L52" s="290"/>
    </row>
    <row r="53" spans="1:12" s="262" customFormat="1">
      <c r="A53" s="267" t="s">
        <v>920</v>
      </c>
      <c r="B53" s="238"/>
      <c r="C53" s="238"/>
      <c r="D53" s="238"/>
      <c r="E53" s="268"/>
      <c r="F53" s="236"/>
      <c r="G53" s="237"/>
      <c r="H53" s="236"/>
      <c r="I53" s="236"/>
      <c r="J53" s="236"/>
      <c r="K53" s="236"/>
      <c r="L53" s="287"/>
    </row>
    <row r="54" spans="1:12" s="262" customFormat="1">
      <c r="A54" s="275" t="s">
        <v>919</v>
      </c>
      <c r="B54" s="242"/>
      <c r="C54" s="242"/>
      <c r="D54" s="242"/>
      <c r="E54" s="372" t="s">
        <v>918</v>
      </c>
      <c r="F54" s="239"/>
      <c r="G54" s="251"/>
      <c r="H54" s="239"/>
      <c r="I54" s="239"/>
      <c r="J54" s="239"/>
      <c r="K54" s="239"/>
      <c r="L54" s="276"/>
    </row>
    <row r="55" spans="1:12" s="262" customFormat="1">
      <c r="B55" s="183">
        <v>85016</v>
      </c>
      <c r="C55" s="183" t="s">
        <v>917</v>
      </c>
      <c r="D55" s="183"/>
      <c r="E55" s="372"/>
      <c r="F55" s="180">
        <v>400</v>
      </c>
      <c r="G55" s="181">
        <v>1</v>
      </c>
      <c r="H55" s="180">
        <f>F55*G55</f>
        <v>400</v>
      </c>
      <c r="I55" s="180">
        <f>H55*1.13</f>
        <v>451.99999999999994</v>
      </c>
      <c r="J55" s="180">
        <f>I55*0.75</f>
        <v>338.99999999999994</v>
      </c>
      <c r="K55" s="180"/>
      <c r="L55" s="270"/>
    </row>
    <row r="56" spans="1:12" s="262" customFormat="1">
      <c r="B56" s="183"/>
      <c r="C56" s="183"/>
      <c r="D56" s="183"/>
      <c r="E56" s="373"/>
      <c r="F56" s="180"/>
      <c r="G56" s="181"/>
      <c r="H56" s="180"/>
      <c r="I56" s="180"/>
      <c r="J56" s="180"/>
      <c r="K56" s="180"/>
      <c r="L56" s="270"/>
    </row>
    <row r="57" spans="1:12" s="262" customFormat="1" ht="14.5">
      <c r="A57" s="271"/>
      <c r="B57" s="214" t="s">
        <v>916</v>
      </c>
      <c r="C57" s="213"/>
      <c r="D57" s="213"/>
      <c r="E57" s="272"/>
      <c r="F57" s="210"/>
      <c r="G57" s="211"/>
      <c r="H57" s="210"/>
      <c r="I57" s="210">
        <f>SUM(I55:I55)</f>
        <v>451.99999999999994</v>
      </c>
      <c r="J57" s="210">
        <f>SUM(J55:J55)</f>
        <v>338.99999999999994</v>
      </c>
      <c r="K57" s="210">
        <f>SUM(K55:K55)</f>
        <v>0</v>
      </c>
      <c r="L57" s="216">
        <f>SUM(L55:L55)</f>
        <v>0</v>
      </c>
    </row>
    <row r="58" spans="1:12" s="262" customFormat="1">
      <c r="B58" s="183"/>
      <c r="C58" s="183"/>
      <c r="D58" s="183"/>
      <c r="F58" s="180"/>
      <c r="G58" s="181"/>
      <c r="H58" s="180"/>
      <c r="I58" s="180"/>
      <c r="J58" s="180"/>
      <c r="K58" s="180"/>
      <c r="L58" s="270"/>
    </row>
    <row r="59" spans="1:12" s="262" customFormat="1" ht="14.5">
      <c r="A59" s="273"/>
      <c r="B59" s="208" t="s">
        <v>83</v>
      </c>
      <c r="C59" s="207"/>
      <c r="D59" s="207"/>
      <c r="E59" s="274"/>
      <c r="F59" s="204"/>
      <c r="G59" s="205"/>
      <c r="H59" s="204"/>
      <c r="I59" s="204">
        <f>SUM(I57,I51,I46,I37)</f>
        <v>5045.4499999999989</v>
      </c>
      <c r="J59" s="204">
        <f t="shared" ref="J59:L59" si="9">SUM(J57,J51,J46,J37)</f>
        <v>3784.0974999999999</v>
      </c>
      <c r="K59" s="204">
        <f t="shared" si="9"/>
        <v>1711.23</v>
      </c>
      <c r="L59" s="215">
        <f t="shared" si="9"/>
        <v>1399.43</v>
      </c>
    </row>
    <row r="60" spans="1:12" s="262" customFormat="1">
      <c r="B60" s="183"/>
      <c r="C60" s="183"/>
      <c r="D60" s="183"/>
      <c r="F60" s="180"/>
      <c r="G60" s="181"/>
      <c r="H60" s="180"/>
      <c r="I60" s="180"/>
      <c r="J60" s="180"/>
      <c r="K60" s="180"/>
      <c r="L60" s="291"/>
    </row>
    <row r="61" spans="1:12" s="262" customFormat="1">
      <c r="A61" s="264" t="s">
        <v>3</v>
      </c>
      <c r="B61" s="200"/>
      <c r="C61" s="200"/>
      <c r="D61" s="200"/>
      <c r="E61" s="265"/>
      <c r="F61" s="197"/>
      <c r="G61" s="198"/>
      <c r="H61" s="197"/>
      <c r="I61" s="197"/>
      <c r="J61" s="197"/>
      <c r="K61" s="197"/>
      <c r="L61" s="266"/>
    </row>
    <row r="62" spans="1:12" s="262" customFormat="1">
      <c r="A62" s="267" t="s">
        <v>915</v>
      </c>
      <c r="B62" s="238"/>
      <c r="C62" s="238"/>
      <c r="D62" s="238"/>
      <c r="E62" s="268"/>
      <c r="F62" s="236"/>
      <c r="G62" s="237"/>
      <c r="H62" s="236"/>
      <c r="I62" s="236"/>
      <c r="J62" s="236"/>
      <c r="K62" s="236"/>
      <c r="L62" s="269"/>
    </row>
    <row r="63" spans="1:12" s="262" customFormat="1">
      <c r="A63" s="271" t="s">
        <v>223</v>
      </c>
      <c r="B63" s="183"/>
      <c r="C63" s="183"/>
      <c r="F63" s="180"/>
      <c r="G63" s="181"/>
      <c r="H63" s="180"/>
      <c r="I63" s="180"/>
      <c r="J63" s="180"/>
      <c r="K63" s="180"/>
      <c r="L63" s="270"/>
    </row>
    <row r="64" spans="1:12" s="262" customFormat="1">
      <c r="B64" s="183">
        <v>850500</v>
      </c>
      <c r="C64" s="183" t="s">
        <v>914</v>
      </c>
      <c r="D64" s="183">
        <v>8</v>
      </c>
      <c r="E64" s="262" t="s">
        <v>913</v>
      </c>
      <c r="F64" s="180">
        <v>20</v>
      </c>
      <c r="G64" s="181">
        <v>5</v>
      </c>
      <c r="H64" s="180">
        <f t="shared" ref="H64:H72" si="10">F64*G64</f>
        <v>100</v>
      </c>
      <c r="I64" s="180">
        <f t="shared" ref="I64:I72" si="11">H64*1.13</f>
        <v>112.99999999999999</v>
      </c>
      <c r="J64" s="180">
        <f t="shared" ref="J64:J72" si="12">I64*1.25</f>
        <v>141.24999999999997</v>
      </c>
      <c r="K64" s="180"/>
      <c r="L64" s="270"/>
    </row>
    <row r="65" spans="1:12" s="262" customFormat="1">
      <c r="B65" s="183">
        <v>850501</v>
      </c>
      <c r="C65" s="183" t="s">
        <v>912</v>
      </c>
      <c r="D65" s="183">
        <v>2</v>
      </c>
      <c r="E65" s="278" t="s">
        <v>911</v>
      </c>
      <c r="F65" s="180">
        <v>2.5</v>
      </c>
      <c r="G65" s="181">
        <v>6</v>
      </c>
      <c r="H65" s="180">
        <f t="shared" si="10"/>
        <v>15</v>
      </c>
      <c r="I65" s="180">
        <f t="shared" si="11"/>
        <v>16.95</v>
      </c>
      <c r="J65" s="180">
        <f t="shared" si="12"/>
        <v>21.1875</v>
      </c>
      <c r="K65" s="180"/>
      <c r="L65" s="270"/>
    </row>
    <row r="66" spans="1:12" s="262" customFormat="1">
      <c r="B66" s="183">
        <v>850502</v>
      </c>
      <c r="C66" s="183" t="s">
        <v>910</v>
      </c>
      <c r="D66" s="183">
        <v>1</v>
      </c>
      <c r="E66" s="262" t="s">
        <v>909</v>
      </c>
      <c r="F66" s="180">
        <v>10</v>
      </c>
      <c r="G66" s="181">
        <v>4</v>
      </c>
      <c r="H66" s="180">
        <f t="shared" si="10"/>
        <v>40</v>
      </c>
      <c r="I66" s="180">
        <f t="shared" si="11"/>
        <v>45.199999999999996</v>
      </c>
      <c r="J66" s="180">
        <f t="shared" si="12"/>
        <v>56.499999999999993</v>
      </c>
      <c r="K66" s="180"/>
      <c r="L66" s="270"/>
    </row>
    <row r="67" spans="1:12" s="262" customFormat="1">
      <c r="B67" s="183">
        <v>850503</v>
      </c>
      <c r="C67" s="183" t="s">
        <v>908</v>
      </c>
      <c r="D67" s="183">
        <v>7</v>
      </c>
      <c r="E67" s="262" t="s">
        <v>907</v>
      </c>
      <c r="F67" s="180">
        <v>2</v>
      </c>
      <c r="G67" s="181">
        <v>12</v>
      </c>
      <c r="H67" s="180">
        <f t="shared" si="10"/>
        <v>24</v>
      </c>
      <c r="I67" s="180">
        <f t="shared" si="11"/>
        <v>27.119999999999997</v>
      </c>
      <c r="J67" s="180">
        <f t="shared" si="12"/>
        <v>33.9</v>
      </c>
      <c r="K67" s="180"/>
      <c r="L67" s="270"/>
    </row>
    <row r="68" spans="1:12" s="262" customFormat="1">
      <c r="B68" s="183">
        <v>850504</v>
      </c>
      <c r="C68" s="183" t="s">
        <v>906</v>
      </c>
      <c r="D68" s="183">
        <v>3</v>
      </c>
      <c r="E68" s="262" t="s">
        <v>905</v>
      </c>
      <c r="F68" s="180">
        <v>2</v>
      </c>
      <c r="G68" s="181">
        <v>6</v>
      </c>
      <c r="H68" s="180">
        <f t="shared" si="10"/>
        <v>12</v>
      </c>
      <c r="I68" s="180">
        <f t="shared" si="11"/>
        <v>13.559999999999999</v>
      </c>
      <c r="J68" s="180">
        <f t="shared" si="12"/>
        <v>16.95</v>
      </c>
      <c r="K68" s="180"/>
      <c r="L68" s="270"/>
    </row>
    <row r="69" spans="1:12" s="262" customFormat="1">
      <c r="B69" s="183">
        <v>850505</v>
      </c>
      <c r="C69" s="183" t="s">
        <v>904</v>
      </c>
      <c r="D69" s="183">
        <v>4</v>
      </c>
      <c r="E69" s="262" t="s">
        <v>903</v>
      </c>
      <c r="F69" s="180">
        <v>3</v>
      </c>
      <c r="G69" s="181">
        <v>1</v>
      </c>
      <c r="H69" s="180">
        <f t="shared" si="10"/>
        <v>3</v>
      </c>
      <c r="I69" s="180">
        <f t="shared" si="11"/>
        <v>3.3899999999999997</v>
      </c>
      <c r="J69" s="180">
        <f t="shared" si="12"/>
        <v>4.2374999999999998</v>
      </c>
      <c r="K69" s="180"/>
      <c r="L69" s="270"/>
    </row>
    <row r="70" spans="1:12" s="262" customFormat="1">
      <c r="B70" s="183">
        <v>850506</v>
      </c>
      <c r="C70" s="183" t="s">
        <v>902</v>
      </c>
      <c r="D70" s="183">
        <v>6</v>
      </c>
      <c r="E70" s="262" t="s">
        <v>901</v>
      </c>
      <c r="F70" s="180">
        <v>5</v>
      </c>
      <c r="G70" s="181">
        <v>1</v>
      </c>
      <c r="H70" s="180">
        <f t="shared" si="10"/>
        <v>5</v>
      </c>
      <c r="I70" s="180">
        <f t="shared" si="11"/>
        <v>5.6499999999999995</v>
      </c>
      <c r="J70" s="180">
        <f t="shared" si="12"/>
        <v>7.0624999999999991</v>
      </c>
      <c r="K70" s="180"/>
      <c r="L70" s="270"/>
    </row>
    <row r="71" spans="1:12" s="262" customFormat="1">
      <c r="B71" s="183">
        <v>850507</v>
      </c>
      <c r="C71" s="183" t="s">
        <v>900</v>
      </c>
      <c r="D71" s="183">
        <v>5</v>
      </c>
      <c r="E71" s="262" t="s">
        <v>899</v>
      </c>
      <c r="F71" s="180">
        <v>20</v>
      </c>
      <c r="G71" s="181">
        <v>1</v>
      </c>
      <c r="H71" s="180">
        <f t="shared" si="10"/>
        <v>20</v>
      </c>
      <c r="I71" s="180">
        <f t="shared" si="11"/>
        <v>22.599999999999998</v>
      </c>
      <c r="J71" s="180">
        <f t="shared" si="12"/>
        <v>28.249999999999996</v>
      </c>
      <c r="K71" s="180"/>
      <c r="L71" s="270"/>
    </row>
    <row r="72" spans="1:12" s="262" customFormat="1">
      <c r="B72" s="183">
        <v>850508</v>
      </c>
      <c r="C72" s="183"/>
      <c r="F72" s="180"/>
      <c r="G72" s="181"/>
      <c r="H72" s="180">
        <f t="shared" si="10"/>
        <v>0</v>
      </c>
      <c r="I72" s="180">
        <f t="shared" si="11"/>
        <v>0</v>
      </c>
      <c r="J72" s="180">
        <f t="shared" si="12"/>
        <v>0</v>
      </c>
      <c r="K72" s="180"/>
      <c r="L72" s="270"/>
    </row>
    <row r="73" spans="1:12" s="262" customFormat="1">
      <c r="B73" s="183"/>
      <c r="C73" s="183"/>
      <c r="F73" s="180"/>
      <c r="G73" s="181"/>
      <c r="H73" s="180"/>
      <c r="I73" s="180"/>
      <c r="J73" s="180"/>
      <c r="K73" s="180"/>
      <c r="L73" s="270"/>
    </row>
    <row r="74" spans="1:12" s="262" customFormat="1" ht="14.5">
      <c r="A74" s="271"/>
      <c r="B74" s="214" t="s">
        <v>898</v>
      </c>
      <c r="C74" s="213"/>
      <c r="D74" s="272"/>
      <c r="E74" s="272"/>
      <c r="F74" s="210"/>
      <c r="G74" s="211"/>
      <c r="H74" s="210"/>
      <c r="I74" s="210">
        <f>SUM(I64:I72)</f>
        <v>247.46999999999997</v>
      </c>
      <c r="J74" s="210">
        <f t="shared" ref="J74:L74" si="13">SUM(J64:J72)</f>
        <v>309.33749999999998</v>
      </c>
      <c r="K74" s="210">
        <f t="shared" si="13"/>
        <v>0</v>
      </c>
      <c r="L74" s="216">
        <f t="shared" si="13"/>
        <v>0</v>
      </c>
    </row>
    <row r="75" spans="1:12" s="262" customFormat="1">
      <c r="A75" s="271" t="s">
        <v>649</v>
      </c>
      <c r="B75" s="183"/>
      <c r="C75" s="183"/>
      <c r="F75" s="180"/>
      <c r="G75" s="181"/>
      <c r="H75" s="180"/>
      <c r="I75" s="180"/>
      <c r="J75" s="180"/>
      <c r="K75" s="180"/>
      <c r="L75" s="270"/>
    </row>
    <row r="76" spans="1:12" s="262" customFormat="1">
      <c r="B76" s="183">
        <v>850600</v>
      </c>
      <c r="C76" s="183" t="s">
        <v>895</v>
      </c>
      <c r="D76" s="183">
        <v>1</v>
      </c>
      <c r="E76" s="262" t="s">
        <v>897</v>
      </c>
      <c r="F76" s="180">
        <v>20</v>
      </c>
      <c r="G76" s="181">
        <v>3</v>
      </c>
      <c r="H76" s="180">
        <f>F76*G76</f>
        <v>60</v>
      </c>
      <c r="I76" s="180">
        <f>H76*1.13</f>
        <v>67.8</v>
      </c>
      <c r="J76" s="180">
        <f>I76*1.25</f>
        <v>84.75</v>
      </c>
      <c r="K76" s="180"/>
      <c r="L76" s="270"/>
    </row>
    <row r="77" spans="1:12" s="262" customFormat="1">
      <c r="B77" s="183">
        <v>850601</v>
      </c>
      <c r="C77" s="183" t="s">
        <v>478</v>
      </c>
      <c r="D77" s="183">
        <v>3</v>
      </c>
      <c r="E77" s="262" t="s">
        <v>896</v>
      </c>
      <c r="F77" s="180">
        <f>113+200+60+80+20</f>
        <v>473</v>
      </c>
      <c r="G77" s="181">
        <v>1</v>
      </c>
      <c r="H77" s="180">
        <f>F77*G77</f>
        <v>473</v>
      </c>
      <c r="I77" s="180">
        <f>H77*1.13</f>
        <v>534.4899999999999</v>
      </c>
      <c r="J77" s="180">
        <f>I77*1.25</f>
        <v>668.11249999999984</v>
      </c>
      <c r="K77" s="180"/>
      <c r="L77" s="270"/>
    </row>
    <row r="78" spans="1:12" s="262" customFormat="1">
      <c r="B78" s="183">
        <v>850602</v>
      </c>
      <c r="C78" s="183" t="s">
        <v>895</v>
      </c>
      <c r="D78" s="183">
        <v>1</v>
      </c>
      <c r="E78" s="262" t="s">
        <v>894</v>
      </c>
      <c r="F78" s="180">
        <v>50</v>
      </c>
      <c r="G78" s="181">
        <v>1</v>
      </c>
      <c r="H78" s="180">
        <f>F78*G78</f>
        <v>50</v>
      </c>
      <c r="I78" s="180">
        <f>H78*1.13</f>
        <v>56.499999999999993</v>
      </c>
      <c r="J78" s="180">
        <f>I78*1.25</f>
        <v>70.624999999999986</v>
      </c>
      <c r="K78" s="180"/>
      <c r="L78" s="270"/>
    </row>
    <row r="79" spans="1:12" s="262" customFormat="1">
      <c r="B79" s="183"/>
      <c r="C79" s="183"/>
      <c r="F79" s="180"/>
      <c r="G79" s="181"/>
      <c r="H79" s="180"/>
      <c r="I79" s="180"/>
      <c r="J79" s="180"/>
      <c r="K79" s="180"/>
      <c r="L79" s="270"/>
    </row>
    <row r="80" spans="1:12" s="262" customFormat="1" ht="14.5">
      <c r="A80" s="271"/>
      <c r="B80" s="214" t="s">
        <v>893</v>
      </c>
      <c r="C80" s="213"/>
      <c r="D80" s="272"/>
      <c r="E80" s="272"/>
      <c r="F80" s="210"/>
      <c r="G80" s="211"/>
      <c r="H80" s="210"/>
      <c r="I80" s="210">
        <f>SUM(I76:I78)</f>
        <v>658.78999999999985</v>
      </c>
      <c r="J80" s="210">
        <f t="shared" ref="J80:L80" si="14">SUM(J76:J78)</f>
        <v>823.48749999999984</v>
      </c>
      <c r="K80" s="210">
        <f t="shared" si="14"/>
        <v>0</v>
      </c>
      <c r="L80" s="216">
        <f t="shared" si="14"/>
        <v>0</v>
      </c>
    </row>
    <row r="81" spans="1:12" s="262" customFormat="1">
      <c r="A81" s="271" t="s">
        <v>68</v>
      </c>
      <c r="B81" s="183"/>
      <c r="C81" s="183"/>
      <c r="F81" s="180"/>
      <c r="G81" s="181"/>
      <c r="H81" s="180"/>
      <c r="I81" s="180"/>
      <c r="J81" s="180"/>
      <c r="K81" s="180"/>
      <c r="L81" s="270"/>
    </row>
    <row r="82" spans="1:12" s="262" customFormat="1">
      <c r="B82" s="183">
        <v>850700</v>
      </c>
      <c r="C82" s="183" t="s">
        <v>892</v>
      </c>
      <c r="D82" s="183">
        <v>8</v>
      </c>
      <c r="E82" s="262" t="s">
        <v>891</v>
      </c>
      <c r="F82" s="180">
        <v>150</v>
      </c>
      <c r="G82" s="181">
        <v>1</v>
      </c>
      <c r="H82" s="180">
        <f t="shared" ref="H82:H91" si="15">F82*G82</f>
        <v>150</v>
      </c>
      <c r="I82" s="180">
        <f t="shared" ref="I82:I91" si="16">H82*1.13</f>
        <v>169.49999999999997</v>
      </c>
      <c r="J82" s="180">
        <f t="shared" ref="J82:J91" si="17">I82*1.25</f>
        <v>211.87499999999997</v>
      </c>
      <c r="K82" s="180">
        <v>150</v>
      </c>
      <c r="L82" s="270"/>
    </row>
    <row r="83" spans="1:12" s="262" customFormat="1">
      <c r="B83" s="183">
        <v>850701</v>
      </c>
      <c r="C83" s="183" t="s">
        <v>890</v>
      </c>
      <c r="D83" s="183">
        <v>4</v>
      </c>
      <c r="E83" s="262" t="s">
        <v>889</v>
      </c>
      <c r="F83" s="180">
        <v>50</v>
      </c>
      <c r="G83" s="181">
        <v>1</v>
      </c>
      <c r="H83" s="180">
        <f t="shared" si="15"/>
        <v>50</v>
      </c>
      <c r="I83" s="180">
        <f t="shared" si="16"/>
        <v>56.499999999999993</v>
      </c>
      <c r="J83" s="180">
        <f t="shared" si="17"/>
        <v>70.624999999999986</v>
      </c>
      <c r="K83" s="180">
        <v>50</v>
      </c>
      <c r="L83" s="270">
        <v>50</v>
      </c>
    </row>
    <row r="84" spans="1:12" s="262" customFormat="1">
      <c r="B84" s="183">
        <v>850702</v>
      </c>
      <c r="C84" s="183" t="s">
        <v>888</v>
      </c>
      <c r="D84" s="183">
        <v>5</v>
      </c>
      <c r="E84" s="262" t="s">
        <v>886</v>
      </c>
      <c r="F84" s="180">
        <v>30</v>
      </c>
      <c r="G84" s="181">
        <v>1</v>
      </c>
      <c r="H84" s="180">
        <f t="shared" si="15"/>
        <v>30</v>
      </c>
      <c r="I84" s="180">
        <f t="shared" si="16"/>
        <v>33.9</v>
      </c>
      <c r="J84" s="180">
        <f t="shared" si="17"/>
        <v>42.375</v>
      </c>
      <c r="K84" s="180">
        <v>70</v>
      </c>
      <c r="L84" s="270"/>
    </row>
    <row r="85" spans="1:12" s="262" customFormat="1">
      <c r="B85" s="183">
        <v>850703</v>
      </c>
      <c r="C85" s="183" t="s">
        <v>887</v>
      </c>
      <c r="D85" s="183">
        <v>6</v>
      </c>
      <c r="E85" s="262" t="s">
        <v>886</v>
      </c>
      <c r="F85" s="180">
        <v>40</v>
      </c>
      <c r="G85" s="181">
        <v>1</v>
      </c>
      <c r="H85" s="180">
        <f t="shared" si="15"/>
        <v>40</v>
      </c>
      <c r="I85" s="180">
        <f t="shared" si="16"/>
        <v>45.199999999999996</v>
      </c>
      <c r="J85" s="180">
        <f t="shared" si="17"/>
        <v>56.499999999999993</v>
      </c>
      <c r="K85" s="180">
        <v>113</v>
      </c>
      <c r="L85" s="270">
        <v>113</v>
      </c>
    </row>
    <row r="86" spans="1:12" s="262" customFormat="1">
      <c r="B86" s="183">
        <v>850704</v>
      </c>
      <c r="C86" s="183" t="s">
        <v>885</v>
      </c>
      <c r="D86" s="183">
        <v>7</v>
      </c>
      <c r="E86" s="262" t="s">
        <v>884</v>
      </c>
      <c r="F86" s="180">
        <v>150</v>
      </c>
      <c r="G86" s="181">
        <v>2</v>
      </c>
      <c r="H86" s="180">
        <f t="shared" si="15"/>
        <v>300</v>
      </c>
      <c r="I86" s="180">
        <f t="shared" si="16"/>
        <v>338.99999999999994</v>
      </c>
      <c r="J86" s="180">
        <f t="shared" si="17"/>
        <v>423.74999999999994</v>
      </c>
      <c r="K86" s="180"/>
      <c r="L86" s="270"/>
    </row>
    <row r="87" spans="1:12" s="262" customFormat="1">
      <c r="A87" s="279"/>
      <c r="B87" s="183">
        <v>850705</v>
      </c>
      <c r="C87" s="183" t="s">
        <v>883</v>
      </c>
      <c r="D87" s="183">
        <v>9</v>
      </c>
      <c r="E87" s="262" t="s">
        <v>882</v>
      </c>
      <c r="F87" s="180">
        <v>150</v>
      </c>
      <c r="G87" s="181">
        <v>2</v>
      </c>
      <c r="H87" s="180">
        <f t="shared" si="15"/>
        <v>300</v>
      </c>
      <c r="I87" s="180">
        <f t="shared" si="16"/>
        <v>338.99999999999994</v>
      </c>
      <c r="J87" s="180">
        <f t="shared" si="17"/>
        <v>423.74999999999994</v>
      </c>
      <c r="K87" s="180"/>
      <c r="L87" s="270"/>
    </row>
    <row r="88" spans="1:12" s="262" customFormat="1">
      <c r="B88" s="183">
        <v>850706</v>
      </c>
      <c r="C88" s="183" t="s">
        <v>881</v>
      </c>
      <c r="D88" s="183">
        <v>1</v>
      </c>
      <c r="E88" s="262" t="s">
        <v>880</v>
      </c>
      <c r="F88" s="180">
        <v>150</v>
      </c>
      <c r="G88" s="181">
        <v>1</v>
      </c>
      <c r="H88" s="180">
        <f t="shared" si="15"/>
        <v>150</v>
      </c>
      <c r="I88" s="180">
        <f t="shared" si="16"/>
        <v>169.49999999999997</v>
      </c>
      <c r="J88" s="180">
        <f t="shared" si="17"/>
        <v>211.87499999999997</v>
      </c>
      <c r="K88" s="180"/>
      <c r="L88" s="270"/>
    </row>
    <row r="89" spans="1:12" s="262" customFormat="1">
      <c r="A89" s="280"/>
      <c r="B89" s="183">
        <v>850707</v>
      </c>
      <c r="C89" s="183" t="s">
        <v>879</v>
      </c>
      <c r="D89" s="183">
        <v>3</v>
      </c>
      <c r="E89" s="262" t="s">
        <v>878</v>
      </c>
      <c r="F89" s="180">
        <v>60</v>
      </c>
      <c r="G89" s="181">
        <v>1</v>
      </c>
      <c r="H89" s="180">
        <f t="shared" si="15"/>
        <v>60</v>
      </c>
      <c r="I89" s="180">
        <f t="shared" si="16"/>
        <v>67.8</v>
      </c>
      <c r="J89" s="180">
        <f t="shared" si="17"/>
        <v>84.75</v>
      </c>
      <c r="K89" s="180">
        <v>50.79</v>
      </c>
      <c r="L89" s="270">
        <v>50.79</v>
      </c>
    </row>
    <row r="90" spans="1:12" s="262" customFormat="1">
      <c r="B90" s="183">
        <v>850706</v>
      </c>
      <c r="C90" s="183" t="s">
        <v>877</v>
      </c>
      <c r="D90" s="183">
        <v>2</v>
      </c>
      <c r="E90" s="262" t="s">
        <v>876</v>
      </c>
      <c r="F90" s="180">
        <v>50</v>
      </c>
      <c r="G90" s="181">
        <v>2</v>
      </c>
      <c r="H90" s="180">
        <f t="shared" si="15"/>
        <v>100</v>
      </c>
      <c r="I90" s="180">
        <f t="shared" si="16"/>
        <v>112.99999999999999</v>
      </c>
      <c r="J90" s="180">
        <f t="shared" si="17"/>
        <v>141.24999999999997</v>
      </c>
      <c r="K90" s="180"/>
      <c r="L90" s="270"/>
    </row>
    <row r="91" spans="1:12" s="262" customFormat="1">
      <c r="B91" s="183">
        <v>850707</v>
      </c>
      <c r="C91" s="183"/>
      <c r="F91" s="180"/>
      <c r="G91" s="181"/>
      <c r="H91" s="180">
        <f t="shared" si="15"/>
        <v>0</v>
      </c>
      <c r="I91" s="180">
        <f t="shared" si="16"/>
        <v>0</v>
      </c>
      <c r="J91" s="180">
        <f t="shared" si="17"/>
        <v>0</v>
      </c>
      <c r="K91" s="180">
        <v>90</v>
      </c>
      <c r="L91" s="270">
        <v>90</v>
      </c>
    </row>
    <row r="92" spans="1:12" s="262" customFormat="1">
      <c r="B92" s="183"/>
      <c r="C92" s="183"/>
      <c r="F92" s="180"/>
      <c r="G92" s="181"/>
      <c r="H92" s="180"/>
      <c r="I92" s="180"/>
      <c r="J92" s="180"/>
      <c r="K92" s="180"/>
      <c r="L92" s="270"/>
    </row>
    <row r="93" spans="1:12" s="262" customFormat="1" ht="14.5">
      <c r="A93" s="271"/>
      <c r="B93" s="214" t="s">
        <v>292</v>
      </c>
      <c r="C93" s="213"/>
      <c r="D93" s="272"/>
      <c r="E93" s="272"/>
      <c r="F93" s="210"/>
      <c r="G93" s="211"/>
      <c r="H93" s="210"/>
      <c r="I93" s="210">
        <f>SUM(I82:I91)</f>
        <v>1333.3999999999999</v>
      </c>
      <c r="J93" s="210">
        <f t="shared" ref="J93:L93" si="18">SUM(J82:J91)</f>
        <v>1666.7499999999998</v>
      </c>
      <c r="K93" s="210">
        <f t="shared" si="18"/>
        <v>523.79</v>
      </c>
      <c r="L93" s="216">
        <f t="shared" si="18"/>
        <v>303.78999999999996</v>
      </c>
    </row>
    <row r="94" spans="1:12" s="262" customFormat="1">
      <c r="B94" s="183"/>
      <c r="C94" s="183"/>
      <c r="D94" s="183"/>
      <c r="F94" s="180"/>
      <c r="G94" s="181"/>
      <c r="H94" s="180"/>
      <c r="I94" s="180"/>
      <c r="J94" s="180"/>
      <c r="K94" s="180"/>
      <c r="L94" s="216"/>
    </row>
    <row r="95" spans="1:12" s="262" customFormat="1" ht="14.5">
      <c r="A95" s="273"/>
      <c r="B95" s="208" t="s">
        <v>875</v>
      </c>
      <c r="C95" s="207"/>
      <c r="D95" s="207"/>
      <c r="E95" s="274"/>
      <c r="F95" s="204"/>
      <c r="G95" s="205"/>
      <c r="H95" s="204"/>
      <c r="I95" s="204">
        <f>SUM(I74,I80,I93)</f>
        <v>2239.66</v>
      </c>
      <c r="J95" s="204">
        <f t="shared" ref="J95:L95" si="19">SUM(J74,J80,J93)</f>
        <v>2799.5749999999998</v>
      </c>
      <c r="K95" s="204">
        <f t="shared" si="19"/>
        <v>523.79</v>
      </c>
      <c r="L95" s="215">
        <f t="shared" si="19"/>
        <v>303.78999999999996</v>
      </c>
    </row>
    <row r="96" spans="1:12" s="262" customFormat="1">
      <c r="B96" s="183"/>
      <c r="C96" s="183"/>
      <c r="D96" s="183"/>
      <c r="F96" s="180"/>
      <c r="G96" s="181"/>
      <c r="H96" s="180"/>
      <c r="I96" s="180"/>
      <c r="J96" s="180"/>
      <c r="K96" s="180"/>
      <c r="L96" s="215"/>
    </row>
    <row r="97" spans="1:13" s="262" customFormat="1">
      <c r="A97" s="267" t="s">
        <v>874</v>
      </c>
      <c r="B97" s="238"/>
      <c r="C97" s="238"/>
      <c r="D97" s="238"/>
      <c r="E97" s="268"/>
      <c r="F97" s="236"/>
      <c r="G97" s="237"/>
      <c r="H97" s="236"/>
      <c r="I97" s="236"/>
      <c r="J97" s="236"/>
      <c r="K97" s="236"/>
      <c r="L97" s="293"/>
    </row>
    <row r="98" spans="1:13" s="262" customFormat="1">
      <c r="A98" s="234" t="s">
        <v>873</v>
      </c>
      <c r="B98" s="183"/>
      <c r="C98" s="183"/>
      <c r="D98" s="183"/>
      <c r="F98" s="180"/>
      <c r="G98" s="181"/>
      <c r="H98" s="180"/>
      <c r="I98" s="180"/>
      <c r="J98" s="180"/>
      <c r="K98" s="180"/>
      <c r="L98" s="270"/>
    </row>
    <row r="99" spans="1:13" s="262" customFormat="1">
      <c r="A99" s="253" t="s">
        <v>837</v>
      </c>
      <c r="B99" s="183">
        <v>85000</v>
      </c>
      <c r="C99" s="183" t="s">
        <v>872</v>
      </c>
      <c r="D99" s="183"/>
      <c r="E99" s="262" t="s">
        <v>871</v>
      </c>
      <c r="F99" s="180">
        <v>30</v>
      </c>
      <c r="G99" s="181">
        <v>1</v>
      </c>
      <c r="H99" s="180">
        <v>30</v>
      </c>
      <c r="I99" s="180">
        <v>33.9</v>
      </c>
      <c r="J99" s="180">
        <v>25.424999999999997</v>
      </c>
      <c r="K99" s="180">
        <v>18.41</v>
      </c>
      <c r="L99" s="289">
        <v>18.41</v>
      </c>
    </row>
    <row r="100" spans="1:13" s="262" customFormat="1">
      <c r="A100" s="183">
        <v>1</v>
      </c>
      <c r="B100" s="183"/>
      <c r="C100" s="183"/>
      <c r="D100" s="183"/>
      <c r="F100" s="180"/>
      <c r="G100" s="181"/>
      <c r="H100" s="180"/>
      <c r="I100" s="180"/>
      <c r="J100" s="180"/>
      <c r="K100" s="180"/>
      <c r="L100" s="270"/>
    </row>
    <row r="101" spans="1:13" s="262" customFormat="1">
      <c r="A101" s="281"/>
      <c r="B101" s="183">
        <v>85001</v>
      </c>
      <c r="C101" s="183" t="s">
        <v>870</v>
      </c>
      <c r="D101" s="183"/>
      <c r="E101" s="262" t="s">
        <v>869</v>
      </c>
      <c r="F101" s="180">
        <v>50</v>
      </c>
      <c r="G101" s="181">
        <v>10</v>
      </c>
      <c r="H101" s="180">
        <v>500</v>
      </c>
      <c r="I101" s="180">
        <v>565</v>
      </c>
      <c r="J101" s="180">
        <v>423.75</v>
      </c>
      <c r="K101" s="180"/>
      <c r="L101" s="270"/>
    </row>
    <row r="102" spans="1:13" s="262" customFormat="1">
      <c r="B102" s="183"/>
      <c r="C102" s="183"/>
      <c r="D102" s="183"/>
      <c r="F102" s="180"/>
      <c r="G102" s="181"/>
      <c r="H102" s="180"/>
      <c r="I102" s="180"/>
      <c r="J102" s="180"/>
      <c r="K102" s="180"/>
      <c r="L102" s="270">
        <v>0</v>
      </c>
    </row>
    <row r="103" spans="1:13" s="262" customFormat="1" ht="14.5">
      <c r="A103" s="271"/>
      <c r="B103" s="214" t="s">
        <v>868</v>
      </c>
      <c r="C103" s="213"/>
      <c r="D103" s="213"/>
      <c r="E103" s="272"/>
      <c r="F103" s="210"/>
      <c r="G103" s="211"/>
      <c r="H103" s="210"/>
      <c r="I103" s="210">
        <f>SUM(I99:I101)</f>
        <v>598.9</v>
      </c>
      <c r="J103" s="210">
        <f t="shared" ref="J103:L103" si="20">SUM(J99:J101)</f>
        <v>449.17500000000001</v>
      </c>
      <c r="K103" s="210">
        <f t="shared" si="20"/>
        <v>18.41</v>
      </c>
      <c r="L103" s="216">
        <f t="shared" si="20"/>
        <v>18.41</v>
      </c>
    </row>
    <row r="104" spans="1:13" s="262" customFormat="1">
      <c r="A104" s="271" t="s">
        <v>867</v>
      </c>
      <c r="B104" s="183"/>
      <c r="C104" s="183"/>
      <c r="F104" s="180"/>
      <c r="G104" s="181"/>
      <c r="H104" s="180"/>
      <c r="I104" s="180"/>
      <c r="J104" s="180"/>
      <c r="K104" s="180"/>
      <c r="L104" s="270"/>
    </row>
    <row r="105" spans="1:13" s="262" customFormat="1">
      <c r="B105" s="183"/>
      <c r="C105" s="183"/>
      <c r="F105" s="180"/>
      <c r="G105" s="181"/>
      <c r="H105" s="180"/>
      <c r="I105" s="180"/>
      <c r="J105" s="180"/>
      <c r="K105" s="180"/>
      <c r="L105" s="270"/>
    </row>
    <row r="106" spans="1:13" s="262" customFormat="1">
      <c r="A106" s="253" t="s">
        <v>837</v>
      </c>
      <c r="B106" s="183">
        <v>85201</v>
      </c>
      <c r="C106" s="183" t="s">
        <v>337</v>
      </c>
      <c r="D106" s="183">
        <v>2</v>
      </c>
      <c r="E106" s="262" t="s">
        <v>866</v>
      </c>
      <c r="F106" s="180">
        <v>0</v>
      </c>
      <c r="G106" s="181"/>
      <c r="H106" s="180">
        <v>0</v>
      </c>
      <c r="I106" s="180">
        <v>0</v>
      </c>
      <c r="J106" s="180">
        <v>0</v>
      </c>
      <c r="K106" s="180">
        <v>0</v>
      </c>
      <c r="L106" s="270">
        <v>0</v>
      </c>
    </row>
    <row r="107" spans="1:13" s="262" customFormat="1">
      <c r="A107" s="253">
        <v>3</v>
      </c>
      <c r="B107" s="183">
        <v>85202</v>
      </c>
      <c r="C107" s="183" t="s">
        <v>865</v>
      </c>
      <c r="D107" s="183">
        <v>3</v>
      </c>
      <c r="E107" s="262" t="s">
        <v>864</v>
      </c>
      <c r="F107" s="180">
        <v>25</v>
      </c>
      <c r="G107" s="181">
        <v>4</v>
      </c>
      <c r="H107" s="180">
        <v>100</v>
      </c>
      <c r="I107" s="180">
        <v>112.99999999999999</v>
      </c>
      <c r="J107" s="180">
        <v>141.24999999999997</v>
      </c>
      <c r="K107" s="180">
        <v>242.09</v>
      </c>
      <c r="L107" s="289">
        <v>242.09</v>
      </c>
    </row>
    <row r="108" spans="1:13" s="262" customFormat="1">
      <c r="B108" s="183"/>
      <c r="C108" s="183"/>
      <c r="F108" s="180"/>
      <c r="G108" s="181"/>
      <c r="H108" s="180"/>
      <c r="I108" s="180"/>
      <c r="J108" s="180"/>
      <c r="K108" s="180"/>
      <c r="L108" s="270"/>
      <c r="M108" s="282"/>
    </row>
    <row r="109" spans="1:13" s="262" customFormat="1" ht="14.5">
      <c r="A109" s="271"/>
      <c r="B109" s="214" t="s">
        <v>863</v>
      </c>
      <c r="C109" s="213"/>
      <c r="D109" s="272"/>
      <c r="E109" s="272"/>
      <c r="F109" s="210"/>
      <c r="G109" s="211"/>
      <c r="H109" s="210"/>
      <c r="I109" s="210">
        <f>SUM(I106:I107)</f>
        <v>112.99999999999999</v>
      </c>
      <c r="J109" s="210">
        <f t="shared" ref="J109:L109" si="21">SUM(J106:J107)</f>
        <v>141.24999999999997</v>
      </c>
      <c r="K109" s="210">
        <f t="shared" si="21"/>
        <v>242.09</v>
      </c>
      <c r="L109" s="216">
        <f t="shared" si="21"/>
        <v>242.09</v>
      </c>
    </row>
    <row r="110" spans="1:13" s="262" customFormat="1" ht="14.5">
      <c r="A110" s="271"/>
      <c r="B110" s="194"/>
      <c r="C110" s="194"/>
      <c r="D110" s="271"/>
      <c r="E110" s="271"/>
      <c r="F110" s="224"/>
      <c r="G110" s="192"/>
      <c r="H110" s="224"/>
      <c r="I110" s="224"/>
      <c r="J110" s="224"/>
      <c r="K110" s="224"/>
      <c r="L110" s="190"/>
    </row>
    <row r="111" spans="1:13" s="262" customFormat="1">
      <c r="A111" s="271" t="s">
        <v>862</v>
      </c>
      <c r="B111" s="257">
        <v>85200</v>
      </c>
      <c r="C111" s="257" t="s">
        <v>861</v>
      </c>
      <c r="D111" s="257">
        <v>1</v>
      </c>
      <c r="E111" s="283" t="s">
        <v>860</v>
      </c>
      <c r="F111" s="255">
        <v>126</v>
      </c>
      <c r="G111" s="256">
        <v>1</v>
      </c>
      <c r="H111" s="255">
        <v>126</v>
      </c>
      <c r="I111" s="255">
        <v>142.38</v>
      </c>
      <c r="J111" s="255">
        <v>177.97499999999999</v>
      </c>
      <c r="K111" s="255"/>
      <c r="L111" s="284"/>
    </row>
    <row r="112" spans="1:13" s="262" customFormat="1">
      <c r="B112" s="183">
        <v>85300</v>
      </c>
      <c r="C112" s="183" t="s">
        <v>859</v>
      </c>
      <c r="D112" s="183">
        <v>5</v>
      </c>
      <c r="E112" s="262" t="s">
        <v>858</v>
      </c>
      <c r="F112" s="180">
        <v>7</v>
      </c>
      <c r="G112" s="181">
        <v>40</v>
      </c>
      <c r="H112" s="180">
        <v>280</v>
      </c>
      <c r="I112" s="180">
        <v>316.39999999999998</v>
      </c>
      <c r="J112" s="180">
        <v>395.5</v>
      </c>
      <c r="K112" s="180"/>
      <c r="L112" s="270"/>
    </row>
    <row r="113" spans="1:12" s="262" customFormat="1">
      <c r="A113" s="253" t="s">
        <v>837</v>
      </c>
      <c r="B113" s="183">
        <v>85301</v>
      </c>
      <c r="C113" s="183" t="s">
        <v>857</v>
      </c>
      <c r="D113" s="183">
        <v>2</v>
      </c>
      <c r="E113" s="262" t="s">
        <v>856</v>
      </c>
      <c r="F113" s="180"/>
      <c r="G113" s="181"/>
      <c r="H113" s="180">
        <v>0</v>
      </c>
      <c r="I113" s="180">
        <v>0</v>
      </c>
      <c r="J113" s="180">
        <v>0</v>
      </c>
      <c r="K113" s="180"/>
      <c r="L113" s="270"/>
    </row>
    <row r="114" spans="1:12" s="262" customFormat="1">
      <c r="A114" s="183">
        <v>3</v>
      </c>
      <c r="B114" s="183">
        <v>85302</v>
      </c>
      <c r="C114" s="183" t="s">
        <v>855</v>
      </c>
      <c r="D114" s="183">
        <v>4</v>
      </c>
      <c r="E114" s="262" t="s">
        <v>854</v>
      </c>
      <c r="F114" s="180">
        <v>100</v>
      </c>
      <c r="G114" s="181">
        <v>1</v>
      </c>
      <c r="H114" s="180">
        <v>100</v>
      </c>
      <c r="I114" s="180">
        <v>112.99999999999999</v>
      </c>
      <c r="J114" s="180">
        <v>141.24999999999997</v>
      </c>
      <c r="K114" s="180"/>
      <c r="L114" s="270"/>
    </row>
    <row r="115" spans="1:12" s="262" customFormat="1">
      <c r="B115" s="183">
        <v>85303</v>
      </c>
      <c r="C115" s="183" t="s">
        <v>853</v>
      </c>
      <c r="D115" s="183">
        <v>3</v>
      </c>
      <c r="E115" s="262" t="s">
        <v>852</v>
      </c>
      <c r="F115" s="180">
        <v>200</v>
      </c>
      <c r="G115" s="181">
        <v>1</v>
      </c>
      <c r="H115" s="180">
        <v>200</v>
      </c>
      <c r="I115" s="180">
        <v>225.99999999999997</v>
      </c>
      <c r="J115" s="180">
        <v>282.49999999999994</v>
      </c>
      <c r="K115" s="180"/>
      <c r="L115" s="270"/>
    </row>
    <row r="116" spans="1:12" s="262" customFormat="1">
      <c r="B116" s="183">
        <v>85304</v>
      </c>
      <c r="C116" s="183" t="s">
        <v>851</v>
      </c>
      <c r="D116" s="183">
        <v>1</v>
      </c>
      <c r="E116" s="227" t="s">
        <v>850</v>
      </c>
      <c r="F116" s="180">
        <v>40</v>
      </c>
      <c r="G116" s="181">
        <v>2</v>
      </c>
      <c r="H116" s="180">
        <v>80</v>
      </c>
      <c r="I116" s="180">
        <v>90.399999999999991</v>
      </c>
      <c r="J116" s="180">
        <v>112.99999999999999</v>
      </c>
      <c r="K116" s="180"/>
      <c r="L116" s="270"/>
    </row>
    <row r="117" spans="1:12" s="262" customFormat="1">
      <c r="B117" s="183"/>
      <c r="C117" s="183"/>
      <c r="F117" s="180"/>
      <c r="G117" s="181"/>
      <c r="H117" s="180"/>
      <c r="I117" s="180"/>
      <c r="J117" s="180"/>
      <c r="K117" s="180"/>
      <c r="L117" s="270"/>
    </row>
    <row r="118" spans="1:12" s="262" customFormat="1" ht="14.5">
      <c r="A118" s="271"/>
      <c r="B118" s="214" t="s">
        <v>849</v>
      </c>
      <c r="C118" s="213"/>
      <c r="D118" s="272"/>
      <c r="E118" s="272"/>
      <c r="F118" s="210"/>
      <c r="G118" s="211"/>
      <c r="H118" s="210"/>
      <c r="I118" s="210">
        <f>SUM(I111:I116)</f>
        <v>888.18</v>
      </c>
      <c r="J118" s="210">
        <f t="shared" ref="J118:L118" si="22">SUM(J111:J116)</f>
        <v>1110.2249999999999</v>
      </c>
      <c r="K118" s="210">
        <f t="shared" si="22"/>
        <v>0</v>
      </c>
      <c r="L118" s="216">
        <f t="shared" si="22"/>
        <v>0</v>
      </c>
    </row>
    <row r="119" spans="1:12" s="262" customFormat="1">
      <c r="A119" s="271" t="s">
        <v>848</v>
      </c>
      <c r="B119" s="183"/>
      <c r="C119" s="183"/>
      <c r="F119" s="180"/>
      <c r="G119" s="181"/>
      <c r="H119" s="180"/>
      <c r="I119" s="180"/>
      <c r="J119" s="180"/>
      <c r="K119" s="180"/>
      <c r="L119" s="270"/>
    </row>
    <row r="120" spans="1:12" s="262" customFormat="1">
      <c r="B120" s="183">
        <v>85400</v>
      </c>
      <c r="C120" s="183" t="s">
        <v>847</v>
      </c>
      <c r="D120" s="183" t="s">
        <v>844</v>
      </c>
      <c r="E120" s="262" t="s">
        <v>846</v>
      </c>
      <c r="F120" s="180">
        <v>10.49</v>
      </c>
      <c r="G120" s="181">
        <v>1</v>
      </c>
      <c r="H120" s="180">
        <v>10.49</v>
      </c>
      <c r="I120" s="180">
        <v>11.8537</v>
      </c>
      <c r="J120" s="180">
        <v>14.817125000000001</v>
      </c>
      <c r="K120" s="180"/>
      <c r="L120" s="270"/>
    </row>
    <row r="121" spans="1:12" s="262" customFormat="1">
      <c r="A121" s="253" t="s">
        <v>837</v>
      </c>
      <c r="B121" s="183">
        <v>85401</v>
      </c>
      <c r="C121" s="183" t="s">
        <v>845</v>
      </c>
      <c r="D121" s="183" t="s">
        <v>844</v>
      </c>
      <c r="E121" s="262" t="s">
        <v>843</v>
      </c>
      <c r="F121" s="180">
        <v>50</v>
      </c>
      <c r="G121" s="181">
        <v>1</v>
      </c>
      <c r="H121" s="180">
        <v>50</v>
      </c>
      <c r="I121" s="180">
        <v>56.499999999999993</v>
      </c>
      <c r="J121" s="180">
        <v>70.624999999999986</v>
      </c>
      <c r="K121" s="180"/>
      <c r="L121" s="270"/>
    </row>
    <row r="122" spans="1:12" s="262" customFormat="1">
      <c r="A122" s="183">
        <v>3</v>
      </c>
      <c r="B122" s="183">
        <v>85402</v>
      </c>
      <c r="C122" s="183" t="s">
        <v>692</v>
      </c>
      <c r="E122" s="262" t="s">
        <v>842</v>
      </c>
      <c r="F122" s="180">
        <v>70</v>
      </c>
      <c r="G122" s="181">
        <v>1</v>
      </c>
      <c r="H122" s="180">
        <v>70</v>
      </c>
      <c r="I122" s="180">
        <v>79.099999999999994</v>
      </c>
      <c r="J122" s="180">
        <v>98.875</v>
      </c>
      <c r="K122" s="180"/>
      <c r="L122" s="270"/>
    </row>
    <row r="123" spans="1:12" s="262" customFormat="1">
      <c r="B123" s="183"/>
      <c r="C123" s="183"/>
      <c r="F123" s="180"/>
      <c r="G123" s="181"/>
      <c r="H123" s="180"/>
      <c r="I123" s="180"/>
      <c r="J123" s="180"/>
      <c r="K123" s="180"/>
      <c r="L123" s="270"/>
    </row>
    <row r="124" spans="1:12" s="262" customFormat="1" ht="14.5">
      <c r="A124" s="271"/>
      <c r="B124" s="214" t="s">
        <v>841</v>
      </c>
      <c r="C124" s="213"/>
      <c r="D124" s="272"/>
      <c r="E124" s="272"/>
      <c r="F124" s="210"/>
      <c r="G124" s="211"/>
      <c r="H124" s="210"/>
      <c r="I124" s="210">
        <f>SUM(I120:I122)</f>
        <v>147.45369999999997</v>
      </c>
      <c r="J124" s="210">
        <f t="shared" ref="J124:L124" si="23">SUM(J120:J122)</f>
        <v>184.31712499999998</v>
      </c>
      <c r="K124" s="210">
        <f t="shared" si="23"/>
        <v>0</v>
      </c>
      <c r="L124" s="216">
        <f t="shared" si="23"/>
        <v>0</v>
      </c>
    </row>
    <row r="125" spans="1:12" s="262" customFormat="1">
      <c r="A125" s="271" t="s">
        <v>840</v>
      </c>
      <c r="B125" s="183"/>
      <c r="C125" s="183"/>
      <c r="F125" s="180"/>
      <c r="G125" s="181"/>
      <c r="H125" s="180"/>
      <c r="I125" s="180"/>
      <c r="J125" s="180"/>
      <c r="K125" s="180"/>
      <c r="L125" s="270"/>
    </row>
    <row r="126" spans="1:12" s="262" customFormat="1">
      <c r="B126" s="183">
        <v>85500</v>
      </c>
      <c r="C126" s="183" t="s">
        <v>839</v>
      </c>
      <c r="D126" s="183">
        <v>3</v>
      </c>
      <c r="E126" s="262" t="s">
        <v>838</v>
      </c>
      <c r="F126" s="180">
        <v>50</v>
      </c>
      <c r="G126" s="181">
        <v>3</v>
      </c>
      <c r="H126" s="180">
        <v>150</v>
      </c>
      <c r="I126" s="180">
        <v>169.49999999999997</v>
      </c>
      <c r="J126" s="180">
        <v>211.87499999999997</v>
      </c>
      <c r="K126" s="180"/>
      <c r="L126" s="270"/>
    </row>
    <row r="127" spans="1:12" s="262" customFormat="1">
      <c r="A127" s="253" t="s">
        <v>837</v>
      </c>
      <c r="B127" s="183">
        <v>85501</v>
      </c>
      <c r="C127" s="183" t="s">
        <v>836</v>
      </c>
      <c r="D127" s="183">
        <v>2</v>
      </c>
      <c r="E127" s="262" t="s">
        <v>835</v>
      </c>
      <c r="F127" s="180">
        <v>75</v>
      </c>
      <c r="G127" s="181">
        <v>1</v>
      </c>
      <c r="H127" s="180">
        <v>75</v>
      </c>
      <c r="I127" s="180">
        <v>84.749999999999986</v>
      </c>
      <c r="J127" s="180">
        <v>105.93749999999999</v>
      </c>
      <c r="K127" s="180"/>
      <c r="L127" s="270"/>
    </row>
    <row r="128" spans="1:12" s="262" customFormat="1">
      <c r="A128" s="183">
        <v>2</v>
      </c>
      <c r="B128" s="183">
        <v>85502</v>
      </c>
      <c r="C128" s="183" t="s">
        <v>834</v>
      </c>
      <c r="D128" s="183">
        <v>1</v>
      </c>
      <c r="E128" s="262" t="s">
        <v>833</v>
      </c>
      <c r="F128" s="180">
        <v>75</v>
      </c>
      <c r="G128" s="181">
        <v>1</v>
      </c>
      <c r="H128" s="180">
        <v>75</v>
      </c>
      <c r="I128" s="180">
        <v>84.749999999999986</v>
      </c>
      <c r="J128" s="180">
        <v>105.93749999999999</v>
      </c>
      <c r="K128" s="180"/>
      <c r="L128" s="270"/>
    </row>
    <row r="129" spans="1:12" s="262" customFormat="1">
      <c r="B129" s="183"/>
      <c r="C129" s="183"/>
      <c r="F129" s="180"/>
      <c r="G129" s="181"/>
      <c r="H129" s="180"/>
      <c r="I129" s="180"/>
      <c r="J129" s="180"/>
      <c r="K129" s="180"/>
      <c r="L129" s="270"/>
    </row>
    <row r="130" spans="1:12" s="262" customFormat="1" ht="14.5">
      <c r="A130" s="271"/>
      <c r="B130" s="214" t="s">
        <v>832</v>
      </c>
      <c r="C130" s="213"/>
      <c r="D130" s="272"/>
      <c r="E130" s="272"/>
      <c r="F130" s="210"/>
      <c r="G130" s="211"/>
      <c r="H130" s="210"/>
      <c r="I130" s="210">
        <f>SUM(I126:I128)</f>
        <v>338.99999999999994</v>
      </c>
      <c r="J130" s="210">
        <f t="shared" ref="J130:L130" si="24">SUM(J126:J128)</f>
        <v>423.74999999999994</v>
      </c>
      <c r="K130" s="210">
        <f t="shared" si="24"/>
        <v>0</v>
      </c>
      <c r="L130" s="216">
        <f t="shared" si="24"/>
        <v>0</v>
      </c>
    </row>
    <row r="131" spans="1:12" s="262" customFormat="1">
      <c r="A131" s="271" t="s">
        <v>831</v>
      </c>
      <c r="B131" s="183"/>
      <c r="C131" s="183"/>
      <c r="F131" s="180"/>
      <c r="G131" s="181"/>
      <c r="H131" s="180"/>
      <c r="I131" s="180"/>
      <c r="J131" s="180"/>
      <c r="K131" s="180"/>
      <c r="L131" s="270"/>
    </row>
    <row r="132" spans="1:12" s="262" customFormat="1">
      <c r="B132" s="183">
        <v>85700</v>
      </c>
      <c r="C132" s="183" t="s">
        <v>335</v>
      </c>
      <c r="D132" s="183">
        <v>2</v>
      </c>
      <c r="E132" s="262" t="s">
        <v>830</v>
      </c>
      <c r="F132" s="180">
        <v>27.85</v>
      </c>
      <c r="G132" s="181">
        <v>15</v>
      </c>
      <c r="H132" s="180">
        <v>417.75</v>
      </c>
      <c r="I132" s="180">
        <v>472.05749999999995</v>
      </c>
      <c r="J132" s="180">
        <v>590.07187499999998</v>
      </c>
      <c r="K132" s="180"/>
      <c r="L132" s="270"/>
    </row>
    <row r="133" spans="1:12" s="262" customFormat="1">
      <c r="A133" s="253"/>
      <c r="B133" s="183">
        <v>85701</v>
      </c>
      <c r="C133" s="183" t="s">
        <v>829</v>
      </c>
      <c r="D133" s="183">
        <v>1</v>
      </c>
      <c r="E133" s="262" t="s">
        <v>828</v>
      </c>
      <c r="F133" s="180">
        <v>15</v>
      </c>
      <c r="G133" s="181">
        <v>6</v>
      </c>
      <c r="H133" s="180">
        <v>90</v>
      </c>
      <c r="I133" s="180">
        <v>101.69999999999999</v>
      </c>
      <c r="J133" s="180">
        <v>127.12499999999999</v>
      </c>
      <c r="K133" s="180"/>
      <c r="L133" s="270"/>
    </row>
    <row r="134" spans="1:12" s="262" customFormat="1">
      <c r="B134" s="183"/>
      <c r="C134" s="183"/>
      <c r="F134" s="180"/>
      <c r="G134" s="181"/>
      <c r="H134" s="180"/>
      <c r="I134" s="180"/>
      <c r="J134" s="180"/>
      <c r="K134" s="180"/>
      <c r="L134" s="270"/>
    </row>
    <row r="135" spans="1:12" s="262" customFormat="1" ht="14.5">
      <c r="A135" s="271"/>
      <c r="B135" s="214" t="s">
        <v>827</v>
      </c>
      <c r="C135" s="213"/>
      <c r="D135" s="272"/>
      <c r="E135" s="272"/>
      <c r="F135" s="210"/>
      <c r="G135" s="211"/>
      <c r="H135" s="210"/>
      <c r="I135" s="210">
        <f>SUM(I132:I133)</f>
        <v>573.75749999999994</v>
      </c>
      <c r="J135" s="210">
        <f t="shared" ref="J135:L135" si="25">SUM(J132:J133)</f>
        <v>717.19687499999998</v>
      </c>
      <c r="K135" s="210">
        <f t="shared" si="25"/>
        <v>0</v>
      </c>
      <c r="L135" s="216">
        <f t="shared" si="25"/>
        <v>0</v>
      </c>
    </row>
    <row r="136" spans="1:12" s="262" customFormat="1" ht="14.5">
      <c r="A136" s="271"/>
      <c r="B136" s="194"/>
      <c r="C136" s="194"/>
      <c r="D136" s="271"/>
      <c r="E136" s="271"/>
      <c r="F136" s="224"/>
      <c r="G136" s="192"/>
      <c r="H136" s="224"/>
      <c r="I136" s="224"/>
      <c r="J136" s="224"/>
      <c r="K136" s="224"/>
      <c r="L136" s="190"/>
    </row>
    <row r="137" spans="1:12" s="262" customFormat="1" ht="14.5">
      <c r="A137" s="273"/>
      <c r="B137" s="208" t="s">
        <v>826</v>
      </c>
      <c r="C137" s="207"/>
      <c r="D137" s="207"/>
      <c r="E137" s="274"/>
      <c r="F137" s="204"/>
      <c r="G137" s="205"/>
      <c r="H137" s="204"/>
      <c r="I137" s="204">
        <f>SUM(I103,I109,I118,I124,I130,I135)</f>
        <v>2660.2911999999997</v>
      </c>
      <c r="J137" s="204">
        <f t="shared" ref="J137:L137" si="26">SUM(J103,J109,J118,J124,J130,J135)</f>
        <v>3025.9139999999998</v>
      </c>
      <c r="K137" s="204">
        <f t="shared" si="26"/>
        <v>260.5</v>
      </c>
      <c r="L137" s="215">
        <f t="shared" si="26"/>
        <v>260.5</v>
      </c>
    </row>
    <row r="138" spans="1:12" s="262" customFormat="1">
      <c r="B138" s="183"/>
      <c r="C138" s="183"/>
      <c r="F138" s="180"/>
      <c r="G138" s="181"/>
      <c r="H138" s="180"/>
      <c r="I138" s="180"/>
      <c r="J138" s="180"/>
      <c r="K138" s="180"/>
      <c r="L138" s="270"/>
    </row>
    <row r="139" spans="1:12" s="262" customFormat="1">
      <c r="A139" s="267" t="s">
        <v>825</v>
      </c>
      <c r="B139" s="238"/>
      <c r="C139" s="238"/>
      <c r="D139" s="238"/>
      <c r="E139" s="268"/>
      <c r="F139" s="236"/>
      <c r="G139" s="237"/>
      <c r="H139" s="236"/>
      <c r="I139" s="236"/>
      <c r="J139" s="236"/>
      <c r="K139" s="236"/>
      <c r="L139" s="293"/>
    </row>
    <row r="140" spans="1:12" s="262" customFormat="1">
      <c r="A140" s="271" t="s">
        <v>223</v>
      </c>
      <c r="B140" s="183"/>
      <c r="C140" s="183"/>
      <c r="D140" s="183"/>
      <c r="F140" s="235"/>
      <c r="G140" s="181"/>
      <c r="H140" s="235"/>
      <c r="I140" s="235"/>
      <c r="J140" s="235"/>
      <c r="K140" s="235"/>
      <c r="L140" s="294"/>
    </row>
    <row r="141" spans="1:12" s="262" customFormat="1">
      <c r="B141" s="183">
        <v>85100</v>
      </c>
      <c r="C141" s="183" t="s">
        <v>371</v>
      </c>
      <c r="D141" s="183">
        <v>3</v>
      </c>
      <c r="E141" s="262" t="s">
        <v>824</v>
      </c>
      <c r="F141" s="180">
        <v>15</v>
      </c>
      <c r="G141" s="181">
        <v>80</v>
      </c>
      <c r="H141" s="180">
        <f>F141*G141</f>
        <v>1200</v>
      </c>
      <c r="I141" s="180">
        <f>H141*1.13</f>
        <v>1355.9999999999998</v>
      </c>
      <c r="J141" s="180">
        <f>I141*1.25</f>
        <v>1694.9999999999998</v>
      </c>
      <c r="K141" s="180"/>
      <c r="L141" s="270"/>
    </row>
    <row r="142" spans="1:12" s="262" customFormat="1">
      <c r="B142" s="183">
        <v>85101</v>
      </c>
      <c r="C142" s="183" t="s">
        <v>823</v>
      </c>
      <c r="D142" s="183">
        <v>3</v>
      </c>
      <c r="E142" s="262" t="s">
        <v>822</v>
      </c>
      <c r="F142" s="180">
        <v>5</v>
      </c>
      <c r="G142" s="181">
        <v>6</v>
      </c>
      <c r="H142" s="180">
        <f>F142*G142</f>
        <v>30</v>
      </c>
      <c r="I142" s="180">
        <f>H142*1.13</f>
        <v>33.9</v>
      </c>
      <c r="J142" s="180">
        <f>I142*1.25</f>
        <v>42.375</v>
      </c>
      <c r="K142" s="180">
        <v>37.68</v>
      </c>
      <c r="L142" s="289">
        <v>37.68</v>
      </c>
    </row>
    <row r="143" spans="1:12" s="262" customFormat="1">
      <c r="B143" s="183">
        <v>85102</v>
      </c>
      <c r="C143" s="183" t="s">
        <v>821</v>
      </c>
      <c r="D143" s="183">
        <v>3</v>
      </c>
      <c r="E143" s="262" t="s">
        <v>820</v>
      </c>
      <c r="F143" s="180">
        <v>1500</v>
      </c>
      <c r="G143" s="181">
        <v>1</v>
      </c>
      <c r="H143" s="180">
        <f>F143*G143</f>
        <v>1500</v>
      </c>
      <c r="I143" s="180">
        <f>H143*1.13</f>
        <v>1694.9999999999998</v>
      </c>
      <c r="J143" s="180">
        <f>I143*1.25</f>
        <v>2118.7499999999995</v>
      </c>
      <c r="K143" s="180">
        <v>1196.67</v>
      </c>
      <c r="L143" s="289">
        <v>1196.67</v>
      </c>
    </row>
    <row r="144" spans="1:12" s="262" customFormat="1">
      <c r="A144" s="271" t="s">
        <v>819</v>
      </c>
      <c r="B144" s="183"/>
      <c r="C144" s="183"/>
      <c r="D144" s="183"/>
      <c r="F144" s="235"/>
      <c r="G144" s="181"/>
      <c r="H144" s="235"/>
      <c r="I144" s="235"/>
      <c r="J144" s="235"/>
      <c r="K144" s="235"/>
      <c r="L144" s="270"/>
    </row>
    <row r="145" spans="1:12" s="262" customFormat="1">
      <c r="B145" s="183">
        <v>85103</v>
      </c>
      <c r="C145" s="183" t="s">
        <v>818</v>
      </c>
      <c r="D145" s="183">
        <v>2</v>
      </c>
      <c r="E145" s="262" t="s">
        <v>784</v>
      </c>
      <c r="F145" s="180">
        <v>300</v>
      </c>
      <c r="G145" s="181">
        <v>1</v>
      </c>
      <c r="H145" s="180">
        <f>F145*G145</f>
        <v>300</v>
      </c>
      <c r="I145" s="180">
        <f>H145*1.13</f>
        <v>338.99999999999994</v>
      </c>
      <c r="J145" s="180">
        <f>I145*1.25</f>
        <v>423.74999999999994</v>
      </c>
      <c r="K145" s="180"/>
      <c r="L145" s="270"/>
    </row>
    <row r="146" spans="1:12" s="262" customFormat="1">
      <c r="B146" s="183">
        <v>85104</v>
      </c>
      <c r="C146" s="183" t="s">
        <v>700</v>
      </c>
      <c r="D146" s="183">
        <v>1</v>
      </c>
      <c r="E146" s="262" t="s">
        <v>817</v>
      </c>
      <c r="F146" s="180">
        <v>200</v>
      </c>
      <c r="G146" s="181">
        <v>1</v>
      </c>
      <c r="H146" s="180">
        <f>F146*G146</f>
        <v>200</v>
      </c>
      <c r="I146" s="180">
        <f>H146*1.13</f>
        <v>225.99999999999997</v>
      </c>
      <c r="J146" s="180">
        <f>I146*1.25</f>
        <v>282.49999999999994</v>
      </c>
      <c r="K146" s="180"/>
      <c r="L146" s="270"/>
    </row>
    <row r="147" spans="1:12" s="262" customFormat="1">
      <c r="B147" s="183">
        <v>85105</v>
      </c>
      <c r="C147" s="183" t="s">
        <v>816</v>
      </c>
      <c r="D147" s="183">
        <v>2</v>
      </c>
      <c r="E147" s="262" t="s">
        <v>815</v>
      </c>
      <c r="F147" s="180">
        <v>7</v>
      </c>
      <c r="G147" s="181">
        <v>13</v>
      </c>
      <c r="H147" s="180">
        <f>F147*G147</f>
        <v>91</v>
      </c>
      <c r="I147" s="180">
        <f>H147*1.13</f>
        <v>102.82999999999998</v>
      </c>
      <c r="J147" s="180">
        <f>I147*1.25</f>
        <v>128.53749999999997</v>
      </c>
      <c r="K147" s="180">
        <v>108.93</v>
      </c>
      <c r="L147" s="270">
        <v>108.93</v>
      </c>
    </row>
    <row r="148" spans="1:12" s="262" customFormat="1">
      <c r="B148" s="183">
        <v>85106</v>
      </c>
      <c r="C148" s="183" t="s">
        <v>814</v>
      </c>
      <c r="D148" s="183">
        <v>2</v>
      </c>
      <c r="E148" s="262" t="s">
        <v>813</v>
      </c>
      <c r="F148" s="180">
        <v>8</v>
      </c>
      <c r="G148" s="181">
        <v>14</v>
      </c>
      <c r="H148" s="180">
        <f>F148*G148</f>
        <v>112</v>
      </c>
      <c r="I148" s="180">
        <f>H148*1.13</f>
        <v>126.55999999999999</v>
      </c>
      <c r="J148" s="180">
        <f>I148*1.25</f>
        <v>158.19999999999999</v>
      </c>
      <c r="K148" s="180">
        <v>56.51</v>
      </c>
      <c r="L148" s="270">
        <v>56.51</v>
      </c>
    </row>
    <row r="149" spans="1:12" s="262" customFormat="1">
      <c r="A149" s="271" t="s">
        <v>215</v>
      </c>
      <c r="B149" s="183"/>
      <c r="C149" s="183"/>
      <c r="D149" s="183"/>
      <c r="F149" s="235"/>
      <c r="G149" s="181"/>
      <c r="H149" s="235"/>
      <c r="I149" s="235"/>
      <c r="J149" s="235"/>
      <c r="K149" s="235"/>
      <c r="L149" s="270"/>
    </row>
    <row r="150" spans="1:12" s="262" customFormat="1">
      <c r="B150" s="183">
        <v>85100</v>
      </c>
      <c r="C150" s="183" t="s">
        <v>812</v>
      </c>
      <c r="D150" s="183">
        <v>3</v>
      </c>
      <c r="E150" s="174" t="s">
        <v>809</v>
      </c>
      <c r="F150" s="180">
        <v>900</v>
      </c>
      <c r="G150" s="181">
        <v>1</v>
      </c>
      <c r="H150" s="180">
        <f>F150*G150</f>
        <v>900</v>
      </c>
      <c r="I150" s="180">
        <f>H150*1.13</f>
        <v>1016.9999999999999</v>
      </c>
      <c r="J150" s="180">
        <f>I150*1.25</f>
        <v>1271.2499999999998</v>
      </c>
      <c r="K150" s="180"/>
      <c r="L150" s="270"/>
    </row>
    <row r="151" spans="1:12" s="262" customFormat="1">
      <c r="B151" s="183">
        <v>85101</v>
      </c>
      <c r="C151" s="183" t="s">
        <v>811</v>
      </c>
      <c r="D151" s="252">
        <v>2</v>
      </c>
      <c r="E151" s="285" t="s">
        <v>809</v>
      </c>
      <c r="F151" s="180">
        <v>100</v>
      </c>
      <c r="G151" s="181">
        <v>1</v>
      </c>
      <c r="H151" s="180">
        <f>F151*G151</f>
        <v>100</v>
      </c>
      <c r="I151" s="180">
        <f>H151*1.13</f>
        <v>112.99999999999999</v>
      </c>
      <c r="J151" s="180">
        <f>I151*1.25</f>
        <v>141.24999999999997</v>
      </c>
      <c r="K151" s="180"/>
      <c r="L151" s="270"/>
    </row>
    <row r="152" spans="1:12" s="262" customFormat="1">
      <c r="B152" s="183">
        <v>85102</v>
      </c>
      <c r="C152" s="183" t="s">
        <v>810</v>
      </c>
      <c r="D152" s="183">
        <v>3</v>
      </c>
      <c r="E152" s="174" t="s">
        <v>809</v>
      </c>
      <c r="F152" s="180">
        <v>100</v>
      </c>
      <c r="G152" s="181">
        <v>1</v>
      </c>
      <c r="H152" s="180">
        <f>F152*G152</f>
        <v>100</v>
      </c>
      <c r="I152" s="180">
        <f>H152*1.13</f>
        <v>112.99999999999999</v>
      </c>
      <c r="J152" s="180">
        <f>I152*1.25</f>
        <v>141.24999999999997</v>
      </c>
      <c r="K152" s="180"/>
      <c r="L152" s="270"/>
    </row>
    <row r="153" spans="1:12" s="262" customFormat="1">
      <c r="B153" s="183"/>
      <c r="C153" s="183"/>
      <c r="D153" s="183"/>
      <c r="F153" s="180"/>
      <c r="G153" s="181"/>
      <c r="H153" s="180"/>
      <c r="I153" s="180"/>
      <c r="J153" s="180"/>
      <c r="K153" s="180"/>
      <c r="L153" s="270"/>
    </row>
    <row r="154" spans="1:12" s="262" customFormat="1" ht="14.5">
      <c r="A154" s="271"/>
      <c r="B154" s="370" t="s">
        <v>808</v>
      </c>
      <c r="C154" s="371"/>
      <c r="D154" s="213"/>
      <c r="E154" s="272"/>
      <c r="F154" s="210"/>
      <c r="G154" s="211"/>
      <c r="H154" s="210"/>
      <c r="I154" s="210">
        <f>SUM(I141:I152)</f>
        <v>5122.2899999999991</v>
      </c>
      <c r="J154" s="210">
        <f t="shared" ref="J154:L154" si="27">SUM(J141:J152)</f>
        <v>6402.8624999999993</v>
      </c>
      <c r="K154" s="210">
        <f t="shared" si="27"/>
        <v>1399.7900000000002</v>
      </c>
      <c r="L154" s="216">
        <f t="shared" si="27"/>
        <v>1399.7900000000002</v>
      </c>
    </row>
    <row r="155" spans="1:12" s="262" customFormat="1" ht="14.5">
      <c r="A155" s="273"/>
      <c r="B155" s="250"/>
      <c r="C155" s="250"/>
      <c r="D155" s="250"/>
      <c r="E155" s="273"/>
      <c r="F155" s="225"/>
      <c r="G155" s="249"/>
      <c r="H155" s="225"/>
      <c r="I155" s="225"/>
      <c r="J155" s="225"/>
      <c r="K155" s="225"/>
      <c r="L155" s="290"/>
    </row>
    <row r="156" spans="1:12" s="262" customFormat="1">
      <c r="A156" s="267" t="s">
        <v>807</v>
      </c>
      <c r="B156" s="238"/>
      <c r="C156" s="238"/>
      <c r="D156" s="238"/>
      <c r="E156" s="268"/>
      <c r="F156" s="236"/>
      <c r="G156" s="237"/>
      <c r="H156" s="236"/>
      <c r="I156" s="236"/>
      <c r="J156" s="236"/>
      <c r="K156" s="236"/>
      <c r="L156" s="293"/>
    </row>
    <row r="157" spans="1:12" s="262" customFormat="1">
      <c r="A157" s="279"/>
      <c r="B157" s="242"/>
      <c r="C157" s="242"/>
      <c r="D157" s="242"/>
      <c r="E157" s="281"/>
      <c r="F157" s="239"/>
      <c r="G157" s="251"/>
      <c r="H157" s="239"/>
      <c r="I157" s="239"/>
      <c r="J157" s="239"/>
      <c r="K157" s="239"/>
      <c r="L157" s="295"/>
    </row>
    <row r="158" spans="1:12" s="262" customFormat="1">
      <c r="B158" s="183">
        <v>85200</v>
      </c>
      <c r="C158" s="183" t="s">
        <v>806</v>
      </c>
      <c r="D158" s="183">
        <v>2</v>
      </c>
      <c r="E158" s="262" t="s">
        <v>805</v>
      </c>
      <c r="F158" s="180">
        <v>6.3</v>
      </c>
      <c r="G158" s="181">
        <v>14</v>
      </c>
      <c r="H158" s="180">
        <f t="shared" ref="H158:H165" si="28">F158*G158</f>
        <v>88.2</v>
      </c>
      <c r="I158" s="180">
        <f t="shared" ref="I158:I165" si="29">H158*1.13</f>
        <v>99.665999999999997</v>
      </c>
      <c r="J158" s="180">
        <f t="shared" ref="J158:J165" si="30">I158*1.25</f>
        <v>124.5825</v>
      </c>
      <c r="K158" s="180"/>
      <c r="L158" s="270">
        <v>92.55</v>
      </c>
    </row>
    <row r="159" spans="1:12" s="262" customFormat="1">
      <c r="B159" s="183">
        <v>85201</v>
      </c>
      <c r="C159" s="183" t="s">
        <v>804</v>
      </c>
      <c r="D159" s="183">
        <v>1</v>
      </c>
      <c r="E159" s="262" t="s">
        <v>803</v>
      </c>
      <c r="F159" s="180">
        <v>3.99</v>
      </c>
      <c r="G159" s="181">
        <v>6</v>
      </c>
      <c r="H159" s="180">
        <f t="shared" si="28"/>
        <v>23.94</v>
      </c>
      <c r="I159" s="180">
        <f t="shared" si="29"/>
        <v>27.052199999999999</v>
      </c>
      <c r="J159" s="180">
        <f t="shared" si="30"/>
        <v>33.815249999999999</v>
      </c>
      <c r="K159" s="180">
        <v>0</v>
      </c>
      <c r="L159" s="270">
        <v>145.77000000000001</v>
      </c>
    </row>
    <row r="160" spans="1:12" s="262" customFormat="1">
      <c r="B160" s="183">
        <v>85202</v>
      </c>
      <c r="C160" s="183" t="s">
        <v>802</v>
      </c>
      <c r="D160" s="183">
        <v>2</v>
      </c>
      <c r="E160" s="262" t="s">
        <v>801</v>
      </c>
      <c r="F160" s="180">
        <v>4.5</v>
      </c>
      <c r="G160" s="181">
        <v>2</v>
      </c>
      <c r="H160" s="180">
        <f t="shared" si="28"/>
        <v>9</v>
      </c>
      <c r="I160" s="180">
        <f t="shared" si="29"/>
        <v>10.169999999999998</v>
      </c>
      <c r="J160" s="180">
        <f t="shared" si="30"/>
        <v>12.712499999999999</v>
      </c>
      <c r="K160" s="180">
        <v>0</v>
      </c>
      <c r="L160" s="270">
        <v>7.53</v>
      </c>
    </row>
    <row r="161" spans="1:12" s="262" customFormat="1">
      <c r="B161" s="183">
        <v>85203</v>
      </c>
      <c r="C161" s="183" t="s">
        <v>800</v>
      </c>
      <c r="D161" s="183">
        <v>2</v>
      </c>
      <c r="E161" s="262" t="s">
        <v>799</v>
      </c>
      <c r="F161" s="180">
        <v>19.84</v>
      </c>
      <c r="G161" s="181">
        <v>1</v>
      </c>
      <c r="H161" s="180">
        <f t="shared" si="28"/>
        <v>19.84</v>
      </c>
      <c r="I161" s="180">
        <f t="shared" si="29"/>
        <v>22.419199999999996</v>
      </c>
      <c r="J161" s="180">
        <f t="shared" si="30"/>
        <v>28.023999999999994</v>
      </c>
      <c r="K161" s="180">
        <v>0</v>
      </c>
      <c r="L161" s="270">
        <v>20</v>
      </c>
    </row>
    <row r="162" spans="1:12" s="262" customFormat="1">
      <c r="B162" s="183"/>
      <c r="C162" s="281"/>
      <c r="D162" s="183">
        <v>3</v>
      </c>
      <c r="E162" s="262" t="s">
        <v>798</v>
      </c>
      <c r="F162" s="180">
        <v>17</v>
      </c>
      <c r="G162" s="181">
        <v>2</v>
      </c>
      <c r="H162" s="180">
        <f t="shared" si="28"/>
        <v>34</v>
      </c>
      <c r="I162" s="180">
        <f t="shared" si="29"/>
        <v>38.419999999999995</v>
      </c>
      <c r="J162" s="180">
        <f t="shared" si="30"/>
        <v>48.024999999999991</v>
      </c>
      <c r="K162" s="180">
        <v>0</v>
      </c>
      <c r="L162" s="270">
        <v>0</v>
      </c>
    </row>
    <row r="163" spans="1:12" s="262" customFormat="1">
      <c r="B163" s="183">
        <v>85204</v>
      </c>
      <c r="C163" s="183" t="s">
        <v>392</v>
      </c>
      <c r="D163" s="183">
        <v>3</v>
      </c>
      <c r="E163" s="262" t="s">
        <v>797</v>
      </c>
      <c r="F163" s="180">
        <v>20</v>
      </c>
      <c r="G163" s="181">
        <v>2</v>
      </c>
      <c r="H163" s="180">
        <f t="shared" si="28"/>
        <v>40</v>
      </c>
      <c r="I163" s="180">
        <f t="shared" si="29"/>
        <v>45.199999999999996</v>
      </c>
      <c r="J163" s="180">
        <f t="shared" si="30"/>
        <v>56.499999999999993</v>
      </c>
      <c r="K163" s="180">
        <v>50</v>
      </c>
      <c r="L163" s="270">
        <v>50</v>
      </c>
    </row>
    <row r="164" spans="1:12" s="262" customFormat="1">
      <c r="B164" s="183">
        <v>85205</v>
      </c>
      <c r="C164" s="183" t="s">
        <v>223</v>
      </c>
      <c r="D164" s="183">
        <v>3</v>
      </c>
      <c r="E164" s="262" t="s">
        <v>796</v>
      </c>
      <c r="F164" s="180">
        <v>60</v>
      </c>
      <c r="G164" s="181">
        <v>2</v>
      </c>
      <c r="H164" s="180">
        <f t="shared" si="28"/>
        <v>120</v>
      </c>
      <c r="I164" s="180">
        <f t="shared" si="29"/>
        <v>135.6</v>
      </c>
      <c r="J164" s="180">
        <f t="shared" si="30"/>
        <v>169.5</v>
      </c>
      <c r="K164" s="180">
        <v>185.39</v>
      </c>
      <c r="L164" s="270">
        <v>185.39</v>
      </c>
    </row>
    <row r="165" spans="1:12" s="262" customFormat="1">
      <c r="B165" s="183">
        <v>85206</v>
      </c>
      <c r="C165" s="183" t="s">
        <v>795</v>
      </c>
      <c r="D165" s="183">
        <v>2</v>
      </c>
      <c r="E165" s="262" t="s">
        <v>794</v>
      </c>
      <c r="F165" s="180">
        <v>20</v>
      </c>
      <c r="G165" s="181">
        <v>1</v>
      </c>
      <c r="H165" s="180">
        <f t="shared" si="28"/>
        <v>20</v>
      </c>
      <c r="I165" s="180">
        <f t="shared" si="29"/>
        <v>22.599999999999998</v>
      </c>
      <c r="J165" s="180">
        <f t="shared" si="30"/>
        <v>28.249999999999996</v>
      </c>
      <c r="K165" s="180"/>
      <c r="L165" s="270">
        <v>30</v>
      </c>
    </row>
    <row r="166" spans="1:12" s="262" customFormat="1">
      <c r="B166" s="183"/>
      <c r="C166" s="183"/>
      <c r="D166" s="183"/>
      <c r="F166" s="180"/>
      <c r="G166" s="181"/>
      <c r="H166" s="180"/>
      <c r="I166" s="180"/>
      <c r="J166" s="180"/>
      <c r="K166" s="180"/>
      <c r="L166" s="270"/>
    </row>
    <row r="167" spans="1:12" s="262" customFormat="1" ht="14.5">
      <c r="A167" s="271"/>
      <c r="B167" s="214" t="s">
        <v>793</v>
      </c>
      <c r="C167" s="213"/>
      <c r="D167" s="213"/>
      <c r="E167" s="272"/>
      <c r="F167" s="210"/>
      <c r="G167" s="211"/>
      <c r="H167" s="210"/>
      <c r="I167" s="210">
        <f>SUM(I158:I165)</f>
        <v>401.12739999999997</v>
      </c>
      <c r="J167" s="210">
        <f t="shared" ref="J167:L167" si="31">SUM(J158:J165)</f>
        <v>501.40924999999999</v>
      </c>
      <c r="K167" s="210">
        <f t="shared" si="31"/>
        <v>235.39</v>
      </c>
      <c r="L167" s="216">
        <f t="shared" si="31"/>
        <v>531.24</v>
      </c>
    </row>
    <row r="168" spans="1:12" s="262" customFormat="1" ht="14.5">
      <c r="A168" s="273"/>
      <c r="B168" s="250"/>
      <c r="C168" s="250"/>
      <c r="D168" s="250"/>
      <c r="E168" s="273"/>
      <c r="F168" s="225"/>
      <c r="G168" s="249"/>
      <c r="H168" s="225"/>
      <c r="I168" s="225"/>
      <c r="J168" s="225"/>
      <c r="K168" s="225"/>
      <c r="L168" s="290"/>
    </row>
    <row r="169" spans="1:12" s="262" customFormat="1">
      <c r="A169" s="267" t="s">
        <v>792</v>
      </c>
      <c r="B169" s="238"/>
      <c r="C169" s="238"/>
      <c r="D169" s="238"/>
      <c r="E169" s="268"/>
      <c r="F169" s="236"/>
      <c r="G169" s="237"/>
      <c r="H169" s="236"/>
      <c r="I169" s="236"/>
      <c r="J169" s="236"/>
      <c r="K169" s="236"/>
      <c r="L169" s="293"/>
    </row>
    <row r="170" spans="1:12" s="262" customFormat="1">
      <c r="A170" s="271"/>
      <c r="B170" s="183"/>
      <c r="C170" s="183"/>
      <c r="D170" s="183"/>
      <c r="F170" s="235"/>
      <c r="G170" s="181"/>
      <c r="H170" s="235"/>
      <c r="I170" s="235"/>
      <c r="J170" s="235"/>
      <c r="K170" s="235"/>
      <c r="L170" s="270"/>
    </row>
    <row r="171" spans="1:12" s="262" customFormat="1">
      <c r="B171" s="183">
        <v>85100</v>
      </c>
      <c r="C171" s="183" t="s">
        <v>791</v>
      </c>
      <c r="D171" s="183">
        <v>3</v>
      </c>
      <c r="E171" s="262" t="s">
        <v>790</v>
      </c>
      <c r="F171" s="180">
        <v>9</v>
      </c>
      <c r="G171" s="181">
        <v>45</v>
      </c>
      <c r="H171" s="180">
        <f t="shared" ref="H171:H177" si="32">F171*G171</f>
        <v>405</v>
      </c>
      <c r="I171" s="180">
        <f t="shared" ref="I171:I177" si="33">H171*1.13</f>
        <v>457.65</v>
      </c>
      <c r="J171" s="180">
        <f t="shared" ref="J171:J177" si="34">I171*1.25</f>
        <v>572.0625</v>
      </c>
      <c r="K171" s="180">
        <v>400</v>
      </c>
      <c r="L171" s="289">
        <v>400</v>
      </c>
    </row>
    <row r="172" spans="1:12" s="262" customFormat="1">
      <c r="B172" s="183">
        <v>85101</v>
      </c>
      <c r="C172" s="183" t="s">
        <v>789</v>
      </c>
      <c r="D172" s="183">
        <v>3</v>
      </c>
      <c r="E172" s="262" t="s">
        <v>788</v>
      </c>
      <c r="F172" s="180">
        <v>75</v>
      </c>
      <c r="G172" s="181">
        <v>1</v>
      </c>
      <c r="H172" s="180">
        <f t="shared" si="32"/>
        <v>75</v>
      </c>
      <c r="I172" s="180">
        <f t="shared" si="33"/>
        <v>84.749999999999986</v>
      </c>
      <c r="J172" s="180">
        <f t="shared" si="34"/>
        <v>105.93749999999999</v>
      </c>
      <c r="K172" s="180">
        <v>6</v>
      </c>
      <c r="L172" s="289"/>
    </row>
    <row r="173" spans="1:12" s="262" customFormat="1">
      <c r="B173" s="183">
        <v>85102</v>
      </c>
      <c r="C173" s="183" t="s">
        <v>787</v>
      </c>
      <c r="D173" s="183">
        <v>3</v>
      </c>
      <c r="E173" s="262" t="s">
        <v>786</v>
      </c>
      <c r="F173" s="180">
        <v>17</v>
      </c>
      <c r="G173" s="181">
        <v>3</v>
      </c>
      <c r="H173" s="180">
        <f t="shared" si="32"/>
        <v>51</v>
      </c>
      <c r="I173" s="180">
        <f t="shared" si="33"/>
        <v>57.629999999999995</v>
      </c>
      <c r="J173" s="180">
        <f t="shared" si="34"/>
        <v>72.037499999999994</v>
      </c>
      <c r="K173" s="180">
        <v>56.5</v>
      </c>
      <c r="L173" s="289">
        <v>56.6</v>
      </c>
    </row>
    <row r="174" spans="1:12" s="262" customFormat="1" ht="16.5">
      <c r="B174" s="183">
        <v>85103</v>
      </c>
      <c r="C174" s="248" t="s">
        <v>785</v>
      </c>
      <c r="D174" s="183">
        <v>2</v>
      </c>
      <c r="E174" s="262" t="s">
        <v>784</v>
      </c>
      <c r="F174" s="180">
        <v>300</v>
      </c>
      <c r="G174" s="181">
        <v>1</v>
      </c>
      <c r="H174" s="180">
        <f t="shared" si="32"/>
        <v>300</v>
      </c>
      <c r="I174" s="180">
        <f t="shared" si="33"/>
        <v>338.99999999999994</v>
      </c>
      <c r="J174" s="180">
        <f t="shared" si="34"/>
        <v>423.74999999999994</v>
      </c>
      <c r="K174" s="180"/>
      <c r="L174" s="289"/>
    </row>
    <row r="175" spans="1:12" s="262" customFormat="1" ht="16.5">
      <c r="B175" s="183">
        <v>85104</v>
      </c>
      <c r="C175" s="243" t="s">
        <v>783</v>
      </c>
      <c r="D175" s="183">
        <v>1</v>
      </c>
      <c r="E175" s="241" t="s">
        <v>782</v>
      </c>
      <c r="F175" s="245">
        <v>153</v>
      </c>
      <c r="G175" s="244">
        <v>1</v>
      </c>
      <c r="H175" s="180">
        <f t="shared" si="32"/>
        <v>153</v>
      </c>
      <c r="I175" s="180">
        <f t="shared" si="33"/>
        <v>172.89</v>
      </c>
      <c r="J175" s="180">
        <f t="shared" si="34"/>
        <v>216.11249999999998</v>
      </c>
      <c r="K175" s="180"/>
      <c r="L175" s="289"/>
    </row>
    <row r="176" spans="1:12" s="262" customFormat="1" ht="16.5">
      <c r="B176" s="183">
        <v>85105</v>
      </c>
      <c r="C176" s="248" t="s">
        <v>781</v>
      </c>
      <c r="D176" s="183">
        <v>2</v>
      </c>
      <c r="E176" s="286" t="s">
        <v>780</v>
      </c>
      <c r="F176" s="247">
        <v>240</v>
      </c>
      <c r="G176" s="246">
        <v>1</v>
      </c>
      <c r="H176" s="180">
        <f t="shared" si="32"/>
        <v>240</v>
      </c>
      <c r="I176" s="180">
        <f t="shared" si="33"/>
        <v>271.2</v>
      </c>
      <c r="J176" s="180">
        <f t="shared" si="34"/>
        <v>339</v>
      </c>
      <c r="K176" s="180">
        <v>266.17</v>
      </c>
      <c r="L176" s="289">
        <v>266.17</v>
      </c>
    </row>
    <row r="177" spans="1:12" s="262" customFormat="1" ht="16.5">
      <c r="B177" s="183">
        <v>85106</v>
      </c>
      <c r="C177" s="243" t="s">
        <v>612</v>
      </c>
      <c r="D177" s="242">
        <v>2</v>
      </c>
      <c r="E177" s="241" t="s">
        <v>779</v>
      </c>
      <c r="F177" s="245">
        <v>21.99</v>
      </c>
      <c r="G177" s="244">
        <v>1</v>
      </c>
      <c r="H177" s="239">
        <f t="shared" si="32"/>
        <v>21.99</v>
      </c>
      <c r="I177" s="180">
        <f t="shared" si="33"/>
        <v>24.848699999999997</v>
      </c>
      <c r="J177" s="180">
        <f t="shared" si="34"/>
        <v>31.060874999999996</v>
      </c>
      <c r="K177" s="180">
        <v>24.86</v>
      </c>
      <c r="L177" s="289">
        <v>24.86</v>
      </c>
    </row>
    <row r="178" spans="1:12" s="262" customFormat="1" ht="16.5">
      <c r="B178" s="183">
        <v>85107</v>
      </c>
      <c r="C178" s="243" t="s">
        <v>778</v>
      </c>
      <c r="D178" s="242">
        <v>1</v>
      </c>
      <c r="E178" s="241" t="s">
        <v>777</v>
      </c>
      <c r="F178" s="245">
        <v>0</v>
      </c>
      <c r="G178" s="244">
        <v>1</v>
      </c>
      <c r="H178" s="239">
        <v>0</v>
      </c>
      <c r="I178" s="180">
        <v>0</v>
      </c>
      <c r="J178" s="180">
        <v>0</v>
      </c>
      <c r="K178" s="180">
        <v>55</v>
      </c>
      <c r="L178" s="289">
        <v>57.12</v>
      </c>
    </row>
    <row r="179" spans="1:12" s="262" customFormat="1" ht="16.5">
      <c r="B179" s="183">
        <v>85108</v>
      </c>
      <c r="C179" s="243" t="s">
        <v>776</v>
      </c>
      <c r="D179" s="242"/>
      <c r="E179" s="241" t="s">
        <v>775</v>
      </c>
      <c r="F179" s="245">
        <v>0</v>
      </c>
      <c r="G179" s="244">
        <v>0</v>
      </c>
      <c r="H179" s="239">
        <v>0</v>
      </c>
      <c r="I179" s="180">
        <v>0</v>
      </c>
      <c r="J179" s="180">
        <v>0</v>
      </c>
      <c r="K179" s="180">
        <v>55</v>
      </c>
      <c r="L179" s="289">
        <v>57.12</v>
      </c>
    </row>
    <row r="180" spans="1:12" s="262" customFormat="1" ht="16.5">
      <c r="B180" s="183"/>
      <c r="C180" s="243"/>
      <c r="D180" s="242"/>
      <c r="E180" s="241"/>
      <c r="F180" s="241"/>
      <c r="G180" s="240"/>
      <c r="H180" s="239"/>
      <c r="I180" s="180"/>
      <c r="J180" s="180"/>
      <c r="K180" s="180"/>
      <c r="L180" s="289"/>
    </row>
    <row r="181" spans="1:12" s="262" customFormat="1" ht="14.5">
      <c r="A181" s="271"/>
      <c r="B181" s="370" t="s">
        <v>774</v>
      </c>
      <c r="C181" s="371"/>
      <c r="D181" s="213"/>
      <c r="E181" s="272"/>
      <c r="F181" s="210"/>
      <c r="G181" s="211"/>
      <c r="H181" s="210"/>
      <c r="I181" s="210">
        <f>SUM(I171:I179)</f>
        <v>1407.9687000000001</v>
      </c>
      <c r="J181" s="210">
        <f t="shared" ref="J181:L181" si="35">SUM(J171:J179)</f>
        <v>1759.9608749999998</v>
      </c>
      <c r="K181" s="210">
        <f t="shared" si="35"/>
        <v>863.53000000000009</v>
      </c>
      <c r="L181" s="216">
        <f t="shared" si="35"/>
        <v>861.87</v>
      </c>
    </row>
    <row r="182" spans="1:12" s="262" customFormat="1" ht="16.5">
      <c r="B182" s="183"/>
      <c r="C182" s="243"/>
      <c r="D182" s="242"/>
      <c r="E182" s="241"/>
      <c r="F182" s="241"/>
      <c r="G182" s="240"/>
      <c r="H182" s="239"/>
      <c r="I182" s="180"/>
      <c r="J182" s="180"/>
      <c r="K182" s="180"/>
      <c r="L182" s="289"/>
    </row>
    <row r="183" spans="1:12" s="262" customFormat="1">
      <c r="A183" s="267" t="s">
        <v>773</v>
      </c>
      <c r="B183" s="238"/>
      <c r="C183" s="238"/>
      <c r="D183" s="238"/>
      <c r="E183" s="268"/>
      <c r="F183" s="236"/>
      <c r="G183" s="237"/>
      <c r="H183" s="236"/>
      <c r="I183" s="236"/>
      <c r="J183" s="236"/>
      <c r="K183" s="236"/>
      <c r="L183" s="293"/>
    </row>
    <row r="184" spans="1:12" s="262" customFormat="1">
      <c r="A184" s="271" t="s">
        <v>766</v>
      </c>
      <c r="B184" s="183"/>
      <c r="C184" s="183"/>
      <c r="D184" s="183"/>
      <c r="F184" s="235"/>
      <c r="G184" s="181"/>
      <c r="H184" s="235"/>
      <c r="I184" s="235"/>
      <c r="J184" s="235"/>
      <c r="K184" s="235"/>
      <c r="L184" s="294"/>
    </row>
    <row r="185" spans="1:12" s="262" customFormat="1">
      <c r="B185" s="183">
        <v>85100</v>
      </c>
      <c r="C185" s="183" t="s">
        <v>765</v>
      </c>
      <c r="D185" s="183">
        <v>1</v>
      </c>
      <c r="E185" s="262" t="s">
        <v>762</v>
      </c>
      <c r="F185" s="180">
        <v>15.59</v>
      </c>
      <c r="G185" s="181">
        <v>1</v>
      </c>
      <c r="H185" s="180">
        <f>F185*G185</f>
        <v>15.59</v>
      </c>
      <c r="I185" s="180">
        <f>H185*1.13</f>
        <v>17.616699999999998</v>
      </c>
      <c r="J185" s="180">
        <f>I185*1.25</f>
        <v>22.020874999999997</v>
      </c>
      <c r="K185" s="180"/>
      <c r="L185" s="289"/>
    </row>
    <row r="186" spans="1:12" s="262" customFormat="1">
      <c r="B186" s="183">
        <v>85101</v>
      </c>
      <c r="C186" s="183" t="s">
        <v>764</v>
      </c>
      <c r="D186" s="183">
        <v>1</v>
      </c>
      <c r="E186" s="262" t="s">
        <v>761</v>
      </c>
      <c r="F186" s="180">
        <v>1.3</v>
      </c>
      <c r="G186" s="181">
        <v>150</v>
      </c>
      <c r="H186" s="180">
        <f t="shared" ref="H186:H197" si="36">F186*G186</f>
        <v>195</v>
      </c>
      <c r="I186" s="180">
        <f t="shared" ref="I186:I197" si="37">H186*1.13</f>
        <v>220.34999999999997</v>
      </c>
      <c r="J186" s="180">
        <f t="shared" ref="J186:J197" si="38">I186*1.25</f>
        <v>275.43749999999994</v>
      </c>
      <c r="K186" s="180"/>
      <c r="L186" s="289"/>
    </row>
    <row r="187" spans="1:12" s="262" customFormat="1">
      <c r="A187" s="271" t="s">
        <v>772</v>
      </c>
      <c r="B187" s="183"/>
      <c r="C187" s="183"/>
      <c r="D187" s="183"/>
      <c r="F187" s="235"/>
      <c r="G187" s="181"/>
      <c r="H187" s="180">
        <f t="shared" si="36"/>
        <v>0</v>
      </c>
      <c r="I187" s="180">
        <f t="shared" si="37"/>
        <v>0</v>
      </c>
      <c r="J187" s="180">
        <f t="shared" si="38"/>
        <v>0</v>
      </c>
      <c r="K187" s="235"/>
      <c r="L187" s="294"/>
    </row>
    <row r="188" spans="1:12" s="262" customFormat="1">
      <c r="A188" s="262" t="s">
        <v>771</v>
      </c>
      <c r="B188" s="183">
        <v>85102</v>
      </c>
      <c r="C188" s="183" t="s">
        <v>770</v>
      </c>
      <c r="D188" s="183">
        <v>3</v>
      </c>
      <c r="E188" s="262" t="s">
        <v>769</v>
      </c>
      <c r="F188" s="180">
        <v>100</v>
      </c>
      <c r="G188" s="181">
        <v>1</v>
      </c>
      <c r="H188" s="180">
        <f t="shared" si="36"/>
        <v>100</v>
      </c>
      <c r="I188" s="180">
        <f t="shared" si="37"/>
        <v>112.99999999999999</v>
      </c>
      <c r="J188" s="180">
        <f t="shared" si="38"/>
        <v>141.24999999999997</v>
      </c>
      <c r="K188" s="180">
        <v>91</v>
      </c>
      <c r="L188" s="289">
        <v>91</v>
      </c>
    </row>
    <row r="189" spans="1:12" s="262" customFormat="1">
      <c r="B189" s="183">
        <v>85101</v>
      </c>
      <c r="C189" s="183" t="s">
        <v>768</v>
      </c>
      <c r="D189" s="183">
        <v>3</v>
      </c>
      <c r="E189" s="262" t="s">
        <v>767</v>
      </c>
      <c r="F189" s="180">
        <v>1.3</v>
      </c>
      <c r="G189" s="181">
        <v>150</v>
      </c>
      <c r="H189" s="180">
        <f t="shared" si="36"/>
        <v>195</v>
      </c>
      <c r="I189" s="180">
        <f t="shared" si="37"/>
        <v>220.34999999999997</v>
      </c>
      <c r="J189" s="180">
        <f t="shared" si="38"/>
        <v>275.43749999999994</v>
      </c>
      <c r="K189" s="180"/>
      <c r="L189" s="289"/>
    </row>
    <row r="190" spans="1:12" s="262" customFormat="1">
      <c r="A190" s="271" t="s">
        <v>766</v>
      </c>
      <c r="B190" s="183"/>
      <c r="C190" s="183"/>
      <c r="D190" s="183"/>
      <c r="F190" s="235"/>
      <c r="G190" s="181"/>
      <c r="H190" s="180">
        <f t="shared" si="36"/>
        <v>0</v>
      </c>
      <c r="I190" s="180">
        <f t="shared" si="37"/>
        <v>0</v>
      </c>
      <c r="J190" s="180">
        <f t="shared" si="38"/>
        <v>0</v>
      </c>
      <c r="K190" s="235"/>
      <c r="L190" s="294"/>
    </row>
    <row r="191" spans="1:12" s="262" customFormat="1">
      <c r="B191" s="183">
        <v>85100</v>
      </c>
      <c r="C191" s="183" t="s">
        <v>765</v>
      </c>
      <c r="D191" s="183">
        <v>1</v>
      </c>
      <c r="E191" s="262" t="s">
        <v>762</v>
      </c>
      <c r="F191" s="180">
        <v>15.59</v>
      </c>
      <c r="G191" s="181">
        <v>1</v>
      </c>
      <c r="H191" s="180">
        <f t="shared" si="36"/>
        <v>15.59</v>
      </c>
      <c r="I191" s="180">
        <f t="shared" si="37"/>
        <v>17.616699999999998</v>
      </c>
      <c r="J191" s="180">
        <f t="shared" si="38"/>
        <v>22.020874999999997</v>
      </c>
      <c r="K191" s="180"/>
      <c r="L191" s="289"/>
    </row>
    <row r="192" spans="1:12" s="262" customFormat="1">
      <c r="B192" s="183">
        <v>85101</v>
      </c>
      <c r="C192" s="183" t="s">
        <v>764</v>
      </c>
      <c r="D192" s="183">
        <v>1</v>
      </c>
      <c r="E192" s="262" t="s">
        <v>761</v>
      </c>
      <c r="F192" s="180">
        <v>1.3</v>
      </c>
      <c r="G192" s="181">
        <v>150</v>
      </c>
      <c r="H192" s="180">
        <f t="shared" si="36"/>
        <v>195</v>
      </c>
      <c r="I192" s="180">
        <f t="shared" si="37"/>
        <v>220.34999999999997</v>
      </c>
      <c r="J192" s="180">
        <f t="shared" si="38"/>
        <v>275.43749999999994</v>
      </c>
      <c r="K192" s="180"/>
      <c r="L192" s="289"/>
    </row>
    <row r="193" spans="1:12" s="262" customFormat="1">
      <c r="A193" s="271"/>
      <c r="B193" s="183"/>
      <c r="C193" s="183"/>
      <c r="D193" s="183"/>
      <c r="F193" s="235"/>
      <c r="G193" s="181"/>
      <c r="H193" s="180">
        <f t="shared" si="36"/>
        <v>0</v>
      </c>
      <c r="I193" s="180">
        <f t="shared" si="37"/>
        <v>0</v>
      </c>
      <c r="J193" s="180">
        <f t="shared" si="38"/>
        <v>0</v>
      </c>
      <c r="K193" s="235"/>
      <c r="L193" s="294"/>
    </row>
    <row r="194" spans="1:12" s="262" customFormat="1">
      <c r="A194" s="271" t="s">
        <v>763</v>
      </c>
      <c r="B194" s="183"/>
      <c r="C194" s="183"/>
      <c r="D194" s="183"/>
      <c r="F194" s="235"/>
      <c r="G194" s="181"/>
      <c r="H194" s="180">
        <f t="shared" si="36"/>
        <v>0</v>
      </c>
      <c r="I194" s="180">
        <f t="shared" si="37"/>
        <v>0</v>
      </c>
      <c r="J194" s="180">
        <f t="shared" si="38"/>
        <v>0</v>
      </c>
      <c r="K194" s="235"/>
      <c r="L194" s="294"/>
    </row>
    <row r="195" spans="1:12" s="262" customFormat="1">
      <c r="B195" s="183">
        <v>85100</v>
      </c>
      <c r="C195" s="183"/>
      <c r="D195" s="183">
        <v>1</v>
      </c>
      <c r="E195" s="262" t="s">
        <v>762</v>
      </c>
      <c r="F195" s="180">
        <v>15.59</v>
      </c>
      <c r="G195" s="181">
        <v>1</v>
      </c>
      <c r="H195" s="180">
        <f t="shared" si="36"/>
        <v>15.59</v>
      </c>
      <c r="I195" s="180">
        <f t="shared" si="37"/>
        <v>17.616699999999998</v>
      </c>
      <c r="J195" s="180">
        <f t="shared" si="38"/>
        <v>22.020874999999997</v>
      </c>
      <c r="K195" s="180">
        <v>56.5</v>
      </c>
      <c r="L195" s="289"/>
    </row>
    <row r="196" spans="1:12" s="262" customFormat="1">
      <c r="B196" s="183">
        <v>85101</v>
      </c>
      <c r="C196" s="183"/>
      <c r="D196" s="183">
        <v>1</v>
      </c>
      <c r="E196" s="262" t="s">
        <v>761</v>
      </c>
      <c r="F196" s="180">
        <v>1.3</v>
      </c>
      <c r="G196" s="181">
        <v>150</v>
      </c>
      <c r="H196" s="180">
        <f t="shared" si="36"/>
        <v>195</v>
      </c>
      <c r="I196" s="180">
        <f t="shared" si="37"/>
        <v>220.34999999999997</v>
      </c>
      <c r="J196" s="180">
        <f t="shared" si="38"/>
        <v>275.43749999999994</v>
      </c>
      <c r="K196" s="180">
        <v>30</v>
      </c>
      <c r="L196" s="289"/>
    </row>
    <row r="197" spans="1:12" s="262" customFormat="1">
      <c r="B197" s="183">
        <v>85102</v>
      </c>
      <c r="C197" s="183" t="s">
        <v>961</v>
      </c>
      <c r="D197" s="183">
        <v>1</v>
      </c>
      <c r="E197" s="262" t="s">
        <v>962</v>
      </c>
      <c r="F197" s="180">
        <v>1.3</v>
      </c>
      <c r="G197" s="181">
        <v>150</v>
      </c>
      <c r="H197" s="180">
        <f t="shared" si="36"/>
        <v>195</v>
      </c>
      <c r="I197" s="180">
        <f t="shared" si="37"/>
        <v>220.34999999999997</v>
      </c>
      <c r="J197" s="180">
        <f t="shared" si="38"/>
        <v>275.43749999999994</v>
      </c>
      <c r="K197" s="180">
        <v>105</v>
      </c>
      <c r="L197" s="289"/>
    </row>
    <row r="198" spans="1:12" s="262" customFormat="1">
      <c r="A198" s="271"/>
      <c r="B198" s="183"/>
      <c r="C198" s="183"/>
      <c r="D198" s="183"/>
      <c r="F198" s="235"/>
      <c r="G198" s="181"/>
      <c r="H198" s="235"/>
      <c r="I198" s="235"/>
      <c r="J198" s="235"/>
      <c r="K198" s="235"/>
      <c r="L198" s="294"/>
    </row>
    <row r="199" spans="1:12" s="262" customFormat="1" ht="14.5">
      <c r="A199" s="271"/>
      <c r="B199" s="370" t="s">
        <v>758</v>
      </c>
      <c r="C199" s="371"/>
      <c r="D199" s="213"/>
      <c r="E199" s="272"/>
      <c r="F199" s="210"/>
      <c r="G199" s="211"/>
      <c r="H199" s="210"/>
      <c r="I199" s="210">
        <f>SUM(I185:I197)</f>
        <v>1267.6000999999997</v>
      </c>
      <c r="J199" s="210">
        <f t="shared" ref="J199:L199" si="39">SUM(J185:J197)</f>
        <v>1584.5001249999998</v>
      </c>
      <c r="K199" s="210">
        <f t="shared" si="39"/>
        <v>282.5</v>
      </c>
      <c r="L199" s="216">
        <f t="shared" si="39"/>
        <v>91</v>
      </c>
    </row>
    <row r="200" spans="1:12" s="262" customFormat="1">
      <c r="A200" s="271"/>
      <c r="B200" s="183"/>
      <c r="C200" s="183"/>
      <c r="D200" s="183"/>
      <c r="F200" s="235"/>
      <c r="G200" s="181"/>
      <c r="H200" s="235"/>
      <c r="I200" s="235"/>
      <c r="J200" s="235"/>
      <c r="K200" s="235"/>
      <c r="L200" s="294"/>
    </row>
    <row r="201" spans="1:12" s="262" customFormat="1">
      <c r="A201" s="267" t="s">
        <v>963</v>
      </c>
      <c r="B201" s="238"/>
      <c r="C201" s="238"/>
      <c r="D201" s="238"/>
      <c r="E201" s="268"/>
      <c r="F201" s="236"/>
      <c r="G201" s="237"/>
      <c r="H201" s="236"/>
      <c r="I201" s="236"/>
      <c r="J201" s="236"/>
      <c r="K201" s="236"/>
      <c r="L201" s="293"/>
    </row>
    <row r="202" spans="1:12" s="262" customFormat="1">
      <c r="A202" s="271"/>
      <c r="B202" s="183"/>
      <c r="C202" s="183"/>
      <c r="D202" s="183"/>
      <c r="F202" s="235"/>
      <c r="G202" s="181"/>
      <c r="H202" s="235"/>
      <c r="I202" s="235"/>
      <c r="J202" s="235"/>
      <c r="K202" s="235"/>
      <c r="L202" s="294"/>
    </row>
    <row r="203" spans="1:12" s="262" customFormat="1">
      <c r="B203" s="183">
        <v>85300</v>
      </c>
      <c r="C203" s="183" t="s">
        <v>964</v>
      </c>
      <c r="D203" s="183"/>
      <c r="E203" s="262" t="s">
        <v>965</v>
      </c>
      <c r="F203" s="180">
        <v>125</v>
      </c>
      <c r="G203" s="181">
        <v>1</v>
      </c>
      <c r="H203" s="180">
        <v>125</v>
      </c>
      <c r="I203" s="180">
        <v>141.25</v>
      </c>
      <c r="J203" s="180">
        <v>176.5625</v>
      </c>
      <c r="K203" s="180">
        <v>169.5</v>
      </c>
      <c r="L203" s="289">
        <v>169.5</v>
      </c>
    </row>
    <row r="204" spans="1:12" s="262" customFormat="1">
      <c r="B204" s="183">
        <v>85301</v>
      </c>
      <c r="C204" s="183" t="s">
        <v>966</v>
      </c>
      <c r="D204" s="183"/>
      <c r="E204" s="262" t="s">
        <v>967</v>
      </c>
      <c r="F204" s="180">
        <v>16</v>
      </c>
      <c r="G204" s="181">
        <v>3</v>
      </c>
      <c r="H204" s="180">
        <v>48</v>
      </c>
      <c r="I204" s="180">
        <v>54.239999999999995</v>
      </c>
      <c r="J204" s="180">
        <v>67.8</v>
      </c>
      <c r="K204" s="180">
        <v>27.12</v>
      </c>
      <c r="L204" s="289"/>
    </row>
    <row r="205" spans="1:12" s="262" customFormat="1">
      <c r="B205" s="183">
        <v>85302</v>
      </c>
      <c r="C205" s="183" t="s">
        <v>968</v>
      </c>
      <c r="D205" s="183"/>
      <c r="E205" s="262" t="s">
        <v>969</v>
      </c>
      <c r="F205" s="180">
        <v>350</v>
      </c>
      <c r="G205" s="181">
        <v>1</v>
      </c>
      <c r="H205" s="180">
        <v>350</v>
      </c>
      <c r="I205" s="180">
        <v>395.49999999999994</v>
      </c>
      <c r="J205" s="180">
        <v>494.37499999999994</v>
      </c>
      <c r="K205" s="180">
        <v>400</v>
      </c>
      <c r="L205" s="289">
        <v>400</v>
      </c>
    </row>
    <row r="206" spans="1:12" s="262" customFormat="1">
      <c r="B206" s="183">
        <v>85303</v>
      </c>
      <c r="C206" s="183" t="s">
        <v>970</v>
      </c>
      <c r="D206" s="183"/>
      <c r="E206" s="262" t="s">
        <v>971</v>
      </c>
      <c r="F206" s="180">
        <v>75</v>
      </c>
      <c r="G206" s="181">
        <v>2</v>
      </c>
      <c r="H206" s="180">
        <v>150</v>
      </c>
      <c r="I206" s="180">
        <v>169.49999999999997</v>
      </c>
      <c r="J206" s="180">
        <v>211.87499999999997</v>
      </c>
      <c r="K206" s="180">
        <v>0</v>
      </c>
      <c r="L206" s="289">
        <v>0</v>
      </c>
    </row>
    <row r="207" spans="1:12" s="262" customFormat="1">
      <c r="B207" s="183">
        <v>85304</v>
      </c>
      <c r="C207" s="183" t="s">
        <v>556</v>
      </c>
      <c r="D207" s="183"/>
      <c r="E207" s="262" t="s">
        <v>972</v>
      </c>
      <c r="F207" s="180">
        <v>50</v>
      </c>
      <c r="G207" s="181">
        <v>5</v>
      </c>
      <c r="H207" s="180">
        <v>250</v>
      </c>
      <c r="I207" s="180">
        <v>282.5</v>
      </c>
      <c r="J207" s="180">
        <v>353.125</v>
      </c>
      <c r="K207" s="180">
        <v>220.72</v>
      </c>
      <c r="L207" s="289"/>
    </row>
    <row r="208" spans="1:12" s="262" customFormat="1">
      <c r="B208" s="183">
        <v>85305</v>
      </c>
      <c r="C208" s="183" t="s">
        <v>973</v>
      </c>
      <c r="D208" s="183"/>
      <c r="E208" s="262" t="s">
        <v>974</v>
      </c>
      <c r="F208" s="180">
        <v>315</v>
      </c>
      <c r="G208" s="181">
        <v>1</v>
      </c>
      <c r="H208" s="180">
        <v>315</v>
      </c>
      <c r="I208" s="180">
        <v>355.95</v>
      </c>
      <c r="J208" s="180">
        <v>444.9375</v>
      </c>
      <c r="K208" s="180">
        <v>248.58</v>
      </c>
      <c r="L208" s="289"/>
    </row>
    <row r="209" spans="1:12" s="262" customFormat="1">
      <c r="B209" s="183">
        <v>85306</v>
      </c>
      <c r="C209" s="183" t="s">
        <v>975</v>
      </c>
      <c r="D209" s="183"/>
      <c r="E209" s="262" t="s">
        <v>976</v>
      </c>
      <c r="F209" s="180">
        <v>10</v>
      </c>
      <c r="G209" s="181">
        <v>3</v>
      </c>
      <c r="H209" s="180">
        <v>30</v>
      </c>
      <c r="I209" s="180">
        <v>33.9</v>
      </c>
      <c r="J209" s="180">
        <v>42.375</v>
      </c>
      <c r="K209" s="180">
        <v>0</v>
      </c>
      <c r="L209" s="289">
        <v>0</v>
      </c>
    </row>
    <row r="210" spans="1:12" s="262" customFormat="1">
      <c r="A210" s="271"/>
      <c r="B210" s="183"/>
      <c r="C210" s="183"/>
      <c r="D210" s="183"/>
      <c r="F210" s="235"/>
      <c r="G210" s="181"/>
      <c r="H210" s="235"/>
      <c r="I210" s="235"/>
      <c r="J210" s="235"/>
      <c r="K210" s="235"/>
      <c r="L210" s="294"/>
    </row>
    <row r="211" spans="1:12" s="262" customFormat="1" ht="14.5">
      <c r="A211" s="271"/>
      <c r="B211" s="370" t="s">
        <v>758</v>
      </c>
      <c r="C211" s="371"/>
      <c r="D211" s="213"/>
      <c r="E211" s="272"/>
      <c r="F211" s="210"/>
      <c r="G211" s="211"/>
      <c r="H211" s="210"/>
      <c r="I211" s="210">
        <f>SUM(I203:I209)</f>
        <v>1432.8400000000001</v>
      </c>
      <c r="J211" s="210">
        <f t="shared" ref="J211:L211" si="40">SUM(J203:J209)</f>
        <v>1791.05</v>
      </c>
      <c r="K211" s="210">
        <f t="shared" si="40"/>
        <v>1065.92</v>
      </c>
      <c r="L211" s="216">
        <f t="shared" si="40"/>
        <v>569.5</v>
      </c>
    </row>
    <row r="212" spans="1:12" s="262" customFormat="1" ht="14.5">
      <c r="A212" s="271"/>
      <c r="B212" s="234"/>
      <c r="C212" s="234"/>
      <c r="D212" s="194"/>
      <c r="E212" s="271"/>
      <c r="F212" s="224"/>
      <c r="G212" s="192"/>
      <c r="H212" s="224"/>
      <c r="I212" s="224"/>
      <c r="J212" s="224"/>
      <c r="K212" s="224"/>
      <c r="L212" s="190"/>
    </row>
    <row r="213" spans="1:12" s="262" customFormat="1" ht="14.5">
      <c r="A213" s="273"/>
      <c r="B213" s="208" t="s">
        <v>8</v>
      </c>
      <c r="C213" s="207"/>
      <c r="D213" s="274"/>
      <c r="E213" s="274"/>
      <c r="F213" s="204"/>
      <c r="G213" s="205"/>
      <c r="H213" s="204"/>
      <c r="I213" s="204">
        <f>SUM(I211,I199,I181,I167,I154,I137,I95)</f>
        <v>14531.777399999999</v>
      </c>
      <c r="J213" s="204">
        <f t="shared" ref="J213:L213" si="41">SUM(J211,J199,J181,J167,J154,J137,J95)</f>
        <v>17865.27175</v>
      </c>
      <c r="K213" s="204">
        <f t="shared" si="41"/>
        <v>4631.42</v>
      </c>
      <c r="L213" s="215">
        <f t="shared" si="41"/>
        <v>4017.6899999999996</v>
      </c>
    </row>
    <row r="214" spans="1:12" s="262" customFormat="1">
      <c r="B214" s="183"/>
      <c r="C214" s="183"/>
      <c r="D214" s="183"/>
      <c r="F214" s="180"/>
      <c r="G214" s="181"/>
      <c r="H214" s="180"/>
      <c r="I214" s="180"/>
      <c r="J214" s="180"/>
      <c r="K214" s="180"/>
      <c r="L214" s="289"/>
    </row>
    <row r="215" spans="1:12">
      <c r="L215" s="289"/>
    </row>
    <row r="216" spans="1:12">
      <c r="A216" s="201" t="s">
        <v>7</v>
      </c>
      <c r="B216" s="200"/>
      <c r="C216" s="200"/>
      <c r="D216" s="200"/>
      <c r="E216" s="199"/>
      <c r="F216" s="197"/>
      <c r="G216" s="198"/>
      <c r="H216" s="197"/>
      <c r="I216" s="197"/>
      <c r="J216" s="197"/>
      <c r="K216" s="197"/>
      <c r="L216" s="296"/>
    </row>
    <row r="217" spans="1:12" ht="14.5">
      <c r="A217" s="193"/>
      <c r="B217" s="194" t="s">
        <v>6</v>
      </c>
      <c r="C217" s="194"/>
      <c r="D217" s="194"/>
      <c r="E217" s="193"/>
      <c r="F217" s="191"/>
      <c r="G217" s="192"/>
      <c r="H217" s="191"/>
      <c r="I217" s="191">
        <f>I59</f>
        <v>5045.4499999999989</v>
      </c>
      <c r="J217" s="191">
        <f t="shared" ref="J217:L217" si="42">J59</f>
        <v>3784.0974999999999</v>
      </c>
      <c r="K217" s="191">
        <f t="shared" si="42"/>
        <v>1711.23</v>
      </c>
      <c r="L217" s="190">
        <f t="shared" si="42"/>
        <v>1399.43</v>
      </c>
    </row>
    <row r="218" spans="1:12" ht="14.5">
      <c r="A218" s="193"/>
      <c r="B218" s="194" t="s">
        <v>5</v>
      </c>
      <c r="C218" s="194"/>
      <c r="D218" s="194"/>
      <c r="E218" s="193"/>
      <c r="F218" s="191"/>
      <c r="G218" s="192"/>
      <c r="H218" s="191"/>
      <c r="I218" s="191">
        <f>I213</f>
        <v>14531.777399999999</v>
      </c>
      <c r="J218" s="191">
        <f t="shared" ref="J218:L218" si="43">J213</f>
        <v>17865.27175</v>
      </c>
      <c r="K218" s="191">
        <f t="shared" si="43"/>
        <v>4631.42</v>
      </c>
      <c r="L218" s="190">
        <f t="shared" si="43"/>
        <v>4017.6899999999996</v>
      </c>
    </row>
    <row r="219" spans="1:12" ht="14.5">
      <c r="A219" s="188"/>
      <c r="B219" s="189" t="s">
        <v>4</v>
      </c>
      <c r="C219" s="189"/>
      <c r="D219" s="189"/>
      <c r="E219" s="188"/>
      <c r="F219" s="186"/>
      <c r="G219" s="187"/>
      <c r="H219" s="186"/>
      <c r="I219" s="186">
        <f>SUM(I217,I218*-1)</f>
        <v>-9486.3274000000001</v>
      </c>
      <c r="J219" s="186">
        <f>SUM(J217,J218*-1)</f>
        <v>-14081.17425</v>
      </c>
      <c r="K219" s="186">
        <f>SUM(K217,K218*-1)</f>
        <v>-2920.19</v>
      </c>
      <c r="L219" s="185">
        <f>SUM(L217,L218*-1)</f>
        <v>-2618.2599999999993</v>
      </c>
    </row>
    <row r="220" spans="1:12">
      <c r="L220" s="180"/>
    </row>
  </sheetData>
  <mergeCells count="7">
    <mergeCell ref="B211:C211"/>
    <mergeCell ref="B1:K1"/>
    <mergeCell ref="E49:E50"/>
    <mergeCell ref="B154:C154"/>
    <mergeCell ref="B181:C181"/>
    <mergeCell ref="B199:C199"/>
    <mergeCell ref="E54:E56"/>
  </mergeCells>
  <conditionalFormatting sqref="B141:C141 B154 E141:K141 B66:L68 B65:D65 F65:L65 B69:B72 B94:K94 B100:K102 B99:D99 B153:K153 B145:K148 I115:I116 B199 D212:L212 B212 B186:G186 L185:L186 B158:K161 D162:K163 B162:B163 B188:G188 B138:L138 B96:K96 B60:L60 F99:L99 B142:L143 K188:L188 K186 B204:L209 B47:L47 B52:L52 B73:L85 B93:L93 B95:L95 B103:L103 B106:L114 B119:L136 D154:L154 B155:L155 B164:K166 B167:L168 D199:L199 B213:L219">
    <cfRule type="expression" dxfId="175" priority="69">
      <formula>MOD($B47,2)=1</formula>
    </cfRule>
  </conditionalFormatting>
  <conditionalFormatting sqref="B64:L64">
    <cfRule type="expression" dxfId="174" priority="68">
      <formula>MOD($B64,2)=1</formula>
    </cfRule>
  </conditionalFormatting>
  <conditionalFormatting sqref="C69:L70">
    <cfRule type="expression" dxfId="173" priority="66">
      <formula>MOD($B69,2)=1</formula>
    </cfRule>
  </conditionalFormatting>
  <conditionalFormatting sqref="C71:L72">
    <cfRule type="expression" dxfId="172" priority="65">
      <formula>MOD($B71,2)=1</formula>
    </cfRule>
  </conditionalFormatting>
  <conditionalFormatting sqref="B86:L89">
    <cfRule type="expression" dxfId="171" priority="64">
      <formula>MOD($B86,2)=1</formula>
    </cfRule>
  </conditionalFormatting>
  <conditionalFormatting sqref="B90:L91">
    <cfRule type="expression" dxfId="170" priority="63">
      <formula>MOD($B90,2)=1</formula>
    </cfRule>
  </conditionalFormatting>
  <conditionalFormatting sqref="B104:L104">
    <cfRule type="expression" dxfId="169" priority="62">
      <formula>MOD($B104,2)=1</formula>
    </cfRule>
  </conditionalFormatting>
  <conditionalFormatting sqref="B116:H116 J116:L116 B117:L118">
    <cfRule type="expression" dxfId="168" priority="61">
      <formula>MOD($B116,2)=1</formula>
    </cfRule>
  </conditionalFormatting>
  <conditionalFormatting sqref="B115:H115 J115:L115">
    <cfRule type="expression" dxfId="167" priority="59">
      <formula>MOD($B115,2)=1</formula>
    </cfRule>
  </conditionalFormatting>
  <conditionalFormatting sqref="E99">
    <cfRule type="expression" dxfId="166" priority="58">
      <formula>MOD($B99,2)=1</formula>
    </cfRule>
  </conditionalFormatting>
  <conditionalFormatting sqref="L94 L96">
    <cfRule type="expression" dxfId="165" priority="70">
      <formula>MOD(#REF!,2)=1</formula>
    </cfRule>
  </conditionalFormatting>
  <conditionalFormatting sqref="B150:C150 B151:D152 F150:K152">
    <cfRule type="expression" dxfId="164" priority="57">
      <formula>MOD($B150,2)=1</formula>
    </cfRule>
  </conditionalFormatting>
  <conditionalFormatting sqref="L100">
    <cfRule type="expression" dxfId="163" priority="71">
      <formula>MOD(#REF!,2)=1</formula>
    </cfRule>
  </conditionalFormatting>
  <conditionalFormatting sqref="L101">
    <cfRule type="expression" dxfId="162" priority="72">
      <formula>MOD($B142,2)=1</formula>
    </cfRule>
  </conditionalFormatting>
  <conditionalFormatting sqref="L102">
    <cfRule type="expression" dxfId="161" priority="73">
      <formula>MOD(#REF!,2)=1</formula>
    </cfRule>
  </conditionalFormatting>
  <conditionalFormatting sqref="B171:C171 B181 E171:L171 B172:L180 D181:L181">
    <cfRule type="expression" dxfId="160" priority="56">
      <formula>MOD($B171,2)=1</formula>
    </cfRule>
  </conditionalFormatting>
  <conditionalFormatting sqref="B185:C185 E185:K185 H186:J197">
    <cfRule type="expression" dxfId="159" priority="55">
      <formula>MOD($B185,2)=1</formula>
    </cfRule>
  </conditionalFormatting>
  <conditionalFormatting sqref="L141 L144:L152">
    <cfRule type="expression" dxfId="158" priority="54">
      <formula>MOD($B141,2)=1</formula>
    </cfRule>
  </conditionalFormatting>
  <conditionalFormatting sqref="L153">
    <cfRule type="expression" dxfId="157" priority="53">
      <formula>MOD($B153,2)=1</formula>
    </cfRule>
  </conditionalFormatting>
  <conditionalFormatting sqref="L158:L166">
    <cfRule type="expression" dxfId="156" priority="52">
      <formula>MOD($B158,2)=1</formula>
    </cfRule>
  </conditionalFormatting>
  <conditionalFormatting sqref="B182:L182">
    <cfRule type="expression" dxfId="155" priority="50">
      <formula>MOD($B182,2)=1</formula>
    </cfRule>
  </conditionalFormatting>
  <conditionalFormatting sqref="B211 D211:L211">
    <cfRule type="expression" dxfId="154" priority="49">
      <formula>MOD($B211,2)=1</formula>
    </cfRule>
  </conditionalFormatting>
  <conditionalFormatting sqref="B203:C203 E203:L203">
    <cfRule type="expression" dxfId="153" priority="48">
      <formula>MOD($B203,2)=1</formula>
    </cfRule>
  </conditionalFormatting>
  <conditionalFormatting sqref="C163">
    <cfRule type="expression" dxfId="152" priority="74">
      <formula>MOD($B162,2)=1</formula>
    </cfRule>
  </conditionalFormatting>
  <conditionalFormatting sqref="B192:G192 L191:L192 K192">
    <cfRule type="expression" dxfId="151" priority="47">
      <formula>MOD($B191,2)=1</formula>
    </cfRule>
  </conditionalFormatting>
  <conditionalFormatting sqref="B191:C191 E191:G191 K191">
    <cfRule type="expression" dxfId="150" priority="46">
      <formula>MOD($B191,2)=1</formula>
    </cfRule>
  </conditionalFormatting>
  <conditionalFormatting sqref="B189:G189 K189:L189">
    <cfRule type="expression" dxfId="149" priority="45">
      <formula>MOD($B189,2)=1</formula>
    </cfRule>
  </conditionalFormatting>
  <conditionalFormatting sqref="B196:G197 L195:L197 K196:K197">
    <cfRule type="expression" dxfId="148" priority="44">
      <formula>MOD($B195,2)=1</formula>
    </cfRule>
  </conditionalFormatting>
  <conditionalFormatting sqref="B195:C195 E195:G195 K195">
    <cfRule type="expression" dxfId="147" priority="43">
      <formula>MOD($B195,2)=1</formula>
    </cfRule>
  </conditionalFormatting>
  <conditionalFormatting sqref="B137:L137">
    <cfRule type="expression" dxfId="146" priority="42">
      <formula>MOD($B137,2)=1</formula>
    </cfRule>
  </conditionalFormatting>
  <conditionalFormatting sqref="B26:L26 B49:D50 B30:D30 F30:L30 B42:D42 F42:L42 B51:L51 F49:L50 B7:L11 B13:L17 B31:L35 B43:L46">
    <cfRule type="expression" dxfId="145" priority="35">
      <formula>MOD($B7,2)=1</formula>
    </cfRule>
  </conditionalFormatting>
  <conditionalFormatting sqref="B58:L59">
    <cfRule type="expression" dxfId="144" priority="34">
      <formula>MOD($B58,2)=1</formula>
    </cfRule>
  </conditionalFormatting>
  <conditionalFormatting sqref="B19:L25">
    <cfRule type="expression" dxfId="143" priority="33">
      <formula>MOD($B19,2)=1</formula>
    </cfRule>
  </conditionalFormatting>
  <conditionalFormatting sqref="B38:L38">
    <cfRule type="expression" dxfId="142" priority="32">
      <formula>MOD($B38,2)=1</formula>
    </cfRule>
  </conditionalFormatting>
  <conditionalFormatting sqref="B36:L37">
    <cfRule type="expression" dxfId="141" priority="31">
      <formula>MOD($B36,2)=1</formula>
    </cfRule>
  </conditionalFormatting>
  <conditionalFormatting sqref="B28:L29">
    <cfRule type="expression" dxfId="140" priority="30">
      <formula>MOD($B28,2)=1</formula>
    </cfRule>
  </conditionalFormatting>
  <conditionalFormatting sqref="E30">
    <cfRule type="expression" dxfId="139" priority="29">
      <formula>MOD(#REF!,2)=1</formula>
    </cfRule>
  </conditionalFormatting>
  <conditionalFormatting sqref="B40:L41">
    <cfRule type="expression" dxfId="138" priority="26">
      <formula>MOD($B40,2)=1</formula>
    </cfRule>
  </conditionalFormatting>
  <conditionalFormatting sqref="E42">
    <cfRule type="expression" dxfId="137" priority="25">
      <formula>MOD(#REF!,2)=1</formula>
    </cfRule>
  </conditionalFormatting>
  <conditionalFormatting sqref="B55:D56 F55:L56 B57:L57">
    <cfRule type="expression" dxfId="136" priority="23">
      <formula>MOD($B55,2)=1</formula>
    </cfRule>
  </conditionalFormatting>
  <conditionalFormatting sqref="E54">
    <cfRule type="expression" dxfId="135" priority="24">
      <formula>MOD($B55,2)=1</formula>
    </cfRule>
  </conditionalFormatting>
  <hyperlinks>
    <hyperlink ref="E150" r:id="rId1" xr:uid="{B3716834-47D3-4481-A65E-A3D5CFB23E57}"/>
    <hyperlink ref="E151" r:id="rId2" xr:uid="{F1E41188-D75E-4827-B11B-99A2CD0777DA}"/>
    <hyperlink ref="E152" r:id="rId3" xr:uid="{9C0D9DDE-9887-4905-98A1-A1DA54EF2E39}"/>
  </hyperlinks>
  <pageMargins left="0.7" right="0.7" top="0.75" bottom="0.75" header="0.3" footer="0.3"/>
  <pageSetup scale="26" fitToWidth="0" fitToHeight="0" orientation="portrait" r:id="rId4"/>
  <drawing r:id="rId5"/>
  <legacyDrawing r:id="rId6"/>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193BA0-0DDD-431E-8385-F7D95CE3C3D0}">
  <sheetPr codeName="Sheet4"/>
  <dimension ref="A1:N165"/>
  <sheetViews>
    <sheetView showGridLines="0" zoomScale="49" zoomScaleNormal="75" workbookViewId="0">
      <pane ySplit="2" topLeftCell="A85" activePane="bottomLeft" state="frozen"/>
      <selection pane="bottomLeft" activeCell="I28" sqref="I28"/>
    </sheetView>
  </sheetViews>
  <sheetFormatPr defaultColWidth="9.58203125" defaultRowHeight="15.5"/>
  <cols>
    <col min="1" max="1" width="30.6640625" style="182" customWidth="1"/>
    <col min="2" max="3" width="23.1640625" style="183" customWidth="1"/>
    <col min="4" max="4" width="37.08203125" style="182" customWidth="1"/>
    <col min="5" max="5" width="59.33203125" style="182" customWidth="1"/>
    <col min="6" max="6" width="15.08203125" style="180" customWidth="1"/>
    <col min="7" max="7" width="15.08203125" style="181" customWidth="1"/>
    <col min="8" max="8" width="19.33203125" style="180" customWidth="1"/>
    <col min="9" max="9" width="18.1640625" style="180" customWidth="1"/>
    <col min="10" max="11" width="20.5" style="180" customWidth="1"/>
    <col min="12" max="12" width="20.83203125" style="179" customWidth="1"/>
    <col min="13" max="16384" width="9.58203125" style="178"/>
  </cols>
  <sheetData>
    <row r="1" spans="1:12" ht="148.5" customHeight="1">
      <c r="B1" s="369" t="s">
        <v>751</v>
      </c>
      <c r="C1" s="369"/>
      <c r="D1" s="369"/>
      <c r="E1" s="369"/>
      <c r="F1" s="369"/>
      <c r="G1" s="369"/>
      <c r="H1" s="369"/>
      <c r="I1" s="369"/>
      <c r="J1" s="369"/>
      <c r="K1" s="369"/>
    </row>
    <row r="2" spans="1:12" s="219" customFormat="1" ht="15" customHeight="1">
      <c r="A2" s="222" t="s">
        <v>106</v>
      </c>
      <c r="B2" s="222" t="s">
        <v>105</v>
      </c>
      <c r="C2" s="222" t="s">
        <v>104</v>
      </c>
      <c r="D2" s="222" t="s">
        <v>103</v>
      </c>
      <c r="E2" s="222" t="s">
        <v>102</v>
      </c>
      <c r="F2" s="221" t="s">
        <v>101</v>
      </c>
      <c r="G2" s="222" t="s">
        <v>1</v>
      </c>
      <c r="H2" s="221" t="s">
        <v>100</v>
      </c>
      <c r="I2" s="221" t="s">
        <v>99</v>
      </c>
      <c r="J2" s="221" t="s">
        <v>176</v>
      </c>
      <c r="K2" s="221" t="s">
        <v>98</v>
      </c>
      <c r="L2" s="220" t="s">
        <v>2</v>
      </c>
    </row>
    <row r="3" spans="1:12" ht="14.25" customHeight="1">
      <c r="L3" s="218"/>
    </row>
    <row r="4" spans="1:12" ht="15" customHeight="1">
      <c r="A4" s="201" t="s">
        <v>0</v>
      </c>
      <c r="B4" s="200"/>
      <c r="C4" s="200"/>
      <c r="D4" s="199"/>
      <c r="E4" s="199"/>
      <c r="F4" s="197"/>
      <c r="G4" s="198"/>
      <c r="H4" s="197"/>
      <c r="I4" s="197"/>
      <c r="J4" s="197"/>
      <c r="K4" s="197"/>
      <c r="L4" s="196"/>
    </row>
    <row r="5" spans="1:12">
      <c r="A5" s="193" t="s">
        <v>732</v>
      </c>
      <c r="L5" s="217"/>
    </row>
    <row r="6" spans="1:12" ht="16.5">
      <c r="A6" s="230"/>
      <c r="B6" s="183">
        <v>80001</v>
      </c>
      <c r="C6" s="183" t="s">
        <v>750</v>
      </c>
      <c r="E6" s="182" t="s">
        <v>749</v>
      </c>
      <c r="F6" s="180">
        <v>100</v>
      </c>
      <c r="G6" s="181">
        <v>1</v>
      </c>
      <c r="H6" s="180">
        <f>F6*G6</f>
        <v>100</v>
      </c>
      <c r="I6" s="180">
        <f>H6*1.13</f>
        <v>112.99999999999999</v>
      </c>
      <c r="J6" s="180">
        <f>I6*0.75</f>
        <v>84.749999999999986</v>
      </c>
      <c r="L6" s="202"/>
    </row>
    <row r="7" spans="1:12">
      <c r="B7" s="183">
        <v>80002</v>
      </c>
      <c r="C7" s="183" t="s">
        <v>674</v>
      </c>
      <c r="D7" s="183"/>
      <c r="E7" s="182" t="s">
        <v>749</v>
      </c>
      <c r="F7" s="180">
        <v>100</v>
      </c>
      <c r="G7" s="181">
        <v>1</v>
      </c>
      <c r="H7" s="180">
        <f>F7*G7</f>
        <v>100</v>
      </c>
      <c r="I7" s="180">
        <f>H7*1.13</f>
        <v>112.99999999999999</v>
      </c>
      <c r="J7" s="180">
        <f>I7*0.75</f>
        <v>84.749999999999986</v>
      </c>
      <c r="L7" s="202"/>
    </row>
    <row r="8" spans="1:12">
      <c r="L8" s="202"/>
    </row>
    <row r="9" spans="1:12" s="184" customFormat="1" ht="14.5">
      <c r="A9" s="193"/>
      <c r="B9" s="214" t="s">
        <v>656</v>
      </c>
      <c r="C9" s="213"/>
      <c r="D9" s="212"/>
      <c r="E9" s="212"/>
      <c r="F9" s="210"/>
      <c r="G9" s="211"/>
      <c r="H9" s="210"/>
      <c r="I9" s="210">
        <f>SUM(I6:I7)</f>
        <v>225.99999999999997</v>
      </c>
      <c r="J9" s="210">
        <f t="shared" ref="J9:L9" si="0">SUM(J6:J7)</f>
        <v>169.49999999999997</v>
      </c>
      <c r="K9" s="210">
        <f t="shared" si="0"/>
        <v>0</v>
      </c>
      <c r="L9" s="216">
        <f t="shared" si="0"/>
        <v>0</v>
      </c>
    </row>
    <row r="10" spans="1:12">
      <c r="A10" s="193" t="s">
        <v>655</v>
      </c>
      <c r="C10" s="229"/>
      <c r="D10" s="228" t="s">
        <v>748</v>
      </c>
      <c r="L10" s="217"/>
    </row>
    <row r="11" spans="1:12">
      <c r="A11" s="226" t="s">
        <v>654</v>
      </c>
      <c r="B11" s="183">
        <v>80101</v>
      </c>
      <c r="C11" s="183" t="s">
        <v>747</v>
      </c>
      <c r="E11" s="182" t="s">
        <v>645</v>
      </c>
      <c r="F11" s="180">
        <v>50</v>
      </c>
      <c r="G11" s="181">
        <v>1</v>
      </c>
      <c r="H11" s="180">
        <f t="shared" ref="H11:H22" si="1">F11*G11</f>
        <v>50</v>
      </c>
      <c r="I11" s="180">
        <f t="shared" ref="I11:I22" si="2">H11*1.13</f>
        <v>56.499999999999993</v>
      </c>
      <c r="J11" s="180">
        <f t="shared" ref="J11:J22" si="3">I11*0.75</f>
        <v>42.374999999999993</v>
      </c>
      <c r="L11" s="202">
        <v>0</v>
      </c>
    </row>
    <row r="12" spans="1:12">
      <c r="B12" s="183">
        <v>80102</v>
      </c>
      <c r="C12" s="183" t="s">
        <v>746</v>
      </c>
      <c r="D12" s="183"/>
      <c r="E12" s="182" t="s">
        <v>745</v>
      </c>
      <c r="F12" s="180">
        <v>10</v>
      </c>
      <c r="G12" s="181">
        <v>5</v>
      </c>
      <c r="H12" s="180">
        <f t="shared" si="1"/>
        <v>50</v>
      </c>
      <c r="I12" s="180">
        <f t="shared" si="2"/>
        <v>56.499999999999993</v>
      </c>
      <c r="J12" s="180">
        <f t="shared" si="3"/>
        <v>42.374999999999993</v>
      </c>
      <c r="L12" s="202">
        <v>0</v>
      </c>
    </row>
    <row r="13" spans="1:12">
      <c r="B13" s="183">
        <v>80103</v>
      </c>
      <c r="C13" s="183" t="s">
        <v>744</v>
      </c>
      <c r="E13" s="182" t="s">
        <v>743</v>
      </c>
      <c r="F13" s="180">
        <v>200</v>
      </c>
      <c r="G13" s="181">
        <v>1</v>
      </c>
      <c r="H13" s="180">
        <f t="shared" si="1"/>
        <v>200</v>
      </c>
      <c r="I13" s="180">
        <f t="shared" si="2"/>
        <v>225.99999999999997</v>
      </c>
      <c r="J13" s="180">
        <f t="shared" si="3"/>
        <v>169.49999999999997</v>
      </c>
      <c r="L13" s="202">
        <v>0</v>
      </c>
    </row>
    <row r="14" spans="1:12">
      <c r="B14" s="183">
        <v>80104</v>
      </c>
      <c r="C14" s="183" t="s">
        <v>742</v>
      </c>
      <c r="E14" s="182" t="s">
        <v>651</v>
      </c>
      <c r="F14" s="180">
        <v>100</v>
      </c>
      <c r="G14" s="181">
        <v>1</v>
      </c>
      <c r="H14" s="180">
        <f t="shared" si="1"/>
        <v>100</v>
      </c>
      <c r="I14" s="180">
        <f t="shared" si="2"/>
        <v>112.99999999999999</v>
      </c>
      <c r="J14" s="180">
        <f t="shared" si="3"/>
        <v>84.749999999999986</v>
      </c>
      <c r="L14" s="202">
        <v>0</v>
      </c>
    </row>
    <row r="15" spans="1:12">
      <c r="B15" s="183">
        <v>80105</v>
      </c>
      <c r="C15" s="183" t="s">
        <v>741</v>
      </c>
      <c r="E15" s="182" t="s">
        <v>740</v>
      </c>
      <c r="F15" s="180">
        <v>50</v>
      </c>
      <c r="G15" s="181">
        <v>1</v>
      </c>
      <c r="H15" s="180">
        <f t="shared" si="1"/>
        <v>50</v>
      </c>
      <c r="I15" s="180">
        <f t="shared" si="2"/>
        <v>56.499999999999993</v>
      </c>
      <c r="J15" s="180">
        <f t="shared" si="3"/>
        <v>42.374999999999993</v>
      </c>
      <c r="L15" s="202">
        <v>0</v>
      </c>
    </row>
    <row r="16" spans="1:12">
      <c r="B16" s="183">
        <v>80106</v>
      </c>
      <c r="C16" s="183" t="s">
        <v>337</v>
      </c>
      <c r="E16" s="182" t="s">
        <v>739</v>
      </c>
      <c r="F16" s="180">
        <v>8</v>
      </c>
      <c r="G16" s="181">
        <v>50</v>
      </c>
      <c r="H16" s="180">
        <f t="shared" si="1"/>
        <v>400</v>
      </c>
      <c r="I16" s="180">
        <f t="shared" si="2"/>
        <v>451.99999999999994</v>
      </c>
      <c r="J16" s="180">
        <f t="shared" si="3"/>
        <v>338.99999999999994</v>
      </c>
      <c r="L16" s="202">
        <v>419</v>
      </c>
    </row>
    <row r="17" spans="1:14" s="184" customFormat="1">
      <c r="A17" s="226" t="s">
        <v>652</v>
      </c>
      <c r="B17" s="183">
        <v>80107</v>
      </c>
      <c r="C17" s="183" t="s">
        <v>747</v>
      </c>
      <c r="D17" s="182"/>
      <c r="E17" s="182" t="s">
        <v>645</v>
      </c>
      <c r="F17" s="180">
        <v>50</v>
      </c>
      <c r="G17" s="181">
        <v>1</v>
      </c>
      <c r="H17" s="180">
        <f t="shared" si="1"/>
        <v>50</v>
      </c>
      <c r="I17" s="180">
        <f t="shared" si="2"/>
        <v>56.499999999999993</v>
      </c>
      <c r="J17" s="180">
        <f t="shared" si="3"/>
        <v>42.374999999999993</v>
      </c>
      <c r="K17" s="180"/>
      <c r="L17" s="202"/>
    </row>
    <row r="18" spans="1:14">
      <c r="B18" s="183">
        <v>80108</v>
      </c>
      <c r="C18" s="183" t="s">
        <v>746</v>
      </c>
      <c r="D18" s="183"/>
      <c r="E18" s="182" t="s">
        <v>745</v>
      </c>
      <c r="F18" s="180">
        <v>10</v>
      </c>
      <c r="G18" s="181">
        <v>5</v>
      </c>
      <c r="H18" s="180">
        <f t="shared" si="1"/>
        <v>50</v>
      </c>
      <c r="I18" s="180">
        <f t="shared" si="2"/>
        <v>56.499999999999993</v>
      </c>
      <c r="J18" s="180">
        <f t="shared" si="3"/>
        <v>42.374999999999993</v>
      </c>
      <c r="L18" s="202"/>
    </row>
    <row r="19" spans="1:14" s="203" customFormat="1">
      <c r="A19" s="182"/>
      <c r="B19" s="183">
        <v>80109</v>
      </c>
      <c r="C19" s="183" t="s">
        <v>744</v>
      </c>
      <c r="D19" s="182"/>
      <c r="E19" s="182" t="s">
        <v>743</v>
      </c>
      <c r="F19" s="180">
        <v>200</v>
      </c>
      <c r="G19" s="181">
        <v>1</v>
      </c>
      <c r="H19" s="180">
        <f t="shared" si="1"/>
        <v>200</v>
      </c>
      <c r="I19" s="180">
        <f t="shared" si="2"/>
        <v>225.99999999999997</v>
      </c>
      <c r="J19" s="180">
        <f t="shared" si="3"/>
        <v>169.49999999999997</v>
      </c>
      <c r="K19" s="180"/>
      <c r="L19" s="202"/>
    </row>
    <row r="20" spans="1:14">
      <c r="B20" s="183">
        <v>80110</v>
      </c>
      <c r="C20" s="183" t="s">
        <v>742</v>
      </c>
      <c r="E20" s="182" t="s">
        <v>651</v>
      </c>
      <c r="F20" s="180">
        <v>100</v>
      </c>
      <c r="G20" s="181">
        <v>1</v>
      </c>
      <c r="H20" s="180">
        <f t="shared" si="1"/>
        <v>100</v>
      </c>
      <c r="I20" s="180">
        <f t="shared" si="2"/>
        <v>112.99999999999999</v>
      </c>
      <c r="J20" s="180">
        <f t="shared" si="3"/>
        <v>84.749999999999986</v>
      </c>
      <c r="L20" s="202"/>
    </row>
    <row r="21" spans="1:14" ht="15" customHeight="1">
      <c r="B21" s="183">
        <v>80111</v>
      </c>
      <c r="C21" s="183" t="s">
        <v>741</v>
      </c>
      <c r="E21" s="182" t="s">
        <v>740</v>
      </c>
      <c r="F21" s="180">
        <v>50</v>
      </c>
      <c r="G21" s="181">
        <v>1</v>
      </c>
      <c r="H21" s="180">
        <f t="shared" si="1"/>
        <v>50</v>
      </c>
      <c r="I21" s="180">
        <f t="shared" si="2"/>
        <v>56.499999999999993</v>
      </c>
      <c r="J21" s="180">
        <f t="shared" si="3"/>
        <v>42.374999999999993</v>
      </c>
      <c r="L21" s="202"/>
    </row>
    <row r="22" spans="1:14">
      <c r="B22" s="183">
        <v>80112</v>
      </c>
      <c r="C22" s="183" t="s">
        <v>337</v>
      </c>
      <c r="E22" s="182" t="s">
        <v>739</v>
      </c>
      <c r="F22" s="180">
        <v>8</v>
      </c>
      <c r="G22" s="181">
        <v>30</v>
      </c>
      <c r="H22" s="180">
        <f t="shared" si="1"/>
        <v>240</v>
      </c>
      <c r="I22" s="180">
        <f t="shared" si="2"/>
        <v>271.2</v>
      </c>
      <c r="J22" s="180">
        <f t="shared" si="3"/>
        <v>203.39999999999998</v>
      </c>
      <c r="L22" s="202">
        <v>159</v>
      </c>
    </row>
    <row r="23" spans="1:14">
      <c r="L23" s="202"/>
    </row>
    <row r="24" spans="1:14" ht="14.5">
      <c r="A24" s="193"/>
      <c r="B24" s="214" t="s">
        <v>634</v>
      </c>
      <c r="C24" s="213"/>
      <c r="D24" s="212"/>
      <c r="E24" s="212"/>
      <c r="F24" s="210"/>
      <c r="G24" s="211"/>
      <c r="H24" s="210"/>
      <c r="I24" s="210">
        <f>SUM(I11:I22)</f>
        <v>1740.1999999999998</v>
      </c>
      <c r="J24" s="210">
        <f t="shared" ref="J24:L24" si="4">SUM(J11:J22)</f>
        <v>1305.1499999999996</v>
      </c>
      <c r="K24" s="210">
        <f t="shared" si="4"/>
        <v>0</v>
      </c>
      <c r="L24" s="216">
        <f t="shared" si="4"/>
        <v>578</v>
      </c>
    </row>
    <row r="25" spans="1:14" s="184" customFormat="1">
      <c r="A25" s="182"/>
      <c r="B25" s="183"/>
      <c r="C25" s="183"/>
      <c r="D25" s="182"/>
      <c r="E25" s="182"/>
      <c r="F25" s="180"/>
      <c r="G25" s="181"/>
      <c r="H25" s="180"/>
      <c r="I25" s="180"/>
      <c r="J25" s="180"/>
      <c r="K25" s="180"/>
      <c r="L25" s="202"/>
    </row>
    <row r="26" spans="1:14" ht="14.5">
      <c r="A26" s="209"/>
      <c r="B26" s="208" t="s">
        <v>83</v>
      </c>
      <c r="C26" s="207"/>
      <c r="D26" s="206"/>
      <c r="E26" s="206"/>
      <c r="F26" s="204"/>
      <c r="G26" s="205"/>
      <c r="H26" s="204"/>
      <c r="I26" s="204">
        <f>SUM(I24,I9)</f>
        <v>1966.1999999999998</v>
      </c>
      <c r="J26" s="204">
        <f t="shared" ref="J26:L26" si="5">SUM(J24,J9)</f>
        <v>1474.6499999999996</v>
      </c>
      <c r="K26" s="204">
        <f t="shared" si="5"/>
        <v>0</v>
      </c>
      <c r="L26" s="215">
        <f t="shared" si="5"/>
        <v>578</v>
      </c>
    </row>
    <row r="27" spans="1:14">
      <c r="L27" s="202"/>
    </row>
    <row r="28" spans="1:14">
      <c r="A28" s="201" t="s">
        <v>3</v>
      </c>
      <c r="B28" s="200"/>
      <c r="C28" s="200"/>
      <c r="D28" s="199"/>
      <c r="E28" s="199"/>
      <c r="F28" s="197"/>
      <c r="G28" s="198"/>
      <c r="H28" s="197"/>
      <c r="I28" s="197"/>
      <c r="J28" s="197"/>
      <c r="K28" s="197"/>
      <c r="L28" s="196"/>
    </row>
    <row r="29" spans="1:14" s="184" customFormat="1">
      <c r="A29" s="193" t="s">
        <v>738</v>
      </c>
      <c r="B29" s="183"/>
      <c r="C29" s="183"/>
      <c r="D29" s="182"/>
      <c r="E29" s="182"/>
      <c r="F29" s="180"/>
      <c r="G29" s="181"/>
      <c r="H29" s="180"/>
      <c r="I29" s="180"/>
      <c r="J29" s="180"/>
      <c r="K29" s="180"/>
      <c r="L29" s="202"/>
      <c r="M29" s="178"/>
      <c r="N29" s="178"/>
    </row>
    <row r="30" spans="1:14">
      <c r="B30" s="183">
        <v>80201</v>
      </c>
      <c r="C30" s="183" t="s">
        <v>556</v>
      </c>
      <c r="D30" s="183">
        <v>15</v>
      </c>
      <c r="E30" s="182" t="s">
        <v>737</v>
      </c>
      <c r="F30" s="180">
        <v>30</v>
      </c>
      <c r="G30" s="181">
        <v>5</v>
      </c>
      <c r="H30" s="180">
        <f>F30*G30</f>
        <v>150</v>
      </c>
      <c r="I30" s="180">
        <f>H30*1.13</f>
        <v>169.49999999999997</v>
      </c>
      <c r="J30" s="180">
        <f>I30*1.25</f>
        <v>211.87499999999997</v>
      </c>
      <c r="L30" s="202">
        <v>0</v>
      </c>
    </row>
    <row r="31" spans="1:14">
      <c r="L31" s="202"/>
      <c r="M31" s="184"/>
      <c r="N31" s="184"/>
    </row>
    <row r="32" spans="1:14" ht="14.5">
      <c r="A32" s="193"/>
      <c r="B32" s="214" t="s">
        <v>736</v>
      </c>
      <c r="C32" s="213"/>
      <c r="D32" s="212"/>
      <c r="E32" s="212"/>
      <c r="F32" s="210"/>
      <c r="G32" s="211"/>
      <c r="H32" s="210"/>
      <c r="I32" s="210">
        <f>I30</f>
        <v>169.49999999999997</v>
      </c>
      <c r="J32" s="210">
        <f t="shared" ref="J32:L32" si="6">J30</f>
        <v>211.87499999999997</v>
      </c>
      <c r="K32" s="210">
        <f t="shared" si="6"/>
        <v>0</v>
      </c>
      <c r="L32" s="216">
        <f t="shared" si="6"/>
        <v>0</v>
      </c>
    </row>
    <row r="33" spans="1:14">
      <c r="A33" s="193" t="s">
        <v>735</v>
      </c>
      <c r="L33" s="202"/>
    </row>
    <row r="34" spans="1:14">
      <c r="B34" s="183">
        <v>80301</v>
      </c>
      <c r="C34" s="183" t="s">
        <v>222</v>
      </c>
      <c r="D34" s="183">
        <v>48</v>
      </c>
      <c r="E34" s="182" t="s">
        <v>734</v>
      </c>
      <c r="F34" s="180">
        <v>15</v>
      </c>
      <c r="G34" s="181">
        <v>8</v>
      </c>
      <c r="H34" s="180">
        <f>F34*G34</f>
        <v>120</v>
      </c>
      <c r="I34" s="180">
        <f>H34*1.13</f>
        <v>135.6</v>
      </c>
      <c r="J34" s="180">
        <f>I34*1.25</f>
        <v>169.5</v>
      </c>
      <c r="L34" s="202">
        <v>190.57</v>
      </c>
    </row>
    <row r="35" spans="1:14">
      <c r="L35" s="202"/>
    </row>
    <row r="36" spans="1:14" s="184" customFormat="1" ht="14.5">
      <c r="A36" s="193"/>
      <c r="B36" s="214" t="s">
        <v>733</v>
      </c>
      <c r="C36" s="213"/>
      <c r="D36" s="212"/>
      <c r="E36" s="212"/>
      <c r="F36" s="210"/>
      <c r="G36" s="211"/>
      <c r="H36" s="210"/>
      <c r="I36" s="210">
        <f>I34</f>
        <v>135.6</v>
      </c>
      <c r="J36" s="210">
        <f t="shared" ref="J36:L36" si="7">J34</f>
        <v>169.5</v>
      </c>
      <c r="K36" s="210">
        <f t="shared" si="7"/>
        <v>0</v>
      </c>
      <c r="L36" s="216">
        <f t="shared" si="7"/>
        <v>190.57</v>
      </c>
      <c r="M36" s="178"/>
      <c r="N36" s="178"/>
    </row>
    <row r="37" spans="1:14">
      <c r="A37" s="193" t="s">
        <v>732</v>
      </c>
      <c r="L37" s="202"/>
    </row>
    <row r="38" spans="1:14" s="203" customFormat="1">
      <c r="A38" s="226" t="s">
        <v>731</v>
      </c>
      <c r="B38" s="183">
        <v>80401</v>
      </c>
      <c r="C38" s="183" t="s">
        <v>730</v>
      </c>
      <c r="D38" s="183">
        <v>42</v>
      </c>
      <c r="E38" s="182" t="s">
        <v>729</v>
      </c>
      <c r="F38" s="180">
        <v>500</v>
      </c>
      <c r="G38" s="181">
        <v>1</v>
      </c>
      <c r="H38" s="180">
        <f t="shared" ref="H38:H75" si="8">F38*G38</f>
        <v>500</v>
      </c>
      <c r="I38" s="180">
        <f t="shared" ref="I38:I75" si="9">H38*1.13</f>
        <v>565</v>
      </c>
      <c r="J38" s="180">
        <f t="shared" ref="J38:J75" si="10">I38*1.25</f>
        <v>706.25</v>
      </c>
      <c r="K38" s="180"/>
      <c r="L38" s="202">
        <v>500</v>
      </c>
      <c r="M38" s="178" t="s">
        <v>728</v>
      </c>
      <c r="N38" s="184"/>
    </row>
    <row r="39" spans="1:14">
      <c r="B39" s="183">
        <v>80402</v>
      </c>
      <c r="C39" s="183" t="s">
        <v>678</v>
      </c>
      <c r="D39" s="183">
        <v>43</v>
      </c>
      <c r="E39" s="182" t="s">
        <v>727</v>
      </c>
      <c r="F39" s="180">
        <v>250</v>
      </c>
      <c r="G39" s="181">
        <v>1</v>
      </c>
      <c r="H39" s="180">
        <f t="shared" si="8"/>
        <v>250</v>
      </c>
      <c r="I39" s="180">
        <f t="shared" si="9"/>
        <v>282.5</v>
      </c>
      <c r="J39" s="180">
        <f t="shared" si="10"/>
        <v>353.125</v>
      </c>
      <c r="L39" s="202">
        <v>55.78</v>
      </c>
    </row>
    <row r="40" spans="1:14" ht="15" customHeight="1">
      <c r="B40" s="183">
        <v>80403</v>
      </c>
      <c r="C40" s="183" t="s">
        <v>726</v>
      </c>
      <c r="D40" s="183">
        <v>44</v>
      </c>
      <c r="E40" s="182" t="s">
        <v>725</v>
      </c>
      <c r="F40" s="180">
        <v>50</v>
      </c>
      <c r="G40" s="181">
        <v>1</v>
      </c>
      <c r="H40" s="180">
        <f t="shared" si="8"/>
        <v>50</v>
      </c>
      <c r="I40" s="180">
        <f t="shared" si="9"/>
        <v>56.499999999999993</v>
      </c>
      <c r="J40" s="180">
        <f t="shared" si="10"/>
        <v>70.624999999999986</v>
      </c>
      <c r="L40" s="202">
        <v>39.67</v>
      </c>
      <c r="M40" s="203"/>
      <c r="N40" s="203"/>
    </row>
    <row r="41" spans="1:14" s="184" customFormat="1">
      <c r="A41" s="182"/>
      <c r="B41" s="183">
        <v>80404</v>
      </c>
      <c r="C41" s="183" t="s">
        <v>664</v>
      </c>
      <c r="D41" s="183">
        <v>19</v>
      </c>
      <c r="E41" s="182" t="s">
        <v>725</v>
      </c>
      <c r="F41" s="180">
        <v>200</v>
      </c>
      <c r="G41" s="181">
        <v>1</v>
      </c>
      <c r="H41" s="180">
        <f t="shared" si="8"/>
        <v>200</v>
      </c>
      <c r="I41" s="180">
        <f t="shared" si="9"/>
        <v>225.99999999999997</v>
      </c>
      <c r="J41" s="180">
        <f t="shared" si="10"/>
        <v>282.49999999999994</v>
      </c>
      <c r="K41" s="180"/>
      <c r="L41" s="202"/>
      <c r="M41" s="178"/>
      <c r="N41" s="178"/>
    </row>
    <row r="42" spans="1:14" s="184" customFormat="1">
      <c r="A42" s="182"/>
      <c r="B42" s="183">
        <v>80405</v>
      </c>
      <c r="C42" s="183" t="s">
        <v>223</v>
      </c>
      <c r="D42" s="183">
        <v>18</v>
      </c>
      <c r="E42" s="182" t="s">
        <v>724</v>
      </c>
      <c r="F42" s="180">
        <v>150</v>
      </c>
      <c r="G42" s="181">
        <v>1</v>
      </c>
      <c r="H42" s="180">
        <f t="shared" si="8"/>
        <v>150</v>
      </c>
      <c r="I42" s="180">
        <f t="shared" si="9"/>
        <v>169.49999999999997</v>
      </c>
      <c r="J42" s="180">
        <f t="shared" si="10"/>
        <v>211.87499999999997</v>
      </c>
      <c r="K42" s="180"/>
      <c r="L42" s="202"/>
      <c r="M42" s="178"/>
      <c r="N42" s="178"/>
    </row>
    <row r="43" spans="1:14" s="184" customFormat="1">
      <c r="A43" s="182"/>
      <c r="B43" s="183">
        <v>80406</v>
      </c>
      <c r="C43" s="183" t="s">
        <v>723</v>
      </c>
      <c r="D43" s="183">
        <v>6</v>
      </c>
      <c r="E43" s="182" t="s">
        <v>722</v>
      </c>
      <c r="F43" s="180">
        <v>320</v>
      </c>
      <c r="G43" s="181">
        <v>1</v>
      </c>
      <c r="H43" s="180">
        <f t="shared" si="8"/>
        <v>320</v>
      </c>
      <c r="I43" s="180">
        <f t="shared" si="9"/>
        <v>361.59999999999997</v>
      </c>
      <c r="J43" s="180">
        <f t="shared" si="10"/>
        <v>451.99999999999994</v>
      </c>
      <c r="K43" s="180"/>
      <c r="L43" s="202"/>
    </row>
    <row r="44" spans="1:14">
      <c r="A44" s="226" t="s">
        <v>721</v>
      </c>
      <c r="B44" s="183">
        <v>80407</v>
      </c>
      <c r="C44" s="183" t="s">
        <v>689</v>
      </c>
      <c r="D44" s="183">
        <v>45</v>
      </c>
      <c r="E44" s="182" t="s">
        <v>720</v>
      </c>
      <c r="F44" s="180">
        <v>1.5</v>
      </c>
      <c r="G44" s="181">
        <v>25</v>
      </c>
      <c r="H44" s="180">
        <f t="shared" si="8"/>
        <v>37.5</v>
      </c>
      <c r="I44" s="180">
        <f t="shared" si="9"/>
        <v>42.374999999999993</v>
      </c>
      <c r="J44" s="180">
        <f t="shared" si="10"/>
        <v>52.968749999999993</v>
      </c>
      <c r="L44" s="202">
        <v>0</v>
      </c>
      <c r="M44" s="184"/>
      <c r="N44" s="184"/>
    </row>
    <row r="45" spans="1:14">
      <c r="B45" s="183">
        <v>80408</v>
      </c>
      <c r="C45" s="183" t="s">
        <v>719</v>
      </c>
      <c r="D45" s="183">
        <v>46</v>
      </c>
      <c r="E45" s="182" t="s">
        <v>718</v>
      </c>
      <c r="F45" s="180">
        <v>8</v>
      </c>
      <c r="G45" s="181">
        <v>40</v>
      </c>
      <c r="H45" s="180">
        <f t="shared" si="8"/>
        <v>320</v>
      </c>
      <c r="I45" s="180">
        <f t="shared" si="9"/>
        <v>361.59999999999997</v>
      </c>
      <c r="J45" s="180">
        <f t="shared" si="10"/>
        <v>451.99999999999994</v>
      </c>
      <c r="L45" s="202"/>
      <c r="M45" s="184"/>
      <c r="N45" s="184"/>
    </row>
    <row r="46" spans="1:14">
      <c r="A46" s="226" t="s">
        <v>717</v>
      </c>
      <c r="B46" s="183">
        <v>80409</v>
      </c>
      <c r="C46" s="183" t="s">
        <v>716</v>
      </c>
      <c r="D46" s="183">
        <v>47</v>
      </c>
      <c r="E46" s="182" t="s">
        <v>715</v>
      </c>
      <c r="F46" s="180">
        <v>200</v>
      </c>
      <c r="G46" s="181">
        <v>1</v>
      </c>
      <c r="H46" s="180">
        <f t="shared" si="8"/>
        <v>200</v>
      </c>
      <c r="I46" s="180">
        <f t="shared" si="9"/>
        <v>225.99999999999997</v>
      </c>
      <c r="J46" s="180">
        <f t="shared" si="10"/>
        <v>282.49999999999994</v>
      </c>
      <c r="L46" s="202">
        <v>325</v>
      </c>
    </row>
    <row r="47" spans="1:14">
      <c r="B47" s="183">
        <v>80410</v>
      </c>
      <c r="C47" s="183" t="s">
        <v>714</v>
      </c>
      <c r="D47" s="183">
        <v>49</v>
      </c>
      <c r="E47" s="182" t="s">
        <v>713</v>
      </c>
      <c r="F47" s="180">
        <v>50</v>
      </c>
      <c r="G47" s="181">
        <v>1</v>
      </c>
      <c r="H47" s="180">
        <f t="shared" si="8"/>
        <v>50</v>
      </c>
      <c r="I47" s="180">
        <f t="shared" si="9"/>
        <v>56.499999999999993</v>
      </c>
      <c r="J47" s="180">
        <f t="shared" si="10"/>
        <v>70.624999999999986</v>
      </c>
      <c r="L47" s="202">
        <v>19.5</v>
      </c>
      <c r="M47" s="178" t="s">
        <v>712</v>
      </c>
    </row>
    <row r="48" spans="1:14">
      <c r="B48" s="183">
        <v>80411</v>
      </c>
      <c r="C48" s="183" t="s">
        <v>711</v>
      </c>
      <c r="D48" s="183">
        <v>50</v>
      </c>
      <c r="E48" s="182" t="s">
        <v>710</v>
      </c>
      <c r="F48" s="180">
        <v>55</v>
      </c>
      <c r="G48" s="181">
        <v>1</v>
      </c>
      <c r="H48" s="180">
        <f t="shared" si="8"/>
        <v>55</v>
      </c>
      <c r="I48" s="180">
        <f t="shared" si="9"/>
        <v>62.149999999999991</v>
      </c>
      <c r="J48" s="180">
        <f t="shared" si="10"/>
        <v>77.687499999999986</v>
      </c>
      <c r="L48" s="202">
        <v>44.95</v>
      </c>
    </row>
    <row r="49" spans="1:13">
      <c r="B49" s="183">
        <v>80412</v>
      </c>
      <c r="C49" s="183" t="s">
        <v>212</v>
      </c>
      <c r="D49" s="183">
        <v>51</v>
      </c>
      <c r="E49" s="182" t="s">
        <v>709</v>
      </c>
      <c r="F49" s="180">
        <v>20</v>
      </c>
      <c r="G49" s="181">
        <v>1</v>
      </c>
      <c r="H49" s="180">
        <f t="shared" si="8"/>
        <v>20</v>
      </c>
      <c r="I49" s="180">
        <f t="shared" si="9"/>
        <v>22.599999999999998</v>
      </c>
      <c r="J49" s="180">
        <f t="shared" si="10"/>
        <v>28.249999999999996</v>
      </c>
      <c r="L49" s="202">
        <v>0</v>
      </c>
    </row>
    <row r="50" spans="1:13">
      <c r="B50" s="183">
        <v>80413</v>
      </c>
      <c r="C50" s="183" t="s">
        <v>708</v>
      </c>
      <c r="D50" s="183">
        <v>52</v>
      </c>
      <c r="E50" s="182" t="s">
        <v>707</v>
      </c>
      <c r="F50" s="180">
        <v>50</v>
      </c>
      <c r="G50" s="181">
        <v>1</v>
      </c>
      <c r="H50" s="180">
        <f t="shared" si="8"/>
        <v>50</v>
      </c>
      <c r="I50" s="180">
        <f t="shared" si="9"/>
        <v>56.499999999999993</v>
      </c>
      <c r="J50" s="180">
        <f t="shared" si="10"/>
        <v>70.624999999999986</v>
      </c>
      <c r="L50" s="202">
        <v>44.12</v>
      </c>
    </row>
    <row r="51" spans="1:13">
      <c r="B51" s="183">
        <v>80414</v>
      </c>
      <c r="C51" s="183" t="s">
        <v>706</v>
      </c>
      <c r="D51" s="183">
        <v>53</v>
      </c>
      <c r="E51" s="182" t="s">
        <v>705</v>
      </c>
      <c r="F51" s="180">
        <v>200</v>
      </c>
      <c r="G51" s="181">
        <v>1</v>
      </c>
      <c r="H51" s="180">
        <f t="shared" si="8"/>
        <v>200</v>
      </c>
      <c r="I51" s="180">
        <f t="shared" si="9"/>
        <v>225.99999999999997</v>
      </c>
      <c r="J51" s="180">
        <f t="shared" si="10"/>
        <v>282.49999999999994</v>
      </c>
      <c r="L51" s="202">
        <v>0</v>
      </c>
      <c r="M51" s="178" t="s">
        <v>704</v>
      </c>
    </row>
    <row r="52" spans="1:13">
      <c r="B52" s="183">
        <v>80415</v>
      </c>
      <c r="C52" s="183" t="s">
        <v>703</v>
      </c>
      <c r="D52" s="183">
        <v>54</v>
      </c>
      <c r="E52" s="182" t="s">
        <v>702</v>
      </c>
      <c r="F52" s="180">
        <v>150</v>
      </c>
      <c r="G52" s="181">
        <v>1</v>
      </c>
      <c r="H52" s="180">
        <f t="shared" si="8"/>
        <v>150</v>
      </c>
      <c r="I52" s="180">
        <f t="shared" si="9"/>
        <v>169.49999999999997</v>
      </c>
      <c r="J52" s="180">
        <f t="shared" si="10"/>
        <v>211.87499999999997</v>
      </c>
      <c r="L52" s="202">
        <v>0</v>
      </c>
      <c r="M52" s="178" t="s">
        <v>701</v>
      </c>
    </row>
    <row r="53" spans="1:13">
      <c r="B53" s="183">
        <v>80416</v>
      </c>
      <c r="C53" s="183" t="s">
        <v>700</v>
      </c>
      <c r="D53" s="183">
        <v>55</v>
      </c>
      <c r="E53" s="182" t="s">
        <v>699</v>
      </c>
      <c r="F53" s="180">
        <v>100</v>
      </c>
      <c r="G53" s="181">
        <v>1</v>
      </c>
      <c r="H53" s="180">
        <f t="shared" si="8"/>
        <v>100</v>
      </c>
      <c r="I53" s="180">
        <f t="shared" si="9"/>
        <v>112.99999999999999</v>
      </c>
      <c r="J53" s="180">
        <f t="shared" si="10"/>
        <v>141.24999999999997</v>
      </c>
      <c r="L53" s="202">
        <f>60+36.73+38.36+47.41</f>
        <v>182.49999999999997</v>
      </c>
      <c r="M53" s="178" t="s">
        <v>698</v>
      </c>
    </row>
    <row r="54" spans="1:13">
      <c r="A54" s="226" t="s">
        <v>697</v>
      </c>
      <c r="B54" s="183">
        <v>80417</v>
      </c>
      <c r="C54" s="183" t="s">
        <v>696</v>
      </c>
      <c r="D54" s="183">
        <v>1</v>
      </c>
      <c r="E54" s="182" t="s">
        <v>695</v>
      </c>
      <c r="F54" s="180">
        <v>10</v>
      </c>
      <c r="G54" s="181">
        <v>30</v>
      </c>
      <c r="H54" s="180">
        <f t="shared" si="8"/>
        <v>300</v>
      </c>
      <c r="I54" s="180">
        <f t="shared" si="9"/>
        <v>338.99999999999994</v>
      </c>
      <c r="J54" s="180">
        <f t="shared" si="10"/>
        <v>423.74999999999994</v>
      </c>
      <c r="L54" s="202">
        <v>0</v>
      </c>
    </row>
    <row r="55" spans="1:13">
      <c r="B55" s="183">
        <v>80418</v>
      </c>
      <c r="C55" s="183" t="s">
        <v>694</v>
      </c>
      <c r="D55" s="183">
        <v>7</v>
      </c>
      <c r="E55" s="182" t="s">
        <v>693</v>
      </c>
      <c r="F55" s="180">
        <v>50</v>
      </c>
      <c r="G55" s="181">
        <v>1</v>
      </c>
      <c r="H55" s="180">
        <f t="shared" si="8"/>
        <v>50</v>
      </c>
      <c r="I55" s="180">
        <f t="shared" si="9"/>
        <v>56.499999999999993</v>
      </c>
      <c r="J55" s="180">
        <f t="shared" si="10"/>
        <v>70.624999999999986</v>
      </c>
      <c r="L55" s="202">
        <v>15.3</v>
      </c>
    </row>
    <row r="56" spans="1:13">
      <c r="B56" s="183">
        <v>80419</v>
      </c>
      <c r="C56" s="183" t="s">
        <v>692</v>
      </c>
      <c r="D56" s="183">
        <v>8</v>
      </c>
      <c r="E56" s="182" t="s">
        <v>691</v>
      </c>
      <c r="F56" s="180">
        <v>4</v>
      </c>
      <c r="G56" s="181">
        <v>1</v>
      </c>
      <c r="H56" s="180">
        <f t="shared" si="8"/>
        <v>4</v>
      </c>
      <c r="I56" s="180">
        <f t="shared" si="9"/>
        <v>4.5199999999999996</v>
      </c>
      <c r="J56" s="180">
        <f t="shared" si="10"/>
        <v>5.6499999999999995</v>
      </c>
      <c r="L56" s="202"/>
    </row>
    <row r="57" spans="1:13">
      <c r="A57" s="226" t="s">
        <v>690</v>
      </c>
      <c r="B57" s="183">
        <v>80420</v>
      </c>
      <c r="C57" s="183" t="s">
        <v>689</v>
      </c>
      <c r="D57" s="183">
        <v>31</v>
      </c>
      <c r="E57" s="182" t="s">
        <v>688</v>
      </c>
      <c r="F57" s="180">
        <v>1.5</v>
      </c>
      <c r="G57" s="181">
        <v>25</v>
      </c>
      <c r="H57" s="180">
        <f t="shared" si="8"/>
        <v>37.5</v>
      </c>
      <c r="I57" s="180">
        <f t="shared" si="9"/>
        <v>42.374999999999993</v>
      </c>
      <c r="J57" s="180">
        <f t="shared" si="10"/>
        <v>52.968749999999993</v>
      </c>
      <c r="L57" s="202"/>
    </row>
    <row r="58" spans="1:13">
      <c r="A58" s="226" t="s">
        <v>687</v>
      </c>
      <c r="B58" s="183">
        <v>80421</v>
      </c>
      <c r="C58" s="183" t="s">
        <v>678</v>
      </c>
      <c r="D58" s="183">
        <v>26</v>
      </c>
      <c r="E58" s="182" t="s">
        <v>686</v>
      </c>
      <c r="F58" s="180">
        <v>250</v>
      </c>
      <c r="G58" s="181">
        <v>1</v>
      </c>
      <c r="H58" s="180">
        <f t="shared" si="8"/>
        <v>250</v>
      </c>
      <c r="I58" s="180">
        <f t="shared" si="9"/>
        <v>282.5</v>
      </c>
      <c r="J58" s="180">
        <f t="shared" si="10"/>
        <v>353.125</v>
      </c>
      <c r="L58" s="202"/>
    </row>
    <row r="59" spans="1:13">
      <c r="A59" s="226" t="s">
        <v>685</v>
      </c>
      <c r="B59" s="183">
        <v>80422</v>
      </c>
      <c r="C59" s="183" t="s">
        <v>684</v>
      </c>
      <c r="D59" s="183">
        <v>17</v>
      </c>
      <c r="E59" s="182" t="s">
        <v>683</v>
      </c>
      <c r="F59" s="180">
        <v>900</v>
      </c>
      <c r="G59" s="181">
        <v>1</v>
      </c>
      <c r="H59" s="180">
        <f t="shared" si="8"/>
        <v>900</v>
      </c>
      <c r="I59" s="180">
        <f t="shared" si="9"/>
        <v>1016.9999999999999</v>
      </c>
      <c r="J59" s="180">
        <f t="shared" si="10"/>
        <v>1271.2499999999998</v>
      </c>
      <c r="L59" s="202"/>
    </row>
    <row r="60" spans="1:13">
      <c r="B60" s="183">
        <v>80423</v>
      </c>
      <c r="C60" s="183" t="s">
        <v>669</v>
      </c>
      <c r="D60" s="183">
        <v>32</v>
      </c>
      <c r="E60" s="182" t="s">
        <v>682</v>
      </c>
      <c r="F60" s="180">
        <v>200</v>
      </c>
      <c r="G60" s="181">
        <v>1</v>
      </c>
      <c r="H60" s="180">
        <f t="shared" si="8"/>
        <v>200</v>
      </c>
      <c r="I60" s="180">
        <f t="shared" si="9"/>
        <v>225.99999999999997</v>
      </c>
      <c r="J60" s="180">
        <f t="shared" si="10"/>
        <v>282.49999999999994</v>
      </c>
      <c r="L60" s="202"/>
    </row>
    <row r="61" spans="1:13">
      <c r="A61" s="226" t="s">
        <v>681</v>
      </c>
      <c r="B61" s="183">
        <v>80424</v>
      </c>
      <c r="C61" s="183" t="s">
        <v>676</v>
      </c>
      <c r="D61" s="183">
        <v>11</v>
      </c>
      <c r="E61" s="182" t="s">
        <v>675</v>
      </c>
      <c r="F61" s="180">
        <v>300</v>
      </c>
      <c r="G61" s="181">
        <v>1</v>
      </c>
      <c r="H61" s="180">
        <f t="shared" si="8"/>
        <v>300</v>
      </c>
      <c r="I61" s="180">
        <f t="shared" si="9"/>
        <v>338.99999999999994</v>
      </c>
      <c r="J61" s="180">
        <f t="shared" si="10"/>
        <v>423.74999999999994</v>
      </c>
      <c r="L61" s="202"/>
    </row>
    <row r="62" spans="1:13">
      <c r="A62" s="226" t="s">
        <v>680</v>
      </c>
      <c r="B62" s="183">
        <v>80425</v>
      </c>
      <c r="C62" s="183" t="s">
        <v>678</v>
      </c>
      <c r="D62" s="183">
        <v>24</v>
      </c>
      <c r="E62" s="182" t="s">
        <v>677</v>
      </c>
      <c r="F62" s="180">
        <v>250</v>
      </c>
      <c r="G62" s="181">
        <v>1</v>
      </c>
      <c r="H62" s="180">
        <f t="shared" si="8"/>
        <v>250</v>
      </c>
      <c r="I62" s="180">
        <f t="shared" si="9"/>
        <v>282.5</v>
      </c>
      <c r="J62" s="180">
        <f t="shared" si="10"/>
        <v>353.125</v>
      </c>
      <c r="L62" s="202"/>
    </row>
    <row r="63" spans="1:13">
      <c r="B63" s="183">
        <v>80426</v>
      </c>
      <c r="C63" s="183" t="s">
        <v>676</v>
      </c>
      <c r="D63" s="183">
        <v>25</v>
      </c>
      <c r="E63" s="182" t="s">
        <v>675</v>
      </c>
      <c r="F63" s="180">
        <v>300</v>
      </c>
      <c r="G63" s="181">
        <v>1</v>
      </c>
      <c r="H63" s="180">
        <f t="shared" si="8"/>
        <v>300</v>
      </c>
      <c r="I63" s="180">
        <f t="shared" si="9"/>
        <v>338.99999999999994</v>
      </c>
      <c r="J63" s="180">
        <f t="shared" si="10"/>
        <v>423.74999999999994</v>
      </c>
      <c r="L63" s="202"/>
    </row>
    <row r="64" spans="1:13">
      <c r="A64" s="226" t="s">
        <v>679</v>
      </c>
      <c r="B64" s="183">
        <v>80427</v>
      </c>
      <c r="C64" s="183" t="s">
        <v>678</v>
      </c>
      <c r="D64" s="183">
        <v>5</v>
      </c>
      <c r="E64" s="182" t="s">
        <v>677</v>
      </c>
      <c r="F64" s="180">
        <v>250</v>
      </c>
      <c r="G64" s="181">
        <v>1</v>
      </c>
      <c r="H64" s="180">
        <f t="shared" si="8"/>
        <v>250</v>
      </c>
      <c r="I64" s="180">
        <f t="shared" si="9"/>
        <v>282.5</v>
      </c>
      <c r="J64" s="180">
        <f t="shared" si="10"/>
        <v>353.125</v>
      </c>
      <c r="L64" s="202"/>
    </row>
    <row r="65" spans="1:14">
      <c r="B65" s="183">
        <v>80428</v>
      </c>
      <c r="C65" s="183" t="s">
        <v>676</v>
      </c>
      <c r="D65" s="183">
        <v>4</v>
      </c>
      <c r="E65" s="182" t="s">
        <v>675</v>
      </c>
      <c r="F65" s="180">
        <v>300</v>
      </c>
      <c r="G65" s="181">
        <v>1</v>
      </c>
      <c r="H65" s="180">
        <f t="shared" si="8"/>
        <v>300</v>
      </c>
      <c r="I65" s="180">
        <f t="shared" si="9"/>
        <v>338.99999999999994</v>
      </c>
      <c r="J65" s="180">
        <f t="shared" si="10"/>
        <v>423.74999999999994</v>
      </c>
      <c r="L65" s="202"/>
    </row>
    <row r="66" spans="1:14">
      <c r="A66" s="226" t="s">
        <v>674</v>
      </c>
      <c r="B66" s="183">
        <v>80429</v>
      </c>
      <c r="C66" s="183" t="s">
        <v>673</v>
      </c>
      <c r="D66" s="183">
        <v>36</v>
      </c>
      <c r="E66" s="182" t="s">
        <v>672</v>
      </c>
      <c r="F66" s="180">
        <v>250</v>
      </c>
      <c r="G66" s="181">
        <v>1</v>
      </c>
      <c r="H66" s="180">
        <f t="shared" si="8"/>
        <v>250</v>
      </c>
      <c r="I66" s="180">
        <f t="shared" si="9"/>
        <v>282.5</v>
      </c>
      <c r="J66" s="180">
        <f t="shared" si="10"/>
        <v>353.125</v>
      </c>
      <c r="L66" s="202"/>
    </row>
    <row r="67" spans="1:14">
      <c r="B67" s="183">
        <v>80430</v>
      </c>
      <c r="C67" s="183" t="s">
        <v>671</v>
      </c>
      <c r="D67" s="183">
        <v>39</v>
      </c>
      <c r="E67" s="182" t="s">
        <v>670</v>
      </c>
      <c r="F67" s="180">
        <v>150</v>
      </c>
      <c r="G67" s="181">
        <v>1</v>
      </c>
      <c r="H67" s="180">
        <f t="shared" si="8"/>
        <v>150</v>
      </c>
      <c r="I67" s="180">
        <f t="shared" si="9"/>
        <v>169.49999999999997</v>
      </c>
      <c r="J67" s="180">
        <f t="shared" si="10"/>
        <v>211.87499999999997</v>
      </c>
      <c r="L67" s="202"/>
    </row>
    <row r="68" spans="1:14">
      <c r="B68" s="183">
        <v>80431</v>
      </c>
      <c r="C68" s="183" t="s">
        <v>669</v>
      </c>
      <c r="D68" s="183">
        <v>16</v>
      </c>
      <c r="E68" s="182" t="s">
        <v>668</v>
      </c>
      <c r="F68" s="180">
        <v>100</v>
      </c>
      <c r="G68" s="181">
        <v>1</v>
      </c>
      <c r="H68" s="180">
        <f t="shared" si="8"/>
        <v>100</v>
      </c>
      <c r="I68" s="180">
        <f t="shared" si="9"/>
        <v>112.99999999999999</v>
      </c>
      <c r="J68" s="180">
        <f t="shared" si="10"/>
        <v>141.24999999999997</v>
      </c>
      <c r="L68" s="202"/>
    </row>
    <row r="69" spans="1:14">
      <c r="A69" s="226" t="s">
        <v>667</v>
      </c>
      <c r="B69" s="183">
        <v>80432</v>
      </c>
      <c r="C69" s="183" t="s">
        <v>222</v>
      </c>
      <c r="D69" s="183">
        <v>20</v>
      </c>
      <c r="E69" s="182" t="s">
        <v>666</v>
      </c>
      <c r="F69" s="180">
        <v>15</v>
      </c>
      <c r="G69" s="181">
        <v>8</v>
      </c>
      <c r="H69" s="180">
        <f t="shared" si="8"/>
        <v>120</v>
      </c>
      <c r="I69" s="180">
        <f t="shared" si="9"/>
        <v>135.6</v>
      </c>
      <c r="J69" s="180">
        <f t="shared" si="10"/>
        <v>169.5</v>
      </c>
      <c r="L69" s="202"/>
    </row>
    <row r="70" spans="1:14">
      <c r="B70" s="183">
        <v>80433</v>
      </c>
      <c r="C70" s="183" t="s">
        <v>651</v>
      </c>
      <c r="D70" s="183">
        <v>12</v>
      </c>
      <c r="E70" s="182" t="s">
        <v>665</v>
      </c>
      <c r="F70" s="180">
        <v>30</v>
      </c>
      <c r="G70" s="181">
        <v>1</v>
      </c>
      <c r="H70" s="180">
        <f t="shared" si="8"/>
        <v>30</v>
      </c>
      <c r="I70" s="180">
        <f t="shared" si="9"/>
        <v>33.9</v>
      </c>
      <c r="J70" s="180">
        <f t="shared" si="10"/>
        <v>42.375</v>
      </c>
      <c r="L70" s="202"/>
    </row>
    <row r="71" spans="1:14">
      <c r="B71" s="183">
        <v>80434</v>
      </c>
      <c r="C71" s="183" t="s">
        <v>664</v>
      </c>
      <c r="D71" s="183">
        <v>3</v>
      </c>
      <c r="E71" s="227" t="s">
        <v>663</v>
      </c>
      <c r="F71" s="180">
        <v>50</v>
      </c>
      <c r="G71" s="181">
        <v>1</v>
      </c>
      <c r="H71" s="180">
        <f t="shared" si="8"/>
        <v>50</v>
      </c>
      <c r="I71" s="180">
        <f t="shared" si="9"/>
        <v>56.499999999999993</v>
      </c>
      <c r="J71" s="180">
        <f t="shared" si="10"/>
        <v>70.624999999999986</v>
      </c>
      <c r="L71" s="202"/>
    </row>
    <row r="72" spans="1:14">
      <c r="A72" s="226" t="s">
        <v>662</v>
      </c>
      <c r="B72" s="183">
        <v>80435</v>
      </c>
      <c r="C72" s="183" t="s">
        <v>661</v>
      </c>
      <c r="D72" s="183">
        <v>2</v>
      </c>
      <c r="E72" s="182" t="s">
        <v>660</v>
      </c>
      <c r="F72" s="180">
        <v>500</v>
      </c>
      <c r="G72" s="181">
        <v>1</v>
      </c>
      <c r="H72" s="180">
        <f t="shared" si="8"/>
        <v>500</v>
      </c>
      <c r="I72" s="180">
        <f t="shared" si="9"/>
        <v>565</v>
      </c>
      <c r="J72" s="180">
        <f t="shared" si="10"/>
        <v>706.25</v>
      </c>
      <c r="L72" s="202"/>
    </row>
    <row r="73" spans="1:14">
      <c r="A73" s="226" t="s">
        <v>637</v>
      </c>
      <c r="B73" s="183">
        <v>80436</v>
      </c>
      <c r="C73" s="183" t="s">
        <v>659</v>
      </c>
      <c r="D73" s="183">
        <v>10</v>
      </c>
      <c r="E73" s="182" t="s">
        <v>657</v>
      </c>
      <c r="F73" s="180">
        <v>40</v>
      </c>
      <c r="G73" s="181">
        <v>10</v>
      </c>
      <c r="H73" s="180">
        <f t="shared" si="8"/>
        <v>400</v>
      </c>
      <c r="I73" s="180">
        <f t="shared" si="9"/>
        <v>451.99999999999994</v>
      </c>
      <c r="J73" s="180">
        <f t="shared" si="10"/>
        <v>564.99999999999989</v>
      </c>
      <c r="L73" s="202"/>
    </row>
    <row r="74" spans="1:14">
      <c r="B74" s="183">
        <v>80437</v>
      </c>
      <c r="C74" s="183" t="s">
        <v>658</v>
      </c>
      <c r="D74" s="183">
        <v>35</v>
      </c>
      <c r="E74" s="182" t="s">
        <v>657</v>
      </c>
      <c r="F74" s="180">
        <v>10</v>
      </c>
      <c r="G74" s="181">
        <v>10</v>
      </c>
      <c r="H74" s="180">
        <f t="shared" si="8"/>
        <v>100</v>
      </c>
      <c r="I74" s="180">
        <f t="shared" si="9"/>
        <v>112.99999999999999</v>
      </c>
      <c r="J74" s="180">
        <f t="shared" si="10"/>
        <v>141.24999999999997</v>
      </c>
      <c r="L74" s="202"/>
    </row>
    <row r="75" spans="1:14">
      <c r="B75" s="183">
        <v>80438</v>
      </c>
      <c r="C75" s="183" t="s">
        <v>636</v>
      </c>
      <c r="D75" s="183">
        <v>34</v>
      </c>
      <c r="E75" s="182" t="s">
        <v>635</v>
      </c>
      <c r="F75" s="180">
        <v>188</v>
      </c>
      <c r="G75" s="181">
        <v>1</v>
      </c>
      <c r="H75" s="180">
        <f t="shared" si="8"/>
        <v>188</v>
      </c>
      <c r="I75" s="180">
        <f t="shared" si="9"/>
        <v>212.43999999999997</v>
      </c>
      <c r="J75" s="180">
        <f t="shared" si="10"/>
        <v>265.54999999999995</v>
      </c>
      <c r="L75" s="202">
        <v>212.43</v>
      </c>
    </row>
    <row r="76" spans="1:14">
      <c r="L76" s="202"/>
    </row>
    <row r="77" spans="1:14" ht="14.5">
      <c r="A77" s="193"/>
      <c r="B77" s="214" t="s">
        <v>656</v>
      </c>
      <c r="C77" s="213"/>
      <c r="D77" s="212"/>
      <c r="E77" s="212"/>
      <c r="F77" s="210"/>
      <c r="G77" s="211"/>
      <c r="H77" s="210"/>
      <c r="I77" s="210">
        <f>SUM(I38:I75)</f>
        <v>8680.66</v>
      </c>
      <c r="J77" s="210">
        <f t="shared" ref="J77:L77" si="11">SUM(J38:J75)</f>
        <v>10850.824999999999</v>
      </c>
      <c r="K77" s="210">
        <f t="shared" si="11"/>
        <v>0</v>
      </c>
      <c r="L77" s="216">
        <f t="shared" si="11"/>
        <v>1439.25</v>
      </c>
    </row>
    <row r="78" spans="1:14">
      <c r="A78" s="193" t="s">
        <v>655</v>
      </c>
      <c r="L78" s="202"/>
    </row>
    <row r="79" spans="1:14" s="182" customFormat="1">
      <c r="A79" s="226" t="s">
        <v>654</v>
      </c>
      <c r="B79" s="183">
        <v>80501</v>
      </c>
      <c r="C79" s="183" t="s">
        <v>651</v>
      </c>
      <c r="D79" s="183">
        <v>41</v>
      </c>
      <c r="E79" s="182" t="s">
        <v>650</v>
      </c>
      <c r="F79" s="180">
        <v>100</v>
      </c>
      <c r="G79" s="181">
        <v>1</v>
      </c>
      <c r="H79" s="180">
        <f t="shared" ref="H79:H95" si="12">F79*G79</f>
        <v>100</v>
      </c>
      <c r="I79" s="180">
        <f t="shared" ref="I79:I95" si="13">H79*1.13</f>
        <v>112.99999999999999</v>
      </c>
      <c r="J79" s="180">
        <f t="shared" ref="J79:J95" si="14">I79*1.25</f>
        <v>141.24999999999997</v>
      </c>
      <c r="K79" s="180"/>
      <c r="L79" s="202">
        <v>0</v>
      </c>
      <c r="M79" s="178"/>
      <c r="N79" s="178"/>
    </row>
    <row r="80" spans="1:14">
      <c r="B80" s="183">
        <v>80502</v>
      </c>
      <c r="C80" s="183" t="s">
        <v>649</v>
      </c>
      <c r="D80" s="183">
        <v>40</v>
      </c>
      <c r="E80" s="182" t="s">
        <v>648</v>
      </c>
      <c r="F80" s="180">
        <v>100</v>
      </c>
      <c r="G80" s="181">
        <v>1</v>
      </c>
      <c r="H80" s="180">
        <f t="shared" si="12"/>
        <v>100</v>
      </c>
      <c r="I80" s="180">
        <f t="shared" si="13"/>
        <v>112.99999999999999</v>
      </c>
      <c r="J80" s="180">
        <f t="shared" si="14"/>
        <v>141.24999999999997</v>
      </c>
      <c r="L80" s="202">
        <v>0</v>
      </c>
    </row>
    <row r="81" spans="1:14">
      <c r="B81" s="183">
        <v>80503</v>
      </c>
      <c r="C81" s="183" t="s">
        <v>388</v>
      </c>
      <c r="D81" s="183">
        <v>14</v>
      </c>
      <c r="E81" s="182" t="s">
        <v>642</v>
      </c>
      <c r="F81" s="180">
        <v>50</v>
      </c>
      <c r="G81" s="181">
        <v>1</v>
      </c>
      <c r="H81" s="180">
        <f t="shared" si="12"/>
        <v>50</v>
      </c>
      <c r="I81" s="180">
        <f t="shared" si="13"/>
        <v>56.499999999999993</v>
      </c>
      <c r="J81" s="180">
        <f t="shared" si="14"/>
        <v>70.624999999999986</v>
      </c>
      <c r="L81" s="202">
        <v>0</v>
      </c>
      <c r="N81" s="182"/>
    </row>
    <row r="82" spans="1:14">
      <c r="B82" s="183">
        <v>80504</v>
      </c>
      <c r="C82" s="183" t="s">
        <v>647</v>
      </c>
      <c r="D82" s="183">
        <v>38</v>
      </c>
      <c r="E82" s="182" t="s">
        <v>646</v>
      </c>
      <c r="F82" s="180">
        <v>50</v>
      </c>
      <c r="G82" s="181">
        <v>1</v>
      </c>
      <c r="H82" s="180">
        <f t="shared" si="12"/>
        <v>50</v>
      </c>
      <c r="I82" s="180">
        <f t="shared" si="13"/>
        <v>56.499999999999993</v>
      </c>
      <c r="J82" s="180">
        <f t="shared" si="14"/>
        <v>70.624999999999986</v>
      </c>
      <c r="L82" s="202"/>
      <c r="M82" s="182"/>
    </row>
    <row r="83" spans="1:14" s="182" customFormat="1">
      <c r="B83" s="183">
        <v>80505</v>
      </c>
      <c r="C83" s="183" t="s">
        <v>645</v>
      </c>
      <c r="D83" s="183">
        <v>30</v>
      </c>
      <c r="E83" s="182" t="s">
        <v>644</v>
      </c>
      <c r="F83" s="180">
        <v>150</v>
      </c>
      <c r="G83" s="181">
        <v>1</v>
      </c>
      <c r="H83" s="180">
        <f t="shared" si="12"/>
        <v>150</v>
      </c>
      <c r="I83" s="180">
        <f t="shared" si="13"/>
        <v>169.49999999999997</v>
      </c>
      <c r="J83" s="180">
        <f t="shared" si="14"/>
        <v>211.87499999999997</v>
      </c>
      <c r="K83" s="180"/>
      <c r="L83" s="202">
        <v>144.07</v>
      </c>
      <c r="M83" s="178"/>
      <c r="N83" s="178"/>
    </row>
    <row r="84" spans="1:14">
      <c r="B84" s="183">
        <v>80506</v>
      </c>
      <c r="C84" s="183" t="s">
        <v>643</v>
      </c>
      <c r="D84" s="183">
        <v>28</v>
      </c>
      <c r="E84" s="182" t="s">
        <v>642</v>
      </c>
      <c r="F84" s="180">
        <v>50</v>
      </c>
      <c r="G84" s="181">
        <v>1</v>
      </c>
      <c r="H84" s="180">
        <f t="shared" si="12"/>
        <v>50</v>
      </c>
      <c r="I84" s="180">
        <f t="shared" si="13"/>
        <v>56.499999999999993</v>
      </c>
      <c r="J84" s="180">
        <f t="shared" si="14"/>
        <v>70.624999999999986</v>
      </c>
      <c r="L84" s="202">
        <v>0</v>
      </c>
    </row>
    <row r="85" spans="1:14">
      <c r="A85" s="226"/>
      <c r="B85" s="183">
        <v>80507</v>
      </c>
      <c r="C85" s="183" t="s">
        <v>641</v>
      </c>
      <c r="D85" s="183">
        <v>22</v>
      </c>
      <c r="E85" s="182" t="s">
        <v>640</v>
      </c>
      <c r="F85" s="180">
        <v>40</v>
      </c>
      <c r="G85" s="181">
        <v>1</v>
      </c>
      <c r="H85" s="180">
        <f t="shared" si="12"/>
        <v>40</v>
      </c>
      <c r="I85" s="180">
        <f t="shared" si="13"/>
        <v>45.199999999999996</v>
      </c>
      <c r="J85" s="180">
        <f t="shared" si="14"/>
        <v>56.499999999999993</v>
      </c>
      <c r="L85" s="202">
        <v>53.14</v>
      </c>
      <c r="N85" s="182"/>
    </row>
    <row r="86" spans="1:14">
      <c r="A86" s="226"/>
      <c r="B86" s="183">
        <v>80508</v>
      </c>
      <c r="C86" s="183" t="s">
        <v>639</v>
      </c>
      <c r="D86" s="183">
        <v>56</v>
      </c>
      <c r="E86" s="182" t="s">
        <v>638</v>
      </c>
      <c r="F86" s="180">
        <v>25</v>
      </c>
      <c r="G86" s="181">
        <v>12</v>
      </c>
      <c r="H86" s="180">
        <f t="shared" si="12"/>
        <v>300</v>
      </c>
      <c r="I86" s="180">
        <f t="shared" si="13"/>
        <v>338.99999999999994</v>
      </c>
      <c r="J86" s="180">
        <f t="shared" si="14"/>
        <v>423.74999999999994</v>
      </c>
      <c r="L86" s="202">
        <f>116.65+109.75</f>
        <v>226.4</v>
      </c>
      <c r="M86" s="182" t="s">
        <v>653</v>
      </c>
      <c r="N86" s="182"/>
    </row>
    <row r="87" spans="1:14">
      <c r="A87" s="226" t="s">
        <v>652</v>
      </c>
      <c r="B87" s="183">
        <v>80509</v>
      </c>
      <c r="C87" s="183" t="s">
        <v>651</v>
      </c>
      <c r="D87" s="183">
        <v>9</v>
      </c>
      <c r="E87" s="182" t="s">
        <v>650</v>
      </c>
      <c r="F87" s="180">
        <v>100</v>
      </c>
      <c r="G87" s="181">
        <v>1</v>
      </c>
      <c r="H87" s="180">
        <f t="shared" si="12"/>
        <v>100</v>
      </c>
      <c r="I87" s="180">
        <f t="shared" si="13"/>
        <v>112.99999999999999</v>
      </c>
      <c r="J87" s="180">
        <f t="shared" si="14"/>
        <v>141.24999999999997</v>
      </c>
      <c r="L87" s="202"/>
    </row>
    <row r="88" spans="1:14">
      <c r="B88" s="183">
        <v>80510</v>
      </c>
      <c r="C88" s="183" t="s">
        <v>649</v>
      </c>
      <c r="D88" s="183">
        <v>23</v>
      </c>
      <c r="E88" s="182" t="s">
        <v>648</v>
      </c>
      <c r="F88" s="180">
        <v>100</v>
      </c>
      <c r="G88" s="181">
        <v>1</v>
      </c>
      <c r="H88" s="180">
        <f t="shared" si="12"/>
        <v>100</v>
      </c>
      <c r="I88" s="180">
        <f t="shared" si="13"/>
        <v>112.99999999999999</v>
      </c>
      <c r="J88" s="180">
        <f t="shared" si="14"/>
        <v>141.24999999999997</v>
      </c>
      <c r="L88" s="202"/>
    </row>
    <row r="89" spans="1:14">
      <c r="B89" s="183">
        <v>80511</v>
      </c>
      <c r="C89" s="183" t="s">
        <v>388</v>
      </c>
      <c r="D89" s="183">
        <v>13</v>
      </c>
      <c r="E89" s="182" t="s">
        <v>642</v>
      </c>
      <c r="F89" s="180">
        <v>50</v>
      </c>
      <c r="G89" s="181">
        <v>1</v>
      </c>
      <c r="H89" s="180">
        <f t="shared" si="12"/>
        <v>50</v>
      </c>
      <c r="I89" s="180">
        <f t="shared" si="13"/>
        <v>56.499999999999993</v>
      </c>
      <c r="J89" s="180">
        <f t="shared" si="14"/>
        <v>70.624999999999986</v>
      </c>
      <c r="L89" s="202"/>
    </row>
    <row r="90" spans="1:14">
      <c r="B90" s="183">
        <v>80512</v>
      </c>
      <c r="C90" s="183" t="s">
        <v>647</v>
      </c>
      <c r="D90" s="183">
        <v>37</v>
      </c>
      <c r="E90" s="182" t="s">
        <v>646</v>
      </c>
      <c r="F90" s="180">
        <v>50</v>
      </c>
      <c r="G90" s="181">
        <v>1</v>
      </c>
      <c r="H90" s="180">
        <f t="shared" si="12"/>
        <v>50</v>
      </c>
      <c r="I90" s="180">
        <f t="shared" si="13"/>
        <v>56.499999999999993</v>
      </c>
      <c r="J90" s="180">
        <f t="shared" si="14"/>
        <v>70.624999999999986</v>
      </c>
      <c r="L90" s="202"/>
    </row>
    <row r="91" spans="1:14">
      <c r="B91" s="183">
        <v>80513</v>
      </c>
      <c r="C91" s="183" t="s">
        <v>645</v>
      </c>
      <c r="D91" s="183">
        <v>29</v>
      </c>
      <c r="E91" s="182" t="s">
        <v>644</v>
      </c>
      <c r="F91" s="180">
        <v>150</v>
      </c>
      <c r="G91" s="181">
        <v>1</v>
      </c>
      <c r="H91" s="180">
        <f t="shared" si="12"/>
        <v>150</v>
      </c>
      <c r="I91" s="180">
        <f t="shared" si="13"/>
        <v>169.49999999999997</v>
      </c>
      <c r="J91" s="180">
        <f t="shared" si="14"/>
        <v>211.87499999999997</v>
      </c>
      <c r="L91" s="202">
        <v>113.85</v>
      </c>
    </row>
    <row r="92" spans="1:14">
      <c r="B92" s="183">
        <v>80514</v>
      </c>
      <c r="C92" s="183" t="s">
        <v>643</v>
      </c>
      <c r="D92" s="183">
        <v>27</v>
      </c>
      <c r="E92" s="182" t="s">
        <v>642</v>
      </c>
      <c r="F92" s="180">
        <v>50</v>
      </c>
      <c r="G92" s="181">
        <v>1</v>
      </c>
      <c r="H92" s="180">
        <f t="shared" si="12"/>
        <v>50</v>
      </c>
      <c r="I92" s="180">
        <f t="shared" si="13"/>
        <v>56.499999999999993</v>
      </c>
      <c r="J92" s="180">
        <f t="shared" si="14"/>
        <v>70.624999999999986</v>
      </c>
      <c r="L92" s="202">
        <v>0</v>
      </c>
    </row>
    <row r="93" spans="1:14">
      <c r="B93" s="183">
        <v>80515</v>
      </c>
      <c r="C93" s="183" t="s">
        <v>641</v>
      </c>
      <c r="D93" s="183">
        <v>21</v>
      </c>
      <c r="E93" s="182" t="s">
        <v>640</v>
      </c>
      <c r="F93" s="180">
        <v>40</v>
      </c>
      <c r="G93" s="181">
        <v>1</v>
      </c>
      <c r="H93" s="180">
        <f t="shared" si="12"/>
        <v>40</v>
      </c>
      <c r="I93" s="180">
        <f t="shared" si="13"/>
        <v>45.199999999999996</v>
      </c>
      <c r="J93" s="180">
        <f t="shared" si="14"/>
        <v>56.499999999999993</v>
      </c>
      <c r="L93" s="202">
        <v>0</v>
      </c>
    </row>
    <row r="94" spans="1:14">
      <c r="B94" s="183">
        <v>80516</v>
      </c>
      <c r="C94" s="183" t="s">
        <v>639</v>
      </c>
      <c r="D94" s="183">
        <v>57</v>
      </c>
      <c r="E94" s="182" t="s">
        <v>638</v>
      </c>
      <c r="F94" s="180">
        <v>25</v>
      </c>
      <c r="G94" s="181">
        <v>12</v>
      </c>
      <c r="H94" s="180">
        <f t="shared" si="12"/>
        <v>300</v>
      </c>
      <c r="I94" s="180">
        <f t="shared" si="13"/>
        <v>338.99999999999994</v>
      </c>
      <c r="J94" s="180">
        <f t="shared" si="14"/>
        <v>423.74999999999994</v>
      </c>
      <c r="L94" s="202">
        <v>91.3</v>
      </c>
    </row>
    <row r="95" spans="1:14">
      <c r="A95" s="226" t="s">
        <v>637</v>
      </c>
      <c r="B95" s="183">
        <v>80517</v>
      </c>
      <c r="C95" s="183" t="s">
        <v>636</v>
      </c>
      <c r="D95" s="183">
        <v>33</v>
      </c>
      <c r="E95" s="182" t="s">
        <v>635</v>
      </c>
      <c r="F95" s="180">
        <v>109</v>
      </c>
      <c r="G95" s="181">
        <v>1</v>
      </c>
      <c r="H95" s="180">
        <f t="shared" si="12"/>
        <v>109</v>
      </c>
      <c r="I95" s="180">
        <f t="shared" si="13"/>
        <v>123.16999999999999</v>
      </c>
      <c r="J95" s="180">
        <f t="shared" si="14"/>
        <v>153.96249999999998</v>
      </c>
      <c r="L95" s="202"/>
    </row>
    <row r="96" spans="1:14">
      <c r="D96" s="183"/>
      <c r="L96" s="202"/>
    </row>
    <row r="97" spans="1:14" ht="14.5">
      <c r="A97" s="193"/>
      <c r="B97" s="214" t="s">
        <v>634</v>
      </c>
      <c r="C97" s="213"/>
      <c r="D97" s="212"/>
      <c r="E97" s="212"/>
      <c r="F97" s="210"/>
      <c r="G97" s="211"/>
      <c r="H97" s="210"/>
      <c r="I97" s="210">
        <f>SUM(I79:I95)</f>
        <v>2021.57</v>
      </c>
      <c r="J97" s="210">
        <f t="shared" ref="J97:L97" si="15">SUM(J79:J95)</f>
        <v>2526.9624999999996</v>
      </c>
      <c r="K97" s="210">
        <f t="shared" si="15"/>
        <v>0</v>
      </c>
      <c r="L97" s="216">
        <f t="shared" si="15"/>
        <v>628.76</v>
      </c>
    </row>
    <row r="98" spans="1:14">
      <c r="A98" s="193" t="s">
        <v>633</v>
      </c>
      <c r="L98" s="202"/>
    </row>
    <row r="99" spans="1:14">
      <c r="A99" s="226"/>
      <c r="B99" s="183">
        <v>80601</v>
      </c>
      <c r="C99" s="183" t="s">
        <v>632</v>
      </c>
      <c r="D99" s="183">
        <v>58</v>
      </c>
      <c r="E99" s="182" t="s">
        <v>631</v>
      </c>
      <c r="F99" s="180">
        <v>100</v>
      </c>
      <c r="G99" s="181">
        <v>1</v>
      </c>
      <c r="H99" s="180">
        <f>F99*G99</f>
        <v>100</v>
      </c>
      <c r="I99" s="180">
        <f>H99*1.13</f>
        <v>112.99999999999999</v>
      </c>
      <c r="J99" s="180">
        <f>I99*1.25</f>
        <v>141.24999999999997</v>
      </c>
      <c r="L99" s="202">
        <v>100</v>
      </c>
    </row>
    <row r="100" spans="1:14">
      <c r="D100" s="183"/>
      <c r="L100" s="202"/>
    </row>
    <row r="101" spans="1:14" ht="14.5">
      <c r="A101" s="193"/>
      <c r="B101" s="214" t="s">
        <v>630</v>
      </c>
      <c r="C101" s="213"/>
      <c r="D101" s="212"/>
      <c r="E101" s="212"/>
      <c r="F101" s="210"/>
      <c r="G101" s="211"/>
      <c r="H101" s="210"/>
      <c r="I101" s="210">
        <f>I99</f>
        <v>112.99999999999999</v>
      </c>
      <c r="J101" s="210">
        <f t="shared" ref="J101:L101" si="16">J99</f>
        <v>141.24999999999997</v>
      </c>
      <c r="K101" s="210">
        <f t="shared" si="16"/>
        <v>0</v>
      </c>
      <c r="L101" s="216">
        <f t="shared" si="16"/>
        <v>100</v>
      </c>
    </row>
    <row r="102" spans="1:14" ht="14.5">
      <c r="A102" s="193"/>
      <c r="B102" s="231"/>
      <c r="C102" s="231"/>
      <c r="D102" s="232"/>
      <c r="E102" s="232"/>
      <c r="F102" s="224"/>
      <c r="G102" s="233"/>
      <c r="H102" s="224"/>
      <c r="I102" s="224"/>
      <c r="J102" s="224"/>
      <c r="K102" s="224"/>
      <c r="L102" s="190"/>
    </row>
    <row r="103" spans="1:14">
      <c r="A103" s="193" t="s">
        <v>633</v>
      </c>
      <c r="L103" s="202"/>
    </row>
    <row r="104" spans="1:14">
      <c r="A104" s="226"/>
      <c r="B104" s="183">
        <v>80701</v>
      </c>
      <c r="C104" s="183" t="s">
        <v>752</v>
      </c>
      <c r="D104" s="183">
        <v>59</v>
      </c>
      <c r="E104" s="182" t="s">
        <v>753</v>
      </c>
      <c r="F104" s="180">
        <v>10.43</v>
      </c>
      <c r="G104" s="181">
        <v>1</v>
      </c>
      <c r="H104" s="180">
        <f>F104*G104</f>
        <v>10.43</v>
      </c>
      <c r="I104" s="180">
        <f>H104*1.13</f>
        <v>11.785899999999998</v>
      </c>
      <c r="J104" s="180">
        <f>I104*1.25</f>
        <v>14.732374999999998</v>
      </c>
      <c r="L104" s="202">
        <v>11.79</v>
      </c>
    </row>
    <row r="105" spans="1:14">
      <c r="A105" s="226"/>
      <c r="B105" s="183">
        <v>80702</v>
      </c>
      <c r="C105" s="183" t="s">
        <v>754</v>
      </c>
      <c r="D105" s="183">
        <v>60</v>
      </c>
      <c r="E105" s="182" t="s">
        <v>755</v>
      </c>
      <c r="F105" s="180">
        <v>50</v>
      </c>
      <c r="G105" s="181">
        <v>1</v>
      </c>
      <c r="H105" s="180">
        <f t="shared" ref="H105:H106" si="17">F105*G105</f>
        <v>50</v>
      </c>
      <c r="I105" s="180">
        <f t="shared" ref="I105:I106" si="18">H105*1.13</f>
        <v>56.499999999999993</v>
      </c>
      <c r="J105" s="180">
        <f t="shared" ref="J105:J106" si="19">I105*1.25</f>
        <v>70.624999999999986</v>
      </c>
      <c r="L105" s="202">
        <v>43.73</v>
      </c>
    </row>
    <row r="106" spans="1:14">
      <c r="A106" s="226"/>
      <c r="B106" s="183">
        <v>80703</v>
      </c>
      <c r="C106" s="183" t="s">
        <v>756</v>
      </c>
      <c r="D106" s="183">
        <v>61</v>
      </c>
      <c r="E106" s="182" t="s">
        <v>757</v>
      </c>
      <c r="F106" s="180">
        <v>25</v>
      </c>
      <c r="G106" s="181">
        <v>1</v>
      </c>
      <c r="H106" s="180">
        <f t="shared" si="17"/>
        <v>25</v>
      </c>
      <c r="I106" s="180">
        <f t="shared" si="18"/>
        <v>28.249999999999996</v>
      </c>
      <c r="J106" s="180">
        <f t="shared" si="19"/>
        <v>35.312499999999993</v>
      </c>
      <c r="L106" s="202">
        <v>25.59</v>
      </c>
    </row>
    <row r="107" spans="1:14">
      <c r="D107" s="183"/>
      <c r="L107" s="202"/>
    </row>
    <row r="108" spans="1:14" ht="14.5">
      <c r="A108" s="193"/>
      <c r="B108" s="214" t="s">
        <v>630</v>
      </c>
      <c r="C108" s="213"/>
      <c r="D108" s="212"/>
      <c r="E108" s="212"/>
      <c r="F108" s="210"/>
      <c r="G108" s="211"/>
      <c r="H108" s="210"/>
      <c r="I108" s="210">
        <f>SUM(I104:I106)</f>
        <v>96.535899999999998</v>
      </c>
      <c r="J108" s="210">
        <f t="shared" ref="J108:L108" si="20">SUM(J104:J106)</f>
        <v>120.66987499999999</v>
      </c>
      <c r="K108" s="210">
        <f t="shared" si="20"/>
        <v>0</v>
      </c>
      <c r="L108" s="216">
        <f t="shared" si="20"/>
        <v>81.11</v>
      </c>
    </row>
    <row r="109" spans="1:14">
      <c r="L109" s="202"/>
    </row>
    <row r="110" spans="1:14" ht="14.5">
      <c r="A110" s="209"/>
      <c r="B110" s="208" t="s">
        <v>8</v>
      </c>
      <c r="C110" s="207"/>
      <c r="D110" s="206"/>
      <c r="E110" s="206"/>
      <c r="F110" s="204"/>
      <c r="G110" s="205"/>
      <c r="H110" s="204"/>
      <c r="I110" s="204">
        <f>SUM(I108,I101,I97,I77,I36,I32)</f>
        <v>11216.865900000001</v>
      </c>
      <c r="J110" s="204">
        <f t="shared" ref="J110:L110" si="21">SUM(J108,J101,J97,J77,J36,J32)</f>
        <v>14021.082374999998</v>
      </c>
      <c r="K110" s="204">
        <f t="shared" si="21"/>
        <v>0</v>
      </c>
      <c r="L110" s="215">
        <f t="shared" si="21"/>
        <v>2439.69</v>
      </c>
    </row>
    <row r="111" spans="1:14">
      <c r="L111" s="202"/>
      <c r="M111" s="184"/>
      <c r="N111" s="184"/>
    </row>
    <row r="112" spans="1:14">
      <c r="A112" s="201" t="s">
        <v>7</v>
      </c>
      <c r="B112" s="200"/>
      <c r="C112" s="200"/>
      <c r="D112" s="199"/>
      <c r="E112" s="199"/>
      <c r="F112" s="197"/>
      <c r="G112" s="198"/>
      <c r="H112" s="197"/>
      <c r="I112" s="197"/>
      <c r="J112" s="197"/>
      <c r="K112" s="197"/>
      <c r="L112" s="196"/>
    </row>
    <row r="113" spans="1:14" ht="14.5">
      <c r="A113" s="193"/>
      <c r="B113" s="194" t="s">
        <v>6</v>
      </c>
      <c r="C113" s="194"/>
      <c r="D113" s="193"/>
      <c r="E113" s="193"/>
      <c r="F113" s="191"/>
      <c r="G113" s="192"/>
      <c r="H113" s="191"/>
      <c r="I113" s="191">
        <f>I26</f>
        <v>1966.1999999999998</v>
      </c>
      <c r="J113" s="191">
        <f>J26</f>
        <v>1474.6499999999996</v>
      </c>
      <c r="K113" s="191">
        <f>K26</f>
        <v>0</v>
      </c>
      <c r="L113" s="195">
        <f>L26</f>
        <v>578</v>
      </c>
    </row>
    <row r="114" spans="1:14" ht="14.5">
      <c r="A114" s="193"/>
      <c r="B114" s="194" t="s">
        <v>5</v>
      </c>
      <c r="C114" s="194"/>
      <c r="D114" s="193"/>
      <c r="E114" s="193"/>
      <c r="F114" s="191"/>
      <c r="G114" s="192"/>
      <c r="H114" s="191"/>
      <c r="I114" s="191">
        <f>I110</f>
        <v>11216.865900000001</v>
      </c>
      <c r="J114" s="191">
        <f>J110</f>
        <v>14021.082374999998</v>
      </c>
      <c r="K114" s="191">
        <f>K110</f>
        <v>0</v>
      </c>
      <c r="L114" s="190">
        <f>L110</f>
        <v>2439.69</v>
      </c>
    </row>
    <row r="115" spans="1:14" ht="14.5">
      <c r="A115" s="188"/>
      <c r="B115" s="189" t="s">
        <v>4</v>
      </c>
      <c r="C115" s="189"/>
      <c r="D115" s="188"/>
      <c r="E115" s="188"/>
      <c r="F115" s="186"/>
      <c r="G115" s="187"/>
      <c r="H115" s="186"/>
      <c r="I115" s="186">
        <f>SUM(I113,I114*-1)</f>
        <v>-9250.6659</v>
      </c>
      <c r="J115" s="186">
        <f>SUM(J113,J114*-1)</f>
        <v>-12546.432374999999</v>
      </c>
      <c r="K115" s="186">
        <f>SUM(K113,K114*-1)</f>
        <v>0</v>
      </c>
      <c r="L115" s="185">
        <f>SUM(L113,L114*-1)</f>
        <v>-1861.69</v>
      </c>
    </row>
    <row r="118" spans="1:14">
      <c r="M118" s="184"/>
      <c r="N118" s="184"/>
    </row>
    <row r="120" spans="1:14">
      <c r="M120" s="203"/>
      <c r="N120" s="203"/>
    </row>
    <row r="123" spans="1:14">
      <c r="M123" s="184"/>
      <c r="N123" s="184"/>
    </row>
    <row r="124" spans="1:14">
      <c r="M124" s="184"/>
      <c r="N124" s="184"/>
    </row>
    <row r="125" spans="1:14">
      <c r="M125" s="184"/>
      <c r="N125" s="184"/>
    </row>
    <row r="161" spans="13:14">
      <c r="M161" s="182"/>
      <c r="N161" s="182"/>
    </row>
    <row r="165" spans="13:14">
      <c r="M165" s="182"/>
      <c r="N165" s="182"/>
    </row>
  </sheetData>
  <mergeCells count="1">
    <mergeCell ref="B1:K1"/>
  </mergeCells>
  <conditionalFormatting sqref="B111:L115">
    <cfRule type="expression" dxfId="134" priority="65">
      <formula>MOD($B111,2)=1</formula>
    </cfRule>
  </conditionalFormatting>
  <conditionalFormatting sqref="B25:L27">
    <cfRule type="expression" dxfId="133" priority="64">
      <formula>MOD($B25,2)=1</formula>
    </cfRule>
  </conditionalFormatting>
  <conditionalFormatting sqref="B11:B16 H11:L16 B6:L9 B23:L24">
    <cfRule type="expression" dxfId="132" priority="63">
      <formula>MOD($B6,2)=1</formula>
    </cfRule>
  </conditionalFormatting>
  <conditionalFormatting sqref="B17:B22 H17:L22">
    <cfRule type="expression" dxfId="131" priority="62">
      <formula>MOD($B17,2)=1</formula>
    </cfRule>
  </conditionalFormatting>
  <conditionalFormatting sqref="C11:E16">
    <cfRule type="expression" dxfId="130" priority="61">
      <formula>MOD($B11,2)=1</formula>
    </cfRule>
  </conditionalFormatting>
  <conditionalFormatting sqref="C17:E21">
    <cfRule type="expression" dxfId="129" priority="60">
      <formula>MOD($B17,2)=1</formula>
    </cfRule>
  </conditionalFormatting>
  <conditionalFormatting sqref="F11:G16">
    <cfRule type="expression" dxfId="128" priority="59">
      <formula>MOD($B11,2)=1</formula>
    </cfRule>
  </conditionalFormatting>
  <conditionalFormatting sqref="F17:G21">
    <cfRule type="expression" dxfId="127" priority="58">
      <formula>MOD($B17,2)=1</formula>
    </cfRule>
  </conditionalFormatting>
  <conditionalFormatting sqref="F22:G22">
    <cfRule type="expression" dxfId="126" priority="56">
      <formula>MOD($B22,2)=1</formula>
    </cfRule>
  </conditionalFormatting>
  <conditionalFormatting sqref="C22:E22">
    <cfRule type="expression" dxfId="125" priority="57">
      <formula>MOD($B22,2)=1</formula>
    </cfRule>
  </conditionalFormatting>
  <conditionalFormatting sqref="B38:B41 B70:B71 D70:D71 F70:L71 B83:B86 F85:G86 B91:B95 F93:G93 C79:E93 B75:G75 C94:D94 C95:G95 H38:L41 K75:L75 H83:L86 B104:L106 B30:L37 B76:L77 B109:L110">
    <cfRule type="expression" dxfId="124" priority="55">
      <formula>MOD($B30,2)=1</formula>
    </cfRule>
  </conditionalFormatting>
  <conditionalFormatting sqref="B42:B45 H42:L45">
    <cfRule type="expression" dxfId="123" priority="54">
      <formula>MOD($B42,2)=1</formula>
    </cfRule>
  </conditionalFormatting>
  <conditionalFormatting sqref="B46:B49 H46:L49">
    <cfRule type="expression" dxfId="122" priority="53">
      <formula>MOD($B46,2)=1</formula>
    </cfRule>
  </conditionalFormatting>
  <conditionalFormatting sqref="B50:B53 H53 J53:L53 H50:L52">
    <cfRule type="expression" dxfId="121" priority="52">
      <formula>MOD($B50,2)=1</formula>
    </cfRule>
  </conditionalFormatting>
  <conditionalFormatting sqref="B54:B57 F54:L57">
    <cfRule type="expression" dxfId="120" priority="51">
      <formula>MOD($B54,2)=1</formula>
    </cfRule>
  </conditionalFormatting>
  <conditionalFormatting sqref="B58:B61 H58:L60 H61 J61:L61">
    <cfRule type="expression" dxfId="119" priority="50">
      <formula>MOD($B58,2)=1</formula>
    </cfRule>
  </conditionalFormatting>
  <conditionalFormatting sqref="B62:B65 H62:L64 H65 J65:L65">
    <cfRule type="expression" dxfId="118" priority="49">
      <formula>MOD($B62,2)=1</formula>
    </cfRule>
  </conditionalFormatting>
  <conditionalFormatting sqref="B66:B69 D66:D69 F66:L68 F69:H69 J69:L69">
    <cfRule type="expression" dxfId="117" priority="48">
      <formula>MOD($B66,2)=1</formula>
    </cfRule>
  </conditionalFormatting>
  <conditionalFormatting sqref="C38:E43">
    <cfRule type="expression" dxfId="116" priority="47">
      <formula>MOD($B38,2)=1</formula>
    </cfRule>
  </conditionalFormatting>
  <conditionalFormatting sqref="C44:E45">
    <cfRule type="expression" dxfId="115" priority="46">
      <formula>MOD($B44,2)=1</formula>
    </cfRule>
  </conditionalFormatting>
  <conditionalFormatting sqref="C46:E53">
    <cfRule type="expression" dxfId="114" priority="45">
      <formula>MOD($B46,2)=1</formula>
    </cfRule>
  </conditionalFormatting>
  <conditionalFormatting sqref="C54:E56">
    <cfRule type="expression" dxfId="113" priority="44">
      <formula>MOD($B54,2)=1</formula>
    </cfRule>
  </conditionalFormatting>
  <conditionalFormatting sqref="C57:E57">
    <cfRule type="expression" dxfId="112" priority="39">
      <formula>MOD($B57,2)=1</formula>
    </cfRule>
  </conditionalFormatting>
  <conditionalFormatting sqref="F38:G43">
    <cfRule type="expression" dxfId="111" priority="43">
      <formula>MOD($B38,2)=1</formula>
    </cfRule>
  </conditionalFormatting>
  <conditionalFormatting sqref="F44:G45">
    <cfRule type="expression" dxfId="110" priority="42">
      <formula>MOD($B44,2)=1</formula>
    </cfRule>
  </conditionalFormatting>
  <conditionalFormatting sqref="F46:G53">
    <cfRule type="expression" dxfId="109" priority="41">
      <formula>MOD($B46,2)=1</formula>
    </cfRule>
  </conditionalFormatting>
  <conditionalFormatting sqref="I53">
    <cfRule type="expression" dxfId="108" priority="40">
      <formula>MOD($B53,2)=1</formula>
    </cfRule>
  </conditionalFormatting>
  <conditionalFormatting sqref="C58:G58">
    <cfRule type="expression" dxfId="107" priority="38">
      <formula>MOD($B58,2)=1</formula>
    </cfRule>
  </conditionalFormatting>
  <conditionalFormatting sqref="C59:G60">
    <cfRule type="expression" dxfId="106" priority="37">
      <formula>MOD($B59,2)=1</formula>
    </cfRule>
  </conditionalFormatting>
  <conditionalFormatting sqref="C61:G61">
    <cfRule type="expression" dxfId="105" priority="36">
      <formula>MOD($B61,2)=1</formula>
    </cfRule>
  </conditionalFormatting>
  <conditionalFormatting sqref="C62:G63">
    <cfRule type="expression" dxfId="104" priority="35">
      <formula>MOD($B62,2)=1</formula>
    </cfRule>
  </conditionalFormatting>
  <conditionalFormatting sqref="C64:G65">
    <cfRule type="expression" dxfId="103" priority="34">
      <formula>MOD($B64,2)=1</formula>
    </cfRule>
  </conditionalFormatting>
  <conditionalFormatting sqref="B73:L73 B72 F72:L72">
    <cfRule type="expression" dxfId="102" priority="33">
      <formula>MOD($B72,2)=1</formula>
    </cfRule>
  </conditionalFormatting>
  <conditionalFormatting sqref="C72:E72">
    <cfRule type="expression" dxfId="101" priority="25">
      <formula>MOD($B72,2)=1</formula>
    </cfRule>
  </conditionalFormatting>
  <conditionalFormatting sqref="C66:C68">
    <cfRule type="expression" dxfId="100" priority="32">
      <formula>MOD($B66,2)=1</formula>
    </cfRule>
  </conditionalFormatting>
  <conditionalFormatting sqref="E66:E68">
    <cfRule type="expression" dxfId="99" priority="31">
      <formula>MOD($B66,2)=1</formula>
    </cfRule>
  </conditionalFormatting>
  <conditionalFormatting sqref="C69:C71">
    <cfRule type="expression" dxfId="98" priority="30">
      <formula>MOD($B69,2)=1</formula>
    </cfRule>
  </conditionalFormatting>
  <conditionalFormatting sqref="E69:E71">
    <cfRule type="expression" dxfId="97" priority="29">
      <formula>MOD($B69,2)=1</formula>
    </cfRule>
  </conditionalFormatting>
  <conditionalFormatting sqref="I69">
    <cfRule type="expression" dxfId="96" priority="28">
      <formula>MOD($B69,2)=1</formula>
    </cfRule>
  </conditionalFormatting>
  <conditionalFormatting sqref="I61">
    <cfRule type="expression" dxfId="95" priority="27">
      <formula>MOD($B61,2)=1</formula>
    </cfRule>
  </conditionalFormatting>
  <conditionalFormatting sqref="I65">
    <cfRule type="expression" dxfId="94" priority="26">
      <formula>MOD($B65,2)=1</formula>
    </cfRule>
  </conditionalFormatting>
  <conditionalFormatting sqref="B74:L74">
    <cfRule type="expression" dxfId="93" priority="24">
      <formula>MOD($B74,2)=1</formula>
    </cfRule>
  </conditionalFormatting>
  <conditionalFormatting sqref="B78:L78 B79:B82 H79:L82 B96:L97">
    <cfRule type="expression" dxfId="92" priority="23">
      <formula>MOD($B78,2)=1</formula>
    </cfRule>
  </conditionalFormatting>
  <conditionalFormatting sqref="B87:B90 H87:L90">
    <cfRule type="expression" dxfId="91" priority="22">
      <formula>MOD($B87,2)=1</formula>
    </cfRule>
  </conditionalFormatting>
  <conditionalFormatting sqref="H91:L95">
    <cfRule type="expression" dxfId="90" priority="21">
      <formula>MOD($B91,2)=1</formula>
    </cfRule>
  </conditionalFormatting>
  <conditionalFormatting sqref="F79:G84">
    <cfRule type="expression" dxfId="89" priority="20">
      <formula>MOD($B79,2)=1</formula>
    </cfRule>
  </conditionalFormatting>
  <conditionalFormatting sqref="F87:G92">
    <cfRule type="expression" dxfId="88" priority="19">
      <formula>MOD($B87,2)=1</formula>
    </cfRule>
  </conditionalFormatting>
  <conditionalFormatting sqref="H75">
    <cfRule type="expression" dxfId="87" priority="18">
      <formula>MOD($B75,2)=1</formula>
    </cfRule>
  </conditionalFormatting>
  <conditionalFormatting sqref="I75">
    <cfRule type="expression" dxfId="86" priority="17">
      <formula>MOD($B75,2)=1</formula>
    </cfRule>
  </conditionalFormatting>
  <conditionalFormatting sqref="J75">
    <cfRule type="expression" dxfId="85" priority="16">
      <formula>MOD($B75,2)=1</formula>
    </cfRule>
  </conditionalFormatting>
  <conditionalFormatting sqref="E94:G94">
    <cfRule type="expression" dxfId="84" priority="15">
      <formula>MOD($B94,2)=1</formula>
    </cfRule>
  </conditionalFormatting>
  <conditionalFormatting sqref="B103:L103 B107:L108">
    <cfRule type="expression" dxfId="83" priority="14">
      <formula>MOD($B103,2)=1</formula>
    </cfRule>
  </conditionalFormatting>
  <conditionalFormatting sqref="B99:L99">
    <cfRule type="expression" dxfId="82" priority="2">
      <formula>MOD($B99,2)=1</formula>
    </cfRule>
  </conditionalFormatting>
  <conditionalFormatting sqref="B98:L98 B100:L102">
    <cfRule type="expression" dxfId="81" priority="1">
      <formula>MOD($B98,2)=1</formula>
    </cfRule>
  </conditionalFormatting>
  <pageMargins left="0.7" right="0.7" top="0.75" bottom="0.75" header="0.3" footer="0.3"/>
  <pageSetup scale="26" fitToWidth="0" fitToHeight="0"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11B9C6-094E-4D05-9EE5-78142C08457A}">
  <sheetPr codeName="Sheet13"/>
  <dimension ref="A1:L34"/>
  <sheetViews>
    <sheetView showGridLines="0" zoomScale="56" zoomScaleNormal="75" workbookViewId="0">
      <pane ySplit="2" topLeftCell="A3" activePane="bottomLeft" state="frozen"/>
      <selection pane="bottomLeft" activeCell="G19" sqref="G19"/>
    </sheetView>
  </sheetViews>
  <sheetFormatPr defaultColWidth="8.58203125" defaultRowHeight="15.5"/>
  <cols>
    <col min="1" max="1" width="29.58203125" style="182" customWidth="1"/>
    <col min="2" max="3" width="23.1640625" style="183" customWidth="1"/>
    <col min="4" max="4" width="28.4140625" style="183" customWidth="1"/>
    <col min="5" max="5" width="46.33203125" style="182" customWidth="1"/>
    <col min="6" max="6" width="15.25" style="180" customWidth="1"/>
    <col min="7" max="7" width="15.25" style="181" customWidth="1"/>
    <col min="8" max="8" width="19.33203125" style="180" customWidth="1"/>
    <col min="9" max="9" width="18.1640625" style="180" customWidth="1"/>
    <col min="10" max="11" width="20.58203125" style="180" customWidth="1"/>
    <col min="12" max="12" width="20.83203125" style="179" customWidth="1"/>
    <col min="13" max="16384" width="8.58203125" style="178"/>
  </cols>
  <sheetData>
    <row r="1" spans="1:12" ht="148.5" customHeight="1">
      <c r="B1" s="369" t="s">
        <v>629</v>
      </c>
      <c r="C1" s="369"/>
      <c r="D1" s="369"/>
      <c r="E1" s="369"/>
      <c r="F1" s="369"/>
      <c r="G1" s="369"/>
      <c r="H1" s="369"/>
      <c r="I1" s="369"/>
      <c r="J1" s="369"/>
      <c r="K1" s="369"/>
    </row>
    <row r="2" spans="1:12" s="219" customFormat="1" ht="15" customHeight="1">
      <c r="A2" s="222" t="s">
        <v>106</v>
      </c>
      <c r="B2" s="222" t="s">
        <v>105</v>
      </c>
      <c r="C2" s="222" t="s">
        <v>104</v>
      </c>
      <c r="D2" s="222" t="s">
        <v>103</v>
      </c>
      <c r="E2" s="222" t="s">
        <v>102</v>
      </c>
      <c r="F2" s="221" t="s">
        <v>101</v>
      </c>
      <c r="G2" s="222" t="s">
        <v>1</v>
      </c>
      <c r="H2" s="221" t="s">
        <v>100</v>
      </c>
      <c r="I2" s="221" t="s">
        <v>99</v>
      </c>
      <c r="J2" s="221" t="s">
        <v>176</v>
      </c>
      <c r="K2" s="221" t="s">
        <v>98</v>
      </c>
      <c r="L2" s="220" t="s">
        <v>2</v>
      </c>
    </row>
    <row r="3" spans="1:12" ht="14.25" customHeight="1">
      <c r="L3" s="218"/>
    </row>
    <row r="4" spans="1:12" ht="15" customHeight="1">
      <c r="A4" s="201" t="s">
        <v>0</v>
      </c>
      <c r="B4" s="200"/>
      <c r="C4" s="200"/>
      <c r="D4" s="200"/>
      <c r="E4" s="199"/>
      <c r="F4" s="197"/>
      <c r="G4" s="198"/>
      <c r="H4" s="197"/>
      <c r="I4" s="197"/>
      <c r="J4" s="197"/>
      <c r="K4" s="197"/>
      <c r="L4" s="196"/>
    </row>
    <row r="5" spans="1:12">
      <c r="A5" s="193" t="s">
        <v>628</v>
      </c>
      <c r="L5" s="217"/>
    </row>
    <row r="6" spans="1:12">
      <c r="L6" s="202"/>
    </row>
    <row r="7" spans="1:12" s="203" customFormat="1" ht="14.5">
      <c r="A7" s="209"/>
      <c r="B7" s="208" t="s">
        <v>83</v>
      </c>
      <c r="C7" s="207"/>
      <c r="D7" s="207"/>
      <c r="E7" s="206"/>
      <c r="F7" s="204"/>
      <c r="G7" s="205"/>
      <c r="H7" s="204"/>
      <c r="I7" s="204">
        <v>0</v>
      </c>
      <c r="J7" s="204">
        <v>0</v>
      </c>
      <c r="K7" s="204">
        <v>0</v>
      </c>
      <c r="L7" s="215">
        <v>0</v>
      </c>
    </row>
    <row r="8" spans="1:12">
      <c r="L8" s="223"/>
    </row>
    <row r="9" spans="1:12" ht="15" customHeight="1">
      <c r="A9" s="201" t="s">
        <v>3</v>
      </c>
      <c r="B9" s="200"/>
      <c r="C9" s="200"/>
      <c r="D9" s="200"/>
      <c r="E9" s="199"/>
      <c r="F9" s="197"/>
      <c r="G9" s="198"/>
      <c r="H9" s="197"/>
      <c r="I9" s="197"/>
      <c r="J9" s="197"/>
      <c r="K9" s="197"/>
      <c r="L9" s="196"/>
    </row>
    <row r="10" spans="1:12">
      <c r="A10" s="193" t="s">
        <v>627</v>
      </c>
      <c r="L10" s="202"/>
    </row>
    <row r="11" spans="1:12">
      <c r="B11" s="183">
        <v>40100</v>
      </c>
      <c r="C11" s="183" t="s">
        <v>626</v>
      </c>
      <c r="D11" s="183">
        <v>5</v>
      </c>
      <c r="E11" s="182" t="s">
        <v>625</v>
      </c>
      <c r="F11" s="180">
        <v>1280</v>
      </c>
      <c r="G11" s="181">
        <v>3</v>
      </c>
      <c r="H11" s="180">
        <f>F11*G11</f>
        <v>3840</v>
      </c>
      <c r="I11" s="180">
        <f>H11*1.13</f>
        <v>4339.2</v>
      </c>
      <c r="J11" s="180">
        <f>I11*1.25</f>
        <v>5424</v>
      </c>
      <c r="K11" s="180">
        <v>1080</v>
      </c>
      <c r="L11" s="202"/>
    </row>
    <row r="12" spans="1:12">
      <c r="B12" s="183">
        <v>40101</v>
      </c>
      <c r="C12" s="183" t="s">
        <v>624</v>
      </c>
      <c r="D12" s="183">
        <v>1</v>
      </c>
      <c r="E12" s="182" t="s">
        <v>623</v>
      </c>
      <c r="F12" s="180">
        <v>20</v>
      </c>
      <c r="G12" s="181">
        <v>2</v>
      </c>
      <c r="H12" s="180">
        <f>F12*G12</f>
        <v>40</v>
      </c>
      <c r="I12" s="180">
        <f>H12*1.13</f>
        <v>45.199999999999996</v>
      </c>
      <c r="J12" s="180">
        <f>I12*1.25</f>
        <v>56.499999999999993</v>
      </c>
      <c r="L12" s="202">
        <v>0</v>
      </c>
    </row>
    <row r="13" spans="1:12">
      <c r="B13" s="183">
        <v>40102</v>
      </c>
      <c r="C13" s="183" t="s">
        <v>622</v>
      </c>
      <c r="D13" s="183">
        <v>4</v>
      </c>
      <c r="E13" s="182" t="s">
        <v>621</v>
      </c>
      <c r="F13" s="180">
        <v>20</v>
      </c>
      <c r="G13" s="181">
        <v>4</v>
      </c>
      <c r="H13" s="180">
        <f>F13*G13</f>
        <v>80</v>
      </c>
      <c r="I13" s="180">
        <f>H13*1.13</f>
        <v>90.399999999999991</v>
      </c>
      <c r="J13" s="180">
        <f>I13*1.25</f>
        <v>112.99999999999999</v>
      </c>
      <c r="L13" s="202">
        <v>0</v>
      </c>
    </row>
    <row r="14" spans="1:12">
      <c r="B14" s="183">
        <v>40103</v>
      </c>
      <c r="C14" s="183" t="s">
        <v>620</v>
      </c>
      <c r="D14" s="183">
        <v>6</v>
      </c>
      <c r="E14" s="182" t="s">
        <v>619</v>
      </c>
      <c r="F14" s="180">
        <v>50</v>
      </c>
      <c r="G14" s="181">
        <v>12</v>
      </c>
      <c r="H14" s="180">
        <f>F14*G14</f>
        <v>600</v>
      </c>
      <c r="I14" s="180">
        <f>H14*1.13</f>
        <v>677.99999999999989</v>
      </c>
      <c r="J14" s="180">
        <f>I14*1.25</f>
        <v>847.49999999999989</v>
      </c>
      <c r="L14" s="202"/>
    </row>
    <row r="15" spans="1:12">
      <c r="L15" s="202"/>
    </row>
    <row r="16" spans="1:12" s="184" customFormat="1" ht="14.5">
      <c r="A16" s="193"/>
      <c r="B16" s="214" t="s">
        <v>618</v>
      </c>
      <c r="C16" s="213"/>
      <c r="D16" s="213"/>
      <c r="E16" s="212"/>
      <c r="F16" s="210"/>
      <c r="G16" s="211"/>
      <c r="H16" s="210"/>
      <c r="I16" s="210">
        <f>SUM(I11:I14)</f>
        <v>5152.7999999999993</v>
      </c>
      <c r="J16" s="210">
        <f t="shared" ref="J16:L16" si="0">SUM(J11:J14)</f>
        <v>6441</v>
      </c>
      <c r="K16" s="210">
        <f t="shared" si="0"/>
        <v>1080</v>
      </c>
      <c r="L16" s="216">
        <f t="shared" si="0"/>
        <v>0</v>
      </c>
    </row>
    <row r="17" spans="1:12">
      <c r="A17" s="193" t="s">
        <v>617</v>
      </c>
      <c r="L17" s="202"/>
    </row>
    <row r="18" spans="1:12">
      <c r="B18" s="183">
        <v>40200</v>
      </c>
      <c r="C18" s="183" t="s">
        <v>616</v>
      </c>
      <c r="D18" s="183">
        <v>4</v>
      </c>
      <c r="E18" s="182" t="s">
        <v>615</v>
      </c>
      <c r="F18" s="180">
        <v>20</v>
      </c>
      <c r="G18" s="181">
        <v>6</v>
      </c>
      <c r="H18" s="180">
        <f>F18*G18</f>
        <v>120</v>
      </c>
      <c r="I18" s="180">
        <f>H18*1.13</f>
        <v>135.6</v>
      </c>
      <c r="J18" s="180">
        <f>I18*1.25</f>
        <v>169.5</v>
      </c>
      <c r="L18" s="202"/>
    </row>
    <row r="19" spans="1:12">
      <c r="B19" s="183">
        <v>40201</v>
      </c>
      <c r="C19" s="183" t="s">
        <v>614</v>
      </c>
      <c r="D19" s="183">
        <v>2</v>
      </c>
      <c r="E19" s="182" t="s">
        <v>613</v>
      </c>
      <c r="F19" s="180">
        <v>20</v>
      </c>
      <c r="G19" s="181">
        <v>2</v>
      </c>
      <c r="H19" s="180">
        <f>F19*G19</f>
        <v>40</v>
      </c>
      <c r="I19" s="180">
        <f>H19*1.13</f>
        <v>45.199999999999996</v>
      </c>
      <c r="J19" s="180">
        <f>I19*1.25</f>
        <v>56.499999999999993</v>
      </c>
      <c r="L19" s="202"/>
    </row>
    <row r="20" spans="1:12">
      <c r="B20" s="183">
        <v>40202</v>
      </c>
      <c r="C20" s="183" t="s">
        <v>612</v>
      </c>
      <c r="D20" s="183">
        <v>3</v>
      </c>
      <c r="E20" s="182" t="s">
        <v>611</v>
      </c>
      <c r="F20" s="180">
        <v>0.1</v>
      </c>
      <c r="G20" s="181">
        <v>100</v>
      </c>
      <c r="H20" s="180">
        <f>F20*G20</f>
        <v>10</v>
      </c>
      <c r="I20" s="180">
        <f>H20*1.13</f>
        <v>11.299999999999999</v>
      </c>
      <c r="J20" s="180">
        <f>I20*1.25</f>
        <v>14.124999999999998</v>
      </c>
      <c r="L20" s="202"/>
    </row>
    <row r="21" spans="1:12">
      <c r="L21" s="202"/>
    </row>
    <row r="22" spans="1:12" s="184" customFormat="1" ht="14.5">
      <c r="A22" s="193"/>
      <c r="B22" s="214" t="s">
        <v>610</v>
      </c>
      <c r="C22" s="213"/>
      <c r="D22" s="213"/>
      <c r="E22" s="212"/>
      <c r="F22" s="210"/>
      <c r="G22" s="211"/>
      <c r="H22" s="210"/>
      <c r="I22" s="210">
        <f>SUM(I18:I20)</f>
        <v>192.1</v>
      </c>
      <c r="J22" s="210">
        <f t="shared" ref="J22:L22" si="1">SUM(J18:J20)</f>
        <v>240.125</v>
      </c>
      <c r="K22" s="210">
        <f t="shared" si="1"/>
        <v>0</v>
      </c>
      <c r="L22" s="216">
        <f t="shared" si="1"/>
        <v>0</v>
      </c>
    </row>
    <row r="23" spans="1:12">
      <c r="A23" s="193" t="s">
        <v>609</v>
      </c>
      <c r="L23" s="202"/>
    </row>
    <row r="24" spans="1:12">
      <c r="B24" s="183">
        <v>40300</v>
      </c>
      <c r="C24" s="183" t="s">
        <v>608</v>
      </c>
      <c r="D24" s="183">
        <v>7</v>
      </c>
      <c r="E24" s="182" t="s">
        <v>607</v>
      </c>
      <c r="F24" s="180">
        <v>129.83000000000001</v>
      </c>
      <c r="G24" s="181">
        <v>12</v>
      </c>
      <c r="H24" s="180">
        <f>F24*G24</f>
        <v>1557.96</v>
      </c>
      <c r="I24" s="180">
        <f>H24</f>
        <v>1557.96</v>
      </c>
      <c r="J24" s="180">
        <f>I24*1.25</f>
        <v>1947.45</v>
      </c>
      <c r="K24" s="180">
        <f>I24/6</f>
        <v>259.66000000000003</v>
      </c>
      <c r="L24" s="202"/>
    </row>
    <row r="25" spans="1:12">
      <c r="B25" s="183">
        <v>40301</v>
      </c>
      <c r="C25" s="183" t="s">
        <v>606</v>
      </c>
      <c r="D25" s="183">
        <v>6</v>
      </c>
      <c r="E25" s="182" t="s">
        <v>605</v>
      </c>
      <c r="F25" s="180">
        <v>88.99</v>
      </c>
      <c r="G25" s="181">
        <v>2</v>
      </c>
      <c r="H25" s="180">
        <f>F25*G25</f>
        <v>177.98</v>
      </c>
      <c r="I25" s="180">
        <f>H25*1.13</f>
        <v>201.11739999999998</v>
      </c>
      <c r="J25" s="180">
        <f>I25*1.25</f>
        <v>251.39674999999997</v>
      </c>
      <c r="L25" s="202"/>
    </row>
    <row r="26" spans="1:12">
      <c r="L26" s="202"/>
    </row>
    <row r="27" spans="1:12" s="184" customFormat="1" ht="14.5">
      <c r="A27" s="193"/>
      <c r="B27" s="214" t="s">
        <v>604</v>
      </c>
      <c r="C27" s="213"/>
      <c r="D27" s="213"/>
      <c r="E27" s="212"/>
      <c r="F27" s="210"/>
      <c r="G27" s="211"/>
      <c r="H27" s="210"/>
      <c r="I27" s="210">
        <f>SUM(I24:I25)</f>
        <v>1759.0774000000001</v>
      </c>
      <c r="J27" s="210">
        <f t="shared" ref="J27:L27" si="2">SUM(J24:J25)</f>
        <v>2198.8467500000002</v>
      </c>
      <c r="K27" s="210">
        <f t="shared" si="2"/>
        <v>259.66000000000003</v>
      </c>
      <c r="L27" s="216">
        <f t="shared" si="2"/>
        <v>0</v>
      </c>
    </row>
    <row r="28" spans="1:12">
      <c r="L28" s="202"/>
    </row>
    <row r="29" spans="1:12" s="203" customFormat="1" ht="14.5">
      <c r="A29" s="209"/>
      <c r="B29" s="208" t="s">
        <v>8</v>
      </c>
      <c r="C29" s="207"/>
      <c r="D29" s="207"/>
      <c r="E29" s="206"/>
      <c r="F29" s="204"/>
      <c r="G29" s="205"/>
      <c r="H29" s="204"/>
      <c r="I29" s="204">
        <f>SUM(I16,I22,I27)</f>
        <v>7103.9773999999998</v>
      </c>
      <c r="J29" s="204">
        <f t="shared" ref="J29:L29" si="3">SUM(J16,J22,J27)</f>
        <v>8879.9717500000006</v>
      </c>
      <c r="K29" s="204">
        <f t="shared" si="3"/>
        <v>1339.66</v>
      </c>
      <c r="L29" s="215">
        <f t="shared" si="3"/>
        <v>0</v>
      </c>
    </row>
    <row r="30" spans="1:12">
      <c r="L30" s="202"/>
    </row>
    <row r="31" spans="1:12" ht="15" customHeight="1">
      <c r="A31" s="201" t="s">
        <v>7</v>
      </c>
      <c r="B31" s="200"/>
      <c r="C31" s="200"/>
      <c r="D31" s="200"/>
      <c r="E31" s="199"/>
      <c r="F31" s="197"/>
      <c r="G31" s="198"/>
      <c r="H31" s="197"/>
      <c r="I31" s="197"/>
      <c r="J31" s="197"/>
      <c r="K31" s="197"/>
      <c r="L31" s="196"/>
    </row>
    <row r="32" spans="1:12" s="184" customFormat="1" ht="14.5">
      <c r="A32" s="193"/>
      <c r="B32" s="194" t="s">
        <v>6</v>
      </c>
      <c r="C32" s="194"/>
      <c r="D32" s="194"/>
      <c r="E32" s="193"/>
      <c r="F32" s="191"/>
      <c r="G32" s="192"/>
      <c r="H32" s="191"/>
      <c r="I32" s="191">
        <f>I7</f>
        <v>0</v>
      </c>
      <c r="J32" s="191">
        <f>J7</f>
        <v>0</v>
      </c>
      <c r="K32" s="191">
        <f>K7</f>
        <v>0</v>
      </c>
      <c r="L32" s="195">
        <f>L7</f>
        <v>0</v>
      </c>
    </row>
    <row r="33" spans="1:12" s="184" customFormat="1" ht="14.5">
      <c r="A33" s="193"/>
      <c r="B33" s="194" t="s">
        <v>5</v>
      </c>
      <c r="C33" s="194"/>
      <c r="D33" s="194"/>
      <c r="E33" s="193"/>
      <c r="F33" s="191"/>
      <c r="G33" s="192"/>
      <c r="H33" s="191"/>
      <c r="I33" s="191">
        <f>I29</f>
        <v>7103.9773999999998</v>
      </c>
      <c r="J33" s="191">
        <f>J29</f>
        <v>8879.9717500000006</v>
      </c>
      <c r="K33" s="191">
        <f>K29</f>
        <v>1339.66</v>
      </c>
      <c r="L33" s="190">
        <f>L29</f>
        <v>0</v>
      </c>
    </row>
    <row r="34" spans="1:12" s="184" customFormat="1" ht="14.5">
      <c r="A34" s="188"/>
      <c r="B34" s="189" t="s">
        <v>4</v>
      </c>
      <c r="C34" s="189"/>
      <c r="D34" s="189"/>
      <c r="E34" s="188"/>
      <c r="F34" s="186"/>
      <c r="G34" s="187"/>
      <c r="H34" s="186"/>
      <c r="I34" s="186">
        <f>SUM(I32,I33*-1)</f>
        <v>-7103.9773999999998</v>
      </c>
      <c r="J34" s="186">
        <f>SUM(J32,J33*-1)</f>
        <v>-8879.9717500000006</v>
      </c>
      <c r="K34" s="186">
        <f>SUM(K32,K33*-1)</f>
        <v>-1339.66</v>
      </c>
      <c r="L34" s="185">
        <f>SUM(L32,L33*-1)</f>
        <v>0</v>
      </c>
    </row>
  </sheetData>
  <mergeCells count="1">
    <mergeCell ref="B1:K1"/>
  </mergeCells>
  <conditionalFormatting sqref="B11:L34">
    <cfRule type="expression" dxfId="80" priority="3">
      <formula>MOD($B11,2)=1</formula>
    </cfRule>
  </conditionalFormatting>
  <conditionalFormatting sqref="B6:L8">
    <cfRule type="expression" dxfId="79" priority="2">
      <formula>MOD($B6,2)=1</formula>
    </cfRule>
  </conditionalFormatting>
  <pageMargins left="0.7" right="0.7" top="0.75" bottom="0.75" header="0.3" footer="0.3"/>
  <pageSetup scale="26" fitToWidth="0" fitToHeight="0" orientation="portrait" r:id="rId1"/>
  <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D459C5-1E9E-4017-B013-B1F318AEF401}">
  <sheetPr codeName="Sheet11"/>
  <dimension ref="A1:O91"/>
  <sheetViews>
    <sheetView showGridLines="0" topLeftCell="B1" zoomScale="52" zoomScaleNormal="75" workbookViewId="0">
      <pane ySplit="2" topLeftCell="A50" activePane="bottomLeft" state="frozen"/>
      <selection pane="bottomLeft" activeCell="G36" sqref="G36"/>
    </sheetView>
  </sheetViews>
  <sheetFormatPr defaultColWidth="9.58203125" defaultRowHeight="15.5"/>
  <cols>
    <col min="1" max="1" width="29.25" style="44" customWidth="1"/>
    <col min="2" max="2" width="26.5" style="29" customWidth="1"/>
    <col min="3" max="3" width="23.1640625" style="29" customWidth="1"/>
    <col min="4" max="4" width="12.08203125" style="29" bestFit="1" customWidth="1"/>
    <col min="5" max="5" width="74.4140625" style="44" customWidth="1"/>
    <col min="6" max="6" width="15.25" style="26" customWidth="1"/>
    <col min="7" max="7" width="15.25" style="27" customWidth="1"/>
    <col min="8" max="8" width="19.33203125" style="26" customWidth="1"/>
    <col min="9" max="9" width="18.1640625" style="26" customWidth="1"/>
    <col min="10" max="11" width="20.58203125" style="26" customWidth="1"/>
    <col min="12" max="12" width="20.83203125" style="58" customWidth="1"/>
    <col min="13" max="13" width="52.58203125" style="1" customWidth="1"/>
    <col min="14" max="16384" width="9.58203125" style="1"/>
  </cols>
  <sheetData>
    <row r="1" spans="1:13" ht="148.5" customHeight="1">
      <c r="B1" s="368" t="s">
        <v>591</v>
      </c>
      <c r="C1" s="368"/>
      <c r="D1" s="368"/>
      <c r="E1" s="368"/>
      <c r="F1" s="368"/>
      <c r="G1" s="368"/>
      <c r="H1" s="368"/>
      <c r="I1" s="368"/>
      <c r="J1" s="368"/>
      <c r="K1" s="368"/>
    </row>
    <row r="2" spans="1:13" s="62" customFormat="1" ht="15" customHeight="1">
      <c r="A2" s="166" t="s">
        <v>106</v>
      </c>
      <c r="B2" s="65" t="s">
        <v>105</v>
      </c>
      <c r="C2" s="65" t="s">
        <v>104</v>
      </c>
      <c r="D2" s="65" t="s">
        <v>103</v>
      </c>
      <c r="E2" s="166" t="s">
        <v>102</v>
      </c>
      <c r="F2" s="64" t="s">
        <v>101</v>
      </c>
      <c r="G2" s="65" t="s">
        <v>1</v>
      </c>
      <c r="H2" s="64" t="s">
        <v>100</v>
      </c>
      <c r="I2" s="64" t="s">
        <v>99</v>
      </c>
      <c r="J2" s="64" t="s">
        <v>176</v>
      </c>
      <c r="K2" s="64" t="s">
        <v>98</v>
      </c>
      <c r="L2" s="63" t="s">
        <v>2</v>
      </c>
    </row>
    <row r="3" spans="1:13" ht="14.25" customHeight="1">
      <c r="L3" s="61"/>
      <c r="M3" s="6" t="s">
        <v>590</v>
      </c>
    </row>
    <row r="4" spans="1:13" s="90" customFormat="1">
      <c r="A4" s="167" t="s">
        <v>0</v>
      </c>
      <c r="B4" s="23"/>
      <c r="C4" s="23"/>
      <c r="D4" s="23"/>
      <c r="E4" s="169"/>
      <c r="F4" s="20"/>
      <c r="G4" s="21"/>
      <c r="H4" s="20"/>
      <c r="I4" s="20"/>
      <c r="J4" s="20"/>
      <c r="K4" s="20"/>
      <c r="L4" s="170"/>
    </row>
    <row r="5" spans="1:13" s="90" customFormat="1">
      <c r="A5" s="88" t="s">
        <v>446</v>
      </c>
      <c r="B5" s="29"/>
      <c r="C5" s="29"/>
      <c r="D5" s="29"/>
      <c r="E5" s="74"/>
      <c r="F5" s="26"/>
      <c r="G5" s="27"/>
      <c r="H5" s="26"/>
      <c r="I5" s="26"/>
      <c r="J5" s="26"/>
      <c r="K5" s="26"/>
      <c r="L5" s="171"/>
    </row>
    <row r="6" spans="1:13" s="90" customFormat="1">
      <c r="A6" s="44"/>
      <c r="B6" s="29">
        <v>85000</v>
      </c>
      <c r="C6" s="29" t="s">
        <v>589</v>
      </c>
      <c r="D6" s="29">
        <v>2</v>
      </c>
      <c r="E6" s="74" t="s">
        <v>588</v>
      </c>
      <c r="F6" s="26">
        <v>30</v>
      </c>
      <c r="G6" s="27">
        <v>7</v>
      </c>
      <c r="H6" s="26">
        <f>F6*G6</f>
        <v>210</v>
      </c>
      <c r="I6" s="26">
        <f>H6</f>
        <v>210</v>
      </c>
      <c r="J6" s="26">
        <f>I6*0.75</f>
        <v>157.5</v>
      </c>
      <c r="K6" s="26">
        <v>0</v>
      </c>
      <c r="L6" s="89">
        <v>0</v>
      </c>
      <c r="M6" s="176" t="s">
        <v>592</v>
      </c>
    </row>
    <row r="7" spans="1:13" s="90" customFormat="1">
      <c r="A7" s="44"/>
      <c r="B7" s="29">
        <v>85001</v>
      </c>
      <c r="C7" s="29" t="s">
        <v>587</v>
      </c>
      <c r="D7" s="29">
        <v>1</v>
      </c>
      <c r="E7" s="74" t="s">
        <v>586</v>
      </c>
      <c r="F7" s="26">
        <v>150</v>
      </c>
      <c r="G7" s="27">
        <v>4</v>
      </c>
      <c r="H7" s="26">
        <f>F7*G7</f>
        <v>600</v>
      </c>
      <c r="I7" s="26">
        <f>H7</f>
        <v>600</v>
      </c>
      <c r="J7" s="26">
        <f>I7*0.75</f>
        <v>450</v>
      </c>
      <c r="K7" s="26">
        <v>0</v>
      </c>
      <c r="L7" s="89">
        <v>0</v>
      </c>
    </row>
    <row r="8" spans="1:13" s="90" customFormat="1">
      <c r="A8" s="44"/>
      <c r="B8" s="29"/>
      <c r="C8" s="29"/>
      <c r="D8" s="29"/>
      <c r="E8" s="74"/>
      <c r="F8" s="26"/>
      <c r="G8" s="27"/>
      <c r="H8" s="26"/>
      <c r="I8" s="26"/>
      <c r="J8" s="26"/>
      <c r="K8" s="26"/>
      <c r="L8" s="89"/>
    </row>
    <row r="9" spans="1:13" s="91" customFormat="1" ht="14.5">
      <c r="A9" s="88"/>
      <c r="B9" s="43" t="s">
        <v>445</v>
      </c>
      <c r="C9" s="42"/>
      <c r="D9" s="42"/>
      <c r="E9" s="75"/>
      <c r="F9" s="39"/>
      <c r="G9" s="40"/>
      <c r="H9" s="39"/>
      <c r="I9" s="39">
        <f>SUM(I6:I7)</f>
        <v>810</v>
      </c>
      <c r="J9" s="39">
        <f>SUM(J6:J7)</f>
        <v>607.5</v>
      </c>
      <c r="K9" s="39">
        <f>SUM(K6:K7)</f>
        <v>0</v>
      </c>
      <c r="L9" s="38">
        <f>SUM(L6:L7)</f>
        <v>0</v>
      </c>
    </row>
    <row r="10" spans="1:13" s="90" customFormat="1">
      <c r="A10" s="44"/>
      <c r="B10" s="29"/>
      <c r="C10" s="29"/>
      <c r="D10" s="29"/>
      <c r="E10" s="74"/>
      <c r="F10" s="26"/>
      <c r="G10" s="27"/>
      <c r="H10" s="26"/>
      <c r="I10" s="26"/>
      <c r="J10" s="26"/>
      <c r="K10" s="26"/>
      <c r="L10" s="89"/>
    </row>
    <row r="11" spans="1:13" s="92" customFormat="1" ht="14.5">
      <c r="A11" s="168"/>
      <c r="B11" s="36" t="s">
        <v>83</v>
      </c>
      <c r="C11" s="35"/>
      <c r="D11" s="35"/>
      <c r="E11" s="172"/>
      <c r="F11" s="32"/>
      <c r="G11" s="33"/>
      <c r="H11" s="32"/>
      <c r="I11" s="32">
        <f>I9</f>
        <v>810</v>
      </c>
      <c r="J11" s="32">
        <f t="shared" ref="J11:L11" si="0">J9</f>
        <v>607.5</v>
      </c>
      <c r="K11" s="32">
        <f t="shared" si="0"/>
        <v>0</v>
      </c>
      <c r="L11" s="31">
        <f t="shared" si="0"/>
        <v>0</v>
      </c>
    </row>
    <row r="12" spans="1:13" s="90" customFormat="1">
      <c r="A12" s="44"/>
      <c r="B12" s="29"/>
      <c r="C12" s="29"/>
      <c r="D12" s="29"/>
      <c r="E12" s="74"/>
      <c r="F12" s="26"/>
      <c r="G12" s="27"/>
      <c r="H12" s="26"/>
      <c r="I12" s="26"/>
      <c r="J12" s="26"/>
      <c r="K12" s="26"/>
      <c r="L12" s="89"/>
    </row>
    <row r="13" spans="1:13" s="90" customFormat="1">
      <c r="A13" s="167" t="s">
        <v>3</v>
      </c>
      <c r="B13" s="23"/>
      <c r="C13" s="23"/>
      <c r="D13" s="23"/>
      <c r="E13" s="169"/>
      <c r="F13" s="20"/>
      <c r="G13" s="21"/>
      <c r="H13" s="20"/>
      <c r="I13" s="20"/>
      <c r="J13" s="20"/>
      <c r="K13" s="20"/>
      <c r="L13" s="170"/>
    </row>
    <row r="14" spans="1:13" s="90" customFormat="1">
      <c r="A14" s="88" t="s">
        <v>585</v>
      </c>
      <c r="B14" s="29"/>
      <c r="C14" s="29"/>
      <c r="D14" s="29"/>
      <c r="E14" s="74"/>
      <c r="F14" s="26"/>
      <c r="G14" s="27"/>
      <c r="H14" s="26"/>
      <c r="I14" s="26"/>
      <c r="J14" s="26"/>
      <c r="K14" s="26"/>
      <c r="L14" s="89"/>
    </row>
    <row r="15" spans="1:13" s="90" customFormat="1">
      <c r="A15" s="44"/>
      <c r="B15" s="29">
        <v>30100</v>
      </c>
      <c r="C15" s="29" t="s">
        <v>338</v>
      </c>
      <c r="D15" s="29">
        <v>2</v>
      </c>
      <c r="E15" s="74" t="s">
        <v>584</v>
      </c>
      <c r="F15" s="26">
        <v>8</v>
      </c>
      <c r="G15" s="27">
        <v>20</v>
      </c>
      <c r="H15" s="26">
        <f>F15*G15</f>
        <v>160</v>
      </c>
      <c r="I15" s="26">
        <f>H15*1.13</f>
        <v>180.79999999999998</v>
      </c>
      <c r="J15" s="26">
        <f>I15*1.25</f>
        <v>225.99999999999997</v>
      </c>
      <c r="K15" s="26">
        <v>0</v>
      </c>
      <c r="L15" s="89">
        <v>0</v>
      </c>
      <c r="M15" s="90" t="s">
        <v>583</v>
      </c>
    </row>
    <row r="16" spans="1:13" s="91" customFormat="1">
      <c r="A16" s="44"/>
      <c r="B16" s="29"/>
      <c r="C16" s="29"/>
      <c r="D16" s="29"/>
      <c r="E16" s="74"/>
      <c r="F16" s="26"/>
      <c r="G16" s="27"/>
      <c r="H16" s="26"/>
      <c r="I16" s="26"/>
      <c r="J16" s="26"/>
      <c r="K16" s="26"/>
      <c r="L16" s="89"/>
      <c r="M16" s="177" t="s">
        <v>593</v>
      </c>
    </row>
    <row r="17" spans="1:13" s="91" customFormat="1" ht="14.5">
      <c r="A17" s="88"/>
      <c r="B17" s="43" t="s">
        <v>582</v>
      </c>
      <c r="C17" s="42"/>
      <c r="D17" s="42"/>
      <c r="E17" s="75"/>
      <c r="F17" s="39"/>
      <c r="G17" s="40"/>
      <c r="H17" s="39"/>
      <c r="I17" s="39">
        <f>SUM(I15:I15)</f>
        <v>180.79999999999998</v>
      </c>
      <c r="J17" s="39">
        <f>SUM(J15:J15)</f>
        <v>225.99999999999997</v>
      </c>
      <c r="K17" s="39">
        <f>SUM(K15:K15)</f>
        <v>0</v>
      </c>
      <c r="L17" s="38">
        <f>SUM(L15:L15)</f>
        <v>0</v>
      </c>
    </row>
    <row r="18" spans="1:13" s="91" customFormat="1">
      <c r="A18" s="88" t="s">
        <v>581</v>
      </c>
      <c r="B18" s="29"/>
      <c r="C18" s="29"/>
      <c r="D18" s="29"/>
      <c r="E18" s="74"/>
      <c r="F18" s="26"/>
      <c r="G18" s="27"/>
      <c r="H18" s="26"/>
      <c r="I18" s="26"/>
      <c r="J18" s="26"/>
      <c r="K18" s="26"/>
      <c r="L18" s="89"/>
      <c r="M18" s="90"/>
    </row>
    <row r="19" spans="1:13" s="90" customFormat="1">
      <c r="A19" s="44"/>
      <c r="B19" s="29">
        <v>30200</v>
      </c>
      <c r="C19" s="29" t="s">
        <v>338</v>
      </c>
      <c r="D19" s="29">
        <v>3</v>
      </c>
      <c r="E19" s="74" t="s">
        <v>580</v>
      </c>
      <c r="F19" s="26">
        <v>8</v>
      </c>
      <c r="G19" s="27">
        <v>23</v>
      </c>
      <c r="H19" s="26">
        <f>F19*G19</f>
        <v>184</v>
      </c>
      <c r="I19" s="26">
        <f>H19*1.13</f>
        <v>207.92</v>
      </c>
      <c r="J19" s="26">
        <f>I19*1.25</f>
        <v>259.89999999999998</v>
      </c>
      <c r="K19" s="26">
        <v>0</v>
      </c>
      <c r="L19" s="89">
        <v>0</v>
      </c>
      <c r="M19" s="90" t="s">
        <v>579</v>
      </c>
    </row>
    <row r="20" spans="1:13" s="90" customFormat="1">
      <c r="A20" s="44"/>
      <c r="B20" s="29">
        <v>30201</v>
      </c>
      <c r="C20" s="29" t="s">
        <v>578</v>
      </c>
      <c r="D20" s="29">
        <v>5</v>
      </c>
      <c r="E20" s="74" t="s">
        <v>577</v>
      </c>
      <c r="F20" s="26">
        <f>1.15*70.46</f>
        <v>81.028999999999982</v>
      </c>
      <c r="G20" s="27">
        <v>7</v>
      </c>
      <c r="H20" s="26">
        <f>F20*G20</f>
        <v>567.20299999999986</v>
      </c>
      <c r="I20" s="26">
        <f>H20*1.13</f>
        <v>640.93938999999978</v>
      </c>
      <c r="J20" s="26">
        <f>I20*1.25</f>
        <v>801.17423749999966</v>
      </c>
      <c r="K20" s="26">
        <v>79.27</v>
      </c>
      <c r="L20" s="89">
        <v>79.27</v>
      </c>
      <c r="M20" s="90" t="s">
        <v>576</v>
      </c>
    </row>
    <row r="21" spans="1:13" s="90" customFormat="1">
      <c r="A21" s="44"/>
      <c r="B21" s="29">
        <v>30202</v>
      </c>
      <c r="C21" s="29" t="s">
        <v>575</v>
      </c>
      <c r="D21" s="29">
        <v>4</v>
      </c>
      <c r="E21" s="74" t="s">
        <v>574</v>
      </c>
      <c r="F21" s="26">
        <v>12</v>
      </c>
      <c r="G21" s="27">
        <v>12</v>
      </c>
      <c r="H21" s="26">
        <f>F21*G21</f>
        <v>144</v>
      </c>
      <c r="I21" s="26">
        <f>H21*1.13</f>
        <v>162.71999999999997</v>
      </c>
      <c r="J21" s="26">
        <f>I21*1.25</f>
        <v>203.39999999999998</v>
      </c>
      <c r="K21" s="26">
        <v>0</v>
      </c>
      <c r="L21" s="89">
        <v>0</v>
      </c>
      <c r="M21" s="177" t="s">
        <v>594</v>
      </c>
    </row>
    <row r="22" spans="1:13" s="90" customFormat="1">
      <c r="A22" s="44"/>
      <c r="B22" s="29">
        <v>30203</v>
      </c>
      <c r="C22" s="29" t="s">
        <v>573</v>
      </c>
      <c r="D22" s="29">
        <v>6</v>
      </c>
      <c r="E22" s="173" t="s">
        <v>572</v>
      </c>
      <c r="F22" s="26">
        <v>10</v>
      </c>
      <c r="G22" s="27">
        <v>10</v>
      </c>
      <c r="H22" s="26">
        <f>F22*G22</f>
        <v>100</v>
      </c>
      <c r="I22" s="26">
        <f>H22*1.13</f>
        <v>112.99999999999999</v>
      </c>
      <c r="J22" s="26">
        <f>I22*1.25</f>
        <v>141.24999999999997</v>
      </c>
      <c r="K22" s="26">
        <v>0</v>
      </c>
      <c r="L22" s="89">
        <v>0</v>
      </c>
      <c r="M22" s="90" t="s">
        <v>571</v>
      </c>
    </row>
    <row r="23" spans="1:13" s="90" customFormat="1">
      <c r="A23" s="44"/>
      <c r="B23" s="29"/>
      <c r="C23" s="29"/>
      <c r="D23" s="29"/>
      <c r="E23" s="74"/>
      <c r="F23" s="26"/>
      <c r="G23" s="27"/>
      <c r="H23" s="26"/>
      <c r="I23" s="26"/>
      <c r="J23" s="26"/>
      <c r="K23" s="26"/>
      <c r="L23" s="89"/>
      <c r="M23" s="177" t="s">
        <v>595</v>
      </c>
    </row>
    <row r="24" spans="1:13" s="90" customFormat="1" ht="14.5">
      <c r="A24" s="88"/>
      <c r="B24" s="43" t="s">
        <v>570</v>
      </c>
      <c r="C24" s="42"/>
      <c r="D24" s="42"/>
      <c r="E24" s="75"/>
      <c r="F24" s="39"/>
      <c r="G24" s="40"/>
      <c r="H24" s="39"/>
      <c r="I24" s="39">
        <f>SUM(I19:I22)</f>
        <v>1124.5793899999996</v>
      </c>
      <c r="J24" s="39">
        <f>SUM(J19:J22)</f>
        <v>1405.7242374999996</v>
      </c>
      <c r="K24" s="39">
        <f>SUM(K19:K22)</f>
        <v>79.27</v>
      </c>
      <c r="L24" s="38">
        <f>SUM(L19:L22)</f>
        <v>79.27</v>
      </c>
      <c r="M24" s="91"/>
    </row>
    <row r="25" spans="1:13" s="90" customFormat="1">
      <c r="A25" s="88" t="s">
        <v>569</v>
      </c>
      <c r="B25" s="29"/>
      <c r="C25" s="29"/>
      <c r="D25" s="29"/>
      <c r="E25" s="74"/>
      <c r="F25" s="26"/>
      <c r="G25" s="27"/>
      <c r="H25" s="26"/>
      <c r="I25" s="26"/>
      <c r="J25" s="26"/>
      <c r="K25" s="26"/>
      <c r="L25" s="89"/>
    </row>
    <row r="26" spans="1:13" s="90" customFormat="1">
      <c r="A26" s="165" t="s">
        <v>568</v>
      </c>
      <c r="B26" s="29">
        <v>30300</v>
      </c>
      <c r="C26" s="29" t="s">
        <v>567</v>
      </c>
      <c r="D26" s="29">
        <v>9</v>
      </c>
      <c r="E26" s="173" t="s">
        <v>566</v>
      </c>
      <c r="F26" s="26">
        <v>250</v>
      </c>
      <c r="G26" s="27">
        <v>1</v>
      </c>
      <c r="H26" s="26">
        <f t="shared" ref="H26:H31" si="1">F26*G26</f>
        <v>250</v>
      </c>
      <c r="I26" s="26">
        <f t="shared" ref="I26:I31" si="2">H26*1.13</f>
        <v>282.5</v>
      </c>
      <c r="J26" s="26">
        <f t="shared" ref="J26:J31" si="3">I26*1.25</f>
        <v>353.125</v>
      </c>
      <c r="K26" s="26">
        <v>0</v>
      </c>
      <c r="L26" s="49">
        <v>0</v>
      </c>
      <c r="M26" s="90" t="s">
        <v>565</v>
      </c>
    </row>
    <row r="27" spans="1:13" s="90" customFormat="1">
      <c r="A27" s="165" t="s">
        <v>564</v>
      </c>
      <c r="B27" s="29">
        <v>30301</v>
      </c>
      <c r="C27" s="29" t="s">
        <v>563</v>
      </c>
      <c r="D27" s="29">
        <v>8</v>
      </c>
      <c r="E27" s="173" t="s">
        <v>562</v>
      </c>
      <c r="F27" s="26">
        <v>125</v>
      </c>
      <c r="G27" s="27">
        <v>2</v>
      </c>
      <c r="H27" s="26">
        <f t="shared" si="1"/>
        <v>250</v>
      </c>
      <c r="I27" s="26">
        <f t="shared" si="2"/>
        <v>282.5</v>
      </c>
      <c r="J27" s="26">
        <f t="shared" si="3"/>
        <v>353.125</v>
      </c>
      <c r="K27" s="26">
        <v>0</v>
      </c>
      <c r="L27" s="49">
        <v>0</v>
      </c>
      <c r="M27" s="90" t="s">
        <v>561</v>
      </c>
    </row>
    <row r="28" spans="1:13" s="90" customFormat="1" ht="29">
      <c r="A28" s="165" t="s">
        <v>560</v>
      </c>
      <c r="B28" s="29">
        <v>30302</v>
      </c>
      <c r="C28" s="29" t="s">
        <v>559</v>
      </c>
      <c r="D28" s="29">
        <v>7</v>
      </c>
      <c r="E28" s="173" t="s">
        <v>558</v>
      </c>
      <c r="F28" s="26">
        <v>0</v>
      </c>
      <c r="G28" s="27">
        <v>4</v>
      </c>
      <c r="H28" s="26">
        <f t="shared" si="1"/>
        <v>0</v>
      </c>
      <c r="I28" s="26">
        <f t="shared" si="2"/>
        <v>0</v>
      </c>
      <c r="J28" s="26">
        <f t="shared" si="3"/>
        <v>0</v>
      </c>
      <c r="K28" s="26">
        <v>0</v>
      </c>
      <c r="L28" s="49">
        <v>0</v>
      </c>
    </row>
    <row r="29" spans="1:13" s="90" customFormat="1">
      <c r="A29" s="165" t="s">
        <v>557</v>
      </c>
      <c r="B29" s="29">
        <v>30303</v>
      </c>
      <c r="C29" s="29" t="s">
        <v>556</v>
      </c>
      <c r="D29" s="29">
        <v>10</v>
      </c>
      <c r="E29" s="74" t="s">
        <v>555</v>
      </c>
      <c r="F29" s="26">
        <v>1.5</v>
      </c>
      <c r="G29" s="27">
        <v>42</v>
      </c>
      <c r="H29" s="26">
        <f t="shared" si="1"/>
        <v>63</v>
      </c>
      <c r="I29" s="26">
        <f t="shared" si="2"/>
        <v>71.19</v>
      </c>
      <c r="J29" s="26">
        <f t="shared" si="3"/>
        <v>88.987499999999997</v>
      </c>
      <c r="K29" s="26">
        <v>0</v>
      </c>
      <c r="L29" s="49">
        <v>0</v>
      </c>
    </row>
    <row r="30" spans="1:13" s="90" customFormat="1">
      <c r="A30" s="44"/>
      <c r="B30" s="29">
        <v>30302</v>
      </c>
      <c r="C30" s="29" t="s">
        <v>554</v>
      </c>
      <c r="D30" s="29">
        <v>1</v>
      </c>
      <c r="E30" s="74" t="s">
        <v>553</v>
      </c>
      <c r="F30" s="26">
        <f>1.15*158.15</f>
        <v>181.8725</v>
      </c>
      <c r="G30" s="27">
        <v>6</v>
      </c>
      <c r="H30" s="26">
        <f t="shared" si="1"/>
        <v>1091.2350000000001</v>
      </c>
      <c r="I30" s="26">
        <f t="shared" si="2"/>
        <v>1233.09555</v>
      </c>
      <c r="J30" s="26">
        <f t="shared" si="3"/>
        <v>1541.3694375</v>
      </c>
      <c r="K30" s="26">
        <v>0</v>
      </c>
      <c r="L30" s="49">
        <v>0</v>
      </c>
      <c r="M30" s="90" t="s">
        <v>552</v>
      </c>
    </row>
    <row r="31" spans="1:13" s="90" customFormat="1">
      <c r="A31" s="44"/>
      <c r="B31" s="29">
        <v>30303</v>
      </c>
      <c r="C31" s="29" t="s">
        <v>551</v>
      </c>
      <c r="D31" s="29">
        <v>10</v>
      </c>
      <c r="E31" s="74" t="s">
        <v>550</v>
      </c>
      <c r="F31" s="26">
        <v>1.95</v>
      </c>
      <c r="G31" s="27">
        <v>42</v>
      </c>
      <c r="H31" s="26">
        <f t="shared" si="1"/>
        <v>81.899999999999991</v>
      </c>
      <c r="I31" s="26">
        <f t="shared" si="2"/>
        <v>92.546999999999983</v>
      </c>
      <c r="J31" s="26">
        <f t="shared" si="3"/>
        <v>115.68374999999997</v>
      </c>
      <c r="K31" s="26">
        <v>0</v>
      </c>
      <c r="L31" s="49">
        <v>0</v>
      </c>
      <c r="M31" s="177" t="s">
        <v>596</v>
      </c>
    </row>
    <row r="32" spans="1:13" s="90" customFormat="1">
      <c r="A32" s="44"/>
      <c r="B32" s="29"/>
      <c r="C32" s="29"/>
      <c r="D32" s="29"/>
      <c r="E32" s="74" t="s">
        <v>549</v>
      </c>
      <c r="F32" s="26"/>
      <c r="G32" s="27"/>
      <c r="H32" s="26"/>
      <c r="I32" s="26"/>
      <c r="J32" s="26"/>
      <c r="K32" s="26"/>
      <c r="L32" s="89"/>
    </row>
    <row r="33" spans="1:15" s="90" customFormat="1" ht="14.5">
      <c r="A33" s="88"/>
      <c r="B33" s="43" t="s">
        <v>548</v>
      </c>
      <c r="C33" s="42"/>
      <c r="D33" s="42"/>
      <c r="E33" s="75"/>
      <c r="F33" s="39"/>
      <c r="G33" s="40"/>
      <c r="H33" s="39"/>
      <c r="I33" s="39">
        <f>SUM(I26:I32)</f>
        <v>1961.8325500000001</v>
      </c>
      <c r="J33" s="39">
        <f>SUM(J26:J32)</f>
        <v>2452.2906874999999</v>
      </c>
      <c r="K33" s="39">
        <f>SUM(K26:K32)</f>
        <v>0</v>
      </c>
      <c r="L33" s="38">
        <f>SUM(L26:L32)</f>
        <v>0</v>
      </c>
      <c r="M33" s="91"/>
    </row>
    <row r="34" spans="1:15" s="90" customFormat="1">
      <c r="A34" s="88" t="s">
        <v>530</v>
      </c>
      <c r="B34" s="29"/>
      <c r="C34" s="29"/>
      <c r="D34" s="29"/>
      <c r="E34" s="74"/>
      <c r="F34" s="26"/>
      <c r="G34" s="27"/>
      <c r="H34" s="26"/>
      <c r="I34" s="26"/>
      <c r="J34" s="26"/>
      <c r="K34" s="26"/>
      <c r="L34" s="89"/>
    </row>
    <row r="35" spans="1:15" s="90" customFormat="1">
      <c r="A35" s="44"/>
      <c r="B35" s="29">
        <v>30400</v>
      </c>
      <c r="C35" s="29" t="s">
        <v>547</v>
      </c>
      <c r="D35" s="29">
        <v>16</v>
      </c>
      <c r="E35" s="74" t="s">
        <v>546</v>
      </c>
      <c r="F35" s="26">
        <v>30</v>
      </c>
      <c r="G35" s="27">
        <v>5</v>
      </c>
      <c r="H35" s="26">
        <f>F35*G35</f>
        <v>150</v>
      </c>
      <c r="I35" s="26">
        <f>H35*1.13</f>
        <v>169.49999999999997</v>
      </c>
      <c r="J35" s="26">
        <f>I35*1.25</f>
        <v>211.87499999999997</v>
      </c>
      <c r="K35" s="26">
        <v>48</v>
      </c>
      <c r="L35" s="49">
        <v>48</v>
      </c>
      <c r="M35" s="90" t="s">
        <v>545</v>
      </c>
    </row>
    <row r="36" spans="1:15" s="90" customFormat="1">
      <c r="A36" s="44"/>
      <c r="B36" s="29">
        <v>30401</v>
      </c>
      <c r="C36" s="29" t="s">
        <v>544</v>
      </c>
      <c r="D36" s="29">
        <v>19</v>
      </c>
      <c r="E36" s="173" t="s">
        <v>543</v>
      </c>
      <c r="F36" s="26">
        <v>179</v>
      </c>
      <c r="G36" s="27">
        <v>4</v>
      </c>
      <c r="H36" s="26">
        <f>F36*G36</f>
        <v>716</v>
      </c>
      <c r="I36" s="26">
        <f>H36*1.13</f>
        <v>809.07999999999993</v>
      </c>
      <c r="J36" s="26">
        <f>I36*1.25</f>
        <v>1011.3499999999999</v>
      </c>
      <c r="K36" s="26">
        <v>0</v>
      </c>
      <c r="L36" s="49">
        <v>0</v>
      </c>
      <c r="M36" s="90" t="s">
        <v>542</v>
      </c>
    </row>
    <row r="37" spans="1:15" s="90" customFormat="1">
      <c r="A37" s="44"/>
      <c r="B37" s="29">
        <v>30402</v>
      </c>
      <c r="C37" s="29" t="s">
        <v>541</v>
      </c>
      <c r="D37" s="29">
        <v>17</v>
      </c>
      <c r="E37" s="74" t="s">
        <v>540</v>
      </c>
      <c r="F37" s="26">
        <v>100</v>
      </c>
      <c r="G37" s="27">
        <v>5</v>
      </c>
      <c r="H37" s="26">
        <f>F37*G37</f>
        <v>500</v>
      </c>
      <c r="I37" s="26">
        <f>H37*1.13</f>
        <v>565</v>
      </c>
      <c r="J37" s="26">
        <f>I37*1.25</f>
        <v>706.25</v>
      </c>
      <c r="K37" s="26">
        <v>262.64</v>
      </c>
      <c r="L37" s="89">
        <v>262.64</v>
      </c>
      <c r="M37" s="90" t="s">
        <v>539</v>
      </c>
      <c r="N37" s="177" t="s">
        <v>597</v>
      </c>
    </row>
    <row r="38" spans="1:15" s="90" customFormat="1">
      <c r="A38" s="44"/>
      <c r="B38" s="29">
        <v>30403</v>
      </c>
      <c r="C38" s="29" t="s">
        <v>538</v>
      </c>
      <c r="D38" s="29">
        <v>18</v>
      </c>
      <c r="E38" s="174" t="s">
        <v>537</v>
      </c>
      <c r="F38" s="26">
        <v>125</v>
      </c>
      <c r="G38" s="27">
        <v>2</v>
      </c>
      <c r="H38" s="26">
        <f>F38*G38</f>
        <v>250</v>
      </c>
      <c r="I38" s="26">
        <f>H38*1.13</f>
        <v>282.5</v>
      </c>
      <c r="J38" s="26">
        <f>I38*1.25</f>
        <v>353.125</v>
      </c>
      <c r="K38" s="26"/>
      <c r="L38" s="89"/>
      <c r="M38" s="90" t="s">
        <v>536</v>
      </c>
    </row>
    <row r="39" spans="1:15" s="90" customFormat="1">
      <c r="A39" s="44"/>
      <c r="B39" s="29"/>
      <c r="C39" s="29"/>
      <c r="D39" s="29"/>
      <c r="E39" s="74"/>
      <c r="F39" s="26"/>
      <c r="G39" s="27"/>
      <c r="H39" s="26"/>
      <c r="I39" s="26"/>
      <c r="J39" s="26"/>
      <c r="K39" s="26"/>
      <c r="L39" s="89"/>
    </row>
    <row r="40" spans="1:15" s="90" customFormat="1" ht="14.5">
      <c r="A40" s="88"/>
      <c r="B40" s="43" t="s">
        <v>535</v>
      </c>
      <c r="C40" s="42"/>
      <c r="D40" s="42"/>
      <c r="E40" s="75"/>
      <c r="F40" s="39"/>
      <c r="G40" s="40"/>
      <c r="H40" s="39"/>
      <c r="I40" s="39">
        <f>SUM(I35:I38)</f>
        <v>1826.08</v>
      </c>
      <c r="J40" s="39">
        <f>SUM(J35:J38)</f>
        <v>2282.6</v>
      </c>
      <c r="K40" s="39">
        <f>SUM(K35:K38)</f>
        <v>310.64</v>
      </c>
      <c r="L40" s="38">
        <f>SUM(L35:L38)</f>
        <v>310.64</v>
      </c>
      <c r="M40" s="91"/>
    </row>
    <row r="41" spans="1:15" s="90" customFormat="1">
      <c r="A41" s="88" t="s">
        <v>534</v>
      </c>
      <c r="B41" s="29"/>
      <c r="C41" s="29"/>
      <c r="D41" s="29"/>
      <c r="E41" s="74"/>
      <c r="F41" s="26"/>
      <c r="G41" s="27"/>
      <c r="H41" s="26"/>
      <c r="I41" s="26"/>
      <c r="J41" s="26"/>
      <c r="K41" s="26"/>
      <c r="L41" s="89"/>
    </row>
    <row r="42" spans="1:15" s="90" customFormat="1">
      <c r="A42" s="44"/>
      <c r="B42" s="29">
        <v>30500</v>
      </c>
      <c r="C42" s="29" t="s">
        <v>533</v>
      </c>
      <c r="D42" s="29">
        <v>11</v>
      </c>
      <c r="E42" s="74" t="s">
        <v>532</v>
      </c>
      <c r="F42" s="26">
        <v>200</v>
      </c>
      <c r="G42" s="27">
        <v>1</v>
      </c>
      <c r="H42" s="26">
        <f t="shared" ref="H42:H47" si="4">F42*G42</f>
        <v>200</v>
      </c>
      <c r="I42" s="26">
        <f t="shared" ref="I42:I47" si="5">H42*1.13</f>
        <v>225.99999999999997</v>
      </c>
      <c r="J42" s="26">
        <f t="shared" ref="J42:J47" si="6">I42*1.25</f>
        <v>282.49999999999994</v>
      </c>
      <c r="K42" s="26">
        <v>0</v>
      </c>
      <c r="L42" s="89">
        <v>0</v>
      </c>
      <c r="M42" s="90" t="s">
        <v>531</v>
      </c>
    </row>
    <row r="43" spans="1:15" s="90" customFormat="1">
      <c r="A43" s="44"/>
      <c r="B43" s="29">
        <v>30501</v>
      </c>
      <c r="C43" s="29" t="s">
        <v>530</v>
      </c>
      <c r="D43" s="29">
        <v>11</v>
      </c>
      <c r="E43" s="74" t="s">
        <v>529</v>
      </c>
      <c r="F43" s="26">
        <v>0</v>
      </c>
      <c r="G43" s="27">
        <v>0</v>
      </c>
      <c r="H43" s="26">
        <f t="shared" si="4"/>
        <v>0</v>
      </c>
      <c r="I43" s="26">
        <f t="shared" si="5"/>
        <v>0</v>
      </c>
      <c r="J43" s="26">
        <f t="shared" si="6"/>
        <v>0</v>
      </c>
      <c r="K43" s="26">
        <v>0</v>
      </c>
      <c r="L43" s="89">
        <v>0</v>
      </c>
      <c r="M43" s="177" t="s">
        <v>598</v>
      </c>
    </row>
    <row r="44" spans="1:15" s="90" customFormat="1">
      <c r="A44" s="44"/>
      <c r="B44" s="29">
        <v>30502</v>
      </c>
      <c r="C44" s="29" t="s">
        <v>528</v>
      </c>
      <c r="D44" s="29">
        <v>12</v>
      </c>
      <c r="E44" s="174" t="s">
        <v>527</v>
      </c>
      <c r="F44" s="26">
        <v>80</v>
      </c>
      <c r="G44" s="27">
        <v>4</v>
      </c>
      <c r="H44" s="26">
        <f t="shared" si="4"/>
        <v>320</v>
      </c>
      <c r="I44" s="26">
        <f t="shared" si="5"/>
        <v>361.59999999999997</v>
      </c>
      <c r="J44" s="26">
        <f t="shared" si="6"/>
        <v>451.99999999999994</v>
      </c>
      <c r="K44" s="26">
        <v>160</v>
      </c>
      <c r="L44" s="89">
        <v>160</v>
      </c>
      <c r="M44" s="90" t="s">
        <v>526</v>
      </c>
    </row>
    <row r="45" spans="1:15" s="90" customFormat="1">
      <c r="A45" s="44"/>
      <c r="B45" s="29">
        <v>30503</v>
      </c>
      <c r="C45" s="29" t="s">
        <v>525</v>
      </c>
      <c r="D45" s="29">
        <v>12</v>
      </c>
      <c r="E45" s="174" t="s">
        <v>524</v>
      </c>
      <c r="F45" s="26">
        <v>60</v>
      </c>
      <c r="G45" s="27">
        <v>5</v>
      </c>
      <c r="H45" s="26">
        <f t="shared" si="4"/>
        <v>300</v>
      </c>
      <c r="I45" s="26">
        <f t="shared" si="5"/>
        <v>338.99999999999994</v>
      </c>
      <c r="J45" s="26">
        <f t="shared" si="6"/>
        <v>423.74999999999994</v>
      </c>
      <c r="K45" s="26">
        <v>300</v>
      </c>
      <c r="L45" s="89">
        <v>300</v>
      </c>
      <c r="M45" s="90" t="s">
        <v>523</v>
      </c>
    </row>
    <row r="46" spans="1:15" s="90" customFormat="1">
      <c r="A46" s="44"/>
      <c r="B46" s="29">
        <v>30504</v>
      </c>
      <c r="C46" s="29" t="s">
        <v>522</v>
      </c>
      <c r="D46" s="29">
        <v>12</v>
      </c>
      <c r="E46" s="174" t="s">
        <v>521</v>
      </c>
      <c r="F46" s="26">
        <v>80</v>
      </c>
      <c r="G46" s="27">
        <v>4</v>
      </c>
      <c r="H46" s="26">
        <f t="shared" si="4"/>
        <v>320</v>
      </c>
      <c r="I46" s="26">
        <f t="shared" si="5"/>
        <v>361.59999999999997</v>
      </c>
      <c r="J46" s="26">
        <f t="shared" si="6"/>
        <v>451.99999999999994</v>
      </c>
      <c r="K46" s="26">
        <v>125</v>
      </c>
      <c r="L46" s="89">
        <v>125</v>
      </c>
    </row>
    <row r="47" spans="1:15" s="90" customFormat="1">
      <c r="A47" s="44"/>
      <c r="B47" s="29">
        <v>30505</v>
      </c>
      <c r="C47" s="29" t="s">
        <v>222</v>
      </c>
      <c r="D47" s="29">
        <v>13</v>
      </c>
      <c r="E47" s="74" t="s">
        <v>520</v>
      </c>
      <c r="F47" s="26">
        <f>1.15*678.6</f>
        <v>780.39</v>
      </c>
      <c r="G47" s="27">
        <v>1</v>
      </c>
      <c r="H47" s="26">
        <f t="shared" si="4"/>
        <v>780.39</v>
      </c>
      <c r="I47" s="26">
        <f t="shared" si="5"/>
        <v>881.84069999999986</v>
      </c>
      <c r="J47" s="26">
        <f t="shared" si="6"/>
        <v>1102.3008749999999</v>
      </c>
      <c r="K47" s="26">
        <v>100</v>
      </c>
      <c r="L47" s="89">
        <v>100</v>
      </c>
      <c r="M47" s="90" t="s">
        <v>519</v>
      </c>
      <c r="O47" s="177" t="s">
        <v>599</v>
      </c>
    </row>
    <row r="48" spans="1:15" s="90" customFormat="1">
      <c r="A48" s="44"/>
      <c r="B48" s="29"/>
      <c r="C48" s="29"/>
      <c r="D48" s="29"/>
      <c r="E48" s="74"/>
      <c r="F48" s="26"/>
      <c r="G48" s="27"/>
      <c r="H48" s="26"/>
      <c r="I48" s="26"/>
      <c r="J48" s="26"/>
      <c r="K48" s="26"/>
      <c r="L48" s="89"/>
    </row>
    <row r="49" spans="1:13" s="90" customFormat="1" ht="14.5">
      <c r="A49" s="88"/>
      <c r="B49" s="43" t="s">
        <v>518</v>
      </c>
      <c r="C49" s="42"/>
      <c r="D49" s="42"/>
      <c r="E49" s="75"/>
      <c r="F49" s="39"/>
      <c r="G49" s="40"/>
      <c r="H49" s="39"/>
      <c r="I49" s="39">
        <f>SUM(I41:I47)</f>
        <v>2170.0406999999996</v>
      </c>
      <c r="J49" s="39">
        <f>SUM(J41:J47)</f>
        <v>2712.5508749999999</v>
      </c>
      <c r="K49" s="39">
        <f>SUM(K41:K47)</f>
        <v>685</v>
      </c>
      <c r="L49" s="38">
        <f>SUM(L41:L47)</f>
        <v>685</v>
      </c>
      <c r="M49" s="91"/>
    </row>
    <row r="50" spans="1:13" s="90" customFormat="1">
      <c r="A50" s="88" t="s">
        <v>517</v>
      </c>
      <c r="B50" s="29"/>
      <c r="C50" s="29"/>
      <c r="D50" s="29"/>
      <c r="E50" s="74"/>
      <c r="F50" s="26"/>
      <c r="G50" s="27"/>
      <c r="H50" s="26"/>
      <c r="I50" s="26"/>
      <c r="J50" s="26"/>
      <c r="K50" s="26"/>
      <c r="L50" s="89"/>
      <c r="M50" s="90" t="s">
        <v>516</v>
      </c>
    </row>
    <row r="51" spans="1:13" s="90" customFormat="1">
      <c r="A51" s="44"/>
      <c r="B51" s="29">
        <v>30600</v>
      </c>
      <c r="C51" s="29" t="s">
        <v>499</v>
      </c>
      <c r="D51" s="164" t="s">
        <v>483</v>
      </c>
      <c r="E51" s="29" t="s">
        <v>515</v>
      </c>
      <c r="F51" s="26">
        <v>18</v>
      </c>
      <c r="G51" s="27">
        <v>22</v>
      </c>
      <c r="H51" s="26">
        <f t="shared" ref="H51:H59" si="7">F51*G51+10</f>
        <v>406</v>
      </c>
      <c r="I51" s="26">
        <f t="shared" ref="I51:I59" si="8">H51*1.13</f>
        <v>458.78</v>
      </c>
      <c r="J51" s="26">
        <f t="shared" ref="J51:J59" si="9">I51*1.25</f>
        <v>573.47499999999991</v>
      </c>
      <c r="K51" s="26">
        <v>458.78</v>
      </c>
      <c r="L51" s="89">
        <v>458.78</v>
      </c>
      <c r="M51" s="90" t="s">
        <v>514</v>
      </c>
    </row>
    <row r="52" spans="1:13" s="90" customFormat="1">
      <c r="A52" s="44"/>
      <c r="B52" s="29">
        <v>30601</v>
      </c>
      <c r="C52" s="29" t="s">
        <v>499</v>
      </c>
      <c r="D52" s="164" t="s">
        <v>483</v>
      </c>
      <c r="E52" s="29" t="s">
        <v>513</v>
      </c>
      <c r="F52" s="26">
        <v>18</v>
      </c>
      <c r="G52" s="27">
        <v>20</v>
      </c>
      <c r="H52" s="26">
        <f t="shared" si="7"/>
        <v>370</v>
      </c>
      <c r="I52" s="26">
        <f t="shared" si="8"/>
        <v>418.09999999999997</v>
      </c>
      <c r="J52" s="26">
        <f t="shared" si="9"/>
        <v>522.625</v>
      </c>
      <c r="K52" s="26">
        <v>390.98</v>
      </c>
      <c r="L52" s="89">
        <v>390.98</v>
      </c>
      <c r="M52" s="90" t="s">
        <v>512</v>
      </c>
    </row>
    <row r="53" spans="1:13" s="90" customFormat="1">
      <c r="A53" s="44"/>
      <c r="B53" s="29">
        <v>30602</v>
      </c>
      <c r="C53" s="29" t="s">
        <v>499</v>
      </c>
      <c r="D53" s="164" t="s">
        <v>483</v>
      </c>
      <c r="E53" s="29" t="s">
        <v>511</v>
      </c>
      <c r="F53" s="26">
        <v>18</v>
      </c>
      <c r="G53" s="27">
        <v>18</v>
      </c>
      <c r="H53" s="26">
        <f t="shared" si="7"/>
        <v>334</v>
      </c>
      <c r="I53" s="26">
        <f t="shared" si="8"/>
        <v>377.41999999999996</v>
      </c>
      <c r="J53" s="26">
        <f t="shared" si="9"/>
        <v>471.77499999999998</v>
      </c>
      <c r="K53" s="26">
        <v>370.64</v>
      </c>
      <c r="L53" s="89">
        <v>370.64</v>
      </c>
      <c r="M53" s="90" t="s">
        <v>510</v>
      </c>
    </row>
    <row r="54" spans="1:13" s="90" customFormat="1">
      <c r="A54" s="44"/>
      <c r="B54" s="29">
        <v>30603</v>
      </c>
      <c r="C54" s="29" t="s">
        <v>499</v>
      </c>
      <c r="D54" s="164" t="s">
        <v>483</v>
      </c>
      <c r="E54" s="29" t="s">
        <v>509</v>
      </c>
      <c r="F54" s="26">
        <v>18</v>
      </c>
      <c r="G54" s="27">
        <v>18</v>
      </c>
      <c r="H54" s="26">
        <f t="shared" si="7"/>
        <v>334</v>
      </c>
      <c r="I54" s="26">
        <f t="shared" si="8"/>
        <v>377.41999999999996</v>
      </c>
      <c r="J54" s="26">
        <f t="shared" si="9"/>
        <v>471.77499999999998</v>
      </c>
      <c r="K54" s="26">
        <v>370.64</v>
      </c>
      <c r="L54" s="89"/>
      <c r="M54" s="90" t="s">
        <v>508</v>
      </c>
    </row>
    <row r="55" spans="1:13" s="90" customFormat="1">
      <c r="A55" s="44"/>
      <c r="B55" s="29">
        <v>30604</v>
      </c>
      <c r="C55" s="29" t="s">
        <v>499</v>
      </c>
      <c r="D55" s="164" t="s">
        <v>483</v>
      </c>
      <c r="E55" s="29" t="s">
        <v>507</v>
      </c>
      <c r="F55" s="26">
        <v>18</v>
      </c>
      <c r="G55" s="27">
        <v>2</v>
      </c>
      <c r="H55" s="26">
        <f t="shared" si="7"/>
        <v>46</v>
      </c>
      <c r="I55" s="26">
        <f t="shared" si="8"/>
        <v>51.98</v>
      </c>
      <c r="J55" s="26">
        <f t="shared" si="9"/>
        <v>64.974999999999994</v>
      </c>
      <c r="K55" s="26">
        <v>363.86</v>
      </c>
      <c r="L55" s="89">
        <v>363.86</v>
      </c>
      <c r="M55" s="90" t="s">
        <v>506</v>
      </c>
    </row>
    <row r="56" spans="1:13" s="90" customFormat="1">
      <c r="A56" s="44"/>
      <c r="B56" s="29">
        <v>30605</v>
      </c>
      <c r="C56" s="29" t="s">
        <v>499</v>
      </c>
      <c r="D56" s="164" t="s">
        <v>483</v>
      </c>
      <c r="E56" s="29" t="s">
        <v>505</v>
      </c>
      <c r="F56" s="26">
        <v>18</v>
      </c>
      <c r="G56" s="27">
        <v>2</v>
      </c>
      <c r="H56" s="26">
        <f t="shared" si="7"/>
        <v>46</v>
      </c>
      <c r="I56" s="26">
        <f t="shared" si="8"/>
        <v>51.98</v>
      </c>
      <c r="J56" s="26">
        <f t="shared" si="9"/>
        <v>64.974999999999994</v>
      </c>
      <c r="K56" s="26">
        <v>0</v>
      </c>
      <c r="L56" s="89">
        <v>0</v>
      </c>
      <c r="M56" s="90" t="s">
        <v>504</v>
      </c>
    </row>
    <row r="57" spans="1:13" s="90" customFormat="1">
      <c r="A57" s="44"/>
      <c r="B57" s="29">
        <v>30606</v>
      </c>
      <c r="C57" s="29" t="s">
        <v>499</v>
      </c>
      <c r="D57" s="164" t="s">
        <v>483</v>
      </c>
      <c r="E57" s="29" t="s">
        <v>503</v>
      </c>
      <c r="F57" s="26">
        <v>18</v>
      </c>
      <c r="G57" s="27">
        <v>2</v>
      </c>
      <c r="H57" s="26">
        <f t="shared" si="7"/>
        <v>46</v>
      </c>
      <c r="I57" s="26">
        <f t="shared" si="8"/>
        <v>51.98</v>
      </c>
      <c r="J57" s="26">
        <f t="shared" si="9"/>
        <v>64.974999999999994</v>
      </c>
      <c r="K57" s="26">
        <v>0</v>
      </c>
      <c r="L57" s="89">
        <v>0</v>
      </c>
      <c r="M57" s="90" t="s">
        <v>502</v>
      </c>
    </row>
    <row r="58" spans="1:13" s="90" customFormat="1">
      <c r="A58" s="44"/>
      <c r="B58" s="29">
        <v>30607</v>
      </c>
      <c r="C58" s="29" t="s">
        <v>499</v>
      </c>
      <c r="D58" s="164" t="s">
        <v>483</v>
      </c>
      <c r="E58" s="29" t="s">
        <v>501</v>
      </c>
      <c r="F58" s="26">
        <v>18</v>
      </c>
      <c r="G58" s="27">
        <v>2</v>
      </c>
      <c r="H58" s="26">
        <f t="shared" si="7"/>
        <v>46</v>
      </c>
      <c r="I58" s="26">
        <f t="shared" si="8"/>
        <v>51.98</v>
      </c>
      <c r="J58" s="26">
        <f t="shared" si="9"/>
        <v>64.974999999999994</v>
      </c>
      <c r="K58" s="26">
        <v>0</v>
      </c>
      <c r="L58" s="89">
        <v>0</v>
      </c>
      <c r="M58" s="90" t="s">
        <v>500</v>
      </c>
    </row>
    <row r="59" spans="1:13" s="90" customFormat="1">
      <c r="A59" s="44"/>
      <c r="B59" s="29">
        <v>30608</v>
      </c>
      <c r="C59" s="29" t="s">
        <v>499</v>
      </c>
      <c r="D59" s="164" t="s">
        <v>483</v>
      </c>
      <c r="E59" s="29" t="s">
        <v>498</v>
      </c>
      <c r="F59" s="26">
        <v>18</v>
      </c>
      <c r="G59" s="27">
        <v>2</v>
      </c>
      <c r="H59" s="26">
        <f t="shared" si="7"/>
        <v>46</v>
      </c>
      <c r="I59" s="26">
        <f t="shared" si="8"/>
        <v>51.98</v>
      </c>
      <c r="J59" s="26">
        <f t="shared" si="9"/>
        <v>64.974999999999994</v>
      </c>
      <c r="K59" s="26">
        <v>38.42</v>
      </c>
      <c r="L59" s="89">
        <v>38.42</v>
      </c>
      <c r="M59" s="90" t="s">
        <v>498</v>
      </c>
    </row>
    <row r="60" spans="1:13" s="90" customFormat="1">
      <c r="A60" s="44"/>
      <c r="B60" s="29"/>
      <c r="C60" s="29"/>
      <c r="D60" s="29"/>
      <c r="E60" s="74"/>
      <c r="F60" s="26"/>
      <c r="G60" s="27"/>
      <c r="H60" s="26"/>
      <c r="I60" s="26"/>
      <c r="J60" s="26"/>
      <c r="K60" s="26"/>
      <c r="L60" s="89"/>
      <c r="M60" s="176" t="s">
        <v>600</v>
      </c>
    </row>
    <row r="61" spans="1:13" s="90" customFormat="1" ht="14.5">
      <c r="A61" s="88"/>
      <c r="B61" s="43" t="s">
        <v>497</v>
      </c>
      <c r="C61" s="42"/>
      <c r="D61" s="42"/>
      <c r="E61" s="75"/>
      <c r="F61" s="39"/>
      <c r="G61" s="40"/>
      <c r="H61" s="39"/>
      <c r="I61" s="39">
        <f>SUM(I51:I59)</f>
        <v>1891.62</v>
      </c>
      <c r="J61" s="39">
        <f>SUM(J51:J59)</f>
        <v>2364.5249999999996</v>
      </c>
      <c r="K61" s="39">
        <f>SUM(K51:K59)</f>
        <v>1993.3200000000002</v>
      </c>
      <c r="L61" s="38">
        <f>SUM(L51:L59)</f>
        <v>1622.6800000000003</v>
      </c>
      <c r="M61" s="91"/>
    </row>
    <row r="62" spans="1:13" s="90" customFormat="1">
      <c r="A62" s="88" t="s">
        <v>496</v>
      </c>
      <c r="B62" s="29"/>
      <c r="C62" s="29"/>
      <c r="D62" s="29"/>
      <c r="E62" s="74"/>
      <c r="F62" s="26"/>
      <c r="G62" s="27"/>
      <c r="H62" s="26"/>
      <c r="I62" s="26"/>
      <c r="J62" s="26"/>
      <c r="K62" s="26"/>
      <c r="L62" s="89"/>
    </row>
    <row r="63" spans="1:13" s="90" customFormat="1">
      <c r="A63" s="44"/>
      <c r="B63" s="29">
        <v>30700</v>
      </c>
      <c r="C63" s="29" t="s">
        <v>338</v>
      </c>
      <c r="D63" s="29">
        <v>14</v>
      </c>
      <c r="E63" s="74" t="s">
        <v>495</v>
      </c>
      <c r="F63" s="26">
        <v>8</v>
      </c>
      <c r="G63" s="27">
        <v>30</v>
      </c>
      <c r="H63" s="26">
        <f>F63*G63</f>
        <v>240</v>
      </c>
      <c r="I63" s="26">
        <f>H63*1.13</f>
        <v>271.2</v>
      </c>
      <c r="J63" s="26">
        <f>I63*1.25</f>
        <v>339</v>
      </c>
      <c r="K63" s="26">
        <v>112</v>
      </c>
      <c r="L63" s="89">
        <v>112</v>
      </c>
    </row>
    <row r="64" spans="1:13" s="90" customFormat="1">
      <c r="A64" s="44"/>
      <c r="B64" s="29"/>
      <c r="C64" s="29"/>
      <c r="D64" s="29"/>
      <c r="E64" s="74"/>
      <c r="F64" s="26"/>
      <c r="G64" s="27"/>
      <c r="H64" s="26"/>
      <c r="I64" s="26"/>
      <c r="J64" s="26"/>
      <c r="K64" s="26"/>
      <c r="L64" s="89"/>
    </row>
    <row r="65" spans="1:13" s="90" customFormat="1" ht="14.5">
      <c r="A65" s="88"/>
      <c r="B65" s="43" t="s">
        <v>494</v>
      </c>
      <c r="C65" s="42"/>
      <c r="D65" s="42"/>
      <c r="E65" s="75"/>
      <c r="F65" s="39"/>
      <c r="G65" s="40"/>
      <c r="H65" s="39"/>
      <c r="I65" s="39">
        <f>SUM(I63)</f>
        <v>271.2</v>
      </c>
      <c r="J65" s="39">
        <f>SUM(J63)</f>
        <v>339</v>
      </c>
      <c r="K65" s="39">
        <f>SUM(K63)</f>
        <v>112</v>
      </c>
      <c r="L65" s="38">
        <f>SUM(L63)</f>
        <v>112</v>
      </c>
      <c r="M65" s="91"/>
    </row>
    <row r="66" spans="1:13" s="90" customFormat="1" ht="29">
      <c r="A66" s="88" t="s">
        <v>493</v>
      </c>
      <c r="B66" s="29"/>
      <c r="C66" s="29"/>
      <c r="D66" s="29"/>
      <c r="E66" s="74"/>
      <c r="F66" s="26"/>
      <c r="G66" s="27"/>
      <c r="H66" s="26"/>
      <c r="I66" s="26"/>
      <c r="J66" s="26"/>
      <c r="K66" s="26"/>
      <c r="L66" s="89"/>
    </row>
    <row r="67" spans="1:13" s="90" customFormat="1">
      <c r="A67" s="44" t="s">
        <v>492</v>
      </c>
      <c r="B67" s="29">
        <v>30800</v>
      </c>
      <c r="C67" s="29" t="s">
        <v>222</v>
      </c>
      <c r="D67" s="29">
        <v>15</v>
      </c>
      <c r="E67" s="74" t="s">
        <v>491</v>
      </c>
      <c r="F67" s="26">
        <v>158.15</v>
      </c>
      <c r="G67" s="27">
        <v>1</v>
      </c>
      <c r="H67" s="26">
        <f>F67*G67</f>
        <v>158.15</v>
      </c>
      <c r="I67" s="26">
        <f>H67*1.13</f>
        <v>178.70949999999999</v>
      </c>
      <c r="J67" s="26">
        <f>I67*1.25</f>
        <v>223.38687499999997</v>
      </c>
      <c r="K67" s="26"/>
      <c r="L67" s="89"/>
    </row>
    <row r="68" spans="1:13" s="90" customFormat="1">
      <c r="A68" s="44"/>
      <c r="B68" s="29">
        <v>30801</v>
      </c>
      <c r="C68" s="29" t="s">
        <v>490</v>
      </c>
      <c r="D68" s="29">
        <v>15</v>
      </c>
      <c r="E68" s="74" t="s">
        <v>487</v>
      </c>
      <c r="F68" s="26">
        <v>2.99</v>
      </c>
      <c r="G68" s="27">
        <v>5</v>
      </c>
      <c r="H68" s="26">
        <f>F68*G68</f>
        <v>14.950000000000001</v>
      </c>
      <c r="I68" s="26">
        <f>H68*1.13</f>
        <v>16.8935</v>
      </c>
      <c r="J68" s="26">
        <f>I68*1.25</f>
        <v>21.116875</v>
      </c>
      <c r="K68" s="26"/>
      <c r="L68" s="89"/>
    </row>
    <row r="69" spans="1:13" s="90" customFormat="1">
      <c r="A69" s="44" t="s">
        <v>489</v>
      </c>
      <c r="B69" s="29">
        <v>30802</v>
      </c>
      <c r="C69" s="29" t="s">
        <v>222</v>
      </c>
      <c r="D69" s="29">
        <v>15</v>
      </c>
      <c r="E69" s="74" t="s">
        <v>488</v>
      </c>
      <c r="F69" s="26">
        <f>1.15*158.15</f>
        <v>181.8725</v>
      </c>
      <c r="G69" s="27">
        <v>1</v>
      </c>
      <c r="H69" s="26">
        <f>F69*G69</f>
        <v>181.8725</v>
      </c>
      <c r="I69" s="26">
        <f>H69*1.13</f>
        <v>205.51592499999998</v>
      </c>
      <c r="J69" s="26">
        <f>I69*1.25</f>
        <v>256.89490624999996</v>
      </c>
      <c r="K69" s="26"/>
      <c r="L69" s="89"/>
      <c r="M69" s="176" t="s">
        <v>601</v>
      </c>
    </row>
    <row r="70" spans="1:13" s="90" customFormat="1">
      <c r="A70" s="44"/>
      <c r="B70" s="29">
        <v>30803</v>
      </c>
      <c r="C70" s="29"/>
      <c r="D70" s="29"/>
      <c r="E70" s="74" t="s">
        <v>487</v>
      </c>
      <c r="F70" s="26">
        <v>2.99</v>
      </c>
      <c r="G70" s="27">
        <v>5</v>
      </c>
      <c r="H70" s="26">
        <f>F70*G70</f>
        <v>14.950000000000001</v>
      </c>
      <c r="I70" s="26">
        <f>H70*1.13</f>
        <v>16.8935</v>
      </c>
      <c r="J70" s="26">
        <f>I70*1.25</f>
        <v>21.116875</v>
      </c>
      <c r="K70" s="26"/>
      <c r="L70" s="89"/>
    </row>
    <row r="71" spans="1:13" s="90" customFormat="1">
      <c r="A71" s="44"/>
      <c r="B71" s="29"/>
      <c r="C71" s="29"/>
      <c r="D71" s="29"/>
      <c r="E71" s="74"/>
      <c r="F71" s="26"/>
      <c r="G71" s="27"/>
      <c r="H71" s="26"/>
      <c r="I71" s="26"/>
      <c r="J71" s="26"/>
      <c r="K71" s="26"/>
      <c r="L71" s="89"/>
    </row>
    <row r="72" spans="1:13" s="90" customFormat="1" ht="14.5">
      <c r="A72" s="88"/>
      <c r="B72" s="43" t="s">
        <v>486</v>
      </c>
      <c r="C72" s="42"/>
      <c r="D72" s="42"/>
      <c r="E72" s="75"/>
      <c r="F72" s="39"/>
      <c r="G72" s="40"/>
      <c r="H72" s="39"/>
      <c r="I72" s="39">
        <f>SUM(I67:I70)</f>
        <v>418.01242500000001</v>
      </c>
      <c r="J72" s="39">
        <f>SUM(J67:J70)</f>
        <v>522.51553124999998</v>
      </c>
      <c r="K72" s="39">
        <f>SUM(K67:K70)</f>
        <v>0</v>
      </c>
      <c r="L72" s="38">
        <f>SUM(L67:L70)</f>
        <v>0</v>
      </c>
      <c r="M72" s="91"/>
    </row>
    <row r="73" spans="1:13" s="90" customFormat="1">
      <c r="A73" s="88" t="s">
        <v>485</v>
      </c>
      <c r="B73" s="29"/>
      <c r="C73" s="29"/>
      <c r="D73" s="29"/>
      <c r="E73" s="74"/>
      <c r="F73" s="26"/>
      <c r="G73" s="27"/>
      <c r="H73" s="26"/>
      <c r="I73" s="26"/>
      <c r="J73" s="26"/>
      <c r="K73" s="26"/>
      <c r="L73" s="89"/>
    </row>
    <row r="74" spans="1:13" s="90" customFormat="1">
      <c r="A74" s="44"/>
      <c r="B74" s="29">
        <v>30900</v>
      </c>
      <c r="C74" s="29" t="s">
        <v>484</v>
      </c>
      <c r="D74" s="164" t="s">
        <v>483</v>
      </c>
      <c r="E74" s="74" t="s">
        <v>482</v>
      </c>
      <c r="F74" s="26">
        <v>1.77</v>
      </c>
      <c r="G74" s="27">
        <v>800</v>
      </c>
      <c r="H74" s="26">
        <f>F74*G74+75</f>
        <v>1491</v>
      </c>
      <c r="I74" s="26">
        <f>H74*1.13</f>
        <v>1684.83</v>
      </c>
      <c r="J74" s="26">
        <f>I74*1.25</f>
        <v>2106.0374999999999</v>
      </c>
      <c r="K74" s="26">
        <v>1600.59</v>
      </c>
      <c r="L74" s="89">
        <v>1600.59</v>
      </c>
      <c r="M74" s="90" t="s">
        <v>481</v>
      </c>
    </row>
    <row r="75" spans="1:13" s="90" customFormat="1">
      <c r="A75" s="44"/>
      <c r="B75" s="29"/>
      <c r="C75" s="29"/>
      <c r="D75" s="29"/>
      <c r="E75" s="74"/>
      <c r="F75" s="26"/>
      <c r="G75" s="27"/>
      <c r="H75" s="26"/>
      <c r="I75" s="26"/>
      <c r="J75" s="26"/>
      <c r="K75" s="26"/>
      <c r="L75" s="89"/>
      <c r="M75" s="90" t="s">
        <v>480</v>
      </c>
    </row>
    <row r="76" spans="1:13" s="90" customFormat="1" ht="14.5">
      <c r="A76" s="88"/>
      <c r="B76" s="43" t="s">
        <v>479</v>
      </c>
      <c r="C76" s="42"/>
      <c r="D76" s="42"/>
      <c r="E76" s="75"/>
      <c r="F76" s="39"/>
      <c r="G76" s="40"/>
      <c r="H76" s="39"/>
      <c r="I76" s="39">
        <f>SUM(I74:I74)</f>
        <v>1684.83</v>
      </c>
      <c r="J76" s="39">
        <f>SUM(J74:J74)</f>
        <v>2106.0374999999999</v>
      </c>
      <c r="K76" s="39">
        <f>SUM(K74:K74)</f>
        <v>1600.59</v>
      </c>
      <c r="L76" s="38">
        <f>SUM(L74:L74)</f>
        <v>1600.59</v>
      </c>
      <c r="M76" s="91"/>
    </row>
    <row r="77" spans="1:13" s="90" customFormat="1">
      <c r="A77" s="88" t="s">
        <v>478</v>
      </c>
      <c r="B77" s="29"/>
      <c r="C77" s="29"/>
      <c r="D77" s="29"/>
      <c r="E77" s="74"/>
      <c r="F77" s="26"/>
      <c r="G77" s="27"/>
      <c r="H77" s="26"/>
      <c r="I77" s="26"/>
      <c r="J77" s="26"/>
      <c r="K77" s="26"/>
      <c r="L77" s="89"/>
    </row>
    <row r="78" spans="1:13" s="90" customFormat="1">
      <c r="A78" s="44"/>
      <c r="B78" s="29">
        <v>301000</v>
      </c>
      <c r="C78" s="29" t="s">
        <v>477</v>
      </c>
      <c r="D78" s="163" t="s">
        <v>476</v>
      </c>
      <c r="E78" s="74" t="s">
        <v>475</v>
      </c>
      <c r="F78" s="26">
        <v>75</v>
      </c>
      <c r="G78" s="27">
        <v>4</v>
      </c>
      <c r="H78" s="26">
        <f>F78*G78</f>
        <v>300</v>
      </c>
      <c r="I78" s="26">
        <f>H78*1.13</f>
        <v>338.99999999999994</v>
      </c>
      <c r="J78" s="26">
        <f>I78*1.25</f>
        <v>423.74999999999994</v>
      </c>
      <c r="K78" s="26">
        <v>100</v>
      </c>
      <c r="L78" s="89">
        <v>100</v>
      </c>
      <c r="M78" s="90" t="s">
        <v>471</v>
      </c>
    </row>
    <row r="79" spans="1:13" s="90" customFormat="1">
      <c r="A79" s="44"/>
      <c r="B79" s="29"/>
      <c r="C79" s="29"/>
      <c r="D79" s="29"/>
      <c r="E79" s="74"/>
      <c r="F79" s="26"/>
      <c r="G79" s="27"/>
      <c r="H79" s="26"/>
      <c r="I79" s="26"/>
      <c r="J79" s="26"/>
      <c r="K79" s="26"/>
      <c r="L79" s="89"/>
      <c r="M79" s="177" t="s">
        <v>602</v>
      </c>
    </row>
    <row r="80" spans="1:13" s="90" customFormat="1" ht="14.5">
      <c r="A80" s="88"/>
      <c r="B80" s="43" t="s">
        <v>474</v>
      </c>
      <c r="C80" s="42"/>
      <c r="D80" s="42"/>
      <c r="E80" s="75"/>
      <c r="F80" s="39"/>
      <c r="G80" s="40"/>
      <c r="H80" s="39"/>
      <c r="I80" s="39">
        <f>SUM(I78:I78)</f>
        <v>338.99999999999994</v>
      </c>
      <c r="J80" s="39">
        <f>SUM(J78:J78)</f>
        <v>423.74999999999994</v>
      </c>
      <c r="K80" s="39">
        <f>SUM(K78:K78)</f>
        <v>100</v>
      </c>
      <c r="L80" s="38">
        <f>SUM(L78:L78)</f>
        <v>100</v>
      </c>
      <c r="M80" s="91"/>
    </row>
    <row r="81" spans="1:13" s="90" customFormat="1">
      <c r="A81" s="88" t="s">
        <v>473</v>
      </c>
      <c r="B81" s="29"/>
      <c r="C81" s="29"/>
      <c r="D81" s="29"/>
      <c r="E81" s="74"/>
      <c r="F81" s="26"/>
      <c r="G81" s="27"/>
      <c r="H81" s="26"/>
      <c r="I81" s="26"/>
      <c r="J81" s="26"/>
      <c r="K81" s="26"/>
      <c r="L81" s="89"/>
    </row>
    <row r="82" spans="1:13" s="90" customFormat="1">
      <c r="A82" s="44"/>
      <c r="B82" s="29">
        <v>301100</v>
      </c>
      <c r="C82" s="29" t="s">
        <v>473</v>
      </c>
      <c r="D82" s="163">
        <v>20</v>
      </c>
      <c r="E82" s="74" t="s">
        <v>472</v>
      </c>
      <c r="F82" s="26">
        <v>10</v>
      </c>
      <c r="G82" s="27">
        <v>3</v>
      </c>
      <c r="H82" s="26">
        <f>F82*G82</f>
        <v>30</v>
      </c>
      <c r="I82" s="26">
        <f>H82*1.13</f>
        <v>33.9</v>
      </c>
      <c r="J82" s="26">
        <f>I82*1.25</f>
        <v>42.375</v>
      </c>
      <c r="K82" s="26"/>
      <c r="L82" s="89"/>
      <c r="M82" s="90" t="s">
        <v>471</v>
      </c>
    </row>
    <row r="83" spans="1:13" s="90" customFormat="1">
      <c r="A83" s="44"/>
      <c r="B83" s="29"/>
      <c r="C83" s="29"/>
      <c r="D83" s="29"/>
      <c r="E83" s="74"/>
      <c r="F83" s="26"/>
      <c r="G83" s="27"/>
      <c r="H83" s="26"/>
      <c r="I83" s="26"/>
      <c r="J83" s="26"/>
      <c r="K83" s="26"/>
      <c r="L83" s="89"/>
      <c r="M83" s="177" t="s">
        <v>603</v>
      </c>
    </row>
    <row r="84" spans="1:13" s="90" customFormat="1" ht="14.5">
      <c r="A84" s="88"/>
      <c r="B84" s="43" t="s">
        <v>470</v>
      </c>
      <c r="C84" s="42"/>
      <c r="D84" s="42"/>
      <c r="E84" s="75"/>
      <c r="F84" s="39"/>
      <c r="G84" s="40"/>
      <c r="H84" s="39"/>
      <c r="I84" s="39">
        <f>SUM(I82:I82)</f>
        <v>33.9</v>
      </c>
      <c r="J84" s="39">
        <f>SUM(J82:J82)</f>
        <v>42.375</v>
      </c>
      <c r="K84" s="39">
        <f>SUM(K82:K82)</f>
        <v>0</v>
      </c>
      <c r="L84" s="38">
        <f>SUM(L82:L82)</f>
        <v>0</v>
      </c>
      <c r="M84" s="91"/>
    </row>
    <row r="85" spans="1:13" s="90" customFormat="1">
      <c r="A85" s="44"/>
      <c r="B85" s="29"/>
      <c r="C85" s="29"/>
      <c r="D85" s="29"/>
      <c r="E85" s="74"/>
      <c r="F85" s="26"/>
      <c r="G85" s="27"/>
      <c r="H85" s="26"/>
      <c r="I85" s="26"/>
      <c r="J85" s="26"/>
      <c r="K85" s="26"/>
      <c r="L85" s="89"/>
    </row>
    <row r="86" spans="1:13" s="90" customFormat="1" ht="14.5">
      <c r="A86" s="168"/>
      <c r="B86" s="36" t="s">
        <v>8</v>
      </c>
      <c r="C86" s="35"/>
      <c r="D86" s="35"/>
      <c r="E86" s="172"/>
      <c r="F86" s="32"/>
      <c r="G86" s="33"/>
      <c r="H86" s="32"/>
      <c r="I86" s="32">
        <f>SUM(I84,I80,I76,I72,I65,I61,I49,I40,I33,I24,I17)</f>
        <v>11901.895064999997</v>
      </c>
      <c r="J86" s="32">
        <f t="shared" ref="J86:L86" si="10">SUM(J84,J80,J76,J72,J65,J61,J49,J40,J33,J24,J17)</f>
        <v>14877.368831249998</v>
      </c>
      <c r="K86" s="32">
        <f t="shared" si="10"/>
        <v>4880.8200000000006</v>
      </c>
      <c r="L86" s="31">
        <f t="shared" si="10"/>
        <v>4510.1800000000012</v>
      </c>
      <c r="M86" s="92"/>
    </row>
    <row r="87" spans="1:13" s="90" customFormat="1">
      <c r="A87" s="44"/>
      <c r="B87" s="29"/>
      <c r="C87" s="29"/>
      <c r="D87" s="29"/>
      <c r="E87" s="74"/>
      <c r="F87" s="26"/>
      <c r="G87" s="27"/>
      <c r="H87" s="26"/>
      <c r="I87" s="26"/>
      <c r="J87" s="26"/>
      <c r="K87" s="26"/>
      <c r="L87" s="89"/>
    </row>
    <row r="88" spans="1:13" s="90" customFormat="1">
      <c r="A88" s="167" t="s">
        <v>7</v>
      </c>
      <c r="B88" s="23"/>
      <c r="C88" s="23"/>
      <c r="D88" s="23"/>
      <c r="E88" s="169"/>
      <c r="F88" s="20"/>
      <c r="G88" s="21"/>
      <c r="H88" s="20"/>
      <c r="I88" s="20"/>
      <c r="J88" s="20"/>
      <c r="K88" s="20"/>
      <c r="L88" s="170"/>
    </row>
    <row r="89" spans="1:13" s="90" customFormat="1" ht="14.5">
      <c r="A89" s="88"/>
      <c r="B89" s="17" t="s">
        <v>6</v>
      </c>
      <c r="C89" s="17"/>
      <c r="D89" s="17"/>
      <c r="E89" s="76"/>
      <c r="F89" s="14"/>
      <c r="G89" s="15"/>
      <c r="H89" s="14"/>
      <c r="I89" s="14">
        <f>I11</f>
        <v>810</v>
      </c>
      <c r="J89" s="14">
        <f>J11</f>
        <v>607.5</v>
      </c>
      <c r="K89" s="14">
        <f>K11</f>
        <v>0</v>
      </c>
      <c r="L89" s="18">
        <f>L11</f>
        <v>0</v>
      </c>
      <c r="M89" s="91"/>
    </row>
    <row r="90" spans="1:13" s="90" customFormat="1" ht="14.5">
      <c r="A90" s="88"/>
      <c r="B90" s="17" t="s">
        <v>5</v>
      </c>
      <c r="C90" s="17"/>
      <c r="D90" s="17"/>
      <c r="E90" s="76"/>
      <c r="F90" s="14"/>
      <c r="G90" s="15"/>
      <c r="H90" s="14"/>
      <c r="I90" s="14">
        <f>I86</f>
        <v>11901.895064999997</v>
      </c>
      <c r="J90" s="14">
        <f>J86</f>
        <v>14877.368831249998</v>
      </c>
      <c r="K90" s="14">
        <f>K86</f>
        <v>4880.8200000000006</v>
      </c>
      <c r="L90" s="13">
        <f>L86</f>
        <v>4510.1800000000012</v>
      </c>
      <c r="M90" s="91"/>
    </row>
    <row r="91" spans="1:13" s="90" customFormat="1" ht="14.5">
      <c r="A91" s="162"/>
      <c r="B91" s="12" t="s">
        <v>4</v>
      </c>
      <c r="C91" s="12"/>
      <c r="D91" s="12"/>
      <c r="E91" s="175"/>
      <c r="F91" s="8"/>
      <c r="G91" s="10"/>
      <c r="H91" s="8"/>
      <c r="I91" s="8">
        <f>SUM(I89,I90*-1)</f>
        <v>-11091.895064999997</v>
      </c>
      <c r="J91" s="8">
        <f>SUM(J89,J90*-1)</f>
        <v>-14269.868831249998</v>
      </c>
      <c r="K91" s="8">
        <f>SUM(K89,K90*-1)</f>
        <v>-4880.8200000000006</v>
      </c>
      <c r="L91" s="7">
        <f>SUM(L89,L90*-1)</f>
        <v>-4510.1800000000012</v>
      </c>
      <c r="M91" s="91"/>
    </row>
  </sheetData>
  <mergeCells count="1">
    <mergeCell ref="B1:K1"/>
  </mergeCells>
  <conditionalFormatting sqref="B6:L9 B87:L91">
    <cfRule type="expression" dxfId="78" priority="37">
      <formula>MOD($B6,2)=1</formula>
    </cfRule>
  </conditionalFormatting>
  <conditionalFormatting sqref="B10:L12">
    <cfRule type="expression" dxfId="77" priority="36">
      <formula>MOD($B10,2)=1</formula>
    </cfRule>
  </conditionalFormatting>
  <conditionalFormatting sqref="B46:B47 C47:L47 B15:L17 B62:L65 B85:L86">
    <cfRule type="expression" dxfId="76" priority="35">
      <formula>MOD($B15,2)=1</formula>
    </cfRule>
  </conditionalFormatting>
  <conditionalFormatting sqref="B25:L25 B29:J29 B26:D28 F26:K26 B32:L33 F27:J28 K27:K31 L26:L31">
    <cfRule type="expression" dxfId="75" priority="34">
      <formula>MOD($B25,2)=1</formula>
    </cfRule>
  </conditionalFormatting>
  <conditionalFormatting sqref="B18:L21 B22:D22 F22:L22 B23:L24">
    <cfRule type="expression" dxfId="74" priority="33">
      <formula>MOD($B18,2)=1</formula>
    </cfRule>
  </conditionalFormatting>
  <conditionalFormatting sqref="B34:L34 B37:L37 B36:D36 F36:K36 B39:L40 B38:D38 F38:L38 B35:K35 L35:L36">
    <cfRule type="expression" dxfId="73" priority="32">
      <formula>MOD($B34,2)=1</formula>
    </cfRule>
  </conditionalFormatting>
  <conditionalFormatting sqref="B50:L50 G53:G54 F53:F58 I53:L54 H53:H58 B51:D58 B60:L61 F51:L52">
    <cfRule type="expression" dxfId="72" priority="31">
      <formula>MOD($B50,2)=1</formula>
    </cfRule>
  </conditionalFormatting>
  <conditionalFormatting sqref="E55:E58 G55:G58 I55:L58">
    <cfRule type="expression" dxfId="71" priority="30">
      <formula>MOD($B55,2)=1</formula>
    </cfRule>
  </conditionalFormatting>
  <conditionalFormatting sqref="E51:E54">
    <cfRule type="expression" dxfId="70" priority="29">
      <formula>MOD($B51,2)=1</formula>
    </cfRule>
  </conditionalFormatting>
  <conditionalFormatting sqref="B45:D45 F45:L45 B48:L49">
    <cfRule type="expression" dxfId="69" priority="28">
      <formula>MOD($B45,2)=1</formula>
    </cfRule>
  </conditionalFormatting>
  <conditionalFormatting sqref="B41:L43 B44:D44 F44:L44">
    <cfRule type="expression" dxfId="68" priority="27">
      <formula>MOD($B41,2)=1</formula>
    </cfRule>
  </conditionalFormatting>
  <conditionalFormatting sqref="C46:D46 F46:L46">
    <cfRule type="expression" dxfId="67" priority="26">
      <formula>MOD($B46,2)=1</formula>
    </cfRule>
  </conditionalFormatting>
  <conditionalFormatting sqref="B30:J31">
    <cfRule type="expression" dxfId="66" priority="25">
      <formula>MOD($B30,2)=1</formula>
    </cfRule>
  </conditionalFormatting>
  <conditionalFormatting sqref="B66:L66 C69:D69 B69:B70 B68:L68 B67:D67 F67:L67 F69:L69">
    <cfRule type="expression" dxfId="65" priority="24">
      <formula>MOD($B66,2)=1</formula>
    </cfRule>
  </conditionalFormatting>
  <conditionalFormatting sqref="C70:D70 F70:L70 B71:L72">
    <cfRule type="expression" dxfId="64" priority="23">
      <formula>MOD($B70,2)=1</formula>
    </cfRule>
  </conditionalFormatting>
  <conditionalFormatting sqref="B74:C74 E74:L74">
    <cfRule type="expression" dxfId="63" priority="22">
      <formula>MOD($B74,2)=1</formula>
    </cfRule>
  </conditionalFormatting>
  <conditionalFormatting sqref="B75:L76">
    <cfRule type="expression" dxfId="62" priority="21">
      <formula>MOD($B75,2)=1</formula>
    </cfRule>
  </conditionalFormatting>
  <conditionalFormatting sqref="D74">
    <cfRule type="expression" dxfId="61" priority="20">
      <formula>MOD($B74,2)=1</formula>
    </cfRule>
  </conditionalFormatting>
  <conditionalFormatting sqref="B73:L73">
    <cfRule type="expression" dxfId="60" priority="19">
      <formula>MOD($B73,2)=1</formula>
    </cfRule>
  </conditionalFormatting>
  <conditionalFormatting sqref="B78:C78 E78:L78">
    <cfRule type="expression" dxfId="59" priority="18">
      <formula>MOD($B78,2)=1</formula>
    </cfRule>
  </conditionalFormatting>
  <conditionalFormatting sqref="B79:L80">
    <cfRule type="expression" dxfId="58" priority="17">
      <formula>MOD($B79,2)=1</formula>
    </cfRule>
  </conditionalFormatting>
  <conditionalFormatting sqref="D78">
    <cfRule type="expression" dxfId="57" priority="16">
      <formula>MOD($B78,2)=1</formula>
    </cfRule>
  </conditionalFormatting>
  <conditionalFormatting sqref="B77:L77">
    <cfRule type="expression" dxfId="56" priority="15">
      <formula>MOD($B77,2)=1</formula>
    </cfRule>
  </conditionalFormatting>
  <conditionalFormatting sqref="F59 H59 B59:D59">
    <cfRule type="expression" dxfId="55" priority="14">
      <formula>MOD($B59,2)=1</formula>
    </cfRule>
  </conditionalFormatting>
  <conditionalFormatting sqref="E59 G59 I59:L59">
    <cfRule type="expression" dxfId="54" priority="13">
      <formula>MOD($B59,2)=1</formula>
    </cfRule>
  </conditionalFormatting>
  <conditionalFormatting sqref="E67">
    <cfRule type="expression" dxfId="53" priority="12">
      <formula>MOD($B67,2)=1</formula>
    </cfRule>
  </conditionalFormatting>
  <conditionalFormatting sqref="E69">
    <cfRule type="expression" dxfId="52" priority="11">
      <formula>MOD($B69,2)=1</formula>
    </cfRule>
  </conditionalFormatting>
  <conditionalFormatting sqref="E70">
    <cfRule type="expression" dxfId="51" priority="10">
      <formula>MOD($B70,2)=1</formula>
    </cfRule>
  </conditionalFormatting>
  <conditionalFormatting sqref="B82:C82 E82:L82">
    <cfRule type="expression" dxfId="50" priority="9">
      <formula>MOD($B82,2)=1</formula>
    </cfRule>
  </conditionalFormatting>
  <conditionalFormatting sqref="B83:L84">
    <cfRule type="expression" dxfId="49" priority="8">
      <formula>MOD($B83,2)=1</formula>
    </cfRule>
  </conditionalFormatting>
  <conditionalFormatting sqref="D82">
    <cfRule type="expression" dxfId="48" priority="7">
      <formula>MOD($B82,2)=1</formula>
    </cfRule>
  </conditionalFormatting>
  <conditionalFormatting sqref="B81:L81">
    <cfRule type="expression" dxfId="47" priority="6">
      <formula>MOD($B81,2)=1</formula>
    </cfRule>
  </conditionalFormatting>
  <hyperlinks>
    <hyperlink ref="E46" r:id="rId1" display="https://www.tea-room.ca/menu" xr:uid="{930840FC-C8DF-4787-B85C-3F43658B657F}"/>
    <hyperlink ref="E45" r:id="rId2" display="https://www.tea-room.ca/menu" xr:uid="{611C28EB-912B-48FA-98CE-3E1F06CCECB6}"/>
    <hyperlink ref="E44" r:id="rId3" display="https://www.tea-room.ca/menu" xr:uid="{DBF8CBCF-EAA9-471F-8B4E-378EFEA5C1F2}"/>
    <hyperlink ref="E26" r:id="rId4" display="https://www.clarkhallpub.ca/faqs" xr:uid="{300968C8-4A42-4A56-A515-BB5D8AC5C938}"/>
    <hyperlink ref="E27" r:id="rId5" display="https://eventservices.queensu.ca/wp-content/uploads/2017/11/Central-Room-Reservations-Bookable-Rooms-with-capacities-and-costs-updated-November-28-2017.pdf" xr:uid="{36A959EA-CC42-4A34-B244-0916B200A445}"/>
    <hyperlink ref="E28" r:id="rId6" display="https://eventservices.queensu.ca/wp-content/uploads/2017/11/Central-Room-Reservations-Bookable-Rooms-with-capacities-and-costs-updated-November-28-2017.pdf" xr:uid="{552B7834-7C03-46F0-8DDC-87F5097BEF5E}"/>
    <hyperlink ref="E36" r:id="rId7" display="https://www.expedia.ca/Kingston-Hotels-Residence-Inn-By-Marriott-Kingston-Waters-Edge.h3551648.Hotel-Information?chkin=14%2F07%2F2019&amp;chkout=15%2F07%2F2019&amp;rm1=a2&amp;hwrqCacheKey=14bccd00-e4ac-49d4-aa2b-300b9a28fd32HWRQ1562470210826&amp;cancellable=false&amp;regionId=6057821&amp;vip=false&amp;c=bab057ec-0f55-4ac9-8e58-988b391e35a9&amp;mctc=10&amp;exp_dp=179.1&amp;exp_ts=1562470216842&amp;exp_curr=CAD&amp;swpToggleOn=false&amp;exp_pg=HSR" xr:uid="{714A1351-0F16-4154-80E3-53E78ADE8655}"/>
    <hyperlink ref="E38" r:id="rId8" display="https://eventservices.queensu.ca/wp-content/uploads/2017/11/Central-Room-Reservations-Bookable-Rooms-with-capacities-and-costs-updated-November-28-2017.pdf" xr:uid="{067B9C1A-4453-4C14-A22C-E4E8A9A8C59B}"/>
  </hyperlinks>
  <pageMargins left="0.7" right="0.7" top="0.75" bottom="0.75" header="0.3" footer="0.3"/>
  <pageSetup scale="26" fitToWidth="0" fitToHeight="0" orientation="portrait" r:id="rId9"/>
  <drawing r:id="rId10"/>
  <legacyDrawing r:id="rId1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577235-58DE-4375-9BD3-700BF1E2E712}">
  <sheetPr codeName="Sheet18"/>
  <dimension ref="A1:W49"/>
  <sheetViews>
    <sheetView showGridLines="0" zoomScale="47" zoomScaleNormal="70" zoomScalePageLayoutView="70" workbookViewId="0">
      <pane ySplit="2" topLeftCell="A3" activePane="bottomLeft" state="frozen"/>
      <selection pane="bottomLeft" activeCell="E36" sqref="E36"/>
    </sheetView>
  </sheetViews>
  <sheetFormatPr defaultColWidth="9.5" defaultRowHeight="15.5"/>
  <cols>
    <col min="1" max="1" width="21.9140625" style="28" bestFit="1" customWidth="1"/>
    <col min="2" max="2" width="23.1640625" style="29" customWidth="1"/>
    <col min="3" max="3" width="40.58203125" style="29" bestFit="1" customWidth="1"/>
    <col min="4" max="4" width="37.08203125" style="28" customWidth="1"/>
    <col min="5" max="5" width="92" style="28" bestFit="1" customWidth="1"/>
    <col min="6" max="6" width="15.08203125" style="26" customWidth="1"/>
    <col min="7" max="7" width="15.08203125" style="27" customWidth="1"/>
    <col min="8" max="8" width="19.33203125" style="26" customWidth="1"/>
    <col min="9" max="9" width="18.1640625" style="26" customWidth="1"/>
    <col min="10" max="11" width="20.5" style="26" customWidth="1"/>
    <col min="12" max="12" width="23.33203125" style="58" customWidth="1"/>
    <col min="13" max="16384" width="9.5" style="1"/>
  </cols>
  <sheetData>
    <row r="1" spans="1:12" ht="150" customHeight="1">
      <c r="B1" s="368" t="s">
        <v>447</v>
      </c>
      <c r="C1" s="368"/>
      <c r="D1" s="368"/>
      <c r="E1" s="368"/>
      <c r="F1" s="368"/>
      <c r="G1" s="368"/>
      <c r="H1" s="368"/>
      <c r="I1" s="368"/>
      <c r="J1" s="368"/>
      <c r="K1" s="368"/>
    </row>
    <row r="2" spans="1:12" s="62" customFormat="1" ht="15.75" customHeight="1">
      <c r="A2" s="65" t="s">
        <v>106</v>
      </c>
      <c r="B2" s="65" t="s">
        <v>105</v>
      </c>
      <c r="C2" s="65" t="s">
        <v>104</v>
      </c>
      <c r="D2" s="65" t="s">
        <v>103</v>
      </c>
      <c r="E2" s="65" t="s">
        <v>102</v>
      </c>
      <c r="F2" s="64" t="s">
        <v>101</v>
      </c>
      <c r="G2" s="65" t="s">
        <v>1</v>
      </c>
      <c r="H2" s="64" t="s">
        <v>100</v>
      </c>
      <c r="I2" s="64" t="s">
        <v>99</v>
      </c>
      <c r="J2" s="64" t="s">
        <v>176</v>
      </c>
      <c r="K2" s="64" t="s">
        <v>98</v>
      </c>
      <c r="L2" s="72" t="s">
        <v>2</v>
      </c>
    </row>
    <row r="3" spans="1:12" ht="14.25" customHeight="1">
      <c r="L3" s="61"/>
    </row>
    <row r="4" spans="1:12" ht="15" customHeight="1">
      <c r="A4" s="24" t="s">
        <v>0</v>
      </c>
      <c r="B4" s="23"/>
      <c r="C4" s="23"/>
      <c r="D4" s="22"/>
      <c r="E4" s="22"/>
      <c r="F4" s="20"/>
      <c r="G4" s="21"/>
      <c r="H4" s="20"/>
      <c r="I4" s="20"/>
      <c r="J4" s="20"/>
      <c r="K4" s="20"/>
      <c r="L4" s="19"/>
    </row>
    <row r="5" spans="1:12">
      <c r="A5" s="16" t="s">
        <v>446</v>
      </c>
      <c r="L5" s="60"/>
    </row>
    <row r="6" spans="1:12">
      <c r="L6" s="25"/>
    </row>
    <row r="7" spans="1:12" s="30" customFormat="1" ht="14.5">
      <c r="A7" s="37"/>
      <c r="B7" s="36" t="s">
        <v>83</v>
      </c>
      <c r="C7" s="35"/>
      <c r="D7" s="34"/>
      <c r="E7" s="34"/>
      <c r="F7" s="32"/>
      <c r="G7" s="33"/>
      <c r="H7" s="32"/>
      <c r="I7" s="32">
        <v>0</v>
      </c>
      <c r="J7" s="32">
        <v>0</v>
      </c>
      <c r="K7" s="32">
        <v>0</v>
      </c>
      <c r="L7" s="31">
        <v>0</v>
      </c>
    </row>
    <row r="8" spans="1:12">
      <c r="L8" s="139"/>
    </row>
    <row r="9" spans="1:12" ht="15" customHeight="1">
      <c r="A9" s="24" t="s">
        <v>3</v>
      </c>
      <c r="B9" s="23"/>
      <c r="C9" s="23"/>
      <c r="D9" s="22"/>
      <c r="E9" s="22"/>
      <c r="F9" s="20"/>
      <c r="G9" s="21"/>
      <c r="H9" s="20"/>
      <c r="I9" s="20"/>
      <c r="J9" s="20"/>
      <c r="K9" s="20"/>
      <c r="L9" s="19"/>
    </row>
    <row r="10" spans="1:12">
      <c r="A10" s="16" t="s">
        <v>444</v>
      </c>
      <c r="L10" s="25"/>
    </row>
    <row r="11" spans="1:12">
      <c r="B11" s="29">
        <v>50100</v>
      </c>
      <c r="C11" s="29" t="s">
        <v>469</v>
      </c>
      <c r="D11" s="29">
        <v>10</v>
      </c>
      <c r="E11" s="28" t="s">
        <v>443</v>
      </c>
      <c r="F11" s="26">
        <v>20</v>
      </c>
      <c r="G11" s="29">
        <v>10</v>
      </c>
      <c r="H11" s="26">
        <f>F11*G11</f>
        <v>200</v>
      </c>
      <c r="I11" s="26">
        <f>H11*1.13</f>
        <v>225.99999999999997</v>
      </c>
      <c r="J11" s="26">
        <f>I11*1.25</f>
        <v>282.49999999999994</v>
      </c>
      <c r="L11" s="25">
        <v>80</v>
      </c>
    </row>
    <row r="12" spans="1:12">
      <c r="B12" s="29">
        <v>50101</v>
      </c>
      <c r="C12" s="29" t="s">
        <v>469</v>
      </c>
      <c r="D12" s="29">
        <v>10</v>
      </c>
      <c r="E12" s="28" t="s">
        <v>442</v>
      </c>
      <c r="F12" s="26">
        <v>10</v>
      </c>
      <c r="G12" s="29">
        <v>5</v>
      </c>
      <c r="H12" s="26">
        <f t="shared" ref="H12:H18" si="0">F12*G12</f>
        <v>50</v>
      </c>
      <c r="I12" s="26">
        <f t="shared" ref="I12:I18" si="1">H12*1.13</f>
        <v>56.499999999999993</v>
      </c>
      <c r="J12" s="26">
        <f t="shared" ref="J12:J18" si="2">I12*1.25</f>
        <v>70.624999999999986</v>
      </c>
      <c r="L12" s="25">
        <v>50</v>
      </c>
    </row>
    <row r="13" spans="1:12">
      <c r="B13" s="29">
        <v>50102</v>
      </c>
      <c r="C13" s="29" t="s">
        <v>469</v>
      </c>
      <c r="D13" s="29">
        <v>10</v>
      </c>
      <c r="E13" s="28" t="s">
        <v>441</v>
      </c>
      <c r="F13" s="26">
        <v>10</v>
      </c>
      <c r="G13" s="29">
        <v>1</v>
      </c>
      <c r="H13" s="26">
        <f t="shared" si="0"/>
        <v>10</v>
      </c>
      <c r="I13" s="26">
        <f t="shared" si="1"/>
        <v>11.299999999999999</v>
      </c>
      <c r="J13" s="26">
        <f t="shared" si="2"/>
        <v>14.124999999999998</v>
      </c>
      <c r="L13" s="25">
        <v>10</v>
      </c>
    </row>
    <row r="14" spans="1:12">
      <c r="B14" s="29">
        <v>50103</v>
      </c>
      <c r="C14" s="29" t="s">
        <v>455</v>
      </c>
      <c r="D14" s="29">
        <v>11</v>
      </c>
      <c r="E14" s="28" t="s">
        <v>468</v>
      </c>
      <c r="F14" s="26">
        <v>40</v>
      </c>
      <c r="G14" s="29">
        <v>4</v>
      </c>
      <c r="H14" s="26">
        <f t="shared" si="0"/>
        <v>160</v>
      </c>
      <c r="I14" s="26">
        <f t="shared" si="1"/>
        <v>180.79999999999998</v>
      </c>
      <c r="J14" s="26">
        <f t="shared" si="2"/>
        <v>225.99999999999997</v>
      </c>
      <c r="L14" s="25">
        <v>0</v>
      </c>
    </row>
    <row r="15" spans="1:12">
      <c r="B15" s="29">
        <v>50104</v>
      </c>
      <c r="C15" s="29" t="s">
        <v>462</v>
      </c>
      <c r="D15" s="29">
        <v>3</v>
      </c>
      <c r="E15" s="28" t="s">
        <v>467</v>
      </c>
      <c r="F15" s="26">
        <v>8</v>
      </c>
      <c r="G15" s="29">
        <v>2</v>
      </c>
      <c r="H15" s="26">
        <f t="shared" si="0"/>
        <v>16</v>
      </c>
      <c r="I15" s="26">
        <f t="shared" si="1"/>
        <v>18.079999999999998</v>
      </c>
      <c r="J15" s="26">
        <f t="shared" si="2"/>
        <v>22.599999999999998</v>
      </c>
      <c r="L15" s="25">
        <v>0</v>
      </c>
    </row>
    <row r="16" spans="1:12">
      <c r="B16" s="29">
        <v>50105</v>
      </c>
      <c r="C16" s="29" t="s">
        <v>466</v>
      </c>
      <c r="D16" s="29">
        <v>4</v>
      </c>
      <c r="E16" s="28" t="s">
        <v>465</v>
      </c>
      <c r="F16" s="26">
        <v>52.5</v>
      </c>
      <c r="G16" s="29">
        <v>2</v>
      </c>
      <c r="H16" s="26">
        <f t="shared" si="0"/>
        <v>105</v>
      </c>
      <c r="I16" s="26">
        <f t="shared" si="1"/>
        <v>118.64999999999999</v>
      </c>
      <c r="J16" s="26">
        <f t="shared" si="2"/>
        <v>148.3125</v>
      </c>
      <c r="L16" s="25">
        <v>0</v>
      </c>
    </row>
    <row r="17" spans="1:12">
      <c r="B17" s="29">
        <v>50106</v>
      </c>
      <c r="C17" s="29" t="s">
        <v>464</v>
      </c>
      <c r="D17" s="29">
        <v>9</v>
      </c>
      <c r="E17" s="28" t="s">
        <v>440</v>
      </c>
      <c r="F17" s="26">
        <v>50</v>
      </c>
      <c r="G17" s="29">
        <v>1</v>
      </c>
      <c r="H17" s="26">
        <f t="shared" si="0"/>
        <v>50</v>
      </c>
      <c r="I17" s="26">
        <f t="shared" si="1"/>
        <v>56.499999999999993</v>
      </c>
      <c r="J17" s="26">
        <f t="shared" si="2"/>
        <v>70.624999999999986</v>
      </c>
      <c r="L17" s="25">
        <v>0</v>
      </c>
    </row>
    <row r="18" spans="1:12">
      <c r="B18" s="29">
        <v>50107</v>
      </c>
      <c r="C18" s="29" t="s">
        <v>463</v>
      </c>
      <c r="D18" s="29">
        <v>8</v>
      </c>
      <c r="E18" s="28" t="s">
        <v>439</v>
      </c>
      <c r="F18" s="26">
        <v>100</v>
      </c>
      <c r="G18" s="29">
        <v>1</v>
      </c>
      <c r="H18" s="26">
        <f t="shared" si="0"/>
        <v>100</v>
      </c>
      <c r="I18" s="26">
        <f t="shared" si="1"/>
        <v>112.99999999999999</v>
      </c>
      <c r="J18" s="26">
        <f t="shared" si="2"/>
        <v>141.24999999999997</v>
      </c>
      <c r="L18" s="25">
        <v>0</v>
      </c>
    </row>
    <row r="19" spans="1:12">
      <c r="L19" s="25"/>
    </row>
    <row r="20" spans="1:12" s="6" customFormat="1" ht="14.5">
      <c r="A20" s="16"/>
      <c r="B20" s="43" t="s">
        <v>438</v>
      </c>
      <c r="C20" s="42"/>
      <c r="D20" s="41"/>
      <c r="E20" s="41"/>
      <c r="F20" s="39"/>
      <c r="G20" s="40"/>
      <c r="H20" s="39"/>
      <c r="I20" s="39">
        <f>SUM(I11:I18)</f>
        <v>780.82999999999993</v>
      </c>
      <c r="J20" s="39">
        <f t="shared" ref="J20:L20" si="3">SUM(J11:J18)</f>
        <v>976.03749999999991</v>
      </c>
      <c r="K20" s="39">
        <f t="shared" si="3"/>
        <v>0</v>
      </c>
      <c r="L20" s="38">
        <f t="shared" si="3"/>
        <v>140</v>
      </c>
    </row>
    <row r="21" spans="1:12">
      <c r="A21" s="16" t="s">
        <v>437</v>
      </c>
      <c r="L21" s="25"/>
    </row>
    <row r="22" spans="1:12">
      <c r="B22" s="29">
        <v>50200</v>
      </c>
      <c r="C22" s="29" t="s">
        <v>462</v>
      </c>
      <c r="D22" s="29">
        <v>3</v>
      </c>
      <c r="E22" s="28" t="s">
        <v>461</v>
      </c>
      <c r="F22" s="26">
        <v>8</v>
      </c>
      <c r="G22" s="29">
        <v>4</v>
      </c>
      <c r="H22" s="26">
        <f>F22*G22</f>
        <v>32</v>
      </c>
      <c r="I22" s="26">
        <f>H22*1.13</f>
        <v>36.159999999999997</v>
      </c>
      <c r="J22" s="26">
        <f>I22*1.25</f>
        <v>45.199999999999996</v>
      </c>
      <c r="L22" s="25">
        <v>40</v>
      </c>
    </row>
    <row r="23" spans="1:12">
      <c r="B23" s="29">
        <v>50201</v>
      </c>
      <c r="C23" s="29" t="s">
        <v>460</v>
      </c>
      <c r="D23" s="29">
        <v>5</v>
      </c>
      <c r="E23" s="28" t="s">
        <v>459</v>
      </c>
      <c r="F23" s="26">
        <v>475</v>
      </c>
      <c r="G23" s="29">
        <v>2</v>
      </c>
      <c r="H23" s="26">
        <f t="shared" ref="H23:H29" si="4">F23*G23</f>
        <v>950</v>
      </c>
      <c r="I23" s="26">
        <f t="shared" ref="I23:I29" si="5">H23*1.13</f>
        <v>1073.5</v>
      </c>
      <c r="J23" s="26">
        <f t="shared" ref="J23:J29" si="6">I23*1.25</f>
        <v>1341.875</v>
      </c>
      <c r="L23" s="25">
        <v>469.51</v>
      </c>
    </row>
    <row r="24" spans="1:12">
      <c r="B24" s="29">
        <v>50202</v>
      </c>
      <c r="C24" s="29" t="s">
        <v>436</v>
      </c>
      <c r="D24" s="29">
        <v>9</v>
      </c>
      <c r="E24" s="28" t="s">
        <v>458</v>
      </c>
      <c r="F24" s="26">
        <v>50</v>
      </c>
      <c r="G24" s="29">
        <v>1</v>
      </c>
      <c r="H24" s="26">
        <f t="shared" si="4"/>
        <v>50</v>
      </c>
      <c r="I24" s="26">
        <f t="shared" si="5"/>
        <v>56.499999999999993</v>
      </c>
      <c r="J24" s="26">
        <f t="shared" si="6"/>
        <v>70.624999999999986</v>
      </c>
      <c r="L24" s="25">
        <v>50</v>
      </c>
    </row>
    <row r="25" spans="1:12">
      <c r="B25" s="29">
        <v>50203</v>
      </c>
      <c r="C25" s="29" t="s">
        <v>457</v>
      </c>
      <c r="D25" s="29">
        <v>8</v>
      </c>
      <c r="E25" s="28" t="s">
        <v>435</v>
      </c>
      <c r="F25" s="26">
        <v>145</v>
      </c>
      <c r="G25" s="29">
        <v>1</v>
      </c>
      <c r="H25" s="26">
        <f t="shared" si="4"/>
        <v>145</v>
      </c>
      <c r="I25" s="26">
        <f t="shared" si="5"/>
        <v>163.85</v>
      </c>
      <c r="J25" s="26">
        <f t="shared" si="6"/>
        <v>204.8125</v>
      </c>
      <c r="L25" s="25">
        <v>145</v>
      </c>
    </row>
    <row r="26" spans="1:12">
      <c r="B26" s="29">
        <v>50204</v>
      </c>
      <c r="C26" s="29" t="s">
        <v>434</v>
      </c>
      <c r="D26" s="29">
        <v>6</v>
      </c>
      <c r="E26" s="28" t="s">
        <v>433</v>
      </c>
      <c r="F26" s="26">
        <v>28</v>
      </c>
      <c r="G26" s="29">
        <v>1</v>
      </c>
      <c r="H26" s="26">
        <f t="shared" si="4"/>
        <v>28</v>
      </c>
      <c r="I26" s="26">
        <f t="shared" si="5"/>
        <v>31.639999999999997</v>
      </c>
      <c r="J26" s="26">
        <f t="shared" si="6"/>
        <v>39.549999999999997</v>
      </c>
      <c r="L26" s="25">
        <v>28</v>
      </c>
    </row>
    <row r="27" spans="1:12">
      <c r="B27" s="29">
        <v>50205</v>
      </c>
      <c r="C27" s="29" t="s">
        <v>432</v>
      </c>
      <c r="D27" s="29">
        <v>7</v>
      </c>
      <c r="E27" s="28" t="s">
        <v>456</v>
      </c>
      <c r="F27" s="26">
        <v>0.4</v>
      </c>
      <c r="G27" s="29">
        <v>50</v>
      </c>
      <c r="H27" s="26">
        <f t="shared" si="4"/>
        <v>20</v>
      </c>
      <c r="I27" s="26">
        <f t="shared" si="5"/>
        <v>22.599999999999998</v>
      </c>
      <c r="J27" s="26">
        <f t="shared" si="6"/>
        <v>28.249999999999996</v>
      </c>
      <c r="L27" s="25">
        <v>56.81</v>
      </c>
    </row>
    <row r="28" spans="1:12">
      <c r="B28" s="29">
        <v>50206</v>
      </c>
      <c r="C28" s="29" t="s">
        <v>455</v>
      </c>
      <c r="D28" s="29">
        <v>11</v>
      </c>
      <c r="E28" s="28" t="s">
        <v>431</v>
      </c>
      <c r="F28" s="26">
        <v>40</v>
      </c>
      <c r="G28" s="29">
        <v>4</v>
      </c>
      <c r="H28" s="26">
        <f t="shared" si="4"/>
        <v>160</v>
      </c>
      <c r="I28" s="26">
        <f t="shared" si="5"/>
        <v>180.79999999999998</v>
      </c>
      <c r="J28" s="26">
        <f t="shared" si="6"/>
        <v>225.99999999999997</v>
      </c>
      <c r="L28" s="25"/>
    </row>
    <row r="29" spans="1:12">
      <c r="B29" s="29">
        <v>50207</v>
      </c>
      <c r="C29" s="29" t="s">
        <v>454</v>
      </c>
      <c r="D29" s="29">
        <v>13</v>
      </c>
      <c r="E29" s="28" t="s">
        <v>430</v>
      </c>
      <c r="F29" s="26">
        <v>17</v>
      </c>
      <c r="G29" s="29">
        <v>6</v>
      </c>
      <c r="H29" s="26">
        <f t="shared" si="4"/>
        <v>102</v>
      </c>
      <c r="I29" s="26">
        <f t="shared" si="5"/>
        <v>115.25999999999999</v>
      </c>
      <c r="J29" s="26">
        <f t="shared" si="6"/>
        <v>144.07499999999999</v>
      </c>
      <c r="L29" s="25">
        <v>0</v>
      </c>
    </row>
    <row r="30" spans="1:12">
      <c r="L30" s="25"/>
    </row>
    <row r="31" spans="1:12" s="6" customFormat="1" ht="14.5">
      <c r="A31" s="16"/>
      <c r="B31" s="43" t="s">
        <v>429</v>
      </c>
      <c r="C31" s="42"/>
      <c r="D31" s="41"/>
      <c r="E31" s="41"/>
      <c r="F31" s="39"/>
      <c r="G31" s="40"/>
      <c r="H31" s="39"/>
      <c r="I31" s="39">
        <f>SUM(I22:I29)</f>
        <v>1680.31</v>
      </c>
      <c r="J31" s="39">
        <f t="shared" ref="J31:L31" si="7">SUM(J22:J29)</f>
        <v>2100.3874999999998</v>
      </c>
      <c r="K31" s="39">
        <f t="shared" si="7"/>
        <v>0</v>
      </c>
      <c r="L31" s="38">
        <f t="shared" si="7"/>
        <v>789.31999999999994</v>
      </c>
    </row>
    <row r="32" spans="1:12">
      <c r="A32" s="16" t="s">
        <v>428</v>
      </c>
      <c r="L32" s="25"/>
    </row>
    <row r="33" spans="1:23">
      <c r="B33" s="29">
        <v>50300</v>
      </c>
      <c r="C33" s="29" t="s">
        <v>426</v>
      </c>
      <c r="D33" s="29">
        <v>15</v>
      </c>
      <c r="E33" s="28" t="s">
        <v>427</v>
      </c>
      <c r="F33" s="26">
        <v>0</v>
      </c>
      <c r="G33" s="29">
        <v>2</v>
      </c>
      <c r="H33" s="26">
        <v>0</v>
      </c>
      <c r="I33" s="26">
        <v>0</v>
      </c>
      <c r="J33" s="26">
        <v>0</v>
      </c>
      <c r="L33" s="25">
        <v>0</v>
      </c>
    </row>
    <row r="34" spans="1:23">
      <c r="B34" s="29">
        <v>50301</v>
      </c>
      <c r="C34" s="29" t="s">
        <v>373</v>
      </c>
      <c r="D34" s="29">
        <v>12</v>
      </c>
      <c r="E34" s="28" t="s">
        <v>453</v>
      </c>
      <c r="F34" s="26">
        <v>475</v>
      </c>
      <c r="G34" s="29">
        <v>2</v>
      </c>
      <c r="H34" s="26">
        <f>F34*G34</f>
        <v>950</v>
      </c>
      <c r="I34" s="26">
        <f>H34*1.13</f>
        <v>1073.5</v>
      </c>
      <c r="J34" s="26">
        <f>I34*1.25</f>
        <v>1341.875</v>
      </c>
      <c r="L34" s="25">
        <v>172.33</v>
      </c>
    </row>
    <row r="35" spans="1:23">
      <c r="B35" s="29">
        <v>50302</v>
      </c>
      <c r="C35" s="29" t="s">
        <v>426</v>
      </c>
      <c r="D35" s="29">
        <v>14</v>
      </c>
      <c r="E35" s="28" t="s">
        <v>452</v>
      </c>
      <c r="F35" s="26">
        <v>0</v>
      </c>
      <c r="G35" s="29">
        <v>2</v>
      </c>
      <c r="H35" s="26">
        <f>F35*G35</f>
        <v>0</v>
      </c>
      <c r="I35" s="26">
        <f>H35*1.13</f>
        <v>0</v>
      </c>
      <c r="J35" s="26">
        <f>I35*1.25</f>
        <v>0</v>
      </c>
      <c r="L35" s="25">
        <v>0</v>
      </c>
    </row>
    <row r="36" spans="1:23">
      <c r="L36" s="25"/>
    </row>
    <row r="37" spans="1:23" s="6" customFormat="1" ht="14.5">
      <c r="A37" s="16"/>
      <c r="B37" s="43" t="s">
        <v>425</v>
      </c>
      <c r="C37" s="42"/>
      <c r="D37" s="41"/>
      <c r="E37" s="41"/>
      <c r="F37" s="39"/>
      <c r="G37" s="40"/>
      <c r="H37" s="39"/>
      <c r="I37" s="39">
        <f>SUM(I33:I35)</f>
        <v>1073.5</v>
      </c>
      <c r="J37" s="39">
        <f t="shared" ref="J37:L37" si="8">SUM(J33:J35)</f>
        <v>1341.875</v>
      </c>
      <c r="K37" s="39">
        <f t="shared" si="8"/>
        <v>0</v>
      </c>
      <c r="L37" s="38">
        <f t="shared" si="8"/>
        <v>172.33</v>
      </c>
    </row>
    <row r="38" spans="1:23">
      <c r="A38" s="16" t="s">
        <v>424</v>
      </c>
      <c r="L38" s="25"/>
    </row>
    <row r="39" spans="1:23" s="30" customFormat="1">
      <c r="A39" s="28"/>
      <c r="B39" s="29">
        <v>50400</v>
      </c>
      <c r="C39" s="29" t="s">
        <v>451</v>
      </c>
      <c r="D39" s="29">
        <v>1</v>
      </c>
      <c r="E39" s="28" t="s">
        <v>423</v>
      </c>
      <c r="F39" s="26">
        <v>20</v>
      </c>
      <c r="G39" s="29">
        <v>4</v>
      </c>
      <c r="H39" s="26">
        <f>F39*G39</f>
        <v>80</v>
      </c>
      <c r="I39" s="26">
        <f>H39*1.13</f>
        <v>90.399999999999991</v>
      </c>
      <c r="J39" s="26">
        <f>I39*1.25</f>
        <v>112.99999999999999</v>
      </c>
      <c r="K39" s="26"/>
      <c r="L39" s="25">
        <v>0</v>
      </c>
    </row>
    <row r="40" spans="1:23">
      <c r="B40" s="29">
        <v>50401</v>
      </c>
      <c r="C40" s="29" t="s">
        <v>450</v>
      </c>
      <c r="D40" s="29">
        <v>2</v>
      </c>
      <c r="E40" s="28" t="s">
        <v>449</v>
      </c>
      <c r="F40" s="26">
        <v>30</v>
      </c>
      <c r="G40" s="29">
        <v>6</v>
      </c>
      <c r="H40" s="26">
        <f>F40*G40</f>
        <v>180</v>
      </c>
      <c r="I40" s="26">
        <f>H40*1.13</f>
        <v>203.39999999999998</v>
      </c>
      <c r="J40" s="26">
        <f>I40*1.25</f>
        <v>254.24999999999997</v>
      </c>
      <c r="L40" s="25">
        <v>0</v>
      </c>
    </row>
    <row r="41" spans="1:23" s="6" customFormat="1">
      <c r="A41" s="28"/>
      <c r="B41" s="29"/>
      <c r="C41" s="29"/>
      <c r="D41" s="28"/>
      <c r="E41" s="28"/>
      <c r="F41" s="26"/>
      <c r="G41" s="27"/>
      <c r="H41" s="26"/>
      <c r="I41" s="26"/>
      <c r="J41" s="26"/>
      <c r="K41" s="26"/>
      <c r="L41" s="25"/>
    </row>
    <row r="42" spans="1:23" s="6" customFormat="1">
      <c r="A42" s="16"/>
      <c r="B42" s="43" t="s">
        <v>422</v>
      </c>
      <c r="C42" s="42"/>
      <c r="D42" s="41"/>
      <c r="E42" s="41"/>
      <c r="F42" s="39"/>
      <c r="G42" s="40"/>
      <c r="H42" s="39"/>
      <c r="I42" s="39">
        <f>SUM(I39:I40)</f>
        <v>293.79999999999995</v>
      </c>
      <c r="J42" s="39">
        <f t="shared" ref="J42:L42" si="9">SUM(J39:J40)</f>
        <v>367.24999999999994</v>
      </c>
      <c r="K42" s="39">
        <f t="shared" si="9"/>
        <v>0</v>
      </c>
      <c r="L42" s="38">
        <f t="shared" si="9"/>
        <v>0</v>
      </c>
      <c r="M42" s="29"/>
      <c r="N42" s="29"/>
      <c r="O42" s="28"/>
      <c r="P42" s="28"/>
      <c r="Q42" s="26"/>
      <c r="R42" s="27"/>
      <c r="S42" s="26"/>
      <c r="T42" s="26"/>
      <c r="U42" s="26"/>
      <c r="V42" s="26"/>
      <c r="W42" s="25"/>
    </row>
    <row r="43" spans="1:23" s="6" customFormat="1" ht="14.5">
      <c r="A43" s="37"/>
      <c r="B43" s="149" t="s">
        <v>8</v>
      </c>
      <c r="C43" s="150"/>
      <c r="D43" s="151"/>
      <c r="E43" s="151"/>
      <c r="F43" s="160"/>
      <c r="G43" s="152"/>
      <c r="H43" s="160"/>
      <c r="I43" s="160">
        <f>I20+I31+I37+I42</f>
        <v>3828.4399999999996</v>
      </c>
      <c r="J43" s="160">
        <f t="shared" ref="J43:L43" si="10">J20+J31+J37+J42</f>
        <v>4785.5499999999993</v>
      </c>
      <c r="K43" s="160">
        <f t="shared" si="10"/>
        <v>0</v>
      </c>
      <c r="L43" s="161">
        <f t="shared" si="10"/>
        <v>1101.6499999999999</v>
      </c>
    </row>
    <row r="44" spans="1:23">
      <c r="L44" s="25"/>
    </row>
    <row r="45" spans="1:23">
      <c r="A45" s="24" t="s">
        <v>7</v>
      </c>
      <c r="B45" s="23"/>
      <c r="C45" s="23"/>
      <c r="D45" s="22"/>
      <c r="E45" s="22"/>
      <c r="F45" s="20"/>
      <c r="G45" s="21"/>
      <c r="H45" s="20"/>
      <c r="I45" s="20"/>
      <c r="J45" s="20"/>
      <c r="K45" s="20"/>
      <c r="L45" s="19"/>
    </row>
    <row r="46" spans="1:23" ht="14.5">
      <c r="A46" s="16"/>
      <c r="B46" s="17" t="s">
        <v>6</v>
      </c>
      <c r="C46" s="17"/>
      <c r="D46" s="16"/>
      <c r="E46" s="16"/>
      <c r="F46" s="14"/>
      <c r="G46" s="15"/>
      <c r="H46" s="14"/>
      <c r="I46" s="14">
        <v>0</v>
      </c>
      <c r="J46" s="14">
        <v>0</v>
      </c>
      <c r="K46" s="14">
        <v>0</v>
      </c>
      <c r="L46" s="13">
        <v>0</v>
      </c>
    </row>
    <row r="47" spans="1:23" ht="14.5">
      <c r="A47" s="16"/>
      <c r="B47" s="17" t="s">
        <v>5</v>
      </c>
      <c r="C47" s="17"/>
      <c r="D47" s="16"/>
      <c r="E47" s="16"/>
      <c r="F47" s="14"/>
      <c r="G47" s="15"/>
      <c r="H47" s="14"/>
      <c r="I47" s="14">
        <f>I43</f>
        <v>3828.4399999999996</v>
      </c>
      <c r="J47" s="14">
        <f>J43</f>
        <v>4785.5499999999993</v>
      </c>
      <c r="K47" s="14">
        <f>K43</f>
        <v>0</v>
      </c>
      <c r="L47" s="13">
        <f>L43</f>
        <v>1101.6499999999999</v>
      </c>
    </row>
    <row r="48" spans="1:23" ht="14.5">
      <c r="A48" s="11"/>
      <c r="B48" s="12" t="s">
        <v>4</v>
      </c>
      <c r="C48" s="12"/>
      <c r="D48" s="11"/>
      <c r="E48" s="11"/>
      <c r="F48" s="8"/>
      <c r="G48" s="10"/>
      <c r="H48" s="8"/>
      <c r="I48" s="8">
        <f>SUM(I46,I47*-1)</f>
        <v>-3828.4399999999996</v>
      </c>
      <c r="J48" s="8">
        <f>SUM(J46,J47*-1)</f>
        <v>-4785.5499999999993</v>
      </c>
      <c r="K48" s="8">
        <f>SUM(K46,K47*-1)</f>
        <v>0</v>
      </c>
      <c r="L48" s="7">
        <f>SUM(L46,L47*-1)</f>
        <v>-1101.6499999999999</v>
      </c>
    </row>
    <row r="49" spans="1:1">
      <c r="A49" s="28" t="s">
        <v>448</v>
      </c>
    </row>
  </sheetData>
  <mergeCells count="1">
    <mergeCell ref="B1:K1"/>
  </mergeCells>
  <conditionalFormatting sqref="B11:L48">
    <cfRule type="expression" dxfId="46" priority="3">
      <formula>MOD($B11,2)=1</formula>
    </cfRule>
  </conditionalFormatting>
  <conditionalFormatting sqref="B6:L8">
    <cfRule type="expression" dxfId="45" priority="1">
      <formula>MOD($B6,2)=1</formula>
    </cfRule>
  </conditionalFormatting>
  <conditionalFormatting sqref="M42:W42">
    <cfRule type="expression" dxfId="44" priority="4">
      <formula>MOD($M42,2)=1</formula>
    </cfRule>
  </conditionalFormatting>
  <pageMargins left="0.7" right="0.7" top="0.75" bottom="0.75" header="0.3" footer="0.3"/>
  <pageSetup scale="26" fitToWidth="0" fitToHeight="0"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ABC962-60BE-4FF6-A8C5-46829645A636}">
  <sheetPr codeName="Sheet16"/>
  <dimension ref="A1:L67"/>
  <sheetViews>
    <sheetView showGridLines="0" zoomScale="45" zoomScaleNormal="70" workbookViewId="0">
      <pane ySplit="2" topLeftCell="A17" activePane="bottomLeft" state="frozen"/>
      <selection pane="bottomLeft" activeCell="K47" sqref="K47"/>
    </sheetView>
  </sheetViews>
  <sheetFormatPr defaultColWidth="8.58203125" defaultRowHeight="15.5"/>
  <cols>
    <col min="1" max="1" width="29.58203125" style="28" customWidth="1"/>
    <col min="2" max="2" width="23.1640625" style="29" customWidth="1"/>
    <col min="3" max="3" width="30.9140625" style="29" customWidth="1"/>
    <col min="4" max="4" width="27.08203125" style="29" customWidth="1"/>
    <col min="5" max="5" width="68.08203125" style="28" customWidth="1"/>
    <col min="6" max="6" width="15.25" style="111" customWidth="1"/>
    <col min="7" max="7" width="15.25" style="27" customWidth="1"/>
    <col min="8" max="8" width="19.33203125" style="111" customWidth="1"/>
    <col min="9" max="9" width="18.1640625" style="111" customWidth="1"/>
    <col min="10" max="11" width="20.58203125" style="111" customWidth="1"/>
    <col min="12" max="12" width="20.83203125" style="120" customWidth="1"/>
    <col min="13" max="16384" width="8.58203125" style="1"/>
  </cols>
  <sheetData>
    <row r="1" spans="1:12" ht="148.5" customHeight="1">
      <c r="B1" s="368" t="s">
        <v>421</v>
      </c>
      <c r="C1" s="368"/>
      <c r="D1" s="368"/>
      <c r="E1" s="368"/>
      <c r="F1" s="368"/>
      <c r="G1" s="368"/>
      <c r="H1" s="368"/>
      <c r="I1" s="368"/>
      <c r="J1" s="368"/>
      <c r="K1" s="368"/>
    </row>
    <row r="2" spans="1:12" s="62" customFormat="1" ht="15" customHeight="1">
      <c r="A2" s="65" t="s">
        <v>106</v>
      </c>
      <c r="B2" s="65" t="s">
        <v>105</v>
      </c>
      <c r="C2" s="65" t="s">
        <v>104</v>
      </c>
      <c r="D2" s="65" t="s">
        <v>103</v>
      </c>
      <c r="E2" s="65" t="s">
        <v>102</v>
      </c>
      <c r="F2" s="110" t="s">
        <v>101</v>
      </c>
      <c r="G2" s="65" t="s">
        <v>1</v>
      </c>
      <c r="H2" s="110" t="s">
        <v>100</v>
      </c>
      <c r="I2" s="110" t="s">
        <v>99</v>
      </c>
      <c r="J2" s="110" t="s">
        <v>176</v>
      </c>
      <c r="K2" s="110" t="s">
        <v>98</v>
      </c>
      <c r="L2" s="121" t="s">
        <v>2</v>
      </c>
    </row>
    <row r="3" spans="1:12" ht="14.25" customHeight="1">
      <c r="L3" s="122"/>
    </row>
    <row r="4" spans="1:12" ht="15" customHeight="1">
      <c r="A4" s="24" t="s">
        <v>0</v>
      </c>
      <c r="B4" s="23"/>
      <c r="C4" s="23"/>
      <c r="D4" s="23"/>
      <c r="E4" s="22"/>
      <c r="F4" s="112"/>
      <c r="G4" s="21"/>
      <c r="H4" s="112"/>
      <c r="I4" s="112"/>
      <c r="J4" s="112"/>
      <c r="K4" s="112"/>
      <c r="L4" s="123"/>
    </row>
    <row r="5" spans="1:12">
      <c r="L5" s="124"/>
    </row>
    <row r="6" spans="1:12" s="30" customFormat="1" ht="14.5">
      <c r="A6" s="37"/>
      <c r="B6" s="36" t="s">
        <v>83</v>
      </c>
      <c r="C6" s="35"/>
      <c r="D6" s="35"/>
      <c r="E6" s="34"/>
      <c r="F6" s="116"/>
      <c r="G6" s="33"/>
      <c r="H6" s="116"/>
      <c r="I6" s="116">
        <v>0</v>
      </c>
      <c r="J6" s="116">
        <v>0</v>
      </c>
      <c r="K6" s="116">
        <v>0</v>
      </c>
      <c r="L6" s="128">
        <v>0</v>
      </c>
    </row>
    <row r="7" spans="1:12">
      <c r="L7" s="125"/>
    </row>
    <row r="8" spans="1:12" ht="15" customHeight="1">
      <c r="A8" s="24" t="s">
        <v>3</v>
      </c>
      <c r="B8" s="23"/>
      <c r="C8" s="23"/>
      <c r="D8" s="23"/>
      <c r="E8" s="22"/>
      <c r="F8" s="112"/>
      <c r="G8" s="21"/>
      <c r="H8" s="112"/>
      <c r="I8" s="112"/>
      <c r="J8" s="112"/>
      <c r="K8" s="112"/>
      <c r="L8" s="123"/>
    </row>
    <row r="9" spans="1:12">
      <c r="A9" s="16" t="s">
        <v>420</v>
      </c>
      <c r="L9" s="125"/>
    </row>
    <row r="10" spans="1:12">
      <c r="B10" s="29">
        <v>75100</v>
      </c>
      <c r="C10" s="29" t="s">
        <v>419</v>
      </c>
      <c r="D10" s="29">
        <v>1</v>
      </c>
      <c r="E10" s="28" t="s">
        <v>418</v>
      </c>
      <c r="F10" s="111">
        <v>16</v>
      </c>
      <c r="G10" s="27">
        <v>2</v>
      </c>
      <c r="H10" s="111">
        <v>32</v>
      </c>
      <c r="I10" s="111">
        <v>36.159999999999997</v>
      </c>
      <c r="J10" s="111">
        <v>45.2</v>
      </c>
      <c r="K10" s="111">
        <v>32</v>
      </c>
      <c r="L10" s="125">
        <v>36.14</v>
      </c>
    </row>
    <row r="11" spans="1:12">
      <c r="B11" s="144">
        <v>75101</v>
      </c>
      <c r="C11" s="144" t="s">
        <v>417</v>
      </c>
      <c r="D11" s="144">
        <v>1</v>
      </c>
      <c r="E11" s="143" t="s">
        <v>416</v>
      </c>
      <c r="F11" s="145">
        <v>300</v>
      </c>
      <c r="G11" s="142">
        <v>1</v>
      </c>
      <c r="H11" s="145">
        <v>300</v>
      </c>
      <c r="I11" s="145">
        <v>339</v>
      </c>
      <c r="J11" s="145">
        <v>339</v>
      </c>
      <c r="K11" s="111">
        <v>0</v>
      </c>
      <c r="L11" s="146">
        <v>0</v>
      </c>
    </row>
    <row r="12" spans="1:12">
      <c r="B12" s="29">
        <v>75102</v>
      </c>
      <c r="C12" s="29" t="s">
        <v>409</v>
      </c>
      <c r="D12" s="29">
        <v>4</v>
      </c>
      <c r="E12" s="28" t="s">
        <v>415</v>
      </c>
      <c r="F12" s="111">
        <v>18</v>
      </c>
      <c r="G12" s="27">
        <v>10</v>
      </c>
      <c r="H12" s="111">
        <v>180</v>
      </c>
      <c r="I12" s="111">
        <v>203.4</v>
      </c>
      <c r="J12" s="111">
        <v>254.25</v>
      </c>
      <c r="K12" s="111">
        <v>176.05</v>
      </c>
      <c r="L12" s="125">
        <v>176.05</v>
      </c>
    </row>
    <row r="13" spans="1:12">
      <c r="B13" s="29">
        <v>75103</v>
      </c>
      <c r="C13" s="29" t="s">
        <v>409</v>
      </c>
      <c r="D13" s="29">
        <v>4</v>
      </c>
      <c r="E13" s="28" t="s">
        <v>414</v>
      </c>
      <c r="F13" s="111">
        <v>18</v>
      </c>
      <c r="G13" s="27">
        <v>10</v>
      </c>
      <c r="H13" s="111">
        <v>180</v>
      </c>
      <c r="I13" s="111">
        <v>203.4</v>
      </c>
      <c r="J13" s="111">
        <v>254.25</v>
      </c>
      <c r="K13" s="111">
        <v>198.95</v>
      </c>
      <c r="L13" s="125">
        <v>198.95</v>
      </c>
    </row>
    <row r="14" spans="1:12">
      <c r="B14" s="29">
        <v>75104</v>
      </c>
      <c r="C14" s="29" t="s">
        <v>409</v>
      </c>
      <c r="D14" s="29">
        <v>4</v>
      </c>
      <c r="E14" s="28" t="s">
        <v>413</v>
      </c>
      <c r="F14" s="111">
        <v>18</v>
      </c>
      <c r="G14" s="27">
        <v>14</v>
      </c>
      <c r="H14" s="111">
        <v>252</v>
      </c>
      <c r="I14" s="111">
        <v>284.76</v>
      </c>
      <c r="J14" s="111">
        <v>355.95</v>
      </c>
      <c r="K14" s="111">
        <v>134.79</v>
      </c>
      <c r="L14" s="125">
        <v>134.79</v>
      </c>
    </row>
    <row r="15" spans="1:12">
      <c r="B15" s="29">
        <v>75105</v>
      </c>
      <c r="C15" s="29" t="s">
        <v>409</v>
      </c>
      <c r="D15" s="29">
        <v>4</v>
      </c>
      <c r="E15" s="28" t="s">
        <v>412</v>
      </c>
      <c r="F15" s="111">
        <v>18</v>
      </c>
      <c r="G15" s="27">
        <v>14</v>
      </c>
      <c r="H15" s="111">
        <v>252</v>
      </c>
      <c r="I15" s="111">
        <v>284.76</v>
      </c>
      <c r="J15" s="111">
        <v>355.95</v>
      </c>
      <c r="K15" s="111">
        <v>116.18</v>
      </c>
      <c r="L15" s="125">
        <v>127.8</v>
      </c>
    </row>
    <row r="16" spans="1:12">
      <c r="B16" s="29">
        <v>75106</v>
      </c>
      <c r="C16" s="29" t="s">
        <v>409</v>
      </c>
      <c r="D16" s="29">
        <v>4</v>
      </c>
      <c r="E16" s="28" t="s">
        <v>411</v>
      </c>
      <c r="F16" s="111">
        <v>18</v>
      </c>
      <c r="G16" s="27">
        <v>14</v>
      </c>
      <c r="H16" s="111">
        <v>252</v>
      </c>
      <c r="I16" s="111">
        <v>284.76</v>
      </c>
      <c r="J16" s="111">
        <v>355.95</v>
      </c>
      <c r="K16" s="111">
        <v>116.18</v>
      </c>
      <c r="L16" s="125">
        <v>127.8</v>
      </c>
    </row>
    <row r="17" spans="1:12">
      <c r="B17" s="29">
        <v>75107</v>
      </c>
      <c r="C17" s="29" t="s">
        <v>409</v>
      </c>
      <c r="D17" s="29">
        <v>4</v>
      </c>
      <c r="E17" s="28" t="s">
        <v>408</v>
      </c>
      <c r="F17" s="111">
        <v>18</v>
      </c>
      <c r="G17" s="27">
        <v>14</v>
      </c>
      <c r="H17" s="111">
        <v>252</v>
      </c>
      <c r="I17" s="111">
        <v>284.76</v>
      </c>
      <c r="J17" s="111">
        <v>355.95</v>
      </c>
      <c r="K17" s="111">
        <v>145.30000000000001</v>
      </c>
      <c r="L17" s="125">
        <v>145.30000000000001</v>
      </c>
    </row>
    <row r="18" spans="1:12">
      <c r="B18" s="29">
        <v>75108</v>
      </c>
      <c r="C18" s="29" t="s">
        <v>409</v>
      </c>
      <c r="D18" s="29">
        <v>4</v>
      </c>
      <c r="E18" s="28" t="s">
        <v>408</v>
      </c>
      <c r="F18" s="111">
        <v>18</v>
      </c>
      <c r="G18" s="27">
        <v>14</v>
      </c>
      <c r="H18" s="111">
        <v>252</v>
      </c>
      <c r="I18" s="111">
        <v>284.76</v>
      </c>
      <c r="J18" s="111">
        <v>355.95</v>
      </c>
      <c r="K18" s="111">
        <v>114.15</v>
      </c>
      <c r="L18" s="125">
        <v>114.15</v>
      </c>
    </row>
    <row r="19" spans="1:12">
      <c r="B19" s="29">
        <v>75109</v>
      </c>
      <c r="C19" s="29" t="s">
        <v>409</v>
      </c>
      <c r="D19" s="29">
        <v>4</v>
      </c>
      <c r="E19" s="28" t="s">
        <v>408</v>
      </c>
      <c r="F19" s="111">
        <v>18</v>
      </c>
      <c r="G19" s="27">
        <v>14</v>
      </c>
      <c r="H19" s="111">
        <v>252</v>
      </c>
      <c r="I19" s="111">
        <v>284.76</v>
      </c>
      <c r="J19" s="111">
        <v>355.95</v>
      </c>
      <c r="L19" s="125"/>
    </row>
    <row r="20" spans="1:12">
      <c r="B20" s="29">
        <v>75110</v>
      </c>
      <c r="C20" s="29" t="s">
        <v>409</v>
      </c>
      <c r="D20" s="29">
        <v>4</v>
      </c>
      <c r="E20" s="28" t="s">
        <v>408</v>
      </c>
      <c r="F20" s="111">
        <v>18</v>
      </c>
      <c r="G20" s="27">
        <v>14</v>
      </c>
      <c r="H20" s="111">
        <v>252</v>
      </c>
      <c r="I20" s="111">
        <v>284.76</v>
      </c>
      <c r="J20" s="111">
        <v>355.95</v>
      </c>
      <c r="L20" s="125"/>
    </row>
    <row r="21" spans="1:12">
      <c r="B21" s="29">
        <v>75111</v>
      </c>
      <c r="C21" s="29" t="s">
        <v>409</v>
      </c>
      <c r="D21" s="29">
        <v>4</v>
      </c>
      <c r="E21" s="28" t="s">
        <v>408</v>
      </c>
      <c r="F21" s="111">
        <v>18</v>
      </c>
      <c r="G21" s="27">
        <v>14</v>
      </c>
      <c r="H21" s="111">
        <v>252</v>
      </c>
      <c r="I21" s="111">
        <v>284.76</v>
      </c>
      <c r="J21" s="111">
        <v>355.95</v>
      </c>
      <c r="L21" s="125"/>
    </row>
    <row r="22" spans="1:12">
      <c r="B22" s="29">
        <v>75112</v>
      </c>
      <c r="C22" s="29" t="s">
        <v>409</v>
      </c>
      <c r="D22" s="29">
        <v>4</v>
      </c>
      <c r="E22" s="28" t="s">
        <v>410</v>
      </c>
      <c r="F22" s="111">
        <v>18</v>
      </c>
      <c r="G22" s="27">
        <v>18</v>
      </c>
      <c r="H22" s="111">
        <v>324</v>
      </c>
      <c r="I22" s="111">
        <v>366.12</v>
      </c>
      <c r="J22" s="111">
        <v>457.65</v>
      </c>
      <c r="L22" s="125"/>
    </row>
    <row r="23" spans="1:12">
      <c r="B23" s="29">
        <v>75113</v>
      </c>
      <c r="C23" s="29" t="s">
        <v>409</v>
      </c>
      <c r="D23" s="29">
        <v>4</v>
      </c>
      <c r="E23" s="28" t="s">
        <v>408</v>
      </c>
      <c r="F23" s="111">
        <v>18</v>
      </c>
      <c r="G23" s="27">
        <v>14</v>
      </c>
      <c r="H23" s="111">
        <v>252</v>
      </c>
      <c r="I23" s="111">
        <v>284.76</v>
      </c>
      <c r="J23" s="111">
        <v>355.95</v>
      </c>
      <c r="L23" s="125"/>
    </row>
    <row r="24" spans="1:12">
      <c r="B24" s="29">
        <v>75114</v>
      </c>
      <c r="C24" s="29" t="s">
        <v>407</v>
      </c>
      <c r="D24" s="29">
        <v>5</v>
      </c>
      <c r="E24" s="28" t="s">
        <v>406</v>
      </c>
      <c r="F24" s="111">
        <v>50</v>
      </c>
      <c r="G24" s="27">
        <v>12</v>
      </c>
      <c r="H24" s="111">
        <v>600</v>
      </c>
      <c r="I24" s="111">
        <v>600</v>
      </c>
      <c r="J24" s="111">
        <v>600</v>
      </c>
      <c r="K24" s="111">
        <v>600</v>
      </c>
      <c r="L24" s="125">
        <v>400</v>
      </c>
    </row>
    <row r="25" spans="1:12" customFormat="1">
      <c r="L25" s="159"/>
    </row>
    <row r="26" spans="1:12">
      <c r="A26" s="16"/>
      <c r="B26" s="43" t="s">
        <v>405</v>
      </c>
      <c r="C26" s="77"/>
      <c r="D26" s="77"/>
      <c r="E26" s="78"/>
      <c r="F26" s="148"/>
      <c r="G26" s="80"/>
      <c r="H26" s="148"/>
      <c r="I26" s="114">
        <f>SUM(I10:I24)</f>
        <v>4310.92</v>
      </c>
      <c r="J26" s="114">
        <f t="shared" ref="J26:L26" si="0">SUM(J10:J24)</f>
        <v>5153.8999999999987</v>
      </c>
      <c r="K26" s="114">
        <f t="shared" si="0"/>
        <v>1633.6000000000001</v>
      </c>
      <c r="L26" s="126">
        <f t="shared" si="0"/>
        <v>1460.98</v>
      </c>
    </row>
    <row r="27" spans="1:12">
      <c r="A27" s="107" t="s">
        <v>404</v>
      </c>
      <c r="L27" s="125"/>
    </row>
    <row r="28" spans="1:12">
      <c r="A28" s="16" t="s">
        <v>403</v>
      </c>
      <c r="B28" s="29">
        <v>75200</v>
      </c>
      <c r="C28" s="29" t="s">
        <v>402</v>
      </c>
      <c r="D28" s="29">
        <v>1</v>
      </c>
      <c r="E28" s="28" t="s">
        <v>400</v>
      </c>
      <c r="F28" s="111">
        <v>70</v>
      </c>
      <c r="G28" s="27">
        <v>3</v>
      </c>
      <c r="H28" s="111">
        <v>210</v>
      </c>
      <c r="I28" s="111">
        <v>237.3</v>
      </c>
      <c r="J28" s="111">
        <v>296.63</v>
      </c>
      <c r="K28" s="111">
        <v>0</v>
      </c>
      <c r="L28" s="125">
        <v>0</v>
      </c>
    </row>
    <row r="29" spans="1:12">
      <c r="B29" s="29">
        <v>75201</v>
      </c>
      <c r="C29" s="29" t="s">
        <v>401</v>
      </c>
      <c r="D29" s="29">
        <v>1</v>
      </c>
      <c r="E29" s="28" t="s">
        <v>400</v>
      </c>
      <c r="F29" s="111">
        <v>50</v>
      </c>
      <c r="G29" s="27">
        <v>8</v>
      </c>
      <c r="H29" s="111">
        <v>400</v>
      </c>
      <c r="I29" s="111">
        <v>452</v>
      </c>
      <c r="J29" s="111">
        <v>565</v>
      </c>
      <c r="K29" s="111">
        <v>0</v>
      </c>
      <c r="L29" s="125">
        <v>0</v>
      </c>
    </row>
    <row r="30" spans="1:12">
      <c r="B30" s="29">
        <v>75202</v>
      </c>
      <c r="C30" s="29" t="s">
        <v>222</v>
      </c>
      <c r="D30" s="29">
        <v>3</v>
      </c>
      <c r="E30" s="28" t="s">
        <v>399</v>
      </c>
      <c r="F30" s="111">
        <v>3</v>
      </c>
      <c r="G30" s="27">
        <v>80</v>
      </c>
      <c r="H30" s="111">
        <v>240</v>
      </c>
      <c r="I30" s="111">
        <v>271.2</v>
      </c>
      <c r="J30" s="111">
        <v>339</v>
      </c>
      <c r="K30" s="111">
        <v>169.27</v>
      </c>
      <c r="L30" s="125">
        <v>169.27</v>
      </c>
    </row>
    <row r="31" spans="1:12">
      <c r="B31" s="29">
        <v>75203</v>
      </c>
      <c r="C31" s="29" t="s">
        <v>357</v>
      </c>
      <c r="D31" s="29">
        <v>3</v>
      </c>
      <c r="E31" s="28" t="s">
        <v>399</v>
      </c>
      <c r="F31" s="111">
        <v>0.5</v>
      </c>
      <c r="G31" s="27">
        <v>80</v>
      </c>
      <c r="H31" s="111">
        <v>40</v>
      </c>
      <c r="I31" s="111">
        <v>45.2</v>
      </c>
      <c r="J31" s="111">
        <v>56.5</v>
      </c>
      <c r="K31" s="111">
        <v>20.82</v>
      </c>
      <c r="L31" s="125">
        <v>20.82</v>
      </c>
    </row>
    <row r="32" spans="1:12">
      <c r="B32" s="29">
        <v>75204</v>
      </c>
      <c r="C32" s="29" t="s">
        <v>222</v>
      </c>
      <c r="D32" s="29">
        <v>3</v>
      </c>
      <c r="E32" s="28" t="s">
        <v>398</v>
      </c>
      <c r="F32" s="111">
        <v>3</v>
      </c>
      <c r="G32" s="27">
        <v>80</v>
      </c>
      <c r="H32" s="111">
        <v>240</v>
      </c>
      <c r="I32" s="111">
        <v>271.2</v>
      </c>
      <c r="J32" s="111">
        <v>339</v>
      </c>
      <c r="K32" s="111">
        <v>0</v>
      </c>
      <c r="L32" s="125">
        <v>0</v>
      </c>
    </row>
    <row r="33" spans="1:12">
      <c r="B33" s="29">
        <v>75205</v>
      </c>
      <c r="C33" s="29" t="s">
        <v>357</v>
      </c>
      <c r="D33" s="29">
        <v>3</v>
      </c>
      <c r="E33" s="28" t="s">
        <v>398</v>
      </c>
      <c r="F33" s="111">
        <v>0.5</v>
      </c>
      <c r="G33" s="27">
        <v>80</v>
      </c>
      <c r="H33" s="111">
        <v>40</v>
      </c>
      <c r="I33" s="111">
        <v>45.2</v>
      </c>
      <c r="J33" s="111">
        <v>56.5</v>
      </c>
      <c r="K33" s="111">
        <v>0</v>
      </c>
      <c r="L33" s="125">
        <v>0</v>
      </c>
    </row>
    <row r="34" spans="1:12">
      <c r="B34" s="29">
        <v>75206</v>
      </c>
      <c r="C34" s="29" t="s">
        <v>397</v>
      </c>
      <c r="D34" s="29">
        <v>1</v>
      </c>
      <c r="E34" s="28" t="s">
        <v>396</v>
      </c>
      <c r="F34" s="111">
        <v>160</v>
      </c>
      <c r="G34" s="27">
        <v>1</v>
      </c>
      <c r="H34" s="111">
        <v>160</v>
      </c>
      <c r="I34" s="111">
        <v>180.8</v>
      </c>
      <c r="J34" s="111">
        <v>226</v>
      </c>
      <c r="K34" s="111">
        <v>150</v>
      </c>
      <c r="L34" s="125">
        <v>150</v>
      </c>
    </row>
    <row r="35" spans="1:12">
      <c r="B35" s="29">
        <v>75207</v>
      </c>
      <c r="C35" s="29" t="s">
        <v>395</v>
      </c>
      <c r="D35" s="29">
        <v>1</v>
      </c>
      <c r="E35" s="28" t="s">
        <v>394</v>
      </c>
      <c r="F35" s="111">
        <v>60</v>
      </c>
      <c r="G35" s="27">
        <v>1</v>
      </c>
      <c r="H35" s="111">
        <v>60</v>
      </c>
      <c r="I35" s="111">
        <v>67.8</v>
      </c>
      <c r="J35" s="111">
        <v>84.75</v>
      </c>
      <c r="K35" s="111">
        <v>0</v>
      </c>
      <c r="L35" s="125">
        <v>0</v>
      </c>
    </row>
    <row r="36" spans="1:12">
      <c r="B36" s="29">
        <v>75208</v>
      </c>
      <c r="C36" s="29" t="s">
        <v>388</v>
      </c>
      <c r="D36" s="29">
        <v>2</v>
      </c>
      <c r="E36" s="28" t="s">
        <v>393</v>
      </c>
      <c r="F36" s="111">
        <v>9.6</v>
      </c>
      <c r="G36" s="27">
        <v>2</v>
      </c>
      <c r="H36" s="111">
        <v>19.2</v>
      </c>
      <c r="I36" s="111">
        <v>21.7</v>
      </c>
      <c r="J36" s="111">
        <v>27.12</v>
      </c>
      <c r="K36" s="111">
        <v>75</v>
      </c>
      <c r="L36" s="125">
        <v>75</v>
      </c>
    </row>
    <row r="37" spans="1:12">
      <c r="A37" s="107"/>
      <c r="B37" s="29">
        <v>75209</v>
      </c>
      <c r="C37" s="29" t="s">
        <v>392</v>
      </c>
      <c r="D37" s="29">
        <v>3</v>
      </c>
      <c r="E37" s="28" t="s">
        <v>391</v>
      </c>
      <c r="F37" s="111">
        <v>90.4</v>
      </c>
      <c r="G37" s="27">
        <v>2</v>
      </c>
      <c r="H37" s="111">
        <v>180.8</v>
      </c>
      <c r="I37" s="111">
        <v>204.3</v>
      </c>
      <c r="J37" s="111">
        <v>255.38</v>
      </c>
      <c r="K37" s="111">
        <v>0</v>
      </c>
      <c r="L37" s="125">
        <v>0</v>
      </c>
    </row>
    <row r="38" spans="1:12">
      <c r="A38" s="107" t="s">
        <v>390</v>
      </c>
      <c r="B38" s="29">
        <v>75210</v>
      </c>
      <c r="C38" s="29" t="s">
        <v>222</v>
      </c>
      <c r="D38" s="29">
        <v>1</v>
      </c>
      <c r="E38" s="28" t="s">
        <v>389</v>
      </c>
      <c r="F38" s="111">
        <v>3</v>
      </c>
      <c r="G38" s="27">
        <v>150</v>
      </c>
      <c r="H38" s="111">
        <v>450</v>
      </c>
      <c r="I38" s="111">
        <v>508.5</v>
      </c>
      <c r="J38" s="111">
        <v>635.63</v>
      </c>
      <c r="K38" s="111">
        <v>322.97000000000003</v>
      </c>
      <c r="L38" s="125">
        <v>322.97000000000003</v>
      </c>
    </row>
    <row r="39" spans="1:12">
      <c r="A39" s="107"/>
      <c r="B39" s="29">
        <v>75211</v>
      </c>
      <c r="C39" s="29" t="s">
        <v>388</v>
      </c>
      <c r="D39" s="29">
        <v>1</v>
      </c>
      <c r="E39" s="28" t="s">
        <v>387</v>
      </c>
      <c r="F39" s="111">
        <v>8.49</v>
      </c>
      <c r="G39" s="27">
        <v>3</v>
      </c>
      <c r="H39" s="111">
        <v>25.47</v>
      </c>
      <c r="I39" s="111">
        <v>28.78</v>
      </c>
      <c r="J39" s="111">
        <v>35.979999999999997</v>
      </c>
      <c r="K39" s="111">
        <v>27.87</v>
      </c>
      <c r="L39" s="125">
        <v>27.87</v>
      </c>
    </row>
    <row r="40" spans="1:12">
      <c r="B40" s="29">
        <v>75212</v>
      </c>
      <c r="C40" s="29" t="s">
        <v>386</v>
      </c>
      <c r="D40" s="29">
        <v>1</v>
      </c>
      <c r="E40" s="28" t="s">
        <v>385</v>
      </c>
      <c r="F40" s="111">
        <v>20</v>
      </c>
      <c r="G40" s="27">
        <v>2</v>
      </c>
      <c r="H40" s="111">
        <v>40</v>
      </c>
      <c r="I40" s="111">
        <v>45.2</v>
      </c>
      <c r="J40" s="111">
        <v>56.5</v>
      </c>
      <c r="K40" s="111">
        <v>44.05</v>
      </c>
      <c r="L40" s="125">
        <v>44.05</v>
      </c>
    </row>
    <row r="41" spans="1:12">
      <c r="B41" s="29">
        <v>75213</v>
      </c>
      <c r="C41" s="29" t="s">
        <v>222</v>
      </c>
      <c r="D41" s="29">
        <v>3</v>
      </c>
      <c r="E41" s="28" t="s">
        <v>384</v>
      </c>
      <c r="F41" s="111">
        <v>3</v>
      </c>
      <c r="G41" s="27">
        <v>30</v>
      </c>
      <c r="H41" s="111">
        <v>90</v>
      </c>
      <c r="I41" s="111">
        <v>101.7</v>
      </c>
      <c r="J41" s="111">
        <v>127.13</v>
      </c>
      <c r="K41" s="111">
        <v>0</v>
      </c>
      <c r="L41" s="125">
        <v>0</v>
      </c>
    </row>
    <row r="42" spans="1:12">
      <c r="B42" s="29">
        <v>75214</v>
      </c>
      <c r="C42" s="29" t="s">
        <v>222</v>
      </c>
      <c r="D42" s="29">
        <v>3</v>
      </c>
      <c r="E42" s="28" t="s">
        <v>383</v>
      </c>
      <c r="F42" s="111">
        <v>3</v>
      </c>
      <c r="G42" s="27">
        <v>30</v>
      </c>
      <c r="H42" s="111">
        <v>90</v>
      </c>
      <c r="I42" s="111">
        <v>101.7</v>
      </c>
      <c r="J42" s="111">
        <v>127.13</v>
      </c>
      <c r="K42" s="111">
        <v>0</v>
      </c>
      <c r="L42" s="125">
        <v>0</v>
      </c>
    </row>
    <row r="43" spans="1:12">
      <c r="B43" s="29">
        <v>75215</v>
      </c>
      <c r="C43" s="29" t="s">
        <v>222</v>
      </c>
      <c r="D43" s="29">
        <v>3</v>
      </c>
      <c r="E43" s="28" t="s">
        <v>382</v>
      </c>
      <c r="F43" s="111">
        <v>3</v>
      </c>
      <c r="G43" s="27">
        <v>30</v>
      </c>
      <c r="H43" s="111">
        <v>90</v>
      </c>
      <c r="I43" s="111">
        <v>101.7</v>
      </c>
      <c r="J43" s="111">
        <v>127.13</v>
      </c>
      <c r="K43" s="111">
        <v>0</v>
      </c>
      <c r="L43" s="125">
        <v>0</v>
      </c>
    </row>
    <row r="44" spans="1:12">
      <c r="B44" s="29">
        <v>75216</v>
      </c>
      <c r="C44" s="29" t="s">
        <v>222</v>
      </c>
      <c r="D44" s="29">
        <v>3</v>
      </c>
      <c r="E44" s="28" t="s">
        <v>381</v>
      </c>
      <c r="F44" s="111">
        <v>3</v>
      </c>
      <c r="G44" s="27">
        <v>30</v>
      </c>
      <c r="H44" s="111">
        <v>90</v>
      </c>
      <c r="I44" s="111">
        <v>101.7</v>
      </c>
      <c r="J44" s="111">
        <v>127.13</v>
      </c>
      <c r="K44" s="111">
        <v>0</v>
      </c>
      <c r="L44" s="125">
        <v>0</v>
      </c>
    </row>
    <row r="45" spans="1:12">
      <c r="B45" s="29">
        <v>75217</v>
      </c>
      <c r="C45" s="29" t="s">
        <v>380</v>
      </c>
      <c r="D45" s="29">
        <v>3</v>
      </c>
      <c r="E45" s="28" t="s">
        <v>379</v>
      </c>
      <c r="F45" s="111">
        <v>30</v>
      </c>
      <c r="G45" s="27">
        <v>6</v>
      </c>
      <c r="H45" s="111">
        <v>180</v>
      </c>
      <c r="I45" s="111">
        <v>203.4</v>
      </c>
      <c r="J45" s="111">
        <v>254.25</v>
      </c>
      <c r="K45" s="111">
        <v>270.41999999999996</v>
      </c>
      <c r="L45" s="125">
        <v>270.42</v>
      </c>
    </row>
    <row r="46" spans="1:12" customFormat="1">
      <c r="L46" s="159"/>
    </row>
    <row r="47" spans="1:12">
      <c r="A47" s="16"/>
      <c r="B47" s="43" t="s">
        <v>378</v>
      </c>
      <c r="C47" s="77"/>
      <c r="D47" s="77"/>
      <c r="E47" s="78"/>
      <c r="F47" s="148"/>
      <c r="G47" s="80"/>
      <c r="H47" s="148"/>
      <c r="I47" s="114">
        <f>SUM(I28:I45)</f>
        <v>2989.3799999999992</v>
      </c>
      <c r="J47" s="114">
        <f t="shared" ref="J47:L47" si="1">SUM(J28:J45)</f>
        <v>3736.7600000000007</v>
      </c>
      <c r="K47" s="114">
        <f t="shared" si="1"/>
        <v>1080.4000000000001</v>
      </c>
      <c r="L47" s="126">
        <f t="shared" si="1"/>
        <v>1080.4000000000001</v>
      </c>
    </row>
    <row r="48" spans="1:12">
      <c r="A48" s="107" t="s">
        <v>377</v>
      </c>
      <c r="L48" s="125"/>
    </row>
    <row r="49" spans="1:12">
      <c r="A49" s="16" t="s">
        <v>376</v>
      </c>
      <c r="B49" s="29">
        <v>75300</v>
      </c>
      <c r="C49" s="29" t="s">
        <v>375</v>
      </c>
      <c r="D49" s="29">
        <v>1</v>
      </c>
      <c r="E49" s="28" t="s">
        <v>374</v>
      </c>
      <c r="F49" s="111">
        <v>450</v>
      </c>
      <c r="G49" s="27">
        <v>1</v>
      </c>
      <c r="H49" s="111">
        <v>450</v>
      </c>
      <c r="I49" s="111">
        <v>508.5</v>
      </c>
      <c r="J49" s="111">
        <v>635.63</v>
      </c>
      <c r="L49" s="125"/>
    </row>
    <row r="50" spans="1:12">
      <c r="B50" s="29">
        <v>75301</v>
      </c>
      <c r="C50" s="29" t="s">
        <v>373</v>
      </c>
      <c r="D50" s="29">
        <v>1</v>
      </c>
      <c r="E50" s="28" t="s">
        <v>372</v>
      </c>
      <c r="F50" s="111">
        <v>40</v>
      </c>
      <c r="G50" s="27">
        <v>160</v>
      </c>
      <c r="H50" s="111">
        <v>6400</v>
      </c>
      <c r="I50" s="111">
        <v>7232</v>
      </c>
      <c r="J50" s="111">
        <v>9040</v>
      </c>
      <c r="L50" s="125"/>
    </row>
    <row r="51" spans="1:12">
      <c r="B51" s="29">
        <v>75302</v>
      </c>
      <c r="C51" s="29" t="s">
        <v>371</v>
      </c>
      <c r="D51" s="29">
        <v>2</v>
      </c>
      <c r="E51" s="28" t="s">
        <v>370</v>
      </c>
      <c r="F51" s="111">
        <v>30</v>
      </c>
      <c r="G51" s="27">
        <v>64</v>
      </c>
      <c r="H51" s="111">
        <v>1920</v>
      </c>
      <c r="I51" s="111">
        <v>2169.6</v>
      </c>
      <c r="J51" s="111">
        <v>2712</v>
      </c>
      <c r="L51" s="125"/>
    </row>
    <row r="52" spans="1:12">
      <c r="B52" s="29">
        <v>75303</v>
      </c>
      <c r="C52" s="29" t="s">
        <v>369</v>
      </c>
      <c r="D52" s="29">
        <v>2</v>
      </c>
      <c r="E52" s="28" t="s">
        <v>368</v>
      </c>
      <c r="F52" s="111">
        <v>890</v>
      </c>
      <c r="G52" s="27">
        <v>1</v>
      </c>
      <c r="H52" s="111">
        <v>890</v>
      </c>
      <c r="I52" s="111">
        <v>1005.7</v>
      </c>
      <c r="J52" s="111">
        <v>1257.1300000000001</v>
      </c>
      <c r="L52" s="125"/>
    </row>
    <row r="53" spans="1:12">
      <c r="B53" s="29">
        <v>75304</v>
      </c>
      <c r="C53" s="29" t="s">
        <v>367</v>
      </c>
      <c r="D53" s="29">
        <v>1</v>
      </c>
      <c r="E53" s="28" t="s">
        <v>366</v>
      </c>
      <c r="F53" s="111">
        <v>500</v>
      </c>
      <c r="G53" s="27">
        <v>1</v>
      </c>
      <c r="H53" s="111">
        <v>500</v>
      </c>
      <c r="I53" s="111">
        <v>565</v>
      </c>
      <c r="J53" s="111">
        <v>706.25</v>
      </c>
      <c r="L53" s="125"/>
    </row>
    <row r="54" spans="1:12">
      <c r="B54" s="29">
        <v>75305</v>
      </c>
      <c r="C54" s="29" t="s">
        <v>365</v>
      </c>
      <c r="D54" s="29">
        <v>1</v>
      </c>
      <c r="E54" s="28" t="s">
        <v>364</v>
      </c>
      <c r="F54" s="111">
        <v>470</v>
      </c>
      <c r="G54" s="27">
        <v>1</v>
      </c>
      <c r="H54" s="111">
        <v>470</v>
      </c>
      <c r="I54" s="111">
        <v>531.1</v>
      </c>
      <c r="J54" s="111">
        <v>663.88</v>
      </c>
      <c r="L54" s="125"/>
    </row>
    <row r="55" spans="1:12">
      <c r="B55" s="29">
        <v>75306</v>
      </c>
      <c r="C55" s="29" t="s">
        <v>363</v>
      </c>
      <c r="D55" s="29">
        <v>1</v>
      </c>
      <c r="E55" s="28" t="s">
        <v>362</v>
      </c>
      <c r="F55" s="111">
        <v>50</v>
      </c>
      <c r="G55" s="27">
        <v>1</v>
      </c>
      <c r="H55" s="111">
        <v>50</v>
      </c>
      <c r="I55" s="111">
        <v>56.5</v>
      </c>
      <c r="J55" s="111">
        <v>70.63</v>
      </c>
      <c r="L55" s="125"/>
    </row>
    <row r="56" spans="1:12">
      <c r="A56" s="107"/>
      <c r="B56" s="29">
        <v>75307</v>
      </c>
      <c r="C56" s="29" t="s">
        <v>361</v>
      </c>
      <c r="D56" s="29">
        <v>5</v>
      </c>
      <c r="E56" s="28" t="s">
        <v>360</v>
      </c>
      <c r="F56" s="111">
        <v>50</v>
      </c>
      <c r="G56" s="27">
        <v>1</v>
      </c>
      <c r="H56" s="111">
        <v>50</v>
      </c>
      <c r="I56" s="111">
        <v>56.5</v>
      </c>
      <c r="J56" s="111">
        <v>70.63</v>
      </c>
      <c r="L56" s="125"/>
    </row>
    <row r="57" spans="1:12">
      <c r="A57" s="16" t="s">
        <v>359</v>
      </c>
      <c r="B57" s="29">
        <v>75308</v>
      </c>
      <c r="C57" s="29" t="s">
        <v>223</v>
      </c>
      <c r="D57" s="29">
        <v>3</v>
      </c>
      <c r="E57" s="28" t="s">
        <v>358</v>
      </c>
      <c r="F57" s="111">
        <v>21</v>
      </c>
      <c r="G57" s="27">
        <v>3</v>
      </c>
      <c r="H57" s="111">
        <v>63</v>
      </c>
      <c r="I57" s="111">
        <v>71.19</v>
      </c>
      <c r="J57" s="111">
        <v>88.99</v>
      </c>
      <c r="L57" s="125"/>
    </row>
    <row r="58" spans="1:12">
      <c r="B58" s="29">
        <v>75309</v>
      </c>
      <c r="C58" s="29" t="s">
        <v>357</v>
      </c>
      <c r="D58" s="29">
        <v>4</v>
      </c>
      <c r="E58" s="28" t="s">
        <v>356</v>
      </c>
      <c r="F58" s="111">
        <v>1.5</v>
      </c>
      <c r="G58" s="27">
        <v>13</v>
      </c>
      <c r="H58" s="111">
        <v>19.5</v>
      </c>
      <c r="I58" s="111">
        <v>22.04</v>
      </c>
      <c r="J58" s="111">
        <v>27.54</v>
      </c>
      <c r="L58" s="125"/>
    </row>
    <row r="59" spans="1:12" customFormat="1">
      <c r="L59" s="159"/>
    </row>
    <row r="60" spans="1:12">
      <c r="B60" s="43" t="s">
        <v>355</v>
      </c>
      <c r="C60" s="77"/>
      <c r="D60" s="77"/>
      <c r="E60" s="78"/>
      <c r="F60" s="148"/>
      <c r="G60" s="80"/>
      <c r="H60" s="148"/>
      <c r="I60" s="114">
        <f>SUM(I49:I58)</f>
        <v>12218.130000000003</v>
      </c>
      <c r="J60" s="114">
        <f t="shared" ref="J60:L60" si="2">SUM(J49:J58)</f>
        <v>15272.679999999997</v>
      </c>
      <c r="K60" s="114">
        <f t="shared" si="2"/>
        <v>0</v>
      </c>
      <c r="L60" s="126">
        <f t="shared" si="2"/>
        <v>0</v>
      </c>
    </row>
    <row r="61" spans="1:12">
      <c r="B61" s="153"/>
      <c r="C61" s="154"/>
      <c r="D61" s="154"/>
      <c r="E61" s="155"/>
      <c r="F61" s="156"/>
      <c r="G61" s="157"/>
      <c r="H61" s="156"/>
      <c r="I61" s="158"/>
      <c r="J61" s="158"/>
      <c r="K61" s="158"/>
      <c r="L61" s="147"/>
    </row>
    <row r="62" spans="1:12" s="30" customFormat="1" ht="14.5">
      <c r="A62" s="37"/>
      <c r="B62" s="36" t="s">
        <v>8</v>
      </c>
      <c r="C62" s="35"/>
      <c r="D62" s="35"/>
      <c r="E62" s="34"/>
      <c r="F62" s="116"/>
      <c r="G62" s="33"/>
      <c r="H62" s="116"/>
      <c r="I62" s="116">
        <f>SUM(I26,I47,I60)</f>
        <v>19518.43</v>
      </c>
      <c r="J62" s="116">
        <f t="shared" ref="J62:L62" si="3">SUM(J26,J47,J60)</f>
        <v>24163.339999999997</v>
      </c>
      <c r="K62" s="116">
        <f t="shared" si="3"/>
        <v>2714</v>
      </c>
      <c r="L62" s="128">
        <f t="shared" si="3"/>
        <v>2541.38</v>
      </c>
    </row>
    <row r="63" spans="1:12">
      <c r="L63" s="125"/>
    </row>
    <row r="64" spans="1:12" ht="15" customHeight="1">
      <c r="A64" s="24" t="s">
        <v>7</v>
      </c>
      <c r="B64" s="23"/>
      <c r="C64" s="23"/>
      <c r="D64" s="23"/>
      <c r="E64" s="22"/>
      <c r="F64" s="112"/>
      <c r="G64" s="21"/>
      <c r="H64" s="112"/>
      <c r="I64" s="112"/>
      <c r="J64" s="112"/>
      <c r="K64" s="112"/>
      <c r="L64" s="123"/>
    </row>
    <row r="65" spans="1:12" s="6" customFormat="1" ht="14.5">
      <c r="A65" s="16"/>
      <c r="B65" s="17" t="s">
        <v>6</v>
      </c>
      <c r="C65" s="17"/>
      <c r="D65" s="17"/>
      <c r="E65" s="16"/>
      <c r="F65" s="115"/>
      <c r="G65" s="15"/>
      <c r="H65" s="115"/>
      <c r="I65" s="115">
        <f>I6</f>
        <v>0</v>
      </c>
      <c r="J65" s="115">
        <f>J6</f>
        <v>0</v>
      </c>
      <c r="K65" s="115">
        <f>K6</f>
        <v>0</v>
      </c>
      <c r="L65" s="130">
        <f>L6</f>
        <v>0</v>
      </c>
    </row>
    <row r="66" spans="1:12" s="6" customFormat="1" ht="14.5">
      <c r="A66" s="16"/>
      <c r="B66" s="17" t="s">
        <v>5</v>
      </c>
      <c r="C66" s="17"/>
      <c r="D66" s="17"/>
      <c r="E66" s="16"/>
      <c r="F66" s="115"/>
      <c r="G66" s="15"/>
      <c r="H66" s="115"/>
      <c r="I66" s="115">
        <f>I62</f>
        <v>19518.43</v>
      </c>
      <c r="J66" s="115">
        <f>J62</f>
        <v>24163.339999999997</v>
      </c>
      <c r="K66" s="115">
        <f>K62</f>
        <v>2714</v>
      </c>
      <c r="L66" s="127">
        <f>L62</f>
        <v>2541.38</v>
      </c>
    </row>
    <row r="67" spans="1:12" s="6" customFormat="1" ht="14.5">
      <c r="A67" s="11"/>
      <c r="B67" s="12" t="s">
        <v>4</v>
      </c>
      <c r="C67" s="12"/>
      <c r="D67" s="12"/>
      <c r="E67" s="11"/>
      <c r="F67" s="118"/>
      <c r="G67" s="10"/>
      <c r="H67" s="118"/>
      <c r="I67" s="118">
        <f>SUM(I65,I66*-1)</f>
        <v>-19518.43</v>
      </c>
      <c r="J67" s="118">
        <f>SUM(J65,J66*-1)</f>
        <v>-24163.339999999997</v>
      </c>
      <c r="K67" s="118">
        <f>SUM(K65,K66*-1)</f>
        <v>-2714</v>
      </c>
      <c r="L67" s="131">
        <f>SUM(L65,L66*-1)</f>
        <v>-2541.38</v>
      </c>
    </row>
  </sheetData>
  <mergeCells count="1">
    <mergeCell ref="B1:K1"/>
  </mergeCells>
  <conditionalFormatting sqref="H21:L23 C13:E23 C56:L57 B11:J11 B10:L10 B12:B23 G13:G23 B29:B44 L11 B24:L24 B26:L28 B64:L67 B60:L61">
    <cfRule type="expression" dxfId="43" priority="20">
      <formula>MOD($B10,2)=1</formula>
    </cfRule>
  </conditionalFormatting>
  <conditionalFormatting sqref="B5:L7">
    <cfRule type="expression" dxfId="42" priority="19">
      <formula>MOD($B5,2)=1</formula>
    </cfRule>
  </conditionalFormatting>
  <conditionalFormatting sqref="B58:L58 B51:B57 B47:L50">
    <cfRule type="expression" dxfId="41" priority="18">
      <formula>MOD($B47,2)=1</formula>
    </cfRule>
  </conditionalFormatting>
  <conditionalFormatting sqref="B45:L45 C29:L34">
    <cfRule type="expression" dxfId="40" priority="17">
      <formula>MOD($B29,2)=1</formula>
    </cfRule>
  </conditionalFormatting>
  <conditionalFormatting sqref="C12:L12 F13:F23">
    <cfRule type="expression" dxfId="39" priority="16">
      <formula>MOD($B12,2)=1</formula>
    </cfRule>
  </conditionalFormatting>
  <conditionalFormatting sqref="H13:L16">
    <cfRule type="expression" dxfId="38" priority="15">
      <formula>MOD($B13,2)=1</formula>
    </cfRule>
  </conditionalFormatting>
  <conditionalFormatting sqref="H17:L20">
    <cfRule type="expression" dxfId="37" priority="14">
      <formula>MOD($B17,2)=1</formula>
    </cfRule>
  </conditionalFormatting>
  <conditionalFormatting sqref="C51:L52">
    <cfRule type="expression" dxfId="36" priority="13">
      <formula>MOD($B51,2)=1</formula>
    </cfRule>
  </conditionalFormatting>
  <conditionalFormatting sqref="C53:L53">
    <cfRule type="expression" dxfId="35" priority="12">
      <formula>MOD($B53,2)=1</formula>
    </cfRule>
  </conditionalFormatting>
  <conditionalFormatting sqref="C55:L55">
    <cfRule type="expression" dxfId="34" priority="11">
      <formula>MOD($B55,2)=1</formula>
    </cfRule>
  </conditionalFormatting>
  <conditionalFormatting sqref="G41:G43 C35:L40">
    <cfRule type="expression" dxfId="33" priority="10">
      <formula>MOD($B35,2)=1</formula>
    </cfRule>
  </conditionalFormatting>
  <conditionalFormatting sqref="C41:F42 H41:L42">
    <cfRule type="expression" dxfId="32" priority="9">
      <formula>MOD($B41,2)=1</formula>
    </cfRule>
  </conditionalFormatting>
  <conditionalFormatting sqref="C43:F43 H43:L43">
    <cfRule type="expression" dxfId="31" priority="8">
      <formula>MOD($B43,2)=1</formula>
    </cfRule>
  </conditionalFormatting>
  <conditionalFormatting sqref="C54:L54">
    <cfRule type="expression" dxfId="30" priority="7">
      <formula>MOD($B54,2)=1</formula>
    </cfRule>
  </conditionalFormatting>
  <conditionalFormatting sqref="C44:L44">
    <cfRule type="expression" dxfId="29" priority="6">
      <formula>MOD($B44,2)=1</formula>
    </cfRule>
  </conditionalFormatting>
  <conditionalFormatting sqref="K11">
    <cfRule type="expression" dxfId="28" priority="5">
      <formula>MOD($B11,2)=1</formula>
    </cfRule>
  </conditionalFormatting>
  <conditionalFormatting sqref="B62:L62">
    <cfRule type="expression" dxfId="27" priority="1">
      <formula>MOD($B62,2)=1</formula>
    </cfRule>
  </conditionalFormatting>
  <pageMargins left="0.7" right="0.7" top="0.75" bottom="0.75" header="0.3" footer="0.3"/>
  <pageSetup scale="26" fitToWidth="0" fitToHeight="0"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A93285-B2B2-4137-A794-46A3E300EB95}">
  <sheetPr codeName="Sheet5"/>
  <dimension ref="A1:L53"/>
  <sheetViews>
    <sheetView showGridLines="0" zoomScale="45" zoomScaleNormal="75" workbookViewId="0">
      <pane ySplit="2" topLeftCell="A3" activePane="bottomLeft" state="frozen"/>
      <selection pane="bottomLeft" activeCell="F64" sqref="F64"/>
    </sheetView>
  </sheetViews>
  <sheetFormatPr defaultColWidth="9.58203125" defaultRowHeight="15.5"/>
  <cols>
    <col min="1" max="1" width="29.58203125" style="28" customWidth="1"/>
    <col min="2" max="3" width="23.1640625" style="29" customWidth="1"/>
    <col min="4" max="4" width="37.25" style="28" customWidth="1"/>
    <col min="5" max="5" width="36.33203125" style="28" customWidth="1"/>
    <col min="6" max="6" width="15.25" style="26" customWidth="1"/>
    <col min="7" max="7" width="15.25" style="27" customWidth="1"/>
    <col min="8" max="8" width="19.33203125" style="26" customWidth="1"/>
    <col min="9" max="9" width="18.1640625" style="26" customWidth="1"/>
    <col min="10" max="11" width="20.58203125" style="26" customWidth="1"/>
    <col min="12" max="12" width="20.83203125" style="58" customWidth="1"/>
    <col min="13" max="16384" width="9.58203125" style="1"/>
  </cols>
  <sheetData>
    <row r="1" spans="1:12" ht="148.5" customHeight="1">
      <c r="B1" s="368" t="s">
        <v>354</v>
      </c>
      <c r="C1" s="368"/>
      <c r="D1" s="368"/>
      <c r="E1" s="368"/>
      <c r="F1" s="368"/>
      <c r="G1" s="368"/>
      <c r="H1" s="368"/>
      <c r="I1" s="368"/>
      <c r="J1" s="368"/>
      <c r="K1" s="368"/>
    </row>
    <row r="2" spans="1:12" s="62" customFormat="1" ht="15" customHeight="1">
      <c r="A2" s="65" t="s">
        <v>106</v>
      </c>
      <c r="B2" s="65" t="s">
        <v>105</v>
      </c>
      <c r="C2" s="65" t="s">
        <v>104</v>
      </c>
      <c r="D2" s="65" t="s">
        <v>103</v>
      </c>
      <c r="E2" s="65" t="s">
        <v>102</v>
      </c>
      <c r="F2" s="64" t="s">
        <v>101</v>
      </c>
      <c r="G2" s="65" t="s">
        <v>1</v>
      </c>
      <c r="H2" s="64" t="s">
        <v>100</v>
      </c>
      <c r="I2" s="64" t="s">
        <v>99</v>
      </c>
      <c r="J2" s="64" t="s">
        <v>176</v>
      </c>
      <c r="K2" s="64" t="s">
        <v>98</v>
      </c>
      <c r="L2" s="63" t="s">
        <v>2</v>
      </c>
    </row>
    <row r="3" spans="1:12" ht="14.25" customHeight="1">
      <c r="L3" s="61"/>
    </row>
    <row r="4" spans="1:12" ht="15" customHeight="1">
      <c r="A4" s="24" t="s">
        <v>0</v>
      </c>
      <c r="B4" s="23"/>
      <c r="C4" s="23"/>
      <c r="D4" s="22"/>
      <c r="E4" s="22"/>
      <c r="F4" s="20"/>
      <c r="G4" s="21"/>
      <c r="H4" s="20"/>
      <c r="I4" s="20"/>
      <c r="J4" s="20"/>
      <c r="K4" s="20"/>
      <c r="L4" s="19"/>
    </row>
    <row r="5" spans="1:12">
      <c r="L5" s="25"/>
    </row>
    <row r="6" spans="1:12" s="30" customFormat="1" ht="14.5">
      <c r="A6" s="37"/>
      <c r="B6" s="36" t="s">
        <v>83</v>
      </c>
      <c r="C6" s="35"/>
      <c r="D6" s="34"/>
      <c r="E6" s="34"/>
      <c r="F6" s="32"/>
      <c r="G6" s="33"/>
      <c r="H6" s="32"/>
      <c r="I6" s="32">
        <v>0</v>
      </c>
      <c r="J6" s="32">
        <v>0</v>
      </c>
      <c r="K6" s="32">
        <v>0</v>
      </c>
      <c r="L6" s="31">
        <v>0</v>
      </c>
    </row>
    <row r="7" spans="1:12">
      <c r="L7" s="139"/>
    </row>
    <row r="8" spans="1:12" ht="15" customHeight="1">
      <c r="A8" s="24" t="s">
        <v>3</v>
      </c>
      <c r="B8" s="23"/>
      <c r="C8" s="23"/>
      <c r="D8" s="22"/>
      <c r="E8" s="22"/>
      <c r="F8" s="20"/>
      <c r="G8" s="21"/>
      <c r="H8" s="20"/>
      <c r="I8" s="20"/>
      <c r="J8" s="20"/>
      <c r="K8" s="20"/>
      <c r="L8" s="19"/>
    </row>
    <row r="9" spans="1:12">
      <c r="A9" s="16" t="s">
        <v>353</v>
      </c>
      <c r="K9" s="135"/>
      <c r="L9" s="25"/>
    </row>
    <row r="10" spans="1:12">
      <c r="B10" s="137" t="s">
        <v>352</v>
      </c>
      <c r="C10" s="29" t="s">
        <v>351</v>
      </c>
      <c r="D10" s="29">
        <v>3</v>
      </c>
      <c r="E10" s="28" t="s">
        <v>350</v>
      </c>
      <c r="F10" s="26">
        <v>1503.88</v>
      </c>
      <c r="G10" s="27">
        <v>1</v>
      </c>
      <c r="H10" s="26">
        <f>F10*G10</f>
        <v>1503.88</v>
      </c>
      <c r="I10" s="26">
        <f>H10*1.13</f>
        <v>1699.3843999999999</v>
      </c>
      <c r="J10" s="26">
        <f>I10*1.25</f>
        <v>2124.2304999999997</v>
      </c>
      <c r="K10" s="135"/>
      <c r="L10" s="25"/>
    </row>
    <row r="11" spans="1:12">
      <c r="K11" s="135"/>
      <c r="L11" s="25"/>
    </row>
    <row r="12" spans="1:12" s="6" customFormat="1" ht="14.5">
      <c r="A12" s="16"/>
      <c r="B12" s="43" t="s">
        <v>349</v>
      </c>
      <c r="C12" s="42"/>
      <c r="D12" s="41"/>
      <c r="E12" s="41"/>
      <c r="F12" s="39"/>
      <c r="G12" s="40"/>
      <c r="H12" s="39"/>
      <c r="I12" s="39">
        <f>I10</f>
        <v>1699.3843999999999</v>
      </c>
      <c r="J12" s="39">
        <f t="shared" ref="J12:L12" si="0">J10</f>
        <v>2124.2304999999997</v>
      </c>
      <c r="K12" s="39">
        <f t="shared" si="0"/>
        <v>0</v>
      </c>
      <c r="L12" s="38">
        <f t="shared" si="0"/>
        <v>0</v>
      </c>
    </row>
    <row r="13" spans="1:12">
      <c r="A13" s="16" t="s">
        <v>348</v>
      </c>
      <c r="K13" s="135"/>
      <c r="L13" s="25"/>
    </row>
    <row r="14" spans="1:12">
      <c r="B14" s="137" t="s">
        <v>347</v>
      </c>
      <c r="C14" s="29" t="s">
        <v>343</v>
      </c>
      <c r="D14" s="29">
        <v>2</v>
      </c>
      <c r="E14" s="28" t="s">
        <v>345</v>
      </c>
      <c r="F14" s="26">
        <v>15.5</v>
      </c>
      <c r="G14" s="27">
        <v>1</v>
      </c>
      <c r="H14" s="26">
        <f>F14*G14</f>
        <v>15.5</v>
      </c>
      <c r="I14" s="26">
        <f>H14*1.13</f>
        <v>17.514999999999997</v>
      </c>
      <c r="J14" s="26">
        <f>I14*1.25</f>
        <v>21.893749999999997</v>
      </c>
      <c r="K14" s="135">
        <v>17.52</v>
      </c>
      <c r="L14" s="140">
        <v>17.52</v>
      </c>
    </row>
    <row r="15" spans="1:12" s="28" customFormat="1">
      <c r="B15" s="137" t="s">
        <v>346</v>
      </c>
      <c r="C15" s="29" t="s">
        <v>343</v>
      </c>
      <c r="D15" s="29">
        <v>2</v>
      </c>
      <c r="E15" s="28" t="s">
        <v>345</v>
      </c>
      <c r="F15" s="26">
        <v>25</v>
      </c>
      <c r="G15" s="27">
        <v>6</v>
      </c>
      <c r="H15" s="26">
        <f>F15*G15</f>
        <v>150</v>
      </c>
      <c r="I15" s="26">
        <f>H15*1.13</f>
        <v>169.49999999999997</v>
      </c>
      <c r="J15" s="26">
        <f>I15*1.25</f>
        <v>211.87499999999997</v>
      </c>
      <c r="K15" s="135">
        <v>45.2</v>
      </c>
      <c r="L15" s="140">
        <v>45.2</v>
      </c>
    </row>
    <row r="16" spans="1:12" s="28" customFormat="1">
      <c r="B16" s="137" t="s">
        <v>344</v>
      </c>
      <c r="C16" s="29" t="s">
        <v>343</v>
      </c>
      <c r="D16" s="29">
        <v>2</v>
      </c>
      <c r="E16" s="28" t="s">
        <v>342</v>
      </c>
      <c r="F16" s="26">
        <v>12.99</v>
      </c>
      <c r="G16" s="27">
        <v>19</v>
      </c>
      <c r="H16" s="26">
        <f>F16*G16</f>
        <v>246.81</v>
      </c>
      <c r="I16" s="26">
        <f>H16*1.13</f>
        <v>278.89529999999996</v>
      </c>
      <c r="J16" s="26">
        <f>I16*1.25</f>
        <v>348.61912499999994</v>
      </c>
      <c r="K16" s="135"/>
      <c r="L16" s="25"/>
    </row>
    <row r="17" spans="1:12">
      <c r="D17" s="29"/>
      <c r="K17" s="135"/>
      <c r="L17" s="25"/>
    </row>
    <row r="18" spans="1:12" s="6" customFormat="1" ht="14.5">
      <c r="A18" s="16"/>
      <c r="B18" s="43" t="s">
        <v>341</v>
      </c>
      <c r="C18" s="42"/>
      <c r="D18" s="42"/>
      <c r="E18" s="41"/>
      <c r="F18" s="39"/>
      <c r="G18" s="40"/>
      <c r="H18" s="39"/>
      <c r="I18" s="39">
        <f>SUM(I14:I16)</f>
        <v>465.91029999999989</v>
      </c>
      <c r="J18" s="39">
        <f t="shared" ref="J18:L18" si="1">SUM(J14:J16)</f>
        <v>582.38787499999989</v>
      </c>
      <c r="K18" s="39">
        <f t="shared" si="1"/>
        <v>62.72</v>
      </c>
      <c r="L18" s="38">
        <f t="shared" si="1"/>
        <v>62.72</v>
      </c>
    </row>
    <row r="19" spans="1:12">
      <c r="A19" s="16" t="s">
        <v>340</v>
      </c>
      <c r="D19" s="29"/>
      <c r="K19" s="135"/>
      <c r="L19" s="25"/>
    </row>
    <row r="20" spans="1:12">
      <c r="B20" s="137" t="s">
        <v>339</v>
      </c>
      <c r="C20" s="29" t="s">
        <v>338</v>
      </c>
      <c r="D20" s="29">
        <v>1</v>
      </c>
      <c r="E20" s="99" t="s">
        <v>337</v>
      </c>
      <c r="F20" s="26">
        <v>8</v>
      </c>
      <c r="G20" s="27">
        <v>20</v>
      </c>
      <c r="H20" s="26">
        <f>F20*G20</f>
        <v>160</v>
      </c>
      <c r="I20" s="26">
        <f>H20*1.13</f>
        <v>180.79999999999998</v>
      </c>
      <c r="J20" s="26">
        <f>I20*1.25</f>
        <v>225.99999999999997</v>
      </c>
      <c r="K20" s="135"/>
      <c r="L20" s="25"/>
    </row>
    <row r="21" spans="1:12">
      <c r="B21" s="137" t="s">
        <v>336</v>
      </c>
      <c r="C21" s="29" t="s">
        <v>333</v>
      </c>
      <c r="D21" s="29">
        <v>1</v>
      </c>
      <c r="E21" s="99" t="s">
        <v>335</v>
      </c>
      <c r="F21" s="26">
        <v>20</v>
      </c>
      <c r="G21" s="27">
        <v>20</v>
      </c>
      <c r="H21" s="26">
        <f>F21*G21</f>
        <v>400</v>
      </c>
      <c r="I21" s="26">
        <f>H21*1.13</f>
        <v>451.99999999999994</v>
      </c>
      <c r="J21" s="26">
        <f>I21*1.25</f>
        <v>564.99999999999989</v>
      </c>
      <c r="K21" s="135"/>
      <c r="L21" s="25"/>
    </row>
    <row r="22" spans="1:12">
      <c r="B22" s="137" t="s">
        <v>334</v>
      </c>
      <c r="C22" s="29" t="s">
        <v>333</v>
      </c>
      <c r="D22" s="29">
        <v>1</v>
      </c>
      <c r="E22" s="99" t="s">
        <v>332</v>
      </c>
      <c r="F22" s="26">
        <v>40</v>
      </c>
      <c r="G22" s="27">
        <v>20</v>
      </c>
      <c r="H22" s="26">
        <f>F22*G22</f>
        <v>800</v>
      </c>
      <c r="I22" s="26">
        <f>H22*1.13</f>
        <v>903.99999999999989</v>
      </c>
      <c r="J22" s="26">
        <f>I22*1.25</f>
        <v>1129.9999999999998</v>
      </c>
      <c r="K22" s="135">
        <v>144.44</v>
      </c>
      <c r="L22" s="140">
        <v>144.44</v>
      </c>
    </row>
    <row r="23" spans="1:12">
      <c r="B23" s="137" t="s">
        <v>331</v>
      </c>
      <c r="C23" s="29" t="s">
        <v>330</v>
      </c>
      <c r="D23" s="29">
        <v>1</v>
      </c>
      <c r="E23" s="99" t="s">
        <v>329</v>
      </c>
      <c r="F23" s="26">
        <v>200</v>
      </c>
      <c r="G23" s="27">
        <v>1</v>
      </c>
      <c r="H23" s="26">
        <f>F23*G23</f>
        <v>200</v>
      </c>
      <c r="I23" s="26">
        <f>H23*1.13</f>
        <v>225.99999999999997</v>
      </c>
      <c r="J23" s="26">
        <f>I23*1.25</f>
        <v>282.49999999999994</v>
      </c>
      <c r="K23" s="135"/>
      <c r="L23" s="25"/>
    </row>
    <row r="24" spans="1:12">
      <c r="D24" s="29"/>
      <c r="K24" s="135"/>
      <c r="L24" s="25"/>
    </row>
    <row r="25" spans="1:12" s="6" customFormat="1" ht="14.5">
      <c r="A25" s="16"/>
      <c r="B25" s="43" t="s">
        <v>328</v>
      </c>
      <c r="C25" s="42"/>
      <c r="D25" s="41"/>
      <c r="E25" s="41"/>
      <c r="F25" s="39"/>
      <c r="G25" s="40"/>
      <c r="H25" s="39"/>
      <c r="I25" s="39">
        <f>SUM(I20:I23)</f>
        <v>1762.7999999999997</v>
      </c>
      <c r="J25" s="39">
        <f t="shared" ref="J25:L25" si="2">SUM(J20:J23)</f>
        <v>2203.4999999999995</v>
      </c>
      <c r="K25" s="39">
        <f t="shared" si="2"/>
        <v>144.44</v>
      </c>
      <c r="L25" s="38">
        <f t="shared" si="2"/>
        <v>144.44</v>
      </c>
    </row>
    <row r="26" spans="1:12">
      <c r="A26" s="16" t="s">
        <v>327</v>
      </c>
      <c r="D26" s="29"/>
      <c r="K26" s="136"/>
      <c r="L26" s="25"/>
    </row>
    <row r="27" spans="1:12" s="28" customFormat="1">
      <c r="B27" s="29" t="s">
        <v>326</v>
      </c>
      <c r="C27" s="29" t="s">
        <v>325</v>
      </c>
      <c r="D27" s="29">
        <v>3</v>
      </c>
      <c r="E27" s="28" t="s">
        <v>324</v>
      </c>
      <c r="F27" s="58">
        <v>184.14</v>
      </c>
      <c r="G27" s="28">
        <v>12</v>
      </c>
      <c r="H27" s="58">
        <f t="shared" ref="H27:H34" si="3">F27*G27</f>
        <v>2209.6799999999998</v>
      </c>
      <c r="I27" s="58">
        <f t="shared" ref="I27:I34" si="4">H27*1.13</f>
        <v>2496.9383999999995</v>
      </c>
      <c r="J27" s="58">
        <f t="shared" ref="J27:J34" si="5">I27*1.25</f>
        <v>3121.1729999999993</v>
      </c>
      <c r="K27" s="135">
        <f>178.5+184.14+178.31+183.67+157.02+150.23</f>
        <v>1031.8699999999999</v>
      </c>
      <c r="L27" s="140">
        <f>178.5+184.14+178.31+183.67+157.02+150.23</f>
        <v>1031.8699999999999</v>
      </c>
    </row>
    <row r="28" spans="1:12" s="28" customFormat="1">
      <c r="B28" s="29" t="s">
        <v>323</v>
      </c>
      <c r="C28" s="29" t="s">
        <v>312</v>
      </c>
      <c r="D28" s="29">
        <v>3</v>
      </c>
      <c r="E28" s="28" t="s">
        <v>322</v>
      </c>
      <c r="F28" s="58">
        <v>50</v>
      </c>
      <c r="G28" s="28">
        <v>12</v>
      </c>
      <c r="H28" s="58">
        <f t="shared" si="3"/>
        <v>600</v>
      </c>
      <c r="I28" s="58">
        <f t="shared" si="4"/>
        <v>677.99999999999989</v>
      </c>
      <c r="J28" s="58">
        <f t="shared" si="5"/>
        <v>847.49999999999989</v>
      </c>
      <c r="K28" s="136">
        <f>46.8+48.36+46.8+48.36+48.36+46.84</f>
        <v>285.52</v>
      </c>
      <c r="L28" s="141">
        <f>46.8+48.36+46.8+48.36+48.36+46.84</f>
        <v>285.52</v>
      </c>
    </row>
    <row r="29" spans="1:12" s="28" customFormat="1">
      <c r="B29" s="29" t="s">
        <v>321</v>
      </c>
      <c r="C29" s="29" t="s">
        <v>312</v>
      </c>
      <c r="D29" s="29">
        <v>3</v>
      </c>
      <c r="E29" s="28" t="s">
        <v>320</v>
      </c>
      <c r="F29" s="58">
        <v>75</v>
      </c>
      <c r="G29" s="28">
        <v>12</v>
      </c>
      <c r="H29" s="58">
        <f t="shared" si="3"/>
        <v>900</v>
      </c>
      <c r="I29" s="58">
        <f t="shared" si="4"/>
        <v>1016.9999999999999</v>
      </c>
      <c r="J29" s="58">
        <f t="shared" si="5"/>
        <v>1271.2499999999998</v>
      </c>
      <c r="K29" s="136">
        <f>72.6+75.02+72.6+75.03+74.9+72.6</f>
        <v>442.75</v>
      </c>
      <c r="L29" s="141">
        <f>72.6+75.02+72.6+75.03+74.9+72.6</f>
        <v>442.75</v>
      </c>
    </row>
    <row r="30" spans="1:12" s="28" customFormat="1">
      <c r="B30" s="29" t="s">
        <v>319</v>
      </c>
      <c r="C30" s="29" t="s">
        <v>312</v>
      </c>
      <c r="D30" s="29">
        <v>3</v>
      </c>
      <c r="E30" s="28" t="s">
        <v>318</v>
      </c>
      <c r="F30" s="58">
        <v>165</v>
      </c>
      <c r="G30" s="28">
        <v>12</v>
      </c>
      <c r="H30" s="58">
        <f t="shared" si="3"/>
        <v>1980</v>
      </c>
      <c r="I30" s="58">
        <f t="shared" si="4"/>
        <v>2237.3999999999996</v>
      </c>
      <c r="J30" s="58">
        <f t="shared" si="5"/>
        <v>2796.7499999999995</v>
      </c>
      <c r="K30" s="136">
        <f>159.9+165.23+159.9+165.23+165.23+159.9</f>
        <v>975.39</v>
      </c>
      <c r="L30" s="141">
        <f>159.9+165.23+159.9+165.23+165.23+159.9</f>
        <v>975.39</v>
      </c>
    </row>
    <row r="31" spans="1:12" s="28" customFormat="1">
      <c r="B31" s="29" t="s">
        <v>317</v>
      </c>
      <c r="C31" s="29" t="s">
        <v>312</v>
      </c>
      <c r="D31" s="29">
        <v>3</v>
      </c>
      <c r="E31" s="28" t="s">
        <v>316</v>
      </c>
      <c r="F31" s="58">
        <v>15</v>
      </c>
      <c r="G31" s="28">
        <v>12</v>
      </c>
      <c r="H31" s="58">
        <f t="shared" si="3"/>
        <v>180</v>
      </c>
      <c r="I31" s="58">
        <f t="shared" si="4"/>
        <v>203.39999999999998</v>
      </c>
      <c r="J31" s="58">
        <f t="shared" si="5"/>
        <v>254.24999999999997</v>
      </c>
      <c r="K31" s="136">
        <f>11.4+11.47+11.4+11.47+11.6+11.4</f>
        <v>68.740000000000009</v>
      </c>
      <c r="L31" s="141">
        <f>11.4+11.47+11.4+11.47+11.6+11.4</f>
        <v>68.740000000000009</v>
      </c>
    </row>
    <row r="32" spans="1:12" s="28" customFormat="1">
      <c r="B32" s="29" t="s">
        <v>315</v>
      </c>
      <c r="C32" s="29" t="s">
        <v>312</v>
      </c>
      <c r="D32" s="29">
        <v>3</v>
      </c>
      <c r="E32" s="28" t="s">
        <v>314</v>
      </c>
      <c r="F32" s="58">
        <v>350</v>
      </c>
      <c r="G32" s="28">
        <v>12</v>
      </c>
      <c r="H32" s="58">
        <f t="shared" si="3"/>
        <v>4200</v>
      </c>
      <c r="I32" s="58">
        <f t="shared" si="4"/>
        <v>4746</v>
      </c>
      <c r="J32" s="58">
        <f t="shared" si="5"/>
        <v>5932.5</v>
      </c>
      <c r="K32" s="136">
        <f>109.72+119.7+108.63+100.64+106.98+75.25</f>
        <v>620.91999999999996</v>
      </c>
      <c r="L32" s="141">
        <f>109.72+119.7+108.63+100.64+106.98+75.25</f>
        <v>620.91999999999996</v>
      </c>
    </row>
    <row r="33" spans="1:12" s="28" customFormat="1">
      <c r="B33" s="29" t="s">
        <v>313</v>
      </c>
      <c r="C33" s="29" t="s">
        <v>312</v>
      </c>
      <c r="D33" s="29">
        <v>3</v>
      </c>
      <c r="E33" s="28" t="s">
        <v>311</v>
      </c>
      <c r="F33" s="58">
        <v>50</v>
      </c>
      <c r="G33" s="28">
        <v>12</v>
      </c>
      <c r="H33" s="58">
        <f t="shared" si="3"/>
        <v>600</v>
      </c>
      <c r="I33" s="58">
        <f t="shared" si="4"/>
        <v>677.99999999999989</v>
      </c>
      <c r="J33" s="58">
        <f t="shared" si="5"/>
        <v>847.49999999999989</v>
      </c>
      <c r="K33" s="136">
        <f>39.6+40.92+39.6+40.92+40.59+43.89</f>
        <v>245.52000000000004</v>
      </c>
      <c r="L33" s="141">
        <f>39.6+40.92+39.6+40.92+40.59+43.89</f>
        <v>245.52000000000004</v>
      </c>
    </row>
    <row r="34" spans="1:12" s="28" customFormat="1">
      <c r="B34" s="29" t="s">
        <v>310</v>
      </c>
      <c r="C34" s="29" t="s">
        <v>309</v>
      </c>
      <c r="D34" s="29">
        <v>3</v>
      </c>
      <c r="E34" s="28" t="s">
        <v>308</v>
      </c>
      <c r="F34" s="58">
        <v>20</v>
      </c>
      <c r="G34" s="28">
        <v>12</v>
      </c>
      <c r="H34" s="58">
        <f t="shared" si="3"/>
        <v>240</v>
      </c>
      <c r="I34" s="58">
        <f t="shared" si="4"/>
        <v>271.2</v>
      </c>
      <c r="J34" s="58">
        <f t="shared" si="5"/>
        <v>339</v>
      </c>
      <c r="K34" s="136">
        <f>14.33+14.33+24.83+3.83+14.33+14.33</f>
        <v>85.97999999999999</v>
      </c>
      <c r="L34" s="141">
        <f>14.33+14.33+24.83+3.83+14.33+14.33</f>
        <v>85.97999999999999</v>
      </c>
    </row>
    <row r="35" spans="1:12" s="28" customFormat="1" ht="14.5">
      <c r="B35" s="29"/>
      <c r="K35" s="136"/>
      <c r="L35" s="138"/>
    </row>
    <row r="36" spans="1:12" s="6" customFormat="1" ht="14.5">
      <c r="A36" s="16"/>
      <c r="B36" s="43" t="s">
        <v>307</v>
      </c>
      <c r="C36" s="42"/>
      <c r="D36" s="41"/>
      <c r="E36" s="41"/>
      <c r="F36" s="39"/>
      <c r="G36" s="40"/>
      <c r="H36" s="39"/>
      <c r="I36" s="39">
        <f>SUM(I27:I34)</f>
        <v>12327.938399999999</v>
      </c>
      <c r="J36" s="39">
        <f t="shared" ref="J36:L36" si="6">SUM(J27:J34)</f>
        <v>15409.922999999999</v>
      </c>
      <c r="K36" s="39">
        <f t="shared" si="6"/>
        <v>3756.6899999999996</v>
      </c>
      <c r="L36" s="38">
        <f t="shared" si="6"/>
        <v>3756.6899999999996</v>
      </c>
    </row>
    <row r="37" spans="1:12">
      <c r="A37" s="16" t="s">
        <v>306</v>
      </c>
      <c r="D37" s="29"/>
      <c r="K37" s="135"/>
      <c r="L37" s="25"/>
    </row>
    <row r="38" spans="1:12" s="28" customFormat="1">
      <c r="B38" s="29" t="s">
        <v>305</v>
      </c>
      <c r="C38" s="29" t="s">
        <v>304</v>
      </c>
      <c r="D38" s="29">
        <v>3</v>
      </c>
      <c r="E38" s="28" t="s">
        <v>303</v>
      </c>
      <c r="F38" s="58">
        <v>33.83</v>
      </c>
      <c r="G38" s="28">
        <v>12</v>
      </c>
      <c r="H38" s="58">
        <f>F38*G38</f>
        <v>405.96</v>
      </c>
      <c r="I38" s="58">
        <f>H38*1.13</f>
        <v>458.73479999999995</v>
      </c>
      <c r="J38" s="58">
        <f>I38*1.25</f>
        <v>573.41849999999999</v>
      </c>
      <c r="K38" s="136"/>
      <c r="L38" s="138"/>
    </row>
    <row r="39" spans="1:12" s="28" customFormat="1">
      <c r="B39" s="29" t="s">
        <v>302</v>
      </c>
      <c r="C39" s="29" t="s">
        <v>301</v>
      </c>
      <c r="D39" s="29">
        <v>2</v>
      </c>
      <c r="E39" s="28" t="s">
        <v>300</v>
      </c>
      <c r="F39" s="58">
        <v>164.45</v>
      </c>
      <c r="G39" s="28">
        <v>1</v>
      </c>
      <c r="H39" s="58">
        <f>F39*G39</f>
        <v>164.45</v>
      </c>
      <c r="I39" s="58">
        <f>H39*1.13</f>
        <v>185.82849999999996</v>
      </c>
      <c r="J39" s="58">
        <f>I39*1.25</f>
        <v>232.28562499999995</v>
      </c>
      <c r="K39" s="136"/>
      <c r="L39" s="138"/>
    </row>
    <row r="40" spans="1:12" s="28" customFormat="1">
      <c r="B40" s="29" t="s">
        <v>299</v>
      </c>
      <c r="C40" s="29" t="s">
        <v>298</v>
      </c>
      <c r="D40" s="29">
        <v>2</v>
      </c>
      <c r="E40" s="28" t="s">
        <v>297</v>
      </c>
      <c r="F40" s="58">
        <v>14.95</v>
      </c>
      <c r="G40" s="28">
        <v>12</v>
      </c>
      <c r="H40" s="58">
        <f>F40*G40</f>
        <v>179.39999999999998</v>
      </c>
      <c r="I40" s="58">
        <f>H40*1.13</f>
        <v>202.72199999999995</v>
      </c>
      <c r="J40" s="58">
        <f>I40*1.25</f>
        <v>253.40249999999995</v>
      </c>
      <c r="K40" s="136">
        <f>14.95*3</f>
        <v>44.849999999999994</v>
      </c>
      <c r="L40" s="141">
        <f>14.95*3</f>
        <v>44.849999999999994</v>
      </c>
    </row>
    <row r="41" spans="1:12">
      <c r="D41" s="29"/>
      <c r="K41" s="135"/>
      <c r="L41" s="25"/>
    </row>
    <row r="42" spans="1:12" s="6" customFormat="1" ht="14.5">
      <c r="A42" s="16"/>
      <c r="B42" s="43" t="s">
        <v>296</v>
      </c>
      <c r="C42" s="42"/>
      <c r="D42" s="41"/>
      <c r="E42" s="41"/>
      <c r="F42" s="39"/>
      <c r="G42" s="40"/>
      <c r="H42" s="39"/>
      <c r="I42" s="39">
        <f>SUM(I38:I40)</f>
        <v>847.28529999999989</v>
      </c>
      <c r="J42" s="39">
        <f t="shared" ref="J42:L42" si="7">SUM(J38:J40)</f>
        <v>1059.1066249999999</v>
      </c>
      <c r="K42" s="39">
        <f t="shared" si="7"/>
        <v>44.849999999999994</v>
      </c>
      <c r="L42" s="38">
        <f t="shared" si="7"/>
        <v>44.849999999999994</v>
      </c>
    </row>
    <row r="43" spans="1:12">
      <c r="A43" s="16" t="s">
        <v>68</v>
      </c>
      <c r="D43" s="29"/>
      <c r="K43" s="135"/>
      <c r="L43" s="25"/>
    </row>
    <row r="44" spans="1:12" s="28" customFormat="1">
      <c r="B44" s="29" t="s">
        <v>295</v>
      </c>
      <c r="C44" s="29" t="s">
        <v>294</v>
      </c>
      <c r="D44" s="29">
        <v>1</v>
      </c>
      <c r="E44" s="28" t="s">
        <v>293</v>
      </c>
      <c r="F44" s="58">
        <v>3</v>
      </c>
      <c r="G44" s="28">
        <v>60</v>
      </c>
      <c r="H44" s="58">
        <f>F44*G44</f>
        <v>180</v>
      </c>
      <c r="I44" s="58">
        <f>H44*1.13</f>
        <v>203.39999999999998</v>
      </c>
      <c r="J44" s="58">
        <f>I44*1.25</f>
        <v>254.24999999999997</v>
      </c>
      <c r="K44" s="136">
        <v>0</v>
      </c>
      <c r="L44" s="138"/>
    </row>
    <row r="45" spans="1:12">
      <c r="D45" s="29"/>
      <c r="K45" s="135"/>
      <c r="L45" s="25"/>
    </row>
    <row r="46" spans="1:12" s="6" customFormat="1" ht="14.5">
      <c r="A46" s="16"/>
      <c r="B46" s="43" t="s">
        <v>292</v>
      </c>
      <c r="C46" s="42"/>
      <c r="D46" s="41"/>
      <c r="E46" s="41"/>
      <c r="F46" s="39"/>
      <c r="G46" s="40"/>
      <c r="H46" s="39"/>
      <c r="I46" s="39">
        <f>I44</f>
        <v>203.39999999999998</v>
      </c>
      <c r="J46" s="39">
        <f t="shared" ref="J46:L46" si="8">J44</f>
        <v>254.24999999999997</v>
      </c>
      <c r="K46" s="39">
        <f t="shared" si="8"/>
        <v>0</v>
      </c>
      <c r="L46" s="38">
        <f t="shared" si="8"/>
        <v>0</v>
      </c>
    </row>
    <row r="47" spans="1:12">
      <c r="K47" s="135"/>
      <c r="L47" s="25"/>
    </row>
    <row r="48" spans="1:12" s="30" customFormat="1" ht="14.5">
      <c r="A48" s="37"/>
      <c r="B48" s="36" t="s">
        <v>8</v>
      </c>
      <c r="C48" s="35"/>
      <c r="D48" s="34"/>
      <c r="E48" s="34"/>
      <c r="F48" s="32"/>
      <c r="G48" s="33"/>
      <c r="H48" s="32"/>
      <c r="I48" s="32">
        <f>SUM(I12,I18,I25,I36,I42,I46)</f>
        <v>17306.718400000002</v>
      </c>
      <c r="J48" s="32">
        <f t="shared" ref="J48:L48" si="9">SUM(J12,J18,J25,J36,J42,J46)</f>
        <v>21633.397999999997</v>
      </c>
      <c r="K48" s="32">
        <f t="shared" si="9"/>
        <v>4008.6999999999994</v>
      </c>
      <c r="L48" s="31">
        <f t="shared" si="9"/>
        <v>4008.6999999999994</v>
      </c>
    </row>
    <row r="49" spans="1:12">
      <c r="L49" s="25"/>
    </row>
    <row r="50" spans="1:12" ht="15" customHeight="1">
      <c r="A50" s="24" t="s">
        <v>7</v>
      </c>
      <c r="B50" s="23"/>
      <c r="C50" s="23"/>
      <c r="D50" s="22"/>
      <c r="E50" s="22"/>
      <c r="F50" s="20"/>
      <c r="G50" s="21"/>
      <c r="H50" s="20"/>
      <c r="I50" s="20"/>
      <c r="J50" s="20"/>
      <c r="K50" s="20"/>
      <c r="L50" s="19"/>
    </row>
    <row r="51" spans="1:12" s="6" customFormat="1" ht="14.5">
      <c r="A51" s="16"/>
      <c r="B51" s="17" t="s">
        <v>6</v>
      </c>
      <c r="C51" s="17"/>
      <c r="D51" s="16"/>
      <c r="E51" s="16"/>
      <c r="F51" s="14"/>
      <c r="G51" s="15"/>
      <c r="H51" s="14"/>
      <c r="I51" s="14">
        <f>I6</f>
        <v>0</v>
      </c>
      <c r="J51" s="14">
        <f>J6</f>
        <v>0</v>
      </c>
      <c r="K51" s="14">
        <f>K6</f>
        <v>0</v>
      </c>
      <c r="L51" s="18">
        <f>L6</f>
        <v>0</v>
      </c>
    </row>
    <row r="52" spans="1:12" s="6" customFormat="1" ht="14.5">
      <c r="A52" s="16"/>
      <c r="B52" s="17" t="s">
        <v>5</v>
      </c>
      <c r="C52" s="17"/>
      <c r="D52" s="16"/>
      <c r="E52" s="16"/>
      <c r="F52" s="14"/>
      <c r="G52" s="15"/>
      <c r="H52" s="14"/>
      <c r="I52" s="14">
        <f>I48</f>
        <v>17306.718400000002</v>
      </c>
      <c r="J52" s="14">
        <f>J48</f>
        <v>21633.397999999997</v>
      </c>
      <c r="K52" s="14">
        <f>K48</f>
        <v>4008.6999999999994</v>
      </c>
      <c r="L52" s="13">
        <f>L48</f>
        <v>4008.6999999999994</v>
      </c>
    </row>
    <row r="53" spans="1:12" s="6" customFormat="1" ht="14.5">
      <c r="A53" s="11"/>
      <c r="B53" s="12" t="s">
        <v>4</v>
      </c>
      <c r="C53" s="12"/>
      <c r="D53" s="11"/>
      <c r="E53" s="11"/>
      <c r="F53" s="8"/>
      <c r="G53" s="10"/>
      <c r="H53" s="8"/>
      <c r="I53" s="8">
        <f>SUM(I51,I52*-1)</f>
        <v>-17306.718400000002</v>
      </c>
      <c r="J53" s="8">
        <f>SUM(J51,J52*-1)</f>
        <v>-21633.397999999997</v>
      </c>
      <c r="K53" s="8">
        <f>SUM(K51,K52*-1)</f>
        <v>-4008.6999999999994</v>
      </c>
      <c r="L53" s="7">
        <f>SUM(L51,L52*-1)</f>
        <v>-4008.6999999999994</v>
      </c>
    </row>
  </sheetData>
  <mergeCells count="1">
    <mergeCell ref="B1:K1"/>
  </mergeCells>
  <pageMargins left="0.7" right="0.7" top="0.75" bottom="0.75" header="0.3" footer="0.3"/>
  <pageSetup scale="26" fitToWidth="0" fitToHeight="0" orientation="portrait" r:id="rId1"/>
  <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83FF9F-B96B-4853-A73D-96BF403E6EA8}">
  <sheetPr codeName="Sheet17"/>
  <dimension ref="A1:N84"/>
  <sheetViews>
    <sheetView showGridLines="0" zoomScale="53" zoomScaleNormal="70" workbookViewId="0">
      <pane ySplit="2" topLeftCell="A55" activePane="bottomLeft" state="frozen"/>
      <selection pane="bottomLeft" activeCell="K74" sqref="K74"/>
    </sheetView>
  </sheetViews>
  <sheetFormatPr defaultColWidth="9" defaultRowHeight="15.5"/>
  <cols>
    <col min="1" max="1" width="39" style="28" customWidth="1"/>
    <col min="2" max="2" width="21.6640625" style="29" customWidth="1"/>
    <col min="3" max="3" width="21.6640625" style="100" customWidth="1"/>
    <col min="4" max="4" width="27.25" style="27" customWidth="1"/>
    <col min="5" max="5" width="50.08203125" style="28" customWidth="1"/>
    <col min="6" max="6" width="14.1640625" style="111" customWidth="1"/>
    <col min="7" max="7" width="14.1640625" style="27" customWidth="1"/>
    <col min="8" max="8" width="17.9140625" style="111" customWidth="1"/>
    <col min="9" max="9" width="17" style="111" customWidth="1"/>
    <col min="10" max="11" width="19.08203125" style="111" customWidth="1"/>
    <col min="12" max="12" width="19.58203125" style="120" customWidth="1"/>
    <col min="13" max="16384" width="9" style="1"/>
  </cols>
  <sheetData>
    <row r="1" spans="1:13" ht="148.5" customHeight="1">
      <c r="B1" s="368" t="s">
        <v>286</v>
      </c>
      <c r="C1" s="368"/>
      <c r="D1" s="368"/>
      <c r="E1" s="368"/>
      <c r="F1" s="368"/>
      <c r="G1" s="368"/>
      <c r="H1" s="368"/>
      <c r="I1" s="368"/>
      <c r="J1" s="368"/>
      <c r="K1" s="368"/>
    </row>
    <row r="2" spans="1:13" s="62" customFormat="1" ht="15" customHeight="1">
      <c r="A2" s="65" t="s">
        <v>106</v>
      </c>
      <c r="B2" s="65" t="s">
        <v>105</v>
      </c>
      <c r="C2" s="73" t="s">
        <v>104</v>
      </c>
      <c r="D2" s="73" t="s">
        <v>103</v>
      </c>
      <c r="E2" s="65" t="s">
        <v>102</v>
      </c>
      <c r="F2" s="110" t="s">
        <v>101</v>
      </c>
      <c r="G2" s="65" t="s">
        <v>1</v>
      </c>
      <c r="H2" s="110" t="s">
        <v>100</v>
      </c>
      <c r="I2" s="110" t="s">
        <v>99</v>
      </c>
      <c r="J2" s="110" t="s">
        <v>176</v>
      </c>
      <c r="K2" s="110" t="s">
        <v>98</v>
      </c>
      <c r="L2" s="121" t="s">
        <v>2</v>
      </c>
    </row>
    <row r="3" spans="1:13" ht="14.25" customHeight="1">
      <c r="L3" s="122"/>
    </row>
    <row r="4" spans="1:13" ht="15" customHeight="1">
      <c r="A4" s="24" t="s">
        <v>0</v>
      </c>
      <c r="B4" s="23"/>
      <c r="C4" s="101"/>
      <c r="D4" s="21"/>
      <c r="E4" s="22"/>
      <c r="F4" s="112"/>
      <c r="G4" s="21"/>
      <c r="H4" s="112"/>
      <c r="I4" s="112"/>
      <c r="J4" s="112"/>
      <c r="K4" s="112"/>
      <c r="L4" s="123"/>
    </row>
    <row r="5" spans="1:13">
      <c r="A5" s="94" t="s">
        <v>272</v>
      </c>
      <c r="L5" s="124"/>
    </row>
    <row r="6" spans="1:13">
      <c r="B6" s="29">
        <v>20000</v>
      </c>
      <c r="C6" s="100" t="s">
        <v>285</v>
      </c>
      <c r="E6" s="28" t="s">
        <v>284</v>
      </c>
      <c r="F6" s="111">
        <v>8</v>
      </c>
      <c r="G6" s="27">
        <v>45</v>
      </c>
      <c r="H6" s="111">
        <f>F6*G6</f>
        <v>360</v>
      </c>
      <c r="I6" s="111">
        <f>H6*1.13</f>
        <v>406.79999999999995</v>
      </c>
      <c r="J6" s="111">
        <f>I6*0.75</f>
        <v>305.09999999999997</v>
      </c>
      <c r="L6" s="125"/>
    </row>
    <row r="7" spans="1:13">
      <c r="B7" s="29">
        <v>20001</v>
      </c>
      <c r="C7" s="100" t="s">
        <v>283</v>
      </c>
      <c r="E7" s="28" t="s">
        <v>282</v>
      </c>
      <c r="F7" s="111">
        <v>8</v>
      </c>
      <c r="G7" s="27">
        <v>40</v>
      </c>
      <c r="H7" s="111">
        <f>F7*G7</f>
        <v>320</v>
      </c>
      <c r="I7" s="111">
        <f>H7*1.13</f>
        <v>361.59999999999997</v>
      </c>
      <c r="J7" s="111">
        <f>I7*0.75</f>
        <v>271.2</v>
      </c>
      <c r="K7" s="111">
        <v>68.2</v>
      </c>
      <c r="L7" s="125">
        <v>175</v>
      </c>
    </row>
    <row r="8" spans="1:13">
      <c r="B8" s="29">
        <v>20002</v>
      </c>
      <c r="C8" s="100" t="s">
        <v>281</v>
      </c>
      <c r="E8" s="28" t="s">
        <v>280</v>
      </c>
      <c r="F8" s="111">
        <v>15</v>
      </c>
      <c r="G8" s="27">
        <v>40</v>
      </c>
      <c r="H8" s="111">
        <f>F8*G8</f>
        <v>600</v>
      </c>
      <c r="I8" s="111">
        <f>H8*1.13</f>
        <v>677.99999999999989</v>
      </c>
      <c r="J8" s="111">
        <f>I8*0.75</f>
        <v>508.49999999999989</v>
      </c>
      <c r="K8" s="111">
        <v>35</v>
      </c>
      <c r="L8" s="125">
        <v>35</v>
      </c>
    </row>
    <row r="9" spans="1:13">
      <c r="B9" s="108">
        <v>20003</v>
      </c>
      <c r="C9" s="109" t="s">
        <v>287</v>
      </c>
      <c r="D9" s="109"/>
      <c r="E9" s="109" t="s">
        <v>288</v>
      </c>
      <c r="F9" s="113">
        <v>2000</v>
      </c>
      <c r="G9" s="109">
        <v>1</v>
      </c>
      <c r="H9" s="113">
        <f>F9*G9</f>
        <v>2000</v>
      </c>
      <c r="I9" s="111">
        <f>H9*1.13</f>
        <v>2260</v>
      </c>
      <c r="J9" s="111">
        <f>I9*0.75</f>
        <v>1695</v>
      </c>
      <c r="K9" s="113">
        <v>2000</v>
      </c>
      <c r="L9" s="132">
        <v>2000</v>
      </c>
    </row>
    <row r="10" spans="1:13">
      <c r="L10" s="125"/>
    </row>
    <row r="11" spans="1:13" s="6" customFormat="1" ht="14.5">
      <c r="A11" s="16"/>
      <c r="B11" s="43" t="s">
        <v>279</v>
      </c>
      <c r="C11" s="102"/>
      <c r="D11" s="40"/>
      <c r="E11" s="41"/>
      <c r="F11" s="114"/>
      <c r="G11" s="40"/>
      <c r="H11" s="114"/>
      <c r="I11" s="114">
        <f>SUM(I6:I8)</f>
        <v>1446.3999999999996</v>
      </c>
      <c r="J11" s="114">
        <f>SUM(J6:J8)</f>
        <v>1084.7999999999997</v>
      </c>
      <c r="K11" s="114">
        <f>SUM(K6:K8)</f>
        <v>103.2</v>
      </c>
      <c r="L11" s="126">
        <f>SUM(L6:L8)</f>
        <v>210</v>
      </c>
    </row>
    <row r="12" spans="1:13" s="6" customFormat="1" ht="14.5">
      <c r="A12" s="94" t="s">
        <v>228</v>
      </c>
      <c r="B12" s="17"/>
      <c r="C12" s="103"/>
      <c r="D12" s="15"/>
      <c r="E12" s="16"/>
      <c r="F12" s="115"/>
      <c r="G12" s="15"/>
      <c r="H12" s="115"/>
      <c r="I12" s="115"/>
      <c r="J12" s="115"/>
      <c r="K12" s="115"/>
      <c r="L12" s="127"/>
    </row>
    <row r="13" spans="1:13">
      <c r="A13" s="1"/>
      <c r="B13" s="29">
        <v>200300</v>
      </c>
      <c r="C13" s="100" t="s">
        <v>278</v>
      </c>
      <c r="E13" s="28" t="s">
        <v>275</v>
      </c>
      <c r="F13" s="111">
        <v>60</v>
      </c>
      <c r="G13" s="27">
        <v>20</v>
      </c>
      <c r="H13" s="111">
        <f>F13*G13</f>
        <v>1200</v>
      </c>
      <c r="I13" s="111">
        <f>H13*1.13</f>
        <v>1355.9999999999998</v>
      </c>
      <c r="J13" s="111">
        <f>I13*0.75</f>
        <v>1016.9999999999998</v>
      </c>
      <c r="K13" s="111">
        <v>2230</v>
      </c>
      <c r="L13" s="125">
        <v>2230</v>
      </c>
      <c r="M13" s="1" t="s">
        <v>289</v>
      </c>
    </row>
    <row r="14" spans="1:13">
      <c r="B14" s="29">
        <v>200301</v>
      </c>
      <c r="C14" s="100" t="s">
        <v>277</v>
      </c>
      <c r="E14" s="97" t="s">
        <v>275</v>
      </c>
      <c r="F14" s="111">
        <v>35</v>
      </c>
      <c r="G14" s="27">
        <v>30</v>
      </c>
      <c r="H14" s="111">
        <f>F14*G14</f>
        <v>1050</v>
      </c>
      <c r="I14" s="111">
        <f>H14*1.13</f>
        <v>1186.5</v>
      </c>
      <c r="J14" s="111">
        <f>I14*0.75</f>
        <v>889.875</v>
      </c>
      <c r="L14" s="125"/>
    </row>
    <row r="15" spans="1:13" s="6" customFormat="1">
      <c r="A15" s="28"/>
      <c r="B15" s="29">
        <v>200302</v>
      </c>
      <c r="C15" s="100" t="s">
        <v>276</v>
      </c>
      <c r="D15" s="27"/>
      <c r="E15" s="97" t="s">
        <v>275</v>
      </c>
      <c r="F15" s="111">
        <v>25</v>
      </c>
      <c r="G15" s="27">
        <v>50</v>
      </c>
      <c r="H15" s="111">
        <f>F15*G15</f>
        <v>1250</v>
      </c>
      <c r="I15" s="111">
        <f>H15*1.13</f>
        <v>1412.4999999999998</v>
      </c>
      <c r="J15" s="111">
        <f>I15*0.75</f>
        <v>1059.3749999999998</v>
      </c>
      <c r="K15" s="111"/>
      <c r="L15" s="125"/>
    </row>
    <row r="16" spans="1:13" s="6" customFormat="1">
      <c r="A16" s="28"/>
      <c r="B16" s="29">
        <v>200303</v>
      </c>
      <c r="C16" s="100" t="s">
        <v>274</v>
      </c>
      <c r="D16" s="27"/>
      <c r="E16" s="97"/>
      <c r="F16" s="111">
        <v>2000</v>
      </c>
      <c r="G16" s="27">
        <v>1</v>
      </c>
      <c r="H16" s="111">
        <f>F16*G16</f>
        <v>2000</v>
      </c>
      <c r="I16" s="111">
        <f>H16*1.13</f>
        <v>2260</v>
      </c>
      <c r="J16" s="111">
        <f>I16*0.75</f>
        <v>1695</v>
      </c>
      <c r="K16" s="111">
        <v>1000</v>
      </c>
      <c r="L16" s="125">
        <v>1000</v>
      </c>
    </row>
    <row r="17" spans="1:13">
      <c r="L17" s="125"/>
    </row>
    <row r="18" spans="1:13" ht="14.5">
      <c r="A18" s="16"/>
      <c r="B18" s="43" t="s">
        <v>273</v>
      </c>
      <c r="C18" s="102"/>
      <c r="D18" s="40"/>
      <c r="E18" s="41"/>
      <c r="F18" s="114"/>
      <c r="G18" s="40"/>
      <c r="H18" s="114"/>
      <c r="I18" s="114">
        <f>SUM(I13:I16)</f>
        <v>6215</v>
      </c>
      <c r="J18" s="114">
        <f>SUM(J13:J16)</f>
        <v>4661.25</v>
      </c>
      <c r="K18" s="114">
        <f>SUM(K12:K13)</f>
        <v>2230</v>
      </c>
      <c r="L18" s="126">
        <f>SUM(L12:L13)</f>
        <v>2230</v>
      </c>
    </row>
    <row r="19" spans="1:13">
      <c r="A19" s="16"/>
      <c r="L19" s="125"/>
    </row>
    <row r="20" spans="1:13" s="30" customFormat="1" ht="14.5">
      <c r="A20" s="28"/>
      <c r="B20" s="36" t="s">
        <v>83</v>
      </c>
      <c r="C20" s="104"/>
      <c r="D20" s="33"/>
      <c r="E20" s="34"/>
      <c r="F20" s="116"/>
      <c r="G20" s="33"/>
      <c r="H20" s="116"/>
      <c r="I20" s="116">
        <f>SUM(I11,I18)</f>
        <v>7661.4</v>
      </c>
      <c r="J20" s="116">
        <f t="shared" ref="J20:L20" si="0">SUM(J11,J18)</f>
        <v>5746.0499999999993</v>
      </c>
      <c r="K20" s="116">
        <f t="shared" si="0"/>
        <v>2333.1999999999998</v>
      </c>
      <c r="L20" s="128">
        <f t="shared" si="0"/>
        <v>2440</v>
      </c>
    </row>
    <row r="21" spans="1:13">
      <c r="A21" s="37"/>
      <c r="L21" s="125"/>
    </row>
    <row r="22" spans="1:13" ht="15" customHeight="1">
      <c r="A22" s="24" t="s">
        <v>3</v>
      </c>
      <c r="B22" s="23"/>
      <c r="C22" s="101"/>
      <c r="D22" s="21"/>
      <c r="E22" s="22"/>
      <c r="F22" s="112"/>
      <c r="G22" s="21"/>
      <c r="H22" s="112"/>
      <c r="I22" s="112"/>
      <c r="J22" s="112"/>
      <c r="K22" s="112"/>
      <c r="L22" s="123"/>
    </row>
    <row r="23" spans="1:13">
      <c r="A23" s="94" t="s">
        <v>272</v>
      </c>
      <c r="L23" s="125"/>
    </row>
    <row r="24" spans="1:13">
      <c r="A24" s="1" t="s">
        <v>271</v>
      </c>
      <c r="B24" s="29">
        <v>200500</v>
      </c>
      <c r="C24" s="100" t="s">
        <v>270</v>
      </c>
      <c r="D24" s="27">
        <v>1</v>
      </c>
      <c r="E24" s="28" t="s">
        <v>269</v>
      </c>
      <c r="F24" s="111">
        <v>5</v>
      </c>
      <c r="G24" s="27">
        <v>5</v>
      </c>
      <c r="H24" s="111">
        <f>F24*G24</f>
        <v>25</v>
      </c>
      <c r="I24" s="111">
        <f>H24*1.13</f>
        <v>28.249999999999996</v>
      </c>
      <c r="J24" s="111">
        <f>1.25*I24</f>
        <v>35.312499999999993</v>
      </c>
      <c r="K24" s="111">
        <v>25</v>
      </c>
      <c r="L24" s="133">
        <v>25</v>
      </c>
    </row>
    <row r="25" spans="1:13">
      <c r="A25" s="28" t="s">
        <v>268</v>
      </c>
      <c r="B25" s="29">
        <v>200501</v>
      </c>
      <c r="C25" s="100" t="s">
        <v>267</v>
      </c>
      <c r="D25" s="27">
        <v>26</v>
      </c>
      <c r="E25" s="28" t="s">
        <v>266</v>
      </c>
      <c r="F25" s="111">
        <v>150</v>
      </c>
      <c r="G25" s="27">
        <v>1</v>
      </c>
      <c r="H25" s="111">
        <f t="shared" ref="H25:H32" si="1">F25*G25</f>
        <v>150</v>
      </c>
      <c r="I25" s="111">
        <f t="shared" ref="I25:I32" si="2">H25*1.13</f>
        <v>169.49999999999997</v>
      </c>
      <c r="J25" s="111">
        <f t="shared" ref="J25:J32" si="3">1.25*I25</f>
        <v>211.87499999999997</v>
      </c>
      <c r="K25" s="111">
        <v>101.7</v>
      </c>
      <c r="L25" s="133">
        <v>101.7</v>
      </c>
    </row>
    <row r="26" spans="1:13">
      <c r="A26" s="28" t="s">
        <v>265</v>
      </c>
      <c r="B26" s="29">
        <v>200502</v>
      </c>
      <c r="C26" s="100" t="s">
        <v>264</v>
      </c>
      <c r="D26" s="27">
        <v>8</v>
      </c>
      <c r="E26" s="28" t="s">
        <v>263</v>
      </c>
      <c r="F26" s="111">
        <v>950</v>
      </c>
      <c r="G26" s="27">
        <v>1</v>
      </c>
      <c r="H26" s="111">
        <f t="shared" si="1"/>
        <v>950</v>
      </c>
      <c r="I26" s="111">
        <f t="shared" si="2"/>
        <v>1073.5</v>
      </c>
      <c r="J26" s="111">
        <f t="shared" si="3"/>
        <v>1341.875</v>
      </c>
      <c r="K26" s="111">
        <v>711.88</v>
      </c>
      <c r="L26" s="133">
        <v>711.88</v>
      </c>
    </row>
    <row r="27" spans="1:13">
      <c r="A27" s="28" t="s">
        <v>262</v>
      </c>
      <c r="B27" s="29">
        <v>200503</v>
      </c>
      <c r="C27" s="100" t="s">
        <v>261</v>
      </c>
      <c r="D27" s="27">
        <v>27</v>
      </c>
      <c r="E27" s="28" t="s">
        <v>260</v>
      </c>
      <c r="F27" s="111">
        <v>50</v>
      </c>
      <c r="G27" s="27">
        <v>3</v>
      </c>
      <c r="H27" s="111">
        <f t="shared" si="1"/>
        <v>150</v>
      </c>
      <c r="I27" s="111">
        <f t="shared" si="2"/>
        <v>169.49999999999997</v>
      </c>
      <c r="J27" s="111">
        <f t="shared" si="3"/>
        <v>211.87499999999997</v>
      </c>
      <c r="K27" s="111">
        <v>150</v>
      </c>
      <c r="L27" s="133">
        <v>150</v>
      </c>
    </row>
    <row r="28" spans="1:13">
      <c r="B28" s="29">
        <v>200504</v>
      </c>
      <c r="C28" s="100" t="s">
        <v>258</v>
      </c>
      <c r="D28" s="27">
        <v>13</v>
      </c>
      <c r="E28" s="98" t="s">
        <v>259</v>
      </c>
      <c r="F28" s="111">
        <v>60</v>
      </c>
      <c r="G28" s="27">
        <v>1</v>
      </c>
      <c r="H28" s="111">
        <f t="shared" si="1"/>
        <v>60</v>
      </c>
      <c r="I28" s="111">
        <f t="shared" si="2"/>
        <v>67.8</v>
      </c>
      <c r="J28" s="111">
        <f t="shared" si="3"/>
        <v>84.75</v>
      </c>
      <c r="K28" s="111">
        <v>60</v>
      </c>
      <c r="L28" s="133">
        <v>60</v>
      </c>
    </row>
    <row r="29" spans="1:13">
      <c r="B29" s="29">
        <v>200505</v>
      </c>
      <c r="C29" s="100" t="s">
        <v>258</v>
      </c>
      <c r="D29" s="27">
        <v>2</v>
      </c>
      <c r="E29" s="98" t="s">
        <v>257</v>
      </c>
      <c r="F29" s="111">
        <v>40</v>
      </c>
      <c r="G29" s="27">
        <v>1</v>
      </c>
      <c r="H29" s="111">
        <f t="shared" si="1"/>
        <v>40</v>
      </c>
      <c r="I29" s="111">
        <f t="shared" si="2"/>
        <v>45.199999999999996</v>
      </c>
      <c r="J29" s="111">
        <f t="shared" si="3"/>
        <v>56.499999999999993</v>
      </c>
      <c r="K29" s="111">
        <v>40</v>
      </c>
      <c r="L29" s="133">
        <v>40</v>
      </c>
    </row>
    <row r="30" spans="1:13" s="6" customFormat="1">
      <c r="A30" s="28" t="s">
        <v>256</v>
      </c>
      <c r="B30" s="29">
        <v>200506</v>
      </c>
      <c r="C30" s="100" t="s">
        <v>255</v>
      </c>
      <c r="D30" s="27">
        <v>25</v>
      </c>
      <c r="E30" s="98" t="s">
        <v>254</v>
      </c>
      <c r="F30" s="111">
        <v>200</v>
      </c>
      <c r="G30" s="27">
        <v>1</v>
      </c>
      <c r="H30" s="111">
        <f t="shared" si="1"/>
        <v>200</v>
      </c>
      <c r="I30" s="111">
        <f t="shared" si="2"/>
        <v>225.99999999999997</v>
      </c>
      <c r="J30" s="111">
        <f t="shared" si="3"/>
        <v>282.49999999999994</v>
      </c>
      <c r="K30" s="111">
        <v>329.4</v>
      </c>
      <c r="L30" s="133">
        <v>329.4</v>
      </c>
    </row>
    <row r="31" spans="1:13">
      <c r="B31" s="29">
        <v>200507</v>
      </c>
      <c r="C31" s="100" t="s">
        <v>223</v>
      </c>
      <c r="D31" s="27">
        <v>24</v>
      </c>
      <c r="E31" s="98" t="s">
        <v>253</v>
      </c>
      <c r="F31" s="111">
        <v>597.5</v>
      </c>
      <c r="G31" s="27">
        <v>1</v>
      </c>
      <c r="H31" s="111">
        <f t="shared" si="1"/>
        <v>597.5</v>
      </c>
      <c r="I31" s="111">
        <f t="shared" si="2"/>
        <v>675.17499999999995</v>
      </c>
      <c r="J31" s="111">
        <f t="shared" si="3"/>
        <v>843.96875</v>
      </c>
      <c r="K31" s="111">
        <v>1720.71</v>
      </c>
      <c r="L31" s="133">
        <v>1720.71</v>
      </c>
      <c r="M31" s="1" t="s">
        <v>291</v>
      </c>
    </row>
    <row r="32" spans="1:13">
      <c r="B32" s="29">
        <v>200508</v>
      </c>
      <c r="C32" s="100" t="s">
        <v>252</v>
      </c>
      <c r="E32" s="28" t="s">
        <v>251</v>
      </c>
      <c r="F32" s="111">
        <v>0</v>
      </c>
      <c r="G32" s="27">
        <v>0</v>
      </c>
      <c r="H32" s="111">
        <f t="shared" si="1"/>
        <v>0</v>
      </c>
      <c r="I32" s="111">
        <f t="shared" si="2"/>
        <v>0</v>
      </c>
      <c r="J32" s="111">
        <f t="shared" si="3"/>
        <v>0</v>
      </c>
      <c r="K32" s="111">
        <v>173.75</v>
      </c>
      <c r="L32" s="133">
        <v>173.75</v>
      </c>
    </row>
    <row r="33" spans="1:12">
      <c r="L33" s="133"/>
    </row>
    <row r="34" spans="1:12" ht="14.5">
      <c r="B34" s="43" t="s">
        <v>250</v>
      </c>
      <c r="C34" s="102"/>
      <c r="D34" s="40"/>
      <c r="E34" s="41"/>
      <c r="F34" s="114"/>
      <c r="G34" s="40"/>
      <c r="H34" s="114"/>
      <c r="I34" s="114">
        <f>SUM(I24:I32)</f>
        <v>2454.9250000000002</v>
      </c>
      <c r="J34" s="114">
        <f t="shared" ref="J34:L34" si="4">SUM(J24:J32)</f>
        <v>3068.65625</v>
      </c>
      <c r="K34" s="114">
        <f t="shared" si="4"/>
        <v>3312.44</v>
      </c>
      <c r="L34" s="126">
        <f t="shared" si="4"/>
        <v>3312.44</v>
      </c>
    </row>
    <row r="35" spans="1:12">
      <c r="A35" s="94" t="s">
        <v>249</v>
      </c>
      <c r="L35" s="125"/>
    </row>
    <row r="36" spans="1:12">
      <c r="A36" s="28" t="s">
        <v>248</v>
      </c>
      <c r="B36" s="29">
        <v>200600</v>
      </c>
      <c r="C36" s="100" t="s">
        <v>247</v>
      </c>
      <c r="D36" s="27">
        <v>28</v>
      </c>
      <c r="E36" s="28" t="s">
        <v>242</v>
      </c>
      <c r="F36" s="111">
        <v>1.99</v>
      </c>
      <c r="G36" s="27">
        <v>50</v>
      </c>
      <c r="H36" s="111">
        <f>F36*G36</f>
        <v>99.5</v>
      </c>
      <c r="I36" s="111">
        <f>1.13*H36</f>
        <v>112.43499999999999</v>
      </c>
      <c r="J36" s="111">
        <v>140.54</v>
      </c>
      <c r="L36" s="125">
        <v>0</v>
      </c>
    </row>
    <row r="37" spans="1:12">
      <c r="B37" s="29">
        <v>200601</v>
      </c>
      <c r="C37" s="100" t="s">
        <v>246</v>
      </c>
      <c r="D37" s="27">
        <v>29</v>
      </c>
      <c r="E37" s="28" t="s">
        <v>242</v>
      </c>
      <c r="F37" s="111">
        <v>1.5</v>
      </c>
      <c r="G37" s="27">
        <v>100</v>
      </c>
      <c r="H37" s="111">
        <f t="shared" ref="H37:H39" si="5">F37*G37</f>
        <v>150</v>
      </c>
      <c r="I37" s="111">
        <f t="shared" ref="I37:I40" si="6">1.13*H37</f>
        <v>169.49999999999997</v>
      </c>
      <c r="J37" s="111">
        <v>211.88</v>
      </c>
      <c r="L37" s="125">
        <v>0</v>
      </c>
    </row>
    <row r="38" spans="1:12" s="6" customFormat="1">
      <c r="A38" s="28" t="s">
        <v>245</v>
      </c>
      <c r="B38" s="29">
        <v>200602</v>
      </c>
      <c r="C38" s="100" t="s">
        <v>244</v>
      </c>
      <c r="D38" s="27">
        <v>4</v>
      </c>
      <c r="E38" s="28" t="s">
        <v>242</v>
      </c>
      <c r="F38" s="111">
        <v>1.99</v>
      </c>
      <c r="G38" s="27">
        <v>50</v>
      </c>
      <c r="H38" s="111">
        <f t="shared" si="5"/>
        <v>99.5</v>
      </c>
      <c r="I38" s="111">
        <f t="shared" si="6"/>
        <v>112.43499999999999</v>
      </c>
      <c r="J38" s="111">
        <v>140.54</v>
      </c>
      <c r="K38" s="111"/>
      <c r="L38" s="125">
        <v>0</v>
      </c>
    </row>
    <row r="39" spans="1:12">
      <c r="B39" s="29">
        <v>200603</v>
      </c>
      <c r="C39" s="100" t="s">
        <v>243</v>
      </c>
      <c r="D39" s="27">
        <v>3</v>
      </c>
      <c r="E39" s="28" t="s">
        <v>242</v>
      </c>
      <c r="F39" s="111">
        <v>1.5</v>
      </c>
      <c r="G39" s="27">
        <v>100</v>
      </c>
      <c r="H39" s="111">
        <f t="shared" si="5"/>
        <v>150</v>
      </c>
      <c r="I39" s="111">
        <f t="shared" si="6"/>
        <v>169.49999999999997</v>
      </c>
      <c r="J39" s="111">
        <v>211.88</v>
      </c>
      <c r="L39" s="125">
        <v>0</v>
      </c>
    </row>
    <row r="40" spans="1:12">
      <c r="B40" s="29">
        <v>200604</v>
      </c>
      <c r="C40" s="100" t="s">
        <v>241</v>
      </c>
      <c r="D40" s="27">
        <v>9</v>
      </c>
      <c r="E40" s="28" t="s">
        <v>240</v>
      </c>
      <c r="F40" s="111">
        <v>1.5</v>
      </c>
      <c r="G40" s="27">
        <v>100</v>
      </c>
      <c r="H40" s="111">
        <f>F40*G40</f>
        <v>150</v>
      </c>
      <c r="I40" s="111">
        <f t="shared" si="6"/>
        <v>169.49999999999997</v>
      </c>
      <c r="J40" s="111">
        <v>211.88</v>
      </c>
      <c r="L40" s="125">
        <v>0</v>
      </c>
    </row>
    <row r="41" spans="1:12">
      <c r="A41" s="16"/>
      <c r="L41" s="134"/>
    </row>
    <row r="42" spans="1:12" ht="14.5">
      <c r="A42" s="16"/>
      <c r="B42" s="43" t="s">
        <v>239</v>
      </c>
      <c r="C42" s="102"/>
      <c r="D42" s="40"/>
      <c r="E42" s="41"/>
      <c r="F42" s="114"/>
      <c r="G42" s="40"/>
      <c r="H42" s="114"/>
      <c r="I42" s="114">
        <f>SUM(I36:I40)</f>
        <v>733.36999999999989</v>
      </c>
      <c r="J42" s="114">
        <f t="shared" ref="J42:L42" si="7">SUM(J36:J40)</f>
        <v>916.71999999999991</v>
      </c>
      <c r="K42" s="114">
        <f t="shared" si="7"/>
        <v>0</v>
      </c>
      <c r="L42" s="126">
        <f t="shared" si="7"/>
        <v>0</v>
      </c>
    </row>
    <row r="43" spans="1:12">
      <c r="A43" s="94" t="s">
        <v>238</v>
      </c>
      <c r="L43" s="125"/>
    </row>
    <row r="44" spans="1:12">
      <c r="A44" s="28" t="s">
        <v>237</v>
      </c>
      <c r="B44" s="29">
        <v>200700</v>
      </c>
      <c r="C44" s="100" t="s">
        <v>232</v>
      </c>
      <c r="D44" s="27">
        <v>14</v>
      </c>
      <c r="F44" s="111">
        <v>2.5</v>
      </c>
      <c r="G44" s="27">
        <v>50</v>
      </c>
      <c r="H44" s="111">
        <f>F44*G44</f>
        <v>125</v>
      </c>
      <c r="I44" s="111">
        <f>1.13*H44</f>
        <v>141.25</v>
      </c>
      <c r="J44" s="111">
        <f>1.25*I44</f>
        <v>176.5625</v>
      </c>
      <c r="K44" s="111">
        <v>85.39</v>
      </c>
      <c r="L44" s="133">
        <v>85.39</v>
      </c>
    </row>
    <row r="45" spans="1:12">
      <c r="A45" s="28" t="s">
        <v>236</v>
      </c>
      <c r="B45" s="29">
        <v>200701</v>
      </c>
      <c r="C45" s="100" t="s">
        <v>230</v>
      </c>
      <c r="D45" s="27">
        <v>11</v>
      </c>
      <c r="F45" s="111">
        <v>1.5</v>
      </c>
      <c r="G45" s="27">
        <v>50</v>
      </c>
      <c r="H45" s="111">
        <f t="shared" ref="H45:H48" si="8">F45*G45</f>
        <v>75</v>
      </c>
      <c r="I45" s="111">
        <f t="shared" ref="I45:I48" si="9">1.13*H45</f>
        <v>84.749999999999986</v>
      </c>
      <c r="J45" s="111">
        <f t="shared" ref="J45:J48" si="10">1.25*I45</f>
        <v>105.93749999999999</v>
      </c>
      <c r="L45" s="125"/>
    </row>
    <row r="46" spans="1:12">
      <c r="A46" s="28" t="s">
        <v>235</v>
      </c>
      <c r="B46" s="29">
        <v>200702</v>
      </c>
      <c r="C46" s="100" t="s">
        <v>232</v>
      </c>
      <c r="D46" s="27">
        <v>6</v>
      </c>
      <c r="E46" s="28" t="s">
        <v>234</v>
      </c>
      <c r="F46" s="111">
        <v>2.5</v>
      </c>
      <c r="G46" s="27">
        <v>40</v>
      </c>
      <c r="H46" s="111">
        <f t="shared" si="8"/>
        <v>100</v>
      </c>
      <c r="I46" s="111">
        <f t="shared" si="9"/>
        <v>112.99999999999999</v>
      </c>
      <c r="J46" s="111">
        <f t="shared" si="10"/>
        <v>141.24999999999997</v>
      </c>
      <c r="K46" s="111">
        <v>55.89</v>
      </c>
      <c r="L46" s="133">
        <v>55.89</v>
      </c>
    </row>
    <row r="47" spans="1:12">
      <c r="A47" s="28" t="s">
        <v>233</v>
      </c>
      <c r="B47" s="29">
        <v>200703</v>
      </c>
      <c r="C47" s="100" t="s">
        <v>232</v>
      </c>
      <c r="D47" s="27">
        <v>12</v>
      </c>
      <c r="F47" s="111">
        <v>2.5</v>
      </c>
      <c r="G47" s="27">
        <v>50</v>
      </c>
      <c r="H47" s="111">
        <f t="shared" si="8"/>
        <v>125</v>
      </c>
      <c r="I47" s="111">
        <f t="shared" si="9"/>
        <v>141.25</v>
      </c>
      <c r="J47" s="111">
        <f t="shared" si="10"/>
        <v>176.5625</v>
      </c>
      <c r="L47" s="125"/>
    </row>
    <row r="48" spans="1:12">
      <c r="A48" s="28" t="s">
        <v>231</v>
      </c>
      <c r="B48" s="29">
        <v>200704</v>
      </c>
      <c r="C48" s="100" t="s">
        <v>230</v>
      </c>
      <c r="D48" s="27">
        <v>5</v>
      </c>
      <c r="F48" s="111">
        <v>1.5</v>
      </c>
      <c r="G48" s="27">
        <v>50</v>
      </c>
      <c r="H48" s="111">
        <f t="shared" si="8"/>
        <v>75</v>
      </c>
      <c r="I48" s="111">
        <f t="shared" si="9"/>
        <v>84.749999999999986</v>
      </c>
      <c r="J48" s="111">
        <f t="shared" si="10"/>
        <v>105.93749999999999</v>
      </c>
      <c r="L48" s="125"/>
    </row>
    <row r="49" spans="1:14">
      <c r="L49" s="125"/>
    </row>
    <row r="50" spans="1:14" ht="14.5">
      <c r="B50" s="43" t="s">
        <v>229</v>
      </c>
      <c r="C50" s="102"/>
      <c r="D50" s="40"/>
      <c r="E50" s="41"/>
      <c r="F50" s="114"/>
      <c r="G50" s="40"/>
      <c r="H50" s="114"/>
      <c r="I50" s="114">
        <f>SUM(I44:I48)</f>
        <v>565</v>
      </c>
      <c r="J50" s="114">
        <f t="shared" ref="J50:L50" si="11">SUM(J44:J48)</f>
        <v>706.25</v>
      </c>
      <c r="K50" s="114">
        <f t="shared" si="11"/>
        <v>141.28</v>
      </c>
      <c r="L50" s="126">
        <f t="shared" si="11"/>
        <v>141.28</v>
      </c>
    </row>
    <row r="51" spans="1:14" ht="14.5">
      <c r="A51" s="94" t="s">
        <v>228</v>
      </c>
      <c r="B51" s="17"/>
      <c r="C51" s="103"/>
      <c r="D51" s="15"/>
      <c r="E51" s="16"/>
      <c r="F51" s="115"/>
      <c r="G51" s="15"/>
      <c r="H51" s="115"/>
      <c r="I51" s="115"/>
      <c r="J51" s="115"/>
      <c r="K51" s="115"/>
      <c r="L51" s="127"/>
    </row>
    <row r="52" spans="1:14">
      <c r="A52" s="28" t="s">
        <v>215</v>
      </c>
      <c r="B52" s="29">
        <v>200800</v>
      </c>
      <c r="C52" s="100" t="s">
        <v>227</v>
      </c>
      <c r="D52" s="27">
        <v>34</v>
      </c>
      <c r="E52" s="28" t="s">
        <v>226</v>
      </c>
      <c r="F52" s="111">
        <v>0</v>
      </c>
      <c r="G52" s="27">
        <v>1</v>
      </c>
      <c r="H52" s="111">
        <f>F52*G52</f>
        <v>0</v>
      </c>
      <c r="I52" s="111">
        <f>1.13*H52</f>
        <v>0</v>
      </c>
      <c r="J52" s="111">
        <f>1.25*I52</f>
        <v>0</v>
      </c>
      <c r="K52" s="111">
        <v>0</v>
      </c>
      <c r="L52" s="133">
        <v>0</v>
      </c>
    </row>
    <row r="53" spans="1:14">
      <c r="B53" s="29">
        <v>200801</v>
      </c>
      <c r="C53" s="100" t="s">
        <v>225</v>
      </c>
      <c r="D53" s="27">
        <v>33</v>
      </c>
      <c r="E53" s="28" t="s">
        <v>224</v>
      </c>
      <c r="F53" s="111">
        <v>300</v>
      </c>
      <c r="G53" s="27">
        <v>1</v>
      </c>
      <c r="H53" s="111">
        <f t="shared" ref="H53:H64" si="12">F53*G53</f>
        <v>300</v>
      </c>
      <c r="I53" s="111">
        <f t="shared" ref="I53:I63" si="13">1.13*H53</f>
        <v>338.99999999999994</v>
      </c>
      <c r="J53" s="111">
        <f t="shared" ref="J53:J64" si="14">1.25*I53</f>
        <v>423.74999999999994</v>
      </c>
      <c r="K53" s="111">
        <v>0</v>
      </c>
      <c r="L53" s="133">
        <v>0</v>
      </c>
    </row>
    <row r="54" spans="1:14">
      <c r="A54" s="28" t="s">
        <v>223</v>
      </c>
      <c r="B54" s="29">
        <v>200802</v>
      </c>
      <c r="C54" s="100" t="s">
        <v>222</v>
      </c>
      <c r="D54" s="27">
        <v>32</v>
      </c>
      <c r="E54" s="28" t="s">
        <v>221</v>
      </c>
      <c r="F54" s="111">
        <v>1.5</v>
      </c>
      <c r="G54" s="27">
        <v>150</v>
      </c>
      <c r="H54" s="111">
        <f t="shared" si="12"/>
        <v>225</v>
      </c>
      <c r="I54" s="111">
        <f t="shared" si="13"/>
        <v>254.24999999999997</v>
      </c>
      <c r="J54" s="111">
        <f t="shared" si="14"/>
        <v>317.81249999999994</v>
      </c>
      <c r="K54" s="111">
        <v>720</v>
      </c>
      <c r="L54" s="133">
        <v>720</v>
      </c>
      <c r="M54" s="93"/>
      <c r="N54"/>
    </row>
    <row r="55" spans="1:14">
      <c r="B55" s="29">
        <v>200803</v>
      </c>
      <c r="C55" s="100" t="s">
        <v>220</v>
      </c>
      <c r="D55" s="27">
        <v>31</v>
      </c>
      <c r="E55" s="28" t="s">
        <v>219</v>
      </c>
      <c r="F55" s="111">
        <v>500</v>
      </c>
      <c r="G55" s="27">
        <v>1</v>
      </c>
      <c r="H55" s="111">
        <f t="shared" si="12"/>
        <v>500</v>
      </c>
      <c r="I55" s="111">
        <f t="shared" si="13"/>
        <v>565</v>
      </c>
      <c r="J55" s="111">
        <f t="shared" si="14"/>
        <v>706.25</v>
      </c>
      <c r="K55" s="111">
        <v>357.26</v>
      </c>
      <c r="L55" s="133">
        <v>357.26</v>
      </c>
    </row>
    <row r="56" spans="1:14" s="6" customFormat="1">
      <c r="A56" s="28"/>
      <c r="B56" s="29">
        <v>200804</v>
      </c>
      <c r="C56" s="100" t="s">
        <v>218</v>
      </c>
      <c r="D56" s="27">
        <v>30</v>
      </c>
      <c r="E56" s="28" t="s">
        <v>217</v>
      </c>
      <c r="F56" s="111">
        <v>2072.42</v>
      </c>
      <c r="G56" s="27">
        <v>1</v>
      </c>
      <c r="H56" s="111">
        <f t="shared" si="12"/>
        <v>2072.42</v>
      </c>
      <c r="I56" s="111">
        <f t="shared" si="13"/>
        <v>2341.8345999999997</v>
      </c>
      <c r="J56" s="111">
        <f t="shared" si="14"/>
        <v>2927.2932499999997</v>
      </c>
      <c r="K56" s="111">
        <v>2231.75</v>
      </c>
      <c r="L56" s="133">
        <v>2231.75</v>
      </c>
      <c r="M56" s="1"/>
    </row>
    <row r="57" spans="1:14">
      <c r="B57" s="29">
        <v>200805</v>
      </c>
      <c r="C57" s="100" t="s">
        <v>216</v>
      </c>
      <c r="D57" s="27">
        <v>15</v>
      </c>
      <c r="F57" s="111">
        <v>80</v>
      </c>
      <c r="G57" s="27">
        <v>2</v>
      </c>
      <c r="H57" s="111">
        <f t="shared" si="12"/>
        <v>160</v>
      </c>
      <c r="I57" s="111">
        <f t="shared" si="13"/>
        <v>180.79999999999998</v>
      </c>
      <c r="J57" s="111">
        <f t="shared" si="14"/>
        <v>225.99999999999997</v>
      </c>
      <c r="K57" s="111">
        <v>35.76</v>
      </c>
      <c r="L57" s="133">
        <v>35.76</v>
      </c>
      <c r="M57" s="6"/>
    </row>
    <row r="58" spans="1:14" s="30" customFormat="1">
      <c r="A58" s="28"/>
      <c r="B58" s="29">
        <v>200806</v>
      </c>
      <c r="C58" s="100" t="s">
        <v>215</v>
      </c>
      <c r="D58" s="27">
        <v>21</v>
      </c>
      <c r="E58" s="28" t="s">
        <v>213</v>
      </c>
      <c r="F58" s="111">
        <v>30</v>
      </c>
      <c r="G58" s="27">
        <v>30</v>
      </c>
      <c r="H58" s="111">
        <f t="shared" si="12"/>
        <v>900</v>
      </c>
      <c r="I58" s="111">
        <f t="shared" si="13"/>
        <v>1016.9999999999999</v>
      </c>
      <c r="J58" s="111">
        <f t="shared" si="14"/>
        <v>1271.2499999999998</v>
      </c>
      <c r="K58" s="111">
        <v>500</v>
      </c>
      <c r="L58" s="133">
        <v>500</v>
      </c>
      <c r="M58" s="1"/>
    </row>
    <row r="59" spans="1:14">
      <c r="B59" s="29">
        <v>200807</v>
      </c>
      <c r="C59" s="100" t="s">
        <v>214</v>
      </c>
      <c r="D59" s="27">
        <v>22</v>
      </c>
      <c r="E59" s="28" t="s">
        <v>213</v>
      </c>
      <c r="F59" s="111">
        <v>8</v>
      </c>
      <c r="G59" s="27">
        <v>40</v>
      </c>
      <c r="H59" s="111">
        <f t="shared" si="12"/>
        <v>320</v>
      </c>
      <c r="I59" s="111">
        <f t="shared" si="13"/>
        <v>361.59999999999997</v>
      </c>
      <c r="J59" s="111">
        <f t="shared" si="14"/>
        <v>451.99999999999994</v>
      </c>
      <c r="K59" s="111">
        <v>250</v>
      </c>
      <c r="L59" s="133">
        <v>250</v>
      </c>
      <c r="M59" s="30"/>
    </row>
    <row r="60" spans="1:14" ht="15" customHeight="1">
      <c r="B60" s="29">
        <v>200808</v>
      </c>
      <c r="C60" s="100" t="s">
        <v>212</v>
      </c>
      <c r="D60" s="27">
        <v>23</v>
      </c>
      <c r="F60" s="111">
        <v>80</v>
      </c>
      <c r="G60" s="27">
        <v>1</v>
      </c>
      <c r="H60" s="111">
        <f t="shared" si="12"/>
        <v>80</v>
      </c>
      <c r="I60" s="111">
        <f t="shared" si="13"/>
        <v>90.399999999999991</v>
      </c>
      <c r="J60" s="111">
        <f t="shared" si="14"/>
        <v>112.99999999999999</v>
      </c>
      <c r="K60" s="111">
        <v>192.11</v>
      </c>
      <c r="L60" s="133">
        <v>192.11</v>
      </c>
    </row>
    <row r="61" spans="1:14" s="6" customFormat="1">
      <c r="A61" s="28"/>
      <c r="B61" s="29">
        <v>200809</v>
      </c>
      <c r="C61" s="100" t="s">
        <v>211</v>
      </c>
      <c r="D61" s="27">
        <v>20</v>
      </c>
      <c r="E61" s="28"/>
      <c r="F61" s="111">
        <v>200</v>
      </c>
      <c r="G61" s="27">
        <v>1</v>
      </c>
      <c r="H61" s="111">
        <f t="shared" si="12"/>
        <v>200</v>
      </c>
      <c r="I61" s="111">
        <f t="shared" si="13"/>
        <v>225.99999999999997</v>
      </c>
      <c r="J61" s="111">
        <f t="shared" si="14"/>
        <v>282.49999999999994</v>
      </c>
      <c r="K61" s="111">
        <v>0</v>
      </c>
      <c r="L61" s="133">
        <v>0</v>
      </c>
      <c r="M61" s="1"/>
    </row>
    <row r="62" spans="1:14" s="6" customFormat="1">
      <c r="A62" s="28"/>
      <c r="B62" s="29">
        <v>200810</v>
      </c>
      <c r="C62" s="100" t="s">
        <v>210</v>
      </c>
      <c r="D62" s="27">
        <v>19</v>
      </c>
      <c r="E62" s="28" t="s">
        <v>209</v>
      </c>
      <c r="F62" s="111">
        <v>500</v>
      </c>
      <c r="G62" s="27">
        <v>1</v>
      </c>
      <c r="H62" s="111">
        <f t="shared" si="12"/>
        <v>500</v>
      </c>
      <c r="I62" s="111">
        <f t="shared" si="13"/>
        <v>565</v>
      </c>
      <c r="J62" s="111">
        <f t="shared" si="14"/>
        <v>706.25</v>
      </c>
      <c r="K62" s="111">
        <v>156.34</v>
      </c>
      <c r="L62" s="133">
        <v>156.34</v>
      </c>
    </row>
    <row r="63" spans="1:14" s="6" customFormat="1">
      <c r="A63" s="28" t="s">
        <v>208</v>
      </c>
      <c r="B63" s="29">
        <v>200811</v>
      </c>
      <c r="C63" s="100" t="s">
        <v>207</v>
      </c>
      <c r="D63" s="27">
        <v>7</v>
      </c>
      <c r="E63" s="28" t="s">
        <v>206</v>
      </c>
      <c r="F63" s="111">
        <v>200</v>
      </c>
      <c r="G63" s="27">
        <v>1</v>
      </c>
      <c r="H63" s="111">
        <f t="shared" si="12"/>
        <v>200</v>
      </c>
      <c r="I63" s="111">
        <f t="shared" si="13"/>
        <v>225.99999999999997</v>
      </c>
      <c r="J63" s="111">
        <f t="shared" si="14"/>
        <v>282.49999999999994</v>
      </c>
      <c r="K63" s="111">
        <v>0</v>
      </c>
      <c r="L63" s="133">
        <v>0</v>
      </c>
    </row>
    <row r="64" spans="1:14" s="6" customFormat="1">
      <c r="A64" s="28"/>
      <c r="B64" s="29">
        <v>200812</v>
      </c>
      <c r="C64" s="100" t="s">
        <v>290</v>
      </c>
      <c r="D64" s="27"/>
      <c r="E64" s="28"/>
      <c r="F64" s="111">
        <v>25.99</v>
      </c>
      <c r="G64" s="27">
        <v>5</v>
      </c>
      <c r="H64" s="111">
        <f t="shared" si="12"/>
        <v>129.94999999999999</v>
      </c>
      <c r="I64" s="111">
        <f>1.13*H64</f>
        <v>146.84349999999998</v>
      </c>
      <c r="J64" s="111">
        <f t="shared" si="14"/>
        <v>183.55437499999996</v>
      </c>
      <c r="K64" s="111">
        <v>146.9</v>
      </c>
      <c r="L64" s="133">
        <v>146.9</v>
      </c>
    </row>
    <row r="65" spans="1:13">
      <c r="D65" s="107"/>
      <c r="L65" s="125"/>
      <c r="M65" s="6"/>
    </row>
    <row r="66" spans="1:13" ht="14.5">
      <c r="A66" s="1"/>
      <c r="B66" s="43" t="s">
        <v>205</v>
      </c>
      <c r="C66" s="102"/>
      <c r="D66" s="40"/>
      <c r="E66" s="41"/>
      <c r="F66" s="114"/>
      <c r="G66" s="40"/>
      <c r="H66" s="114"/>
      <c r="I66" s="114">
        <f>SUM(I52:I64)</f>
        <v>6313.7280999999994</v>
      </c>
      <c r="J66" s="114">
        <f t="shared" ref="J66:L66" si="15">SUM(J52:J64)</f>
        <v>7892.1601249999994</v>
      </c>
      <c r="K66" s="114">
        <f t="shared" si="15"/>
        <v>4590.12</v>
      </c>
      <c r="L66" s="126">
        <f t="shared" si="15"/>
        <v>4590.12</v>
      </c>
    </row>
    <row r="67" spans="1:13" ht="14.5">
      <c r="A67" s="94" t="s">
        <v>204</v>
      </c>
      <c r="B67" s="17"/>
      <c r="C67" s="103"/>
      <c r="D67" s="15"/>
      <c r="E67" s="16"/>
      <c r="F67" s="115"/>
      <c r="G67" s="15"/>
      <c r="H67" s="115"/>
      <c r="I67" s="115"/>
      <c r="J67" s="115"/>
      <c r="K67" s="115"/>
      <c r="L67" s="127"/>
    </row>
    <row r="68" spans="1:13">
      <c r="B68" s="29">
        <v>200900</v>
      </c>
      <c r="C68" s="100" t="s">
        <v>203</v>
      </c>
      <c r="D68" s="27">
        <v>35</v>
      </c>
      <c r="F68" s="111">
        <v>30.29</v>
      </c>
      <c r="G68" s="27">
        <v>12</v>
      </c>
      <c r="H68" s="111">
        <f>F68*G68</f>
        <v>363.48</v>
      </c>
      <c r="I68" s="111">
        <f>1.13*H68</f>
        <v>410.73239999999998</v>
      </c>
      <c r="J68" s="111">
        <v>513.41999999999996</v>
      </c>
      <c r="L68" s="125"/>
    </row>
    <row r="69" spans="1:13">
      <c r="B69" s="29">
        <v>200901</v>
      </c>
      <c r="C69" s="100" t="s">
        <v>202</v>
      </c>
      <c r="D69" s="27">
        <v>17</v>
      </c>
      <c r="E69" s="28" t="s">
        <v>201</v>
      </c>
      <c r="F69" s="111">
        <v>110</v>
      </c>
      <c r="G69" s="27">
        <v>1</v>
      </c>
      <c r="H69" s="111">
        <f t="shared" ref="H69:H70" si="16">F69*G69</f>
        <v>110</v>
      </c>
      <c r="I69" s="111">
        <f t="shared" ref="I69:I70" si="17">1.13*H69</f>
        <v>124.29999999999998</v>
      </c>
      <c r="J69" s="111">
        <v>155.38</v>
      </c>
      <c r="K69" s="111">
        <v>155</v>
      </c>
      <c r="L69" s="125">
        <v>157.34</v>
      </c>
    </row>
    <row r="70" spans="1:13">
      <c r="A70" s="97"/>
      <c r="B70" s="5">
        <v>200902</v>
      </c>
      <c r="C70" s="105" t="s">
        <v>200</v>
      </c>
      <c r="D70" s="95">
        <v>28</v>
      </c>
      <c r="E70" s="96" t="s">
        <v>199</v>
      </c>
      <c r="F70" s="117">
        <v>5</v>
      </c>
      <c r="G70" s="95">
        <v>25</v>
      </c>
      <c r="H70" s="111">
        <f t="shared" si="16"/>
        <v>125</v>
      </c>
      <c r="I70" s="111">
        <f t="shared" si="17"/>
        <v>141.25</v>
      </c>
      <c r="J70" s="119">
        <v>176.56</v>
      </c>
      <c r="K70" s="117"/>
      <c r="L70" s="129"/>
    </row>
    <row r="71" spans="1:13">
      <c r="L71" s="125"/>
    </row>
    <row r="72" spans="1:13" ht="14.5">
      <c r="B72" s="43" t="s">
        <v>198</v>
      </c>
      <c r="C72" s="102"/>
      <c r="D72" s="40"/>
      <c r="E72" s="41"/>
      <c r="F72" s="114"/>
      <c r="G72" s="40"/>
      <c r="H72" s="114"/>
      <c r="I72" s="114">
        <f>SUM(I68:I70)</f>
        <v>676.28239999999994</v>
      </c>
      <c r="J72" s="114">
        <f t="shared" ref="J72:L72" si="18">SUM(J68:J70)</f>
        <v>845.3599999999999</v>
      </c>
      <c r="K72" s="114">
        <f t="shared" si="18"/>
        <v>155</v>
      </c>
      <c r="L72" s="126">
        <f t="shared" si="18"/>
        <v>157.34</v>
      </c>
    </row>
    <row r="73" spans="1:13" ht="14.5">
      <c r="B73" s="17"/>
      <c r="C73" s="103"/>
      <c r="D73" s="15"/>
      <c r="E73" s="16"/>
      <c r="F73" s="115"/>
      <c r="G73" s="15"/>
      <c r="H73" s="115"/>
      <c r="I73" s="115"/>
      <c r="J73" s="115"/>
      <c r="K73" s="115"/>
      <c r="L73" s="127"/>
    </row>
    <row r="74" spans="1:13">
      <c r="A74" s="94" t="s">
        <v>197</v>
      </c>
      <c r="B74" s="29">
        <v>2001000</v>
      </c>
      <c r="C74" s="100" t="s">
        <v>196</v>
      </c>
      <c r="D74" s="27">
        <v>16</v>
      </c>
      <c r="E74" s="28" t="s">
        <v>195</v>
      </c>
      <c r="F74" s="111">
        <v>45</v>
      </c>
      <c r="G74" s="27">
        <v>22</v>
      </c>
      <c r="H74" s="111">
        <f>F74*G74</f>
        <v>990</v>
      </c>
      <c r="I74" s="111">
        <f>1.13*H74</f>
        <v>1118.6999999999998</v>
      </c>
      <c r="J74" s="111">
        <v>1398.38</v>
      </c>
      <c r="K74" s="111">
        <v>931.12</v>
      </c>
      <c r="L74" s="125">
        <v>931.12</v>
      </c>
    </row>
    <row r="75" spans="1:13">
      <c r="B75" s="29">
        <v>2001001</v>
      </c>
      <c r="C75" s="100" t="s">
        <v>194</v>
      </c>
      <c r="D75" s="27">
        <v>10</v>
      </c>
      <c r="E75" s="28" t="s">
        <v>193</v>
      </c>
      <c r="F75" s="111">
        <v>35</v>
      </c>
      <c r="G75" s="27">
        <v>6</v>
      </c>
      <c r="H75" s="111">
        <f>F75*G75</f>
        <v>210</v>
      </c>
      <c r="I75" s="111">
        <f>1.13*H75</f>
        <v>237.29999999999998</v>
      </c>
      <c r="J75" s="111">
        <v>296.63</v>
      </c>
      <c r="L75" s="125"/>
    </row>
    <row r="76" spans="1:13">
      <c r="L76" s="125"/>
    </row>
    <row r="77" spans="1:13" ht="14.5">
      <c r="A77" s="37"/>
      <c r="B77" s="43" t="s">
        <v>192</v>
      </c>
      <c r="C77" s="102"/>
      <c r="D77" s="40"/>
      <c r="E77" s="41"/>
      <c r="F77" s="114"/>
      <c r="G77" s="40"/>
      <c r="H77" s="114"/>
      <c r="I77" s="114">
        <f>SUM(I74:I75)</f>
        <v>1355.9999999999998</v>
      </c>
      <c r="J77" s="114">
        <f t="shared" ref="J77:L77" si="19">SUM(J74:J75)</f>
        <v>1695.0100000000002</v>
      </c>
      <c r="K77" s="114">
        <f t="shared" si="19"/>
        <v>931.12</v>
      </c>
      <c r="L77" s="126">
        <f t="shared" si="19"/>
        <v>931.12</v>
      </c>
    </row>
    <row r="78" spans="1:13">
      <c r="L78" s="125"/>
    </row>
    <row r="79" spans="1:13" ht="14.5">
      <c r="B79" s="36" t="s">
        <v>8</v>
      </c>
      <c r="C79" s="104"/>
      <c r="D79" s="33"/>
      <c r="E79" s="34"/>
      <c r="F79" s="116"/>
      <c r="G79" s="33"/>
      <c r="H79" s="116"/>
      <c r="I79" s="116">
        <f>SUM(I77,I72,I66,I50,I42,I34)</f>
        <v>12099.305499999999</v>
      </c>
      <c r="J79" s="116">
        <f t="shared" ref="J79:L79" si="20">SUM(J77,J72,J66,J50,J42,J34)</f>
        <v>15124.156374999999</v>
      </c>
      <c r="K79" s="116">
        <f t="shared" si="20"/>
        <v>9129.9599999999991</v>
      </c>
      <c r="L79" s="128">
        <f t="shared" si="20"/>
        <v>9132.2999999999993</v>
      </c>
    </row>
    <row r="80" spans="1:13">
      <c r="L80" s="125"/>
    </row>
    <row r="81" spans="1:12">
      <c r="A81" s="24" t="s">
        <v>7</v>
      </c>
      <c r="B81" s="23"/>
      <c r="C81" s="101"/>
      <c r="D81" s="21"/>
      <c r="E81" s="22"/>
      <c r="F81" s="112"/>
      <c r="G81" s="21"/>
      <c r="H81" s="112"/>
      <c r="I81" s="112"/>
      <c r="J81" s="112"/>
      <c r="K81" s="112"/>
      <c r="L81" s="123"/>
    </row>
    <row r="82" spans="1:12" ht="14.5">
      <c r="A82" s="16"/>
      <c r="B82" s="17" t="s">
        <v>6</v>
      </c>
      <c r="C82" s="103"/>
      <c r="D82" s="15"/>
      <c r="E82" s="16"/>
      <c r="F82" s="115"/>
      <c r="G82" s="15"/>
      <c r="H82" s="115"/>
      <c r="I82" s="115">
        <f>I20</f>
        <v>7661.4</v>
      </c>
      <c r="J82" s="115">
        <f>J20</f>
        <v>5746.0499999999993</v>
      </c>
      <c r="K82" s="115">
        <f>K20</f>
        <v>2333.1999999999998</v>
      </c>
      <c r="L82" s="130">
        <f>L20</f>
        <v>2440</v>
      </c>
    </row>
    <row r="83" spans="1:12" ht="14.5">
      <c r="A83" s="16"/>
      <c r="B83" s="17" t="s">
        <v>5</v>
      </c>
      <c r="C83" s="103"/>
      <c r="D83" s="15"/>
      <c r="E83" s="16"/>
      <c r="F83" s="115"/>
      <c r="G83" s="15"/>
      <c r="H83" s="115"/>
      <c r="I83" s="115">
        <f>I79</f>
        <v>12099.305499999999</v>
      </c>
      <c r="J83" s="115">
        <f>J79</f>
        <v>15124.156374999999</v>
      </c>
      <c r="K83" s="115">
        <f>K79</f>
        <v>9129.9599999999991</v>
      </c>
      <c r="L83" s="127">
        <f>L79</f>
        <v>9132.2999999999993</v>
      </c>
    </row>
    <row r="84" spans="1:12" ht="14.5">
      <c r="A84" s="11"/>
      <c r="B84" s="12" t="s">
        <v>4</v>
      </c>
      <c r="C84" s="106"/>
      <c r="D84" s="10"/>
      <c r="E84" s="11"/>
      <c r="F84" s="118"/>
      <c r="G84" s="10"/>
      <c r="H84" s="118"/>
      <c r="I84" s="118">
        <f>SUM(I82,I83*-1)</f>
        <v>-4437.9054999999989</v>
      </c>
      <c r="J84" s="118">
        <f>SUM(J82,J83*-1)</f>
        <v>-9378.1063749999994</v>
      </c>
      <c r="K84" s="118">
        <f>SUM(K82,K83*-1)</f>
        <v>-6796.7599999999993</v>
      </c>
      <c r="L84" s="131">
        <f>SUM(L82,L83*-1)</f>
        <v>-6692.2999999999993</v>
      </c>
    </row>
  </sheetData>
  <mergeCells count="1">
    <mergeCell ref="B1:K1"/>
  </mergeCells>
  <conditionalFormatting sqref="D48:E48 C46:G47 C59:D59 F59:G59 B46:B70 B17:L18 B10:L12 B6:L8 I9:J9 C60:G64 B45:G45 C53:G58 K53 C69:G69 J69:L69 H69:I70 H53:J64 H45:L48 C49:L51 B24:L44 C52:K52 L52:L53 C65:L68 B71:L84">
    <cfRule type="expression" dxfId="26" priority="27">
      <formula>MOD($B6,2)=1</formula>
    </cfRule>
  </conditionalFormatting>
  <conditionalFormatting sqref="B19:L21">
    <cfRule type="expression" dxfId="25" priority="26">
      <formula>MOD($B19,2)=1</formula>
    </cfRule>
  </conditionalFormatting>
  <conditionalFormatting sqref="J70">
    <cfRule type="expression" dxfId="24" priority="25">
      <formula>MOD($B70,2)=1</formula>
    </cfRule>
  </conditionalFormatting>
  <conditionalFormatting sqref="M54">
    <cfRule type="expression" dxfId="23" priority="24">
      <formula>MOD($B70,2)=1</formula>
    </cfRule>
  </conditionalFormatting>
  <conditionalFormatting sqref="K54:L54">
    <cfRule type="expression" dxfId="22" priority="22">
      <formula>MOD($B54,2)=1</formula>
    </cfRule>
  </conditionalFormatting>
  <conditionalFormatting sqref="K55:L55">
    <cfRule type="expression" dxfId="21" priority="21">
      <formula>MOD($B55,2)=1</formula>
    </cfRule>
  </conditionalFormatting>
  <conditionalFormatting sqref="K56:L56">
    <cfRule type="expression" dxfId="20" priority="20">
      <formula>MOD($B56,2)=1</formula>
    </cfRule>
  </conditionalFormatting>
  <conditionalFormatting sqref="K57:L57">
    <cfRule type="expression" dxfId="19" priority="19">
      <formula>MOD($B57,2)=1</formula>
    </cfRule>
  </conditionalFormatting>
  <conditionalFormatting sqref="K58:L58">
    <cfRule type="expression" dxfId="18" priority="18">
      <formula>MOD($B58,2)=1</formula>
    </cfRule>
  </conditionalFormatting>
  <conditionalFormatting sqref="K59:L59">
    <cfRule type="expression" dxfId="17" priority="17">
      <formula>MOD($B59,2)=1</formula>
    </cfRule>
  </conditionalFormatting>
  <conditionalFormatting sqref="K60:L60">
    <cfRule type="expression" dxfId="16" priority="16">
      <formula>MOD($B60,2)=1</formula>
    </cfRule>
  </conditionalFormatting>
  <conditionalFormatting sqref="K61:L61">
    <cfRule type="expression" dxfId="15" priority="15">
      <formula>MOD($B61,2)=1</formula>
    </cfRule>
  </conditionalFormatting>
  <conditionalFormatting sqref="E59">
    <cfRule type="expression" dxfId="14" priority="14">
      <formula>MOD($B59,2)=1</formula>
    </cfRule>
  </conditionalFormatting>
  <conditionalFormatting sqref="C48">
    <cfRule type="expression" dxfId="13" priority="13">
      <formula>MOD($B48,2)=1</formula>
    </cfRule>
  </conditionalFormatting>
  <conditionalFormatting sqref="F48">
    <cfRule type="expression" dxfId="12" priority="12">
      <formula>MOD($B48,2)=1</formula>
    </cfRule>
  </conditionalFormatting>
  <conditionalFormatting sqref="G48">
    <cfRule type="expression" dxfId="11" priority="11">
      <formula>MOD($B48,2)=1</formula>
    </cfRule>
  </conditionalFormatting>
  <conditionalFormatting sqref="K62:L62">
    <cfRule type="expression" dxfId="10" priority="9">
      <formula>MOD($B62,2)=1</formula>
    </cfRule>
  </conditionalFormatting>
  <conditionalFormatting sqref="K63:L64">
    <cfRule type="expression" dxfId="9" priority="7">
      <formula>MOD($B63,2)=1</formula>
    </cfRule>
  </conditionalFormatting>
  <conditionalFormatting sqref="B13:L13 B14:D14 F14:L14">
    <cfRule type="expression" dxfId="8" priority="6">
      <formula>MOD($B13,2)=1</formula>
    </cfRule>
  </conditionalFormatting>
  <conditionalFormatting sqref="B15:D15 F15:L15">
    <cfRule type="expression" dxfId="7" priority="2">
      <formula>MOD($B15,2)=1</formula>
    </cfRule>
  </conditionalFormatting>
  <conditionalFormatting sqref="B16:D16 F16:L16">
    <cfRule type="expression" dxfId="6" priority="1">
      <formula>MOD($B16,2)=1</formula>
    </cfRule>
  </conditionalFormatting>
  <pageMargins left="0.7" right="0.7" top="0.75" bottom="0.75" header="0.3" footer="0.3"/>
  <pageSetup scale="26" fitToWidth="0" fitToHeight="0" orientation="portrait" r:id="rId1"/>
  <drawing r:id="rId2"/>
  <legacy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6428A0-88D3-4FED-9544-A8F715255F5F}">
  <sheetPr codeName="Sheet10"/>
  <dimension ref="A1:L39"/>
  <sheetViews>
    <sheetView showGridLines="0" zoomScale="50" zoomScaleNormal="75" workbookViewId="0">
      <pane ySplit="2" topLeftCell="A3" activePane="bottomLeft" state="frozen"/>
      <selection pane="bottomLeft" activeCell="L14" sqref="L14"/>
    </sheetView>
  </sheetViews>
  <sheetFormatPr defaultColWidth="9" defaultRowHeight="15.5"/>
  <cols>
    <col min="1" max="1" width="26.4140625" style="28" customWidth="1"/>
    <col min="2" max="2" width="21.58203125" style="29" customWidth="1"/>
    <col min="3" max="3" width="32.83203125" style="29" customWidth="1"/>
    <col min="4" max="4" width="18.4140625" style="81" customWidth="1"/>
    <col min="5" max="5" width="51.83203125" style="28" customWidth="1"/>
    <col min="6" max="6" width="14.08203125" style="26" customWidth="1"/>
    <col min="7" max="7" width="14.08203125" style="27" customWidth="1"/>
    <col min="8" max="8" width="17.9140625" style="26" customWidth="1"/>
    <col min="9" max="9" width="17" style="26" customWidth="1"/>
    <col min="10" max="11" width="19.08203125" style="26" customWidth="1"/>
    <col min="12" max="12" width="19.58203125" style="58" customWidth="1"/>
    <col min="13" max="16384" width="9" style="1"/>
  </cols>
  <sheetData>
    <row r="1" spans="1:12" ht="148.5" customHeight="1">
      <c r="B1" s="368" t="s">
        <v>179</v>
      </c>
      <c r="C1" s="368"/>
      <c r="D1" s="368"/>
      <c r="E1" s="368"/>
      <c r="F1" s="368"/>
      <c r="G1" s="368"/>
      <c r="H1" s="368"/>
      <c r="I1" s="368"/>
      <c r="J1" s="368"/>
      <c r="K1" s="368"/>
    </row>
    <row r="2" spans="1:12" s="62" customFormat="1" ht="15" customHeight="1">
      <c r="A2" s="65" t="s">
        <v>106</v>
      </c>
      <c r="B2" s="65" t="s">
        <v>105</v>
      </c>
      <c r="C2" s="65" t="s">
        <v>104</v>
      </c>
      <c r="D2" s="73" t="s">
        <v>103</v>
      </c>
      <c r="E2" s="65" t="s">
        <v>102</v>
      </c>
      <c r="F2" s="64" t="s">
        <v>101</v>
      </c>
      <c r="G2" s="65" t="s">
        <v>1</v>
      </c>
      <c r="H2" s="64" t="s">
        <v>100</v>
      </c>
      <c r="I2" s="64" t="s">
        <v>99</v>
      </c>
      <c r="J2" s="64" t="s">
        <v>176</v>
      </c>
      <c r="K2" s="64" t="s">
        <v>98</v>
      </c>
      <c r="L2" s="63" t="s">
        <v>2</v>
      </c>
    </row>
    <row r="3" spans="1:12" ht="14.25" customHeight="1">
      <c r="L3" s="61"/>
    </row>
    <row r="4" spans="1:12" ht="15" customHeight="1">
      <c r="A4" s="24" t="s">
        <v>3</v>
      </c>
      <c r="B4" s="23"/>
      <c r="C4" s="23"/>
      <c r="D4" s="82"/>
      <c r="E4" s="22"/>
      <c r="F4" s="20"/>
      <c r="G4" s="21"/>
      <c r="H4" s="20"/>
      <c r="I4" s="20"/>
      <c r="J4" s="20"/>
      <c r="K4" s="20"/>
      <c r="L4" s="19"/>
    </row>
    <row r="5" spans="1:12">
      <c r="A5" s="16" t="s">
        <v>180</v>
      </c>
      <c r="L5" s="25"/>
    </row>
    <row r="6" spans="1:12">
      <c r="B6" s="29">
        <v>85100</v>
      </c>
      <c r="C6" s="29" t="s">
        <v>181</v>
      </c>
      <c r="E6" s="74" t="s">
        <v>185</v>
      </c>
      <c r="F6" s="26">
        <v>40</v>
      </c>
      <c r="G6" s="27">
        <v>27</v>
      </c>
      <c r="H6" s="26">
        <f>F6*G6</f>
        <v>1080</v>
      </c>
      <c r="I6" s="26">
        <f>H6*1.13</f>
        <v>1220.3999999999999</v>
      </c>
      <c r="J6" s="26">
        <f>I6*1.25</f>
        <v>1525.4999999999998</v>
      </c>
      <c r="L6" s="25"/>
    </row>
    <row r="7" spans="1:12">
      <c r="B7" s="29">
        <v>85101</v>
      </c>
      <c r="C7" s="29" t="s">
        <v>182</v>
      </c>
      <c r="E7" s="74" t="s">
        <v>186</v>
      </c>
      <c r="F7" s="26">
        <v>1500</v>
      </c>
      <c r="G7" s="27">
        <v>1</v>
      </c>
      <c r="H7" s="26">
        <f t="shared" ref="H7:H9" si="0">F7*G7</f>
        <v>1500</v>
      </c>
      <c r="I7" s="26">
        <f t="shared" ref="I7:I9" si="1">H7*1.13</f>
        <v>1694.9999999999998</v>
      </c>
      <c r="J7" s="26">
        <f t="shared" ref="J7:J9" si="2">I7*1.25</f>
        <v>2118.7499999999995</v>
      </c>
      <c r="L7" s="25"/>
    </row>
    <row r="8" spans="1:12">
      <c r="B8" s="29">
        <v>85102</v>
      </c>
      <c r="C8" s="29" t="s">
        <v>183</v>
      </c>
      <c r="E8" s="74" t="s">
        <v>187</v>
      </c>
      <c r="F8" s="26">
        <v>56</v>
      </c>
      <c r="G8" s="27">
        <v>6</v>
      </c>
      <c r="H8" s="26">
        <f t="shared" si="0"/>
        <v>336</v>
      </c>
      <c r="I8" s="26">
        <f t="shared" si="1"/>
        <v>379.67999999999995</v>
      </c>
      <c r="J8" s="26">
        <f t="shared" si="2"/>
        <v>474.59999999999991</v>
      </c>
      <c r="L8" s="25">
        <v>102.9</v>
      </c>
    </row>
    <row r="9" spans="1:12">
      <c r="B9" s="29">
        <v>85103</v>
      </c>
      <c r="C9" s="29" t="s">
        <v>184</v>
      </c>
      <c r="E9" s="74" t="s">
        <v>187</v>
      </c>
      <c r="F9" s="26">
        <v>56</v>
      </c>
      <c r="G9" s="27">
        <v>6</v>
      </c>
      <c r="H9" s="26">
        <f t="shared" si="0"/>
        <v>336</v>
      </c>
      <c r="I9" s="26">
        <f t="shared" si="1"/>
        <v>379.67999999999995</v>
      </c>
      <c r="J9" s="26">
        <f t="shared" si="2"/>
        <v>474.59999999999991</v>
      </c>
      <c r="L9" s="25">
        <v>56</v>
      </c>
    </row>
    <row r="10" spans="1:12">
      <c r="A10" s="30"/>
      <c r="E10" s="74"/>
      <c r="L10" s="25"/>
    </row>
    <row r="11" spans="1:12" s="30" customFormat="1" ht="14.5">
      <c r="A11" s="1"/>
      <c r="B11" s="43" t="s">
        <v>157</v>
      </c>
      <c r="C11" s="42"/>
      <c r="D11" s="83"/>
      <c r="E11" s="75"/>
      <c r="F11" s="39"/>
      <c r="G11" s="40"/>
      <c r="H11" s="39"/>
      <c r="I11" s="39">
        <f>SUM(I6:I9)</f>
        <v>3674.7599999999993</v>
      </c>
      <c r="J11" s="39">
        <f>SUM(J6:J9)</f>
        <v>4593.4499999999989</v>
      </c>
      <c r="K11" s="39">
        <f>SUM(K6:K9)</f>
        <v>0</v>
      </c>
      <c r="L11" s="38">
        <f>SUM(L6:L9)</f>
        <v>158.9</v>
      </c>
    </row>
    <row r="12" spans="1:12">
      <c r="A12" s="16" t="s">
        <v>158</v>
      </c>
      <c r="E12" s="74"/>
      <c r="L12" s="25"/>
    </row>
    <row r="13" spans="1:12">
      <c r="A13" s="1"/>
      <c r="B13" s="29">
        <v>85200</v>
      </c>
      <c r="C13" s="29" t="s">
        <v>188</v>
      </c>
      <c r="E13" s="74" t="s">
        <v>190</v>
      </c>
      <c r="F13" s="26">
        <v>35</v>
      </c>
      <c r="G13" s="27">
        <v>1</v>
      </c>
      <c r="H13" s="26">
        <f>F13*G13</f>
        <v>35</v>
      </c>
      <c r="I13" s="26">
        <f>H13*1.13</f>
        <v>39.549999999999997</v>
      </c>
      <c r="J13" s="26">
        <f>I13*1.25</f>
        <v>49.4375</v>
      </c>
      <c r="L13" s="25">
        <v>39.49</v>
      </c>
    </row>
    <row r="14" spans="1:12">
      <c r="B14" s="29">
        <v>85201</v>
      </c>
      <c r="C14" s="29" t="s">
        <v>189</v>
      </c>
      <c r="E14" s="74" t="s">
        <v>191</v>
      </c>
      <c r="F14" s="26">
        <v>20</v>
      </c>
      <c r="G14" s="27">
        <v>1</v>
      </c>
      <c r="H14" s="26">
        <f>F14*G14</f>
        <v>20</v>
      </c>
      <c r="I14" s="26">
        <f>H14*1.13</f>
        <v>22.599999999999998</v>
      </c>
      <c r="J14" s="26">
        <f>I14*1.25</f>
        <v>28.249999999999996</v>
      </c>
      <c r="L14" s="25"/>
    </row>
    <row r="15" spans="1:12">
      <c r="E15" s="74"/>
      <c r="L15" s="25"/>
    </row>
    <row r="16" spans="1:12">
      <c r="A16" s="16"/>
      <c r="B16" s="43" t="s">
        <v>142</v>
      </c>
      <c r="C16" s="77"/>
      <c r="D16" s="84"/>
      <c r="E16" s="78"/>
      <c r="F16" s="79"/>
      <c r="G16" s="80"/>
      <c r="H16" s="79"/>
      <c r="I16" s="39">
        <f>SUM(I13:I14)</f>
        <v>62.149999999999991</v>
      </c>
      <c r="J16" s="39">
        <f>SUM(J13:J14)</f>
        <v>77.6875</v>
      </c>
      <c r="K16" s="79"/>
      <c r="L16" s="61"/>
    </row>
    <row r="17" spans="1:12" s="6" customFormat="1">
      <c r="A17" s="28"/>
      <c r="C17" s="29"/>
      <c r="D17" s="81"/>
      <c r="E17" s="28"/>
      <c r="F17" s="26"/>
      <c r="G17" s="27"/>
      <c r="H17" s="26"/>
      <c r="I17" s="26"/>
      <c r="J17" s="26"/>
      <c r="K17" s="26"/>
      <c r="L17" s="25"/>
    </row>
    <row r="18" spans="1:12" ht="14.5">
      <c r="A18" s="37"/>
      <c r="B18" s="36" t="s">
        <v>8</v>
      </c>
      <c r="C18" s="35"/>
      <c r="D18" s="85"/>
      <c r="E18" s="34"/>
      <c r="F18" s="32"/>
      <c r="G18" s="33"/>
      <c r="H18" s="32"/>
      <c r="I18" s="32">
        <f>SUM(I11+I16)</f>
        <v>3736.9099999999994</v>
      </c>
      <c r="J18" s="32">
        <f>SUM(J11+J16)</f>
        <v>4671.1374999999989</v>
      </c>
      <c r="K18" s="32">
        <v>0</v>
      </c>
      <c r="L18" s="31">
        <f>L11</f>
        <v>158.9</v>
      </c>
    </row>
    <row r="19" spans="1:12">
      <c r="L19" s="25"/>
    </row>
    <row r="20" spans="1:12">
      <c r="A20" s="24" t="s">
        <v>7</v>
      </c>
      <c r="B20" s="23"/>
      <c r="C20" s="23"/>
      <c r="D20" s="82"/>
      <c r="E20" s="22"/>
      <c r="F20" s="20"/>
      <c r="G20" s="21"/>
      <c r="H20" s="20"/>
      <c r="I20" s="20"/>
      <c r="J20" s="20"/>
      <c r="K20" s="20"/>
      <c r="L20" s="19"/>
    </row>
    <row r="21" spans="1:12" ht="14.5">
      <c r="A21" s="16"/>
      <c r="B21" s="17" t="s">
        <v>6</v>
      </c>
      <c r="C21" s="17"/>
      <c r="D21" s="86"/>
      <c r="E21" s="16"/>
      <c r="F21" s="14"/>
      <c r="G21" s="15"/>
      <c r="H21" s="14"/>
      <c r="I21" s="14">
        <v>0</v>
      </c>
      <c r="J21" s="14">
        <v>0</v>
      </c>
      <c r="K21" s="14">
        <v>0</v>
      </c>
      <c r="L21" s="18">
        <v>0</v>
      </c>
    </row>
    <row r="22" spans="1:12" ht="14.5">
      <c r="A22" s="16"/>
      <c r="B22" s="17" t="s">
        <v>5</v>
      </c>
      <c r="C22" s="17"/>
      <c r="D22" s="86"/>
      <c r="E22" s="16"/>
      <c r="F22" s="14"/>
      <c r="G22" s="15"/>
      <c r="H22" s="14"/>
      <c r="I22" s="14">
        <f>I18</f>
        <v>3736.9099999999994</v>
      </c>
      <c r="J22" s="14">
        <f>J18</f>
        <v>4671.1374999999989</v>
      </c>
      <c r="K22" s="14">
        <f>K18</f>
        <v>0</v>
      </c>
      <c r="L22" s="13">
        <f>L18</f>
        <v>158.9</v>
      </c>
    </row>
    <row r="23" spans="1:12" ht="14.5">
      <c r="A23" s="11"/>
      <c r="B23" s="12" t="s">
        <v>4</v>
      </c>
      <c r="C23" s="12"/>
      <c r="D23" s="87"/>
      <c r="E23" s="11"/>
      <c r="F23" s="8"/>
      <c r="G23" s="10"/>
      <c r="H23" s="8"/>
      <c r="I23" s="8">
        <f>SUM(I21,I22*-1)</f>
        <v>-3736.9099999999994</v>
      </c>
      <c r="J23" s="8">
        <f>SUM(J21,J22*-1)</f>
        <v>-4671.1374999999989</v>
      </c>
      <c r="K23" s="8">
        <f>SUM(K21,K22*-1)</f>
        <v>0</v>
      </c>
      <c r="L23" s="7">
        <f>SUM(L21,L22*-1)</f>
        <v>-158.9</v>
      </c>
    </row>
    <row r="25" spans="1:12" s="6" customFormat="1">
      <c r="A25" s="28"/>
      <c r="B25" s="29"/>
      <c r="C25" s="29"/>
      <c r="D25" s="81"/>
      <c r="E25" s="28"/>
      <c r="F25" s="26"/>
      <c r="G25" s="27"/>
      <c r="H25" s="26"/>
      <c r="I25" s="26"/>
      <c r="J25" s="26"/>
      <c r="K25" s="26"/>
      <c r="L25" s="58"/>
    </row>
    <row r="32" spans="1:12" s="6" customFormat="1">
      <c r="A32" s="28"/>
      <c r="B32" s="29"/>
      <c r="C32" s="29"/>
      <c r="D32" s="81"/>
      <c r="E32" s="28"/>
      <c r="F32" s="26"/>
      <c r="G32" s="27"/>
      <c r="H32" s="26"/>
      <c r="I32" s="26"/>
      <c r="J32" s="26"/>
      <c r="K32" s="26"/>
      <c r="L32" s="58"/>
    </row>
    <row r="34" spans="1:12" s="30" customFormat="1">
      <c r="A34" s="28"/>
      <c r="B34" s="29"/>
      <c r="C34" s="29"/>
      <c r="D34" s="81"/>
      <c r="E34" s="28"/>
      <c r="F34" s="26"/>
      <c r="G34" s="27"/>
      <c r="H34" s="26"/>
      <c r="I34" s="26"/>
      <c r="J34" s="26"/>
      <c r="K34" s="26"/>
      <c r="L34" s="58"/>
    </row>
    <row r="36" spans="1:12" ht="15" customHeight="1"/>
    <row r="37" spans="1:12" s="6" customFormat="1">
      <c r="A37" s="28"/>
      <c r="B37" s="29"/>
      <c r="C37" s="29"/>
      <c r="D37" s="81"/>
      <c r="E37" s="28"/>
      <c r="F37" s="26"/>
      <c r="G37" s="27"/>
      <c r="H37" s="26"/>
      <c r="I37" s="26"/>
      <c r="J37" s="26"/>
      <c r="K37" s="26"/>
      <c r="L37" s="58"/>
    </row>
    <row r="38" spans="1:12" s="6" customFormat="1">
      <c r="A38" s="28"/>
      <c r="B38" s="29"/>
      <c r="C38" s="29"/>
      <c r="D38" s="81"/>
      <c r="E38" s="28"/>
      <c r="F38" s="26"/>
      <c r="G38" s="27"/>
      <c r="H38" s="26"/>
      <c r="I38" s="26"/>
      <c r="J38" s="26"/>
      <c r="K38" s="26"/>
      <c r="L38" s="58"/>
    </row>
    <row r="39" spans="1:12" s="6" customFormat="1">
      <c r="A39" s="28"/>
      <c r="B39" s="29"/>
      <c r="C39" s="29"/>
      <c r="D39" s="81"/>
      <c r="E39" s="28"/>
      <c r="F39" s="26"/>
      <c r="G39" s="27"/>
      <c r="H39" s="26"/>
      <c r="I39" s="26"/>
      <c r="J39" s="26"/>
      <c r="K39" s="26"/>
      <c r="L39" s="58"/>
    </row>
  </sheetData>
  <mergeCells count="1">
    <mergeCell ref="B1:K1"/>
  </mergeCells>
  <conditionalFormatting sqref="B18:L23 B16 B6:L15">
    <cfRule type="expression" dxfId="5" priority="1">
      <formula>MOD($B6,2)=1</formula>
    </cfRule>
  </conditionalFormatting>
  <conditionalFormatting sqref="C17:L17">
    <cfRule type="expression" dxfId="4" priority="25">
      <formula>MOD($B16,2)=1</formula>
    </cfRule>
  </conditionalFormatting>
  <conditionalFormatting sqref="C16:L16">
    <cfRule type="expression" dxfId="3" priority="26">
      <formula>MOD(#REF!,2)=1</formula>
    </cfRule>
  </conditionalFormatting>
  <pageMargins left="0.7" right="0.7" top="0.75" bottom="0.75" header="0.3" footer="0.3"/>
  <pageSetup scale="26" fitToWidth="0" fitToHeight="0"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045117-FA3B-4E61-87FB-9CDF39D3A72C}">
  <sheetPr codeName="Sheet9"/>
  <dimension ref="A1:M48"/>
  <sheetViews>
    <sheetView showGridLines="0" zoomScale="50" zoomScaleNormal="75" workbookViewId="0">
      <pane ySplit="2" topLeftCell="A3" activePane="bottomLeft" state="frozen"/>
      <selection pane="bottomLeft" activeCell="G19" sqref="G19"/>
    </sheetView>
  </sheetViews>
  <sheetFormatPr defaultColWidth="9" defaultRowHeight="15.5"/>
  <cols>
    <col min="1" max="1" width="21.9140625" style="28" customWidth="1"/>
    <col min="2" max="2" width="21.58203125" style="29" customWidth="1"/>
    <col min="3" max="3" width="32.83203125" style="29" customWidth="1"/>
    <col min="4" max="4" width="26.83203125" style="81" customWidth="1"/>
    <col min="5" max="5" width="93.83203125" style="28" customWidth="1"/>
    <col min="6" max="6" width="14.08203125" style="26" customWidth="1"/>
    <col min="7" max="7" width="14.08203125" style="27" customWidth="1"/>
    <col min="8" max="8" width="17.9140625" style="26" customWidth="1"/>
    <col min="9" max="9" width="17" style="26" customWidth="1"/>
    <col min="10" max="11" width="19.08203125" style="26" customWidth="1"/>
    <col min="12" max="12" width="19.58203125" style="58" customWidth="1"/>
    <col min="13" max="16384" width="9" style="1"/>
  </cols>
  <sheetData>
    <row r="1" spans="1:13" ht="148.5" customHeight="1">
      <c r="B1" s="368" t="s">
        <v>177</v>
      </c>
      <c r="C1" s="368"/>
      <c r="D1" s="368"/>
      <c r="E1" s="368"/>
      <c r="F1" s="368"/>
      <c r="G1" s="368"/>
      <c r="H1" s="368"/>
      <c r="I1" s="368"/>
      <c r="J1" s="368"/>
      <c r="K1" s="368"/>
    </row>
    <row r="2" spans="1:13" s="62" customFormat="1" ht="15" customHeight="1">
      <c r="A2" s="65" t="s">
        <v>106</v>
      </c>
      <c r="B2" s="65" t="s">
        <v>105</v>
      </c>
      <c r="C2" s="65" t="s">
        <v>104</v>
      </c>
      <c r="D2" s="73" t="s">
        <v>103</v>
      </c>
      <c r="E2" s="65" t="s">
        <v>102</v>
      </c>
      <c r="F2" s="64" t="s">
        <v>101</v>
      </c>
      <c r="G2" s="65" t="s">
        <v>1</v>
      </c>
      <c r="H2" s="64" t="s">
        <v>100</v>
      </c>
      <c r="I2" s="64" t="s">
        <v>99</v>
      </c>
      <c r="J2" s="64" t="s">
        <v>176</v>
      </c>
      <c r="K2" s="64" t="s">
        <v>98</v>
      </c>
      <c r="L2" s="63" t="s">
        <v>2</v>
      </c>
    </row>
    <row r="3" spans="1:13" ht="14.25" customHeight="1">
      <c r="L3" s="61"/>
    </row>
    <row r="4" spans="1:13" ht="15" customHeight="1">
      <c r="A4" s="24" t="s">
        <v>3</v>
      </c>
      <c r="B4" s="23"/>
      <c r="C4" s="23"/>
      <c r="D4" s="82"/>
      <c r="E4" s="22"/>
      <c r="F4" s="20"/>
      <c r="G4" s="21"/>
      <c r="H4" s="20"/>
      <c r="I4" s="20"/>
      <c r="J4" s="20"/>
      <c r="K4" s="20"/>
      <c r="L4" s="19"/>
    </row>
    <row r="5" spans="1:13">
      <c r="A5" s="76" t="s">
        <v>175</v>
      </c>
      <c r="L5" s="25"/>
    </row>
    <row r="6" spans="1:13" s="90" customFormat="1">
      <c r="B6" s="29">
        <v>85100</v>
      </c>
      <c r="C6" s="29" t="s">
        <v>174</v>
      </c>
      <c r="D6" s="81">
        <v>8</v>
      </c>
      <c r="E6" s="74" t="s">
        <v>173</v>
      </c>
      <c r="F6" s="26">
        <v>0</v>
      </c>
      <c r="G6" s="27">
        <v>0</v>
      </c>
      <c r="H6" s="26">
        <v>2500</v>
      </c>
      <c r="I6" s="26">
        <f t="shared" ref="I6:I13" si="0">H6*1.13</f>
        <v>2824.9999999999995</v>
      </c>
      <c r="J6" s="26">
        <f t="shared" ref="J6:J13" si="1">I6*1.25</f>
        <v>3531.2499999999995</v>
      </c>
      <c r="K6" s="26"/>
      <c r="L6" s="89"/>
    </row>
    <row r="7" spans="1:13" s="90" customFormat="1">
      <c r="A7" s="74"/>
      <c r="B7" s="29">
        <v>85101</v>
      </c>
      <c r="C7" s="29" t="s">
        <v>172</v>
      </c>
      <c r="D7" s="81">
        <v>4</v>
      </c>
      <c r="E7" s="74" t="s">
        <v>171</v>
      </c>
      <c r="F7" s="26">
        <v>120</v>
      </c>
      <c r="G7" s="27">
        <v>2</v>
      </c>
      <c r="H7" s="26">
        <f>F7*G7</f>
        <v>240</v>
      </c>
      <c r="I7" s="26">
        <f t="shared" si="0"/>
        <v>271.2</v>
      </c>
      <c r="J7" s="26">
        <f t="shared" si="1"/>
        <v>339</v>
      </c>
      <c r="K7" s="26"/>
      <c r="L7" s="89">
        <f>141.25+150</f>
        <v>291.25</v>
      </c>
      <c r="M7" s="90" t="s">
        <v>178</v>
      </c>
    </row>
    <row r="8" spans="1:13" s="90" customFormat="1">
      <c r="A8" s="74"/>
      <c r="B8" s="29">
        <v>85102</v>
      </c>
      <c r="C8" s="29" t="s">
        <v>170</v>
      </c>
      <c r="D8" s="81">
        <v>6</v>
      </c>
      <c r="E8" s="74" t="s">
        <v>169</v>
      </c>
      <c r="F8" s="26">
        <v>30</v>
      </c>
      <c r="G8" s="27">
        <v>10</v>
      </c>
      <c r="H8" s="26">
        <f>F8*G8</f>
        <v>300</v>
      </c>
      <c r="I8" s="26">
        <f t="shared" si="0"/>
        <v>338.99999999999994</v>
      </c>
      <c r="J8" s="26">
        <f t="shared" si="1"/>
        <v>423.74999999999994</v>
      </c>
      <c r="K8" s="26"/>
      <c r="L8" s="89"/>
    </row>
    <row r="9" spans="1:13" s="90" customFormat="1">
      <c r="A9" s="74"/>
      <c r="B9" s="29">
        <v>85103</v>
      </c>
      <c r="C9" s="29" t="s">
        <v>168</v>
      </c>
      <c r="D9" s="81">
        <v>5</v>
      </c>
      <c r="E9" s="74" t="s">
        <v>167</v>
      </c>
      <c r="F9" s="26">
        <v>30</v>
      </c>
      <c r="G9" s="27">
        <v>11</v>
      </c>
      <c r="H9" s="26">
        <f>F9*G9</f>
        <v>330</v>
      </c>
      <c r="I9" s="26">
        <f t="shared" si="0"/>
        <v>372.9</v>
      </c>
      <c r="J9" s="26">
        <f t="shared" si="1"/>
        <v>466.125</v>
      </c>
      <c r="K9" s="26"/>
      <c r="L9" s="89"/>
    </row>
    <row r="10" spans="1:13" s="90" customFormat="1">
      <c r="A10" s="74"/>
      <c r="B10" s="29">
        <v>85100</v>
      </c>
      <c r="C10" s="29" t="s">
        <v>166</v>
      </c>
      <c r="D10" s="81">
        <v>7</v>
      </c>
      <c r="E10" s="74" t="s">
        <v>165</v>
      </c>
      <c r="F10" s="26">
        <v>15</v>
      </c>
      <c r="G10" s="27">
        <v>11</v>
      </c>
      <c r="H10" s="26">
        <v>165</v>
      </c>
      <c r="I10" s="26">
        <f t="shared" si="0"/>
        <v>186.45</v>
      </c>
      <c r="J10" s="26">
        <f t="shared" si="1"/>
        <v>233.0625</v>
      </c>
      <c r="K10" s="26"/>
      <c r="L10" s="89"/>
    </row>
    <row r="11" spans="1:13" s="90" customFormat="1">
      <c r="A11" s="74"/>
      <c r="B11" s="29">
        <v>85104</v>
      </c>
      <c r="C11" s="29" t="s">
        <v>164</v>
      </c>
      <c r="D11" s="81">
        <v>3</v>
      </c>
      <c r="E11" s="74" t="s">
        <v>163</v>
      </c>
      <c r="F11" s="26">
        <v>50</v>
      </c>
      <c r="G11" s="27">
        <v>2</v>
      </c>
      <c r="H11" s="26">
        <f>F11*G11</f>
        <v>100</v>
      </c>
      <c r="I11" s="26">
        <f t="shared" si="0"/>
        <v>112.99999999999999</v>
      </c>
      <c r="J11" s="26">
        <f t="shared" si="1"/>
        <v>141.24999999999997</v>
      </c>
      <c r="K11" s="26"/>
      <c r="L11" s="89"/>
    </row>
    <row r="12" spans="1:13" s="91" customFormat="1">
      <c r="A12" s="74"/>
      <c r="B12" s="29">
        <v>85104</v>
      </c>
      <c r="C12" s="29" t="s">
        <v>162</v>
      </c>
      <c r="D12" s="81">
        <v>1</v>
      </c>
      <c r="E12" s="74" t="s">
        <v>161</v>
      </c>
      <c r="F12" s="26">
        <v>8</v>
      </c>
      <c r="G12" s="27">
        <v>11</v>
      </c>
      <c r="H12" s="26">
        <f>F12*G12</f>
        <v>88</v>
      </c>
      <c r="I12" s="26">
        <f t="shared" si="0"/>
        <v>99.44</v>
      </c>
      <c r="J12" s="26">
        <f t="shared" si="1"/>
        <v>124.3</v>
      </c>
      <c r="K12" s="26"/>
      <c r="L12" s="89"/>
    </row>
    <row r="13" spans="1:13" s="90" customFormat="1">
      <c r="A13" s="76"/>
      <c r="B13" s="29">
        <v>85103</v>
      </c>
      <c r="C13" s="29" t="s">
        <v>160</v>
      </c>
      <c r="D13" s="81">
        <v>2</v>
      </c>
      <c r="E13" s="74" t="s">
        <v>159</v>
      </c>
      <c r="F13" s="26">
        <v>0.3</v>
      </c>
      <c r="G13" s="27">
        <v>300</v>
      </c>
      <c r="H13" s="26">
        <f>F13*G13</f>
        <v>90</v>
      </c>
      <c r="I13" s="26">
        <f t="shared" si="0"/>
        <v>101.69999999999999</v>
      </c>
      <c r="J13" s="26">
        <f t="shared" si="1"/>
        <v>127.12499999999999</v>
      </c>
      <c r="K13" s="26"/>
      <c r="L13" s="89">
        <v>113</v>
      </c>
    </row>
    <row r="14" spans="1:13" s="90" customFormat="1">
      <c r="A14" s="76"/>
      <c r="B14" s="29"/>
      <c r="C14" s="29"/>
      <c r="D14" s="81"/>
      <c r="E14" s="74"/>
      <c r="F14" s="26"/>
      <c r="G14" s="27"/>
      <c r="H14" s="26"/>
      <c r="I14" s="26"/>
      <c r="J14" s="26"/>
      <c r="K14" s="26"/>
      <c r="L14" s="89"/>
    </row>
    <row r="15" spans="1:13" s="92" customFormat="1" ht="14.5">
      <c r="B15" s="43" t="s">
        <v>157</v>
      </c>
      <c r="C15" s="42"/>
      <c r="D15" s="83"/>
      <c r="E15" s="75"/>
      <c r="F15" s="39"/>
      <c r="G15" s="40"/>
      <c r="H15" s="39"/>
      <c r="I15" s="39">
        <f>SUM(I6:I13)</f>
        <v>4308.6899999999987</v>
      </c>
      <c r="J15" s="39">
        <f>SUM(J6:J13)</f>
        <v>5385.8624999999993</v>
      </c>
      <c r="K15" s="39">
        <f>SUM(K6:K11)</f>
        <v>0</v>
      </c>
      <c r="L15" s="38">
        <f>SUM(L6:L11)</f>
        <v>291.25</v>
      </c>
    </row>
    <row r="16" spans="1:13" s="90" customFormat="1">
      <c r="A16" s="76" t="s">
        <v>158</v>
      </c>
      <c r="B16" s="29"/>
      <c r="C16" s="29"/>
      <c r="D16" s="81"/>
      <c r="E16" s="74"/>
      <c r="F16" s="26"/>
      <c r="G16" s="27"/>
      <c r="H16" s="26"/>
      <c r="I16" s="26"/>
      <c r="J16" s="26"/>
      <c r="K16" s="26"/>
      <c r="L16" s="89"/>
    </row>
    <row r="17" spans="1:12" s="90" customFormat="1">
      <c r="B17" s="29">
        <v>85200</v>
      </c>
      <c r="C17" s="29" t="s">
        <v>156</v>
      </c>
      <c r="D17" s="81">
        <v>7</v>
      </c>
      <c r="E17" s="74" t="s">
        <v>155</v>
      </c>
      <c r="F17" s="26">
        <v>10</v>
      </c>
      <c r="G17" s="27">
        <v>9</v>
      </c>
      <c r="H17" s="26">
        <f>F17*G17</f>
        <v>90</v>
      </c>
      <c r="I17" s="26">
        <f t="shared" ref="I17:I23" si="2">H17*1.13</f>
        <v>101.69999999999999</v>
      </c>
      <c r="J17" s="26">
        <f t="shared" ref="J17:J23" si="3">I17*1.25</f>
        <v>127.12499999999999</v>
      </c>
      <c r="K17" s="26"/>
      <c r="L17" s="89"/>
    </row>
    <row r="18" spans="1:12" s="90" customFormat="1">
      <c r="A18" s="74"/>
      <c r="B18" s="29">
        <v>85201</v>
      </c>
      <c r="C18" s="29" t="s">
        <v>154</v>
      </c>
      <c r="D18" s="81">
        <v>5</v>
      </c>
      <c r="E18" s="74" t="s">
        <v>153</v>
      </c>
      <c r="F18" s="26">
        <v>6</v>
      </c>
      <c r="G18" s="27">
        <v>25</v>
      </c>
      <c r="H18" s="26">
        <f>F18*G18</f>
        <v>150</v>
      </c>
      <c r="I18" s="26">
        <f t="shared" si="2"/>
        <v>169.49999999999997</v>
      </c>
      <c r="J18" s="26">
        <f t="shared" si="3"/>
        <v>211.87499999999997</v>
      </c>
      <c r="K18" s="26"/>
      <c r="L18" s="89"/>
    </row>
    <row r="19" spans="1:12" s="90" customFormat="1">
      <c r="A19" s="74"/>
      <c r="B19" s="29">
        <v>85101</v>
      </c>
      <c r="C19" s="29" t="s">
        <v>152</v>
      </c>
      <c r="D19" s="81">
        <v>1</v>
      </c>
      <c r="E19" s="74" t="s">
        <v>151</v>
      </c>
      <c r="F19" s="26">
        <v>120</v>
      </c>
      <c r="G19" s="27">
        <v>2</v>
      </c>
      <c r="H19" s="26">
        <f>F19*G19</f>
        <v>240</v>
      </c>
      <c r="I19" s="26">
        <f t="shared" si="2"/>
        <v>271.2</v>
      </c>
      <c r="J19" s="26">
        <f t="shared" si="3"/>
        <v>339</v>
      </c>
      <c r="K19" s="26"/>
      <c r="L19" s="89"/>
    </row>
    <row r="20" spans="1:12" s="90" customFormat="1">
      <c r="A20" s="74"/>
      <c r="B20" s="29">
        <v>85103</v>
      </c>
      <c r="C20" s="29" t="s">
        <v>150</v>
      </c>
      <c r="D20" s="81">
        <v>3</v>
      </c>
      <c r="E20" s="74" t="s">
        <v>149</v>
      </c>
      <c r="F20" s="26">
        <v>0</v>
      </c>
      <c r="G20" s="27">
        <v>0</v>
      </c>
      <c r="H20" s="26">
        <v>150</v>
      </c>
      <c r="I20" s="26">
        <f t="shared" si="2"/>
        <v>169.49999999999997</v>
      </c>
      <c r="J20" s="26">
        <f t="shared" si="3"/>
        <v>211.87499999999997</v>
      </c>
      <c r="K20" s="26"/>
      <c r="L20" s="89"/>
    </row>
    <row r="21" spans="1:12" s="90" customFormat="1">
      <c r="A21" s="74"/>
      <c r="B21" s="29">
        <v>85202</v>
      </c>
      <c r="C21" s="29" t="s">
        <v>148</v>
      </c>
      <c r="D21" s="81">
        <v>6</v>
      </c>
      <c r="E21" s="74" t="s">
        <v>147</v>
      </c>
      <c r="F21" s="26">
        <v>0.45</v>
      </c>
      <c r="G21" s="27">
        <v>50</v>
      </c>
      <c r="H21" s="26">
        <f>F21*G21</f>
        <v>22.5</v>
      </c>
      <c r="I21" s="26">
        <f t="shared" si="2"/>
        <v>25.424999999999997</v>
      </c>
      <c r="J21" s="26">
        <f t="shared" si="3"/>
        <v>31.781249999999996</v>
      </c>
      <c r="K21" s="26"/>
      <c r="L21" s="89"/>
    </row>
    <row r="22" spans="1:12" s="90" customFormat="1">
      <c r="A22" s="74"/>
      <c r="B22" s="29">
        <v>85203</v>
      </c>
      <c r="C22" s="29" t="s">
        <v>146</v>
      </c>
      <c r="D22" s="81">
        <v>4</v>
      </c>
      <c r="E22" s="74" t="s">
        <v>145</v>
      </c>
      <c r="F22" s="26">
        <v>0</v>
      </c>
      <c r="G22" s="27">
        <v>0</v>
      </c>
      <c r="H22" s="26">
        <v>300</v>
      </c>
      <c r="I22" s="26">
        <f t="shared" si="2"/>
        <v>338.99999999999994</v>
      </c>
      <c r="J22" s="26">
        <f t="shared" si="3"/>
        <v>423.74999999999994</v>
      </c>
      <c r="K22" s="26"/>
      <c r="L22" s="89"/>
    </row>
    <row r="23" spans="1:12" s="90" customFormat="1">
      <c r="A23" s="74"/>
      <c r="B23" s="29">
        <v>85104</v>
      </c>
      <c r="C23" s="29" t="s">
        <v>144</v>
      </c>
      <c r="D23" s="81">
        <v>2</v>
      </c>
      <c r="E23" s="74" t="s">
        <v>143</v>
      </c>
      <c r="F23" s="26">
        <v>10</v>
      </c>
      <c r="G23" s="27">
        <v>5</v>
      </c>
      <c r="H23" s="26">
        <f>F23*G23</f>
        <v>50</v>
      </c>
      <c r="I23" s="26">
        <f t="shared" si="2"/>
        <v>56.499999999999993</v>
      </c>
      <c r="J23" s="26">
        <f t="shared" si="3"/>
        <v>70.624999999999986</v>
      </c>
      <c r="K23" s="26"/>
      <c r="L23" s="89"/>
    </row>
    <row r="24" spans="1:12" s="90" customFormat="1">
      <c r="A24" s="74"/>
      <c r="B24" s="29"/>
      <c r="C24" s="29"/>
      <c r="D24" s="81"/>
      <c r="E24" s="74"/>
      <c r="F24" s="26"/>
      <c r="G24" s="27"/>
      <c r="H24" s="26"/>
      <c r="I24" s="26"/>
      <c r="J24" s="26"/>
      <c r="K24" s="26"/>
      <c r="L24" s="89"/>
    </row>
    <row r="25" spans="1:12">
      <c r="A25" s="16"/>
      <c r="B25" s="43" t="s">
        <v>142</v>
      </c>
      <c r="C25" s="77"/>
      <c r="D25" s="84"/>
      <c r="E25" s="78"/>
      <c r="F25" s="79"/>
      <c r="G25" s="80"/>
      <c r="H25" s="79"/>
      <c r="I25" s="39">
        <f>SUM(I17:I23)</f>
        <v>1132.8249999999998</v>
      </c>
      <c r="J25" s="39">
        <f>SUM(J17:J23)</f>
        <v>1416.03125</v>
      </c>
      <c r="K25" s="79"/>
      <c r="L25" s="61"/>
    </row>
    <row r="26" spans="1:12" s="6" customFormat="1">
      <c r="A26" s="28"/>
      <c r="C26" s="29"/>
      <c r="D26" s="81"/>
      <c r="E26" s="28"/>
      <c r="F26" s="26"/>
      <c r="G26" s="27"/>
      <c r="H26" s="26"/>
      <c r="I26" s="26"/>
      <c r="J26" s="26"/>
      <c r="K26" s="26"/>
      <c r="L26" s="25"/>
    </row>
    <row r="27" spans="1:12" ht="14.5">
      <c r="A27" s="37"/>
      <c r="B27" s="36" t="s">
        <v>8</v>
      </c>
      <c r="C27" s="35"/>
      <c r="D27" s="85"/>
      <c r="E27" s="34"/>
      <c r="F27" s="32"/>
      <c r="G27" s="33"/>
      <c r="H27" s="32"/>
      <c r="I27" s="32">
        <f>SUM(I15+I25)</f>
        <v>5441.5149999999985</v>
      </c>
      <c r="J27" s="32">
        <f>SUM(J15+J25)</f>
        <v>6801.8937499999993</v>
      </c>
      <c r="K27" s="32">
        <v>0</v>
      </c>
      <c r="L27" s="31">
        <f>L15</f>
        <v>291.25</v>
      </c>
    </row>
    <row r="28" spans="1:12">
      <c r="L28" s="25"/>
    </row>
    <row r="29" spans="1:12">
      <c r="A29" s="24" t="s">
        <v>7</v>
      </c>
      <c r="B29" s="23"/>
      <c r="C29" s="23"/>
      <c r="D29" s="82"/>
      <c r="E29" s="22"/>
      <c r="F29" s="20"/>
      <c r="G29" s="21"/>
      <c r="H29" s="20"/>
      <c r="I29" s="20"/>
      <c r="J29" s="20"/>
      <c r="K29" s="20"/>
      <c r="L29" s="19"/>
    </row>
    <row r="30" spans="1:12" ht="14.5">
      <c r="A30" s="16"/>
      <c r="B30" s="17" t="s">
        <v>6</v>
      </c>
      <c r="C30" s="17"/>
      <c r="D30" s="86"/>
      <c r="E30" s="16"/>
      <c r="F30" s="14"/>
      <c r="G30" s="15"/>
      <c r="H30" s="14"/>
      <c r="I30" s="14">
        <v>0</v>
      </c>
      <c r="J30" s="14">
        <v>0</v>
      </c>
      <c r="K30" s="14">
        <v>0</v>
      </c>
      <c r="L30" s="18">
        <v>0</v>
      </c>
    </row>
    <row r="31" spans="1:12" ht="14.5">
      <c r="A31" s="16"/>
      <c r="B31" s="17" t="s">
        <v>5</v>
      </c>
      <c r="C31" s="17"/>
      <c r="D31" s="86"/>
      <c r="E31" s="16"/>
      <c r="F31" s="14"/>
      <c r="G31" s="15"/>
      <c r="H31" s="14"/>
      <c r="I31" s="14">
        <f>I27</f>
        <v>5441.5149999999985</v>
      </c>
      <c r="J31" s="14">
        <f>J27</f>
        <v>6801.8937499999993</v>
      </c>
      <c r="K31" s="14">
        <f>K27</f>
        <v>0</v>
      </c>
      <c r="L31" s="13">
        <f>L27</f>
        <v>291.25</v>
      </c>
    </row>
    <row r="32" spans="1:12" ht="14.5">
      <c r="A32" s="11"/>
      <c r="B32" s="12" t="s">
        <v>4</v>
      </c>
      <c r="C32" s="12"/>
      <c r="D32" s="87"/>
      <c r="E32" s="11"/>
      <c r="F32" s="8"/>
      <c r="G32" s="10"/>
      <c r="H32" s="8"/>
      <c r="I32" s="8">
        <f>SUM(I30,I31*-1)</f>
        <v>-5441.5149999999985</v>
      </c>
      <c r="J32" s="8">
        <f>SUM(J30,J31*-1)</f>
        <v>-6801.8937499999993</v>
      </c>
      <c r="K32" s="8">
        <f>SUM(K30,K31*-1)</f>
        <v>0</v>
      </c>
      <c r="L32" s="7">
        <f>SUM(L30,L31*-1)</f>
        <v>-291.25</v>
      </c>
    </row>
    <row r="34" spans="1:12" s="6" customFormat="1">
      <c r="A34" s="28"/>
      <c r="B34" s="29"/>
      <c r="C34" s="29"/>
      <c r="D34" s="81"/>
      <c r="E34" s="28"/>
      <c r="F34" s="26"/>
      <c r="G34" s="27"/>
      <c r="H34" s="26"/>
      <c r="I34" s="26"/>
      <c r="J34" s="26"/>
      <c r="K34" s="26"/>
      <c r="L34" s="58"/>
    </row>
    <row r="41" spans="1:12" s="6" customFormat="1">
      <c r="A41" s="28"/>
      <c r="B41" s="29"/>
      <c r="C41" s="29"/>
      <c r="D41" s="81"/>
      <c r="E41" s="28"/>
      <c r="F41" s="26"/>
      <c r="G41" s="27"/>
      <c r="H41" s="26"/>
      <c r="I41" s="26"/>
      <c r="J41" s="26"/>
      <c r="K41" s="26"/>
      <c r="L41" s="58"/>
    </row>
    <row r="43" spans="1:12" s="30" customFormat="1">
      <c r="A43" s="28"/>
      <c r="B43" s="29"/>
      <c r="C43" s="29"/>
      <c r="D43" s="81"/>
      <c r="E43" s="28"/>
      <c r="F43" s="26"/>
      <c r="G43" s="27"/>
      <c r="H43" s="26"/>
      <c r="I43" s="26"/>
      <c r="J43" s="26"/>
      <c r="K43" s="26"/>
      <c r="L43" s="58"/>
    </row>
    <row r="45" spans="1:12" ht="15" customHeight="1"/>
    <row r="46" spans="1:12" s="6" customFormat="1">
      <c r="A46" s="28"/>
      <c r="B46" s="29"/>
      <c r="C46" s="29"/>
      <c r="D46" s="81"/>
      <c r="E46" s="28"/>
      <c r="F46" s="26"/>
      <c r="G46" s="27"/>
      <c r="H46" s="26"/>
      <c r="I46" s="26"/>
      <c r="J46" s="26"/>
      <c r="K46" s="26"/>
      <c r="L46" s="58"/>
    </row>
    <row r="47" spans="1:12" s="6" customFormat="1">
      <c r="A47" s="28"/>
      <c r="B47" s="29"/>
      <c r="C47" s="29"/>
      <c r="D47" s="81"/>
      <c r="E47" s="28"/>
      <c r="F47" s="26"/>
      <c r="G47" s="27"/>
      <c r="H47" s="26"/>
      <c r="I47" s="26"/>
      <c r="J47" s="26"/>
      <c r="K47" s="26"/>
      <c r="L47" s="58"/>
    </row>
    <row r="48" spans="1:12" s="6" customFormat="1">
      <c r="A48" s="28"/>
      <c r="B48" s="29"/>
      <c r="C48" s="29"/>
      <c r="D48" s="81"/>
      <c r="E48" s="28"/>
      <c r="F48" s="26"/>
      <c r="G48" s="27"/>
      <c r="H48" s="26"/>
      <c r="I48" s="26"/>
      <c r="J48" s="26"/>
      <c r="K48" s="26"/>
      <c r="L48" s="58"/>
    </row>
  </sheetData>
  <mergeCells count="1">
    <mergeCell ref="B1:K1"/>
  </mergeCells>
  <conditionalFormatting sqref="B27:L32 B25 B6:L24">
    <cfRule type="expression" dxfId="2" priority="1">
      <formula>MOD($B6,2)=1</formula>
    </cfRule>
  </conditionalFormatting>
  <conditionalFormatting sqref="C26:L26">
    <cfRule type="expression" dxfId="1" priority="29">
      <formula>MOD($B25,2)=1</formula>
    </cfRule>
  </conditionalFormatting>
  <conditionalFormatting sqref="C25:L25">
    <cfRule type="expression" dxfId="0" priority="30">
      <formula>MOD(#REF!,2)=1</formula>
    </cfRule>
  </conditionalFormatting>
  <pageMargins left="0.7" right="0.7" top="0.75" bottom="0.75" header="0.3" footer="0.3"/>
  <pageSetup scale="26" fitToWidth="0" fitToHeight="0"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F1BF27-8008-4A25-BA29-258FF3FE2BED}">
  <sheetPr codeName="Sheet15"/>
  <dimension ref="A1:AM65"/>
  <sheetViews>
    <sheetView topLeftCell="C1" zoomScale="50" zoomScaleNormal="75" workbookViewId="0">
      <pane ySplit="2" topLeftCell="A3" activePane="bottomLeft" state="frozen"/>
      <selection activeCell="E17" sqref="E17"/>
      <selection pane="bottomLeft" activeCell="Q41" sqref="Q41"/>
    </sheetView>
  </sheetViews>
  <sheetFormatPr defaultColWidth="9.58203125" defaultRowHeight="15.5"/>
  <cols>
    <col min="1" max="1" width="29.75" style="1" customWidth="1"/>
    <col min="2" max="2" width="23.33203125" style="5" customWidth="1"/>
    <col min="3" max="3" width="38.08203125" style="5" bestFit="1" customWidth="1"/>
    <col min="4" max="4" width="37.25" style="1" customWidth="1"/>
    <col min="5" max="5" width="91.83203125" style="1" customWidth="1"/>
    <col min="6" max="6" width="15.25" style="3" customWidth="1"/>
    <col min="7" max="7" width="15.25" style="4" customWidth="1"/>
    <col min="8" max="8" width="19.33203125" style="3" customWidth="1"/>
    <col min="9" max="9" width="18.1640625" style="3" customWidth="1"/>
    <col min="10" max="10" width="20.58203125" style="3" customWidth="1"/>
    <col min="11" max="11" width="20.83203125" style="2" customWidth="1"/>
    <col min="12" max="15" width="9.58203125" style="1"/>
    <col min="16" max="16" width="17.08203125" style="1" customWidth="1"/>
    <col min="17" max="17" width="13.25" style="1" customWidth="1"/>
    <col min="18" max="18" width="12.83203125" style="1" customWidth="1"/>
    <col min="19" max="34" width="9.58203125" style="1"/>
    <col min="35" max="35" width="26.25" style="1" customWidth="1"/>
    <col min="36" max="36" width="10.58203125" style="1" customWidth="1"/>
    <col min="37" max="16384" width="9.58203125" style="1"/>
  </cols>
  <sheetData>
    <row r="1" spans="1:12" ht="148.5" customHeight="1">
      <c r="A1" s="28"/>
      <c r="B1" s="368" t="s">
        <v>107</v>
      </c>
      <c r="C1" s="368"/>
      <c r="D1" s="368"/>
      <c r="E1" s="368"/>
      <c r="F1" s="368"/>
      <c r="G1" s="368"/>
      <c r="H1" s="368"/>
      <c r="I1" s="368"/>
      <c r="J1" s="368"/>
      <c r="K1" s="368"/>
    </row>
    <row r="2" spans="1:12" s="62" customFormat="1" ht="15" customHeight="1">
      <c r="A2" s="65" t="s">
        <v>106</v>
      </c>
      <c r="B2" s="65" t="s">
        <v>105</v>
      </c>
      <c r="C2" s="65" t="s">
        <v>104</v>
      </c>
      <c r="D2" s="65" t="s">
        <v>103</v>
      </c>
      <c r="E2" s="65" t="s">
        <v>102</v>
      </c>
      <c r="F2" s="64" t="s">
        <v>101</v>
      </c>
      <c r="G2" s="65" t="s">
        <v>1</v>
      </c>
      <c r="H2" s="64" t="s">
        <v>100</v>
      </c>
      <c r="I2" s="64" t="s">
        <v>99</v>
      </c>
      <c r="J2" s="64" t="s">
        <v>98</v>
      </c>
      <c r="K2" s="63" t="s">
        <v>2</v>
      </c>
    </row>
    <row r="3" spans="1:12" ht="14.25" customHeight="1">
      <c r="A3" s="28"/>
      <c r="B3" s="29"/>
      <c r="C3" s="29"/>
      <c r="D3" s="28"/>
      <c r="E3" s="28"/>
      <c r="F3" s="26"/>
      <c r="G3" s="27"/>
      <c r="H3" s="26"/>
      <c r="I3" s="26"/>
      <c r="J3" s="26"/>
      <c r="K3" s="61"/>
    </row>
    <row r="4" spans="1:12" ht="15" customHeight="1">
      <c r="A4" s="24" t="s">
        <v>0</v>
      </c>
      <c r="B4" s="23"/>
      <c r="C4" s="23"/>
      <c r="D4" s="22"/>
      <c r="E4" s="22"/>
      <c r="F4" s="20"/>
      <c r="G4" s="21"/>
      <c r="H4" s="20"/>
      <c r="I4" s="20"/>
      <c r="J4" s="20"/>
      <c r="K4" s="19"/>
    </row>
    <row r="5" spans="1:12">
      <c r="A5" s="16" t="s">
        <v>97</v>
      </c>
      <c r="B5" s="29"/>
      <c r="C5" s="29"/>
      <c r="D5" s="28"/>
      <c r="E5" s="28"/>
      <c r="F5" s="26"/>
      <c r="G5" s="27"/>
      <c r="H5" s="26"/>
      <c r="I5" s="26"/>
      <c r="J5" s="26"/>
      <c r="K5" s="60"/>
    </row>
    <row r="6" spans="1:12">
      <c r="A6" s="28"/>
      <c r="B6" s="29"/>
      <c r="C6" s="29" t="s">
        <v>96</v>
      </c>
      <c r="D6" s="28"/>
      <c r="E6" s="28" t="s">
        <v>95</v>
      </c>
      <c r="F6" s="26">
        <v>80</v>
      </c>
      <c r="G6" s="27">
        <v>3203</v>
      </c>
      <c r="H6" s="26">
        <f>F6*G6*0.8</f>
        <v>204992</v>
      </c>
      <c r="I6" s="26">
        <f t="shared" ref="I6:I11" si="0">H6</f>
        <v>204992</v>
      </c>
      <c r="J6" s="26"/>
      <c r="K6" s="25"/>
    </row>
    <row r="7" spans="1:12">
      <c r="A7" s="28"/>
      <c r="B7" s="29"/>
      <c r="C7" s="29" t="s">
        <v>94</v>
      </c>
      <c r="D7" s="29"/>
      <c r="E7" s="28" t="s">
        <v>141</v>
      </c>
      <c r="F7" s="59">
        <v>114015.95</v>
      </c>
      <c r="G7" s="27">
        <v>1</v>
      </c>
      <c r="H7" s="26">
        <f>F7*G7</f>
        <v>114015.95</v>
      </c>
      <c r="I7" s="26">
        <f t="shared" si="0"/>
        <v>114015.95</v>
      </c>
      <c r="J7" s="26"/>
      <c r="K7" s="25"/>
    </row>
    <row r="8" spans="1:12">
      <c r="A8" s="28"/>
      <c r="B8" s="29"/>
      <c r="C8" s="29" t="s">
        <v>92</v>
      </c>
      <c r="D8" s="28"/>
      <c r="E8" s="28" t="s">
        <v>91</v>
      </c>
      <c r="F8" s="26">
        <v>3247.22</v>
      </c>
      <c r="G8" s="27">
        <v>12</v>
      </c>
      <c r="H8" s="26">
        <f>F8*G8</f>
        <v>38966.639999999999</v>
      </c>
      <c r="I8" s="26">
        <f t="shared" si="0"/>
        <v>38966.639999999999</v>
      </c>
      <c r="J8" s="26"/>
      <c r="K8" s="25"/>
    </row>
    <row r="9" spans="1:12">
      <c r="A9" s="28"/>
      <c r="B9" s="29"/>
      <c r="C9" s="29" t="s">
        <v>90</v>
      </c>
      <c r="D9" s="28"/>
      <c r="E9" s="28" t="s">
        <v>140</v>
      </c>
      <c r="F9" s="50">
        <f>0.05*8600+0.25*(12100-8600)</f>
        <v>1305</v>
      </c>
      <c r="G9" s="27">
        <v>1</v>
      </c>
      <c r="H9" s="50">
        <f>F9*G9</f>
        <v>1305</v>
      </c>
      <c r="I9" s="50">
        <f t="shared" si="0"/>
        <v>1305</v>
      </c>
      <c r="J9" s="26"/>
      <c r="K9" s="25"/>
    </row>
    <row r="10" spans="1:12">
      <c r="A10" s="28"/>
      <c r="B10" s="29"/>
      <c r="C10" s="29" t="s">
        <v>88</v>
      </c>
      <c r="D10" s="28"/>
      <c r="E10" s="28" t="s">
        <v>87</v>
      </c>
      <c r="F10" s="26">
        <v>8000</v>
      </c>
      <c r="G10" s="27">
        <v>2</v>
      </c>
      <c r="H10" s="26">
        <v>16000</v>
      </c>
      <c r="I10" s="26">
        <f t="shared" si="0"/>
        <v>16000</v>
      </c>
      <c r="J10" s="26"/>
      <c r="K10" s="25"/>
    </row>
    <row r="11" spans="1:12">
      <c r="A11" s="28"/>
      <c r="B11" s="29"/>
      <c r="C11" s="29" t="s">
        <v>86</v>
      </c>
      <c r="D11" s="28"/>
      <c r="E11" s="28" t="s">
        <v>139</v>
      </c>
      <c r="F11" s="50">
        <v>1000</v>
      </c>
      <c r="G11" s="27">
        <v>1</v>
      </c>
      <c r="H11" s="50">
        <f>F11</f>
        <v>1000</v>
      </c>
      <c r="I11" s="50">
        <f t="shared" si="0"/>
        <v>1000</v>
      </c>
      <c r="J11" s="26"/>
      <c r="K11" s="25"/>
    </row>
    <row r="12" spans="1:12" s="6" customFormat="1" ht="14.5">
      <c r="A12" s="16"/>
      <c r="B12" s="43" t="s">
        <v>84</v>
      </c>
      <c r="C12" s="42"/>
      <c r="D12" s="41"/>
      <c r="E12" s="41"/>
      <c r="F12" s="39"/>
      <c r="G12" s="40"/>
      <c r="H12" s="39"/>
      <c r="I12" s="39">
        <f>SUM(I6:I11)</f>
        <v>376279.59</v>
      </c>
      <c r="J12" s="39">
        <f>SUM(J6:J11)</f>
        <v>0</v>
      </c>
      <c r="K12" s="38">
        <f>SUM(K6:K11)</f>
        <v>0</v>
      </c>
    </row>
    <row r="13" spans="1:12">
      <c r="A13" s="28"/>
      <c r="B13" s="29"/>
      <c r="C13" s="29"/>
      <c r="D13" s="28"/>
      <c r="E13" s="28"/>
      <c r="F13" s="26"/>
      <c r="G13" s="27"/>
      <c r="H13" s="26"/>
      <c r="I13" s="26"/>
      <c r="J13" s="26"/>
      <c r="K13" s="25"/>
    </row>
    <row r="14" spans="1:12" s="30" customFormat="1" ht="14.5">
      <c r="A14" s="37"/>
      <c r="B14" s="36" t="s">
        <v>83</v>
      </c>
      <c r="C14" s="35"/>
      <c r="D14" s="34"/>
      <c r="E14" s="34"/>
      <c r="F14" s="32"/>
      <c r="G14" s="33"/>
      <c r="H14" s="32"/>
      <c r="I14" s="32" t="e">
        <f ca="1">SumBold(I6:I12)</f>
        <v>#NAME?</v>
      </c>
      <c r="J14" s="32" t="e">
        <f ca="1">SumBold(J5:J13)</f>
        <v>#NAME?</v>
      </c>
      <c r="K14" s="31" t="e">
        <f ca="1">SumBold(K5:K13)</f>
        <v>#NAME?</v>
      </c>
    </row>
    <row r="15" spans="1:12">
      <c r="A15" s="28"/>
      <c r="B15" s="29"/>
      <c r="C15" s="29"/>
      <c r="D15" s="28"/>
      <c r="E15" s="28"/>
      <c r="F15" s="26"/>
      <c r="G15" s="27"/>
      <c r="H15" s="26"/>
      <c r="I15" s="26"/>
      <c r="J15" s="26"/>
      <c r="K15" s="25"/>
      <c r="L15" s="1" t="s">
        <v>138</v>
      </c>
    </row>
    <row r="16" spans="1:12" ht="15" customHeight="1">
      <c r="A16" s="24" t="s">
        <v>3</v>
      </c>
      <c r="B16" s="23"/>
      <c r="C16" s="23"/>
      <c r="D16" s="22"/>
      <c r="E16" s="22"/>
      <c r="F16" s="20"/>
      <c r="G16" s="21"/>
      <c r="H16" s="20"/>
      <c r="I16" s="20"/>
      <c r="J16" s="20"/>
      <c r="K16" s="19"/>
    </row>
    <row r="17" spans="1:39">
      <c r="A17" s="16" t="s">
        <v>82</v>
      </c>
      <c r="B17" s="29"/>
      <c r="C17" s="29"/>
      <c r="D17" s="28"/>
      <c r="E17" s="28"/>
      <c r="F17" s="26"/>
      <c r="G17" s="27"/>
      <c r="H17" s="26"/>
      <c r="I17" s="26"/>
      <c r="J17" s="26"/>
      <c r="K17" s="25"/>
      <c r="L17" s="6" t="s">
        <v>137</v>
      </c>
      <c r="M17" s="6" t="s">
        <v>136</v>
      </c>
      <c r="N17" s="6" t="s">
        <v>106</v>
      </c>
      <c r="Q17" s="1" t="s">
        <v>135</v>
      </c>
      <c r="R17" s="1" t="s">
        <v>134</v>
      </c>
      <c r="S17" s="1" t="s">
        <v>132</v>
      </c>
      <c r="AI17" s="71" t="s">
        <v>133</v>
      </c>
      <c r="AJ17" s="70" t="s">
        <v>132</v>
      </c>
    </row>
    <row r="18" spans="1:39" ht="16">
      <c r="A18" s="28"/>
      <c r="B18" s="29"/>
      <c r="C18" s="29" t="s">
        <v>81</v>
      </c>
      <c r="D18" s="28"/>
      <c r="E18" s="51" t="s">
        <v>66</v>
      </c>
      <c r="F18" s="26"/>
      <c r="G18" s="27"/>
      <c r="H18" s="26"/>
      <c r="I18" s="26">
        <f>-1*'[1]1. Prez'!I62</f>
        <v>28712.891</v>
      </c>
      <c r="J18" s="26">
        <f>-1*'[1]1. Prez'!K62</f>
        <v>0</v>
      </c>
      <c r="K18" s="49">
        <f>-1*'[1]1. Prez'!L62</f>
        <v>11793.86</v>
      </c>
      <c r="L18" s="1" t="e">
        <f t="shared" ref="L18:L35" si="1">RANK(M18,$M$18:$M$35)</f>
        <v>#REF!</v>
      </c>
      <c r="M18" s="69" t="e">
        <f t="shared" ref="M18:M35" si="2">Q18/$I$36</f>
        <v>#REF!</v>
      </c>
      <c r="O18" s="5" t="s">
        <v>81</v>
      </c>
      <c r="Q18" s="67">
        <f t="shared" ref="Q18:Q35" si="3">I18</f>
        <v>28712.891</v>
      </c>
      <c r="R18" s="67">
        <f>K18</f>
        <v>11793.86</v>
      </c>
      <c r="S18" s="68">
        <f t="shared" ref="S18:S35" si="4">R18/Q18*100</f>
        <v>41.07513938599913</v>
      </c>
      <c r="AI18" s="5" t="s">
        <v>81</v>
      </c>
      <c r="AJ18" s="68">
        <v>41.07513938599913</v>
      </c>
    </row>
    <row r="19" spans="1:39" ht="16">
      <c r="A19" s="28"/>
      <c r="B19" s="29"/>
      <c r="C19" s="29" t="s">
        <v>78</v>
      </c>
      <c r="D19" s="28"/>
      <c r="E19" s="51" t="s">
        <v>79</v>
      </c>
      <c r="F19" s="26"/>
      <c r="G19" s="27"/>
      <c r="H19" s="26"/>
      <c r="I19" s="26">
        <f>-1*'2. VPOPs'!I26</f>
        <v>2553.7999999999997</v>
      </c>
      <c r="J19" s="26">
        <f>-1*'2. VPOPs'!K26</f>
        <v>0</v>
      </c>
      <c r="K19" s="49">
        <f>-1*'2. VPOPs'!L26</f>
        <v>0</v>
      </c>
      <c r="L19" s="1" t="e">
        <f t="shared" si="1"/>
        <v>#REF!</v>
      </c>
      <c r="M19" s="69" t="e">
        <f t="shared" si="2"/>
        <v>#REF!</v>
      </c>
      <c r="O19" s="5" t="s">
        <v>78</v>
      </c>
      <c r="Q19" s="67">
        <f t="shared" si="3"/>
        <v>2553.7999999999997</v>
      </c>
      <c r="R19" s="67">
        <f>K19</f>
        <v>0</v>
      </c>
      <c r="S19" s="68">
        <f t="shared" si="4"/>
        <v>0</v>
      </c>
      <c r="AI19" s="5" t="s">
        <v>78</v>
      </c>
      <c r="AJ19" s="68">
        <v>0</v>
      </c>
    </row>
    <row r="20" spans="1:39" ht="16">
      <c r="A20" s="28"/>
      <c r="B20" s="29"/>
      <c r="C20" s="29" t="s">
        <v>80</v>
      </c>
      <c r="E20" s="51" t="s">
        <v>77</v>
      </c>
      <c r="F20" s="26"/>
      <c r="G20" s="27"/>
      <c r="H20" s="26"/>
      <c r="I20" s="3">
        <f>-('3. VPSA'!I33)</f>
        <v>3116.0201999999999</v>
      </c>
      <c r="J20" s="26">
        <f>'3. VPSA'!K33</f>
        <v>0</v>
      </c>
      <c r="K20" s="25"/>
      <c r="L20" s="1" t="e">
        <f t="shared" si="1"/>
        <v>#REF!</v>
      </c>
      <c r="M20" s="69" t="e">
        <f t="shared" si="2"/>
        <v>#REF!</v>
      </c>
      <c r="O20" s="5" t="s">
        <v>80</v>
      </c>
      <c r="Q20" s="67">
        <f t="shared" si="3"/>
        <v>3116.0201999999999</v>
      </c>
      <c r="R20" s="67">
        <f>K20</f>
        <v>0</v>
      </c>
      <c r="S20" s="68">
        <f t="shared" si="4"/>
        <v>0</v>
      </c>
      <c r="AI20" s="5" t="s">
        <v>80</v>
      </c>
      <c r="AJ20" s="68">
        <v>0</v>
      </c>
    </row>
    <row r="21" spans="1:39" ht="16">
      <c r="A21" s="28"/>
      <c r="B21" s="29"/>
      <c r="C21" s="29" t="s">
        <v>76</v>
      </c>
      <c r="D21" s="28"/>
      <c r="E21" s="51" t="s">
        <v>75</v>
      </c>
      <c r="F21" s="26"/>
      <c r="G21" s="27"/>
      <c r="H21" s="26"/>
      <c r="I21" s="26">
        <f>-1*'4. DoA'!I41</f>
        <v>3888.3300000000004</v>
      </c>
      <c r="J21" s="26">
        <f>-1*'4. DoA'!K41</f>
        <v>0</v>
      </c>
      <c r="K21" s="49">
        <f>-1*'4. DoA'!L41</f>
        <v>2332.79</v>
      </c>
      <c r="L21" s="1" t="e">
        <f t="shared" si="1"/>
        <v>#REF!</v>
      </c>
      <c r="M21" s="69" t="e">
        <f t="shared" si="2"/>
        <v>#REF!</v>
      </c>
      <c r="O21" s="5" t="s">
        <v>76</v>
      </c>
      <c r="Q21" s="67">
        <f t="shared" si="3"/>
        <v>3888.3300000000004</v>
      </c>
      <c r="R21" s="67">
        <f>K21</f>
        <v>2332.79</v>
      </c>
      <c r="S21" s="68">
        <f t="shared" si="4"/>
        <v>59.994650659794814</v>
      </c>
      <c r="AI21" s="5" t="s">
        <v>76</v>
      </c>
      <c r="AJ21" s="68">
        <v>5.5213935031234485</v>
      </c>
    </row>
    <row r="22" spans="1:39" ht="16">
      <c r="A22" s="28"/>
      <c r="B22" s="29"/>
      <c r="C22" s="29" t="s">
        <v>74</v>
      </c>
      <c r="D22" s="28"/>
      <c r="E22" s="51" t="s">
        <v>73</v>
      </c>
      <c r="F22" s="26"/>
      <c r="G22" s="27"/>
      <c r="H22" s="26"/>
      <c r="I22" s="26">
        <f>-1*'5. DoComm'!I37</f>
        <v>6164.3449999999993</v>
      </c>
      <c r="J22" s="26">
        <f>-1*'5. DoComm'!K37</f>
        <v>0</v>
      </c>
      <c r="K22" s="49">
        <f>-1*'5. DoComm'!L37</f>
        <v>6048.66</v>
      </c>
      <c r="L22" s="1" t="e">
        <f t="shared" si="1"/>
        <v>#REF!</v>
      </c>
      <c r="M22" s="69" t="e">
        <f t="shared" si="2"/>
        <v>#REF!</v>
      </c>
      <c r="O22" s="5" t="s">
        <v>74</v>
      </c>
      <c r="Q22" s="67">
        <f t="shared" si="3"/>
        <v>6164.3449999999993</v>
      </c>
      <c r="R22" s="67">
        <v>812.28</v>
      </c>
      <c r="S22" s="68">
        <f t="shared" si="4"/>
        <v>13.177069096554462</v>
      </c>
      <c r="AI22" s="5" t="s">
        <v>74</v>
      </c>
      <c r="AJ22" s="68">
        <v>13.177069096554458</v>
      </c>
    </row>
    <row r="23" spans="1:39" ht="16">
      <c r="A23" s="28"/>
      <c r="B23" s="29"/>
      <c r="C23" s="29" t="s">
        <v>72</v>
      </c>
      <c r="D23" s="28"/>
      <c r="E23" s="51" t="s">
        <v>71</v>
      </c>
      <c r="F23" s="26"/>
      <c r="G23" s="27"/>
      <c r="H23" s="26"/>
      <c r="I23" s="26" t="e">
        <f>-1*#REF!</f>
        <v>#REF!</v>
      </c>
      <c r="J23" s="26" t="e">
        <f>-1*#REF!</f>
        <v>#REF!</v>
      </c>
      <c r="K23" s="49" t="e">
        <f>-1*#REF!</f>
        <v>#REF!</v>
      </c>
      <c r="L23" s="1" t="e">
        <f t="shared" si="1"/>
        <v>#REF!</v>
      </c>
      <c r="M23" s="69" t="e">
        <f t="shared" si="2"/>
        <v>#REF!</v>
      </c>
      <c r="O23" s="5" t="s">
        <v>72</v>
      </c>
      <c r="Q23" s="67" t="e">
        <f t="shared" si="3"/>
        <v>#REF!</v>
      </c>
      <c r="R23" s="67" t="e">
        <f>K23</f>
        <v>#REF!</v>
      </c>
      <c r="S23" s="68" t="e">
        <f t="shared" si="4"/>
        <v>#REF!</v>
      </c>
      <c r="AI23" s="5" t="s">
        <v>72</v>
      </c>
      <c r="AJ23" s="68">
        <v>0</v>
      </c>
    </row>
    <row r="24" spans="1:39" ht="16">
      <c r="A24" s="28"/>
      <c r="B24" s="29"/>
      <c r="C24" s="29" t="s">
        <v>70</v>
      </c>
      <c r="D24" s="28"/>
      <c r="E24" s="51" t="s">
        <v>69</v>
      </c>
      <c r="F24" s="26"/>
      <c r="G24" s="27"/>
      <c r="H24" s="26"/>
      <c r="I24" s="26">
        <f>-1*'7. DoD'!I54</f>
        <v>8581.5024999999987</v>
      </c>
      <c r="J24" s="26">
        <f>-1*'7. DoD'!K54</f>
        <v>125.35</v>
      </c>
      <c r="K24" s="49">
        <f>-1*'7. DoD'!L54</f>
        <v>403.28999999999996</v>
      </c>
      <c r="L24" s="1" t="e">
        <f t="shared" si="1"/>
        <v>#REF!</v>
      </c>
      <c r="M24" s="69" t="e">
        <f t="shared" si="2"/>
        <v>#REF!</v>
      </c>
      <c r="O24" s="5" t="s">
        <v>70</v>
      </c>
      <c r="Q24" s="67">
        <f t="shared" si="3"/>
        <v>8581.5024999999987</v>
      </c>
      <c r="R24" s="67">
        <f>232.3</f>
        <v>232.3</v>
      </c>
      <c r="S24" s="68">
        <f t="shared" si="4"/>
        <v>2.7069851695550988</v>
      </c>
      <c r="AI24" s="5" t="s">
        <v>70</v>
      </c>
      <c r="AJ24" s="68">
        <v>2.7069851695550984</v>
      </c>
    </row>
    <row r="25" spans="1:39" ht="16">
      <c r="A25" s="28"/>
      <c r="B25" s="29"/>
      <c r="C25" s="29" t="s">
        <v>68</v>
      </c>
      <c r="D25" s="28"/>
      <c r="E25" s="51" t="s">
        <v>67</v>
      </c>
      <c r="F25" s="26"/>
      <c r="G25" s="27"/>
      <c r="H25" s="26"/>
      <c r="I25" s="26">
        <f>-1*'8. DoE'!I219</f>
        <v>9486.3274000000001</v>
      </c>
      <c r="J25" s="26">
        <f>-1*'8. DoE'!K219</f>
        <v>2920.19</v>
      </c>
      <c r="K25" s="49">
        <f>'8. DoE'!L218</f>
        <v>4017.6899999999996</v>
      </c>
      <c r="L25" s="1" t="e">
        <f t="shared" si="1"/>
        <v>#REF!</v>
      </c>
      <c r="M25" s="69" t="e">
        <f t="shared" si="2"/>
        <v>#REF!</v>
      </c>
      <c r="O25" s="5" t="s">
        <v>68</v>
      </c>
      <c r="Q25" s="67">
        <f t="shared" si="3"/>
        <v>9486.3274000000001</v>
      </c>
      <c r="R25" s="67">
        <f>K25</f>
        <v>4017.6899999999996</v>
      </c>
      <c r="S25" s="68">
        <f t="shared" si="4"/>
        <v>42.352428190492347</v>
      </c>
      <c r="AI25" s="5" t="s">
        <v>68</v>
      </c>
      <c r="AJ25" s="68">
        <v>45.098539956337987</v>
      </c>
    </row>
    <row r="26" spans="1:39" ht="16" hidden="1">
      <c r="A26" s="28"/>
      <c r="B26" s="57"/>
      <c r="C26" s="57"/>
      <c r="D26" s="56"/>
      <c r="E26" s="51" t="s">
        <v>66</v>
      </c>
      <c r="F26" s="54"/>
      <c r="G26" s="55"/>
      <c r="H26" s="54"/>
      <c r="I26" s="54"/>
      <c r="J26" s="54"/>
      <c r="K26" s="53"/>
      <c r="L26" s="1" t="e">
        <f t="shared" si="1"/>
        <v>#REF!</v>
      </c>
      <c r="M26" s="69" t="e">
        <f t="shared" si="2"/>
        <v>#REF!</v>
      </c>
      <c r="O26" s="5"/>
      <c r="Q26" s="67">
        <f t="shared" si="3"/>
        <v>0</v>
      </c>
      <c r="R26" s="67">
        <f>K26</f>
        <v>0</v>
      </c>
      <c r="S26" s="68" t="e">
        <f t="shared" si="4"/>
        <v>#DIV/0!</v>
      </c>
      <c r="AI26" s="5" t="s">
        <v>65</v>
      </c>
      <c r="AJ26" s="68">
        <v>17.66</v>
      </c>
    </row>
    <row r="27" spans="1:39" ht="16">
      <c r="A27" s="28"/>
      <c r="B27" s="29"/>
      <c r="C27" s="29" t="s">
        <v>65</v>
      </c>
      <c r="D27" s="28"/>
      <c r="E27" s="51" t="s">
        <v>64</v>
      </c>
      <c r="F27" s="50"/>
      <c r="G27" s="27"/>
      <c r="H27" s="50"/>
      <c r="I27" s="50">
        <f>-1*'9. DoER'!I115</f>
        <v>9250.6659</v>
      </c>
      <c r="J27" s="50">
        <f>-1*'9. DoER'!K115</f>
        <v>0</v>
      </c>
      <c r="K27" s="49">
        <f>-1*'9. DoER'!L115</f>
        <v>1861.69</v>
      </c>
      <c r="L27" s="1" t="e">
        <f t="shared" si="1"/>
        <v>#REF!</v>
      </c>
      <c r="M27" s="69" t="e">
        <f t="shared" si="2"/>
        <v>#REF!</v>
      </c>
      <c r="O27" s="5" t="s">
        <v>65</v>
      </c>
      <c r="Q27" s="67">
        <f t="shared" si="3"/>
        <v>9250.6659</v>
      </c>
      <c r="R27" s="67">
        <f>K27</f>
        <v>1861.69</v>
      </c>
      <c r="S27" s="68">
        <f t="shared" si="4"/>
        <v>20.124929601013914</v>
      </c>
      <c r="AI27" s="5" t="s">
        <v>65</v>
      </c>
      <c r="AJ27" s="68">
        <v>17.655834635287068</v>
      </c>
    </row>
    <row r="28" spans="1:39" ht="16">
      <c r="A28" s="28"/>
      <c r="B28" s="29"/>
      <c r="C28" s="29" t="s">
        <v>63</v>
      </c>
      <c r="D28" s="28"/>
      <c r="E28" s="51" t="s">
        <v>62</v>
      </c>
      <c r="F28" s="50"/>
      <c r="G28" s="27"/>
      <c r="H28" s="50"/>
      <c r="I28" s="50">
        <f>-1*'10. DoF'!I34</f>
        <v>7103.9773999999998</v>
      </c>
      <c r="J28" s="50">
        <f>-1*'10. DoF'!K34</f>
        <v>1339.66</v>
      </c>
      <c r="K28" s="49">
        <f>-1*'10. DoF'!L34</f>
        <v>0</v>
      </c>
      <c r="L28" s="1" t="e">
        <f t="shared" si="1"/>
        <v>#REF!</v>
      </c>
      <c r="M28" s="69" t="e">
        <f t="shared" si="2"/>
        <v>#REF!</v>
      </c>
      <c r="O28" s="5" t="s">
        <v>63</v>
      </c>
      <c r="Q28" s="67">
        <f t="shared" si="3"/>
        <v>7103.9773999999998</v>
      </c>
      <c r="R28" s="67">
        <v>1339.66</v>
      </c>
      <c r="S28" s="68">
        <f t="shared" si="4"/>
        <v>18.857886569290045</v>
      </c>
      <c r="AI28" s="5" t="s">
        <v>63</v>
      </c>
      <c r="AJ28" s="68">
        <v>18.857886569290045</v>
      </c>
    </row>
    <row r="29" spans="1:39" ht="16">
      <c r="A29" s="28"/>
      <c r="B29" s="29"/>
      <c r="C29" s="29" t="s">
        <v>61</v>
      </c>
      <c r="D29" s="28"/>
      <c r="E29" s="51" t="s">
        <v>60</v>
      </c>
      <c r="F29" s="50"/>
      <c r="G29" s="27"/>
      <c r="H29" s="50"/>
      <c r="I29" s="50">
        <f>-1*'11. DoFY'!I91</f>
        <v>11091.895064999997</v>
      </c>
      <c r="J29" s="50">
        <f>-1*'11. DoFY'!K91</f>
        <v>4880.8200000000006</v>
      </c>
      <c r="K29" s="49">
        <f>-1*'11. DoFY'!L91</f>
        <v>4510.1800000000012</v>
      </c>
      <c r="L29" s="1" t="e">
        <f t="shared" si="1"/>
        <v>#REF!</v>
      </c>
      <c r="M29" s="69" t="e">
        <f t="shared" si="2"/>
        <v>#REF!</v>
      </c>
      <c r="O29" s="5" t="s">
        <v>61</v>
      </c>
      <c r="Q29" s="67">
        <f t="shared" si="3"/>
        <v>11091.895064999997</v>
      </c>
      <c r="R29" s="67">
        <f>K29</f>
        <v>4510.1800000000012</v>
      </c>
      <c r="S29" s="68">
        <f t="shared" si="4"/>
        <v>40.661942558685773</v>
      </c>
      <c r="AI29" s="5" t="s">
        <v>61</v>
      </c>
      <c r="AJ29" s="68">
        <v>24.162147007683117</v>
      </c>
    </row>
    <row r="30" spans="1:39" ht="16">
      <c r="A30" s="28"/>
      <c r="B30" s="29"/>
      <c r="C30" s="29" t="s">
        <v>59</v>
      </c>
      <c r="D30" s="28"/>
      <c r="E30" s="51" t="s">
        <v>58</v>
      </c>
      <c r="F30" s="50"/>
      <c r="G30" s="27"/>
      <c r="H30" s="50"/>
      <c r="I30" s="50" t="e">
        <f>-1*#REF!</f>
        <v>#REF!</v>
      </c>
      <c r="J30" s="50" t="e">
        <f>-1*#REF!</f>
        <v>#REF!</v>
      </c>
      <c r="K30" s="49" t="e">
        <f>-1*#REF!</f>
        <v>#REF!</v>
      </c>
      <c r="L30" s="1" t="e">
        <f t="shared" si="1"/>
        <v>#REF!</v>
      </c>
      <c r="M30" s="69" t="e">
        <f t="shared" si="2"/>
        <v>#REF!</v>
      </c>
      <c r="O30" s="5" t="s">
        <v>59</v>
      </c>
      <c r="Q30" s="67" t="e">
        <f t="shared" si="3"/>
        <v>#REF!</v>
      </c>
      <c r="R30" s="67" t="e">
        <f>K30</f>
        <v>#REF!</v>
      </c>
      <c r="S30" s="68" t="e">
        <f t="shared" si="4"/>
        <v>#REF!</v>
      </c>
      <c r="AI30" s="5" t="s">
        <v>59</v>
      </c>
      <c r="AJ30" s="68">
        <v>23.980976761635738</v>
      </c>
    </row>
    <row r="31" spans="1:39" ht="16">
      <c r="A31" s="28"/>
      <c r="B31" s="29"/>
      <c r="C31" s="29" t="s">
        <v>57</v>
      </c>
      <c r="D31" s="28"/>
      <c r="E31" s="51" t="s">
        <v>56</v>
      </c>
      <c r="F31" s="50"/>
      <c r="G31" s="27"/>
      <c r="H31" s="50"/>
      <c r="I31" s="50">
        <f>-1*'13. DoIA'!I67</f>
        <v>19518.43</v>
      </c>
      <c r="J31" s="50">
        <f>-1*'13. DoIA'!K67</f>
        <v>2714</v>
      </c>
      <c r="K31" s="49">
        <f>-1*'13. DoIA'!L67</f>
        <v>2541.38</v>
      </c>
      <c r="L31" s="1" t="e">
        <f t="shared" si="1"/>
        <v>#REF!</v>
      </c>
      <c r="M31" s="69" t="e">
        <f t="shared" si="2"/>
        <v>#REF!</v>
      </c>
      <c r="O31" s="5" t="s">
        <v>57</v>
      </c>
      <c r="Q31" s="67">
        <f t="shared" si="3"/>
        <v>19518.43</v>
      </c>
      <c r="R31" s="67">
        <f>K31+600</f>
        <v>3141.38</v>
      </c>
      <c r="S31" s="68">
        <f t="shared" si="4"/>
        <v>16.094429726161376</v>
      </c>
      <c r="AI31" s="5" t="s">
        <v>57</v>
      </c>
      <c r="AJ31" s="68">
        <v>9.5194214581662493</v>
      </c>
      <c r="AM31" s="1" t="s">
        <v>131</v>
      </c>
    </row>
    <row r="32" spans="1:39" ht="16">
      <c r="A32" s="28"/>
      <c r="B32" s="29"/>
      <c r="C32" s="29" t="s">
        <v>55</v>
      </c>
      <c r="D32" s="28"/>
      <c r="E32" s="51" t="s">
        <v>54</v>
      </c>
      <c r="F32" s="50"/>
      <c r="G32" s="27"/>
      <c r="H32" s="50"/>
      <c r="I32" s="50">
        <f>-1*'14. DoIT'!I53</f>
        <v>17306.718400000002</v>
      </c>
      <c r="J32" s="50">
        <f>-1*'14. DoIT'!K53</f>
        <v>4008.6999999999994</v>
      </c>
      <c r="K32" s="52">
        <f>-1*'14. DoIT'!L53</f>
        <v>4008.6999999999994</v>
      </c>
      <c r="L32" s="1" t="e">
        <f t="shared" si="1"/>
        <v>#REF!</v>
      </c>
      <c r="M32" s="69" t="e">
        <f t="shared" si="2"/>
        <v>#REF!</v>
      </c>
      <c r="O32" s="5" t="s">
        <v>55</v>
      </c>
      <c r="Q32" s="67">
        <f t="shared" si="3"/>
        <v>17306.718400000002</v>
      </c>
      <c r="R32" s="67">
        <v>4008.7</v>
      </c>
      <c r="S32" s="68">
        <f t="shared" si="4"/>
        <v>23.162681146993176</v>
      </c>
      <c r="AI32" s="5" t="s">
        <v>55</v>
      </c>
      <c r="AJ32" s="68">
        <v>23.162681146993176</v>
      </c>
    </row>
    <row r="33" spans="1:36" ht="16">
      <c r="A33" s="28"/>
      <c r="B33" s="29"/>
      <c r="C33" s="29" t="s">
        <v>53</v>
      </c>
      <c r="D33" s="28"/>
      <c r="E33" s="51" t="s">
        <v>52</v>
      </c>
      <c r="F33" s="50"/>
      <c r="G33" s="27"/>
      <c r="H33" s="50"/>
      <c r="I33" s="50">
        <f>-1*'15. DoPD'!I84</f>
        <v>4437.9054999999989</v>
      </c>
      <c r="J33" s="50">
        <f>-1*'15. DoPD'!K84</f>
        <v>6796.7599999999993</v>
      </c>
      <c r="K33" s="49">
        <f>-1*'15. DoPD'!L84</f>
        <v>6692.2999999999993</v>
      </c>
      <c r="L33" s="1" t="e">
        <f t="shared" si="1"/>
        <v>#REF!</v>
      </c>
      <c r="M33" s="69" t="e">
        <f t="shared" si="2"/>
        <v>#REF!</v>
      </c>
      <c r="O33" s="5" t="s">
        <v>53</v>
      </c>
      <c r="Q33" s="67">
        <f t="shared" si="3"/>
        <v>4437.9054999999989</v>
      </c>
      <c r="R33" s="67">
        <v>1290.8399999999999</v>
      </c>
      <c r="S33" s="68">
        <f t="shared" si="4"/>
        <v>29.086694162370069</v>
      </c>
      <c r="AI33" s="5" t="s">
        <v>53</v>
      </c>
      <c r="AJ33" s="68">
        <v>30.082077621846352</v>
      </c>
    </row>
    <row r="34" spans="1:36" ht="16">
      <c r="A34" s="28"/>
      <c r="B34" s="29"/>
      <c r="C34" s="29" t="s">
        <v>51</v>
      </c>
      <c r="D34" s="28"/>
      <c r="E34" s="51" t="s">
        <v>50</v>
      </c>
      <c r="F34" s="50"/>
      <c r="G34" s="27"/>
      <c r="H34" s="50"/>
      <c r="I34" s="50" t="e">
        <f>-1*#REF!</f>
        <v>#REF!</v>
      </c>
      <c r="J34" s="50" t="e">
        <f>-1*#REF!</f>
        <v>#REF!</v>
      </c>
      <c r="K34" s="49" t="e">
        <f>-1*#REF!</f>
        <v>#REF!</v>
      </c>
      <c r="L34" s="1" t="e">
        <f t="shared" si="1"/>
        <v>#REF!</v>
      </c>
      <c r="M34" s="69" t="e">
        <f t="shared" si="2"/>
        <v>#REF!</v>
      </c>
      <c r="O34" s="5" t="s">
        <v>51</v>
      </c>
      <c r="Q34" s="67" t="e">
        <f t="shared" si="3"/>
        <v>#REF!</v>
      </c>
      <c r="R34" s="67">
        <v>39.49</v>
      </c>
      <c r="S34" s="68" t="e">
        <f t="shared" si="4"/>
        <v>#REF!</v>
      </c>
      <c r="AI34" s="5" t="s">
        <v>51</v>
      </c>
      <c r="AJ34" s="68">
        <v>1.0567554476827115</v>
      </c>
    </row>
    <row r="35" spans="1:36" ht="16">
      <c r="A35" s="28"/>
      <c r="B35" s="29"/>
      <c r="C35" s="29" t="s">
        <v>49</v>
      </c>
      <c r="D35" s="28"/>
      <c r="E35" s="51" t="s">
        <v>48</v>
      </c>
      <c r="F35" s="50"/>
      <c r="G35" s="27"/>
      <c r="H35" s="50"/>
      <c r="I35" s="50">
        <f>-1*'17. DoSi'!I32</f>
        <v>5441.5149999999985</v>
      </c>
      <c r="J35" s="50">
        <f>-1*'17. DoSi'!K32</f>
        <v>0</v>
      </c>
      <c r="K35" s="49">
        <f>-1*'17. DoSi'!L32</f>
        <v>291.25</v>
      </c>
      <c r="L35" s="1" t="e">
        <f t="shared" si="1"/>
        <v>#REF!</v>
      </c>
      <c r="M35" s="69" t="e">
        <f t="shared" si="2"/>
        <v>#REF!</v>
      </c>
      <c r="O35" s="5" t="s">
        <v>49</v>
      </c>
      <c r="Q35" s="67">
        <f t="shared" si="3"/>
        <v>5441.5149999999985</v>
      </c>
      <c r="R35" s="67">
        <f>K35</f>
        <v>291.25</v>
      </c>
      <c r="S35" s="68">
        <f t="shared" si="4"/>
        <v>5.3523696985122724</v>
      </c>
      <c r="AI35" s="5" t="s">
        <v>49</v>
      </c>
      <c r="AJ35" s="68">
        <v>0</v>
      </c>
    </row>
    <row r="36" spans="1:36" s="6" customFormat="1" ht="15" customHeight="1">
      <c r="A36" s="16"/>
      <c r="B36" s="43" t="s">
        <v>47</v>
      </c>
      <c r="C36" s="42"/>
      <c r="D36" s="41"/>
      <c r="E36" s="47"/>
      <c r="F36" s="39"/>
      <c r="G36" s="40"/>
      <c r="H36" s="39"/>
      <c r="I36" s="39" t="e">
        <f>SUM(I18:I35)</f>
        <v>#REF!</v>
      </c>
      <c r="J36" s="39" t="e">
        <f>SUM(J18:J35)</f>
        <v>#REF!</v>
      </c>
      <c r="K36" s="38" t="e">
        <f>SUM(K18:K35)</f>
        <v>#REF!</v>
      </c>
      <c r="M36" s="46"/>
    </row>
    <row r="37" spans="1:36" ht="14.25" customHeight="1">
      <c r="A37" s="16" t="s">
        <v>46</v>
      </c>
      <c r="B37" s="29"/>
      <c r="C37" s="29"/>
      <c r="D37" s="28"/>
      <c r="E37" s="44"/>
      <c r="F37" s="26"/>
      <c r="G37" s="27"/>
      <c r="H37" s="26"/>
      <c r="I37" s="26"/>
      <c r="J37" s="26"/>
      <c r="K37" s="25"/>
      <c r="L37" s="1">
        <v>1</v>
      </c>
      <c r="M37" s="66" t="e">
        <f ca="1">Q37/$I$64</f>
        <v>#NAME?</v>
      </c>
      <c r="O37" s="1" t="s">
        <v>130</v>
      </c>
      <c r="Q37" s="1">
        <v>179592.74</v>
      </c>
      <c r="R37" s="67" t="e">
        <f>SUM(K18:K35)</f>
        <v>#REF!</v>
      </c>
    </row>
    <row r="38" spans="1:36" ht="14.25" customHeight="1">
      <c r="A38" s="28"/>
      <c r="B38" s="29"/>
      <c r="C38" s="29" t="s">
        <v>45</v>
      </c>
      <c r="D38" s="28"/>
      <c r="E38" s="28" t="s">
        <v>44</v>
      </c>
      <c r="F38" s="26">
        <v>32950</v>
      </c>
      <c r="G38" s="27">
        <v>1</v>
      </c>
      <c r="H38" s="26">
        <f t="shared" ref="H38:H43" si="5">F38*G38</f>
        <v>32950</v>
      </c>
      <c r="I38" s="26">
        <f t="shared" ref="I38:I43" si="6">H38</f>
        <v>32950</v>
      </c>
      <c r="J38" s="26"/>
      <c r="K38" s="25"/>
      <c r="L38" s="1">
        <v>2</v>
      </c>
      <c r="M38" s="66" t="e">
        <f ca="1">Q38/$I$64</f>
        <v>#NAME?</v>
      </c>
      <c r="O38" s="1" t="s">
        <v>129</v>
      </c>
      <c r="Q38" s="1">
        <v>134517.39000000001</v>
      </c>
      <c r="R38" s="1" t="s">
        <v>128</v>
      </c>
    </row>
    <row r="39" spans="1:36" ht="14.25" customHeight="1">
      <c r="A39" s="28"/>
      <c r="B39" s="29"/>
      <c r="C39" s="29" t="s">
        <v>43</v>
      </c>
      <c r="D39" s="28"/>
      <c r="E39" s="28" t="s">
        <v>42</v>
      </c>
      <c r="F39" s="26">
        <v>73942.67</v>
      </c>
      <c r="G39" s="27">
        <v>1</v>
      </c>
      <c r="H39" s="26">
        <f t="shared" si="5"/>
        <v>73942.67</v>
      </c>
      <c r="I39" s="26">
        <f t="shared" si="6"/>
        <v>73942.67</v>
      </c>
      <c r="J39" s="26"/>
      <c r="K39" s="25"/>
      <c r="L39" s="1">
        <v>4</v>
      </c>
      <c r="M39" s="66" t="e">
        <f ca="1">Q39/$I$64</f>
        <v>#NAME?</v>
      </c>
      <c r="O39" s="1" t="s">
        <v>19</v>
      </c>
      <c r="Q39" s="1">
        <v>11608.2</v>
      </c>
      <c r="R39" s="1" t="s">
        <v>128</v>
      </c>
    </row>
    <row r="40" spans="1:36" ht="14.25" customHeight="1">
      <c r="A40" s="28"/>
      <c r="B40" s="29"/>
      <c r="C40" s="29" t="s">
        <v>41</v>
      </c>
      <c r="D40" s="28"/>
      <c r="E40" s="44" t="s">
        <v>40</v>
      </c>
      <c r="F40" s="26">
        <v>21744.560000000001</v>
      </c>
      <c r="G40" s="27">
        <v>1</v>
      </c>
      <c r="H40" s="26">
        <f t="shared" si="5"/>
        <v>21744.560000000001</v>
      </c>
      <c r="I40" s="26">
        <f t="shared" si="6"/>
        <v>21744.560000000001</v>
      </c>
      <c r="J40" s="26"/>
      <c r="K40" s="25"/>
      <c r="L40" s="1">
        <v>3</v>
      </c>
      <c r="M40" s="66" t="e">
        <f ca="1">Q40/$I$64</f>
        <v>#NAME?</v>
      </c>
      <c r="O40" s="1" t="s">
        <v>127</v>
      </c>
      <c r="Q40" s="1">
        <v>63070.58</v>
      </c>
    </row>
    <row r="41" spans="1:36" ht="14.25" customHeight="1">
      <c r="A41" s="28"/>
      <c r="B41" s="29"/>
      <c r="C41" s="29" t="s">
        <v>39</v>
      </c>
      <c r="D41" s="28"/>
      <c r="E41" s="28" t="s">
        <v>38</v>
      </c>
      <c r="F41" s="26">
        <v>320.45</v>
      </c>
      <c r="G41" s="27">
        <v>1</v>
      </c>
      <c r="H41" s="26">
        <f t="shared" si="5"/>
        <v>320.45</v>
      </c>
      <c r="I41" s="26">
        <f t="shared" si="6"/>
        <v>320.45</v>
      </c>
      <c r="J41" s="26"/>
      <c r="K41" s="25"/>
      <c r="Q41" s="1">
        <f>SUM(Q38:Q39)/11</f>
        <v>13284.144545454548</v>
      </c>
    </row>
    <row r="42" spans="1:36" ht="14.25" customHeight="1">
      <c r="A42" s="28"/>
      <c r="B42" s="29"/>
      <c r="C42" s="29" t="s">
        <v>37</v>
      </c>
      <c r="D42" s="28"/>
      <c r="E42" s="28" t="s">
        <v>36</v>
      </c>
      <c r="F42" s="26">
        <v>4972</v>
      </c>
      <c r="G42" s="27">
        <v>1</v>
      </c>
      <c r="H42" s="26">
        <f t="shared" si="5"/>
        <v>4972</v>
      </c>
      <c r="I42" s="26">
        <f t="shared" si="6"/>
        <v>4972</v>
      </c>
      <c r="J42" s="26"/>
      <c r="K42" s="25"/>
      <c r="L42" s="1" t="s">
        <v>126</v>
      </c>
    </row>
    <row r="43" spans="1:36" ht="14.25" customHeight="1">
      <c r="A43" s="28"/>
      <c r="B43" s="29"/>
      <c r="C43" s="29" t="s">
        <v>35</v>
      </c>
      <c r="D43" s="28"/>
      <c r="E43" s="28" t="s">
        <v>34</v>
      </c>
      <c r="F43" s="26">
        <v>587.71</v>
      </c>
      <c r="G43" s="27">
        <v>1</v>
      </c>
      <c r="H43" s="26">
        <f t="shared" si="5"/>
        <v>587.71</v>
      </c>
      <c r="I43" s="26">
        <f t="shared" si="6"/>
        <v>587.71</v>
      </c>
      <c r="J43" s="26"/>
      <c r="K43" s="25"/>
      <c r="L43" s="1" t="s">
        <v>125</v>
      </c>
      <c r="Q43" s="66">
        <f>20000/180000</f>
        <v>0.1111111111111111</v>
      </c>
    </row>
    <row r="44" spans="1:36" s="6" customFormat="1" ht="15" customHeight="1">
      <c r="A44" s="16"/>
      <c r="B44" s="43" t="s">
        <v>33</v>
      </c>
      <c r="C44" s="42"/>
      <c r="D44" s="41"/>
      <c r="E44" s="41"/>
      <c r="F44" s="39"/>
      <c r="G44" s="40"/>
      <c r="H44" s="39"/>
      <c r="I44" s="39">
        <f>SUM(I38:I43)</f>
        <v>134517.38999999998</v>
      </c>
      <c r="J44" s="39">
        <f>SUM(J38:J43)</f>
        <v>0</v>
      </c>
      <c r="K44" s="38">
        <f>SUM(K38:K43)</f>
        <v>0</v>
      </c>
      <c r="L44" s="1" t="s">
        <v>124</v>
      </c>
    </row>
    <row r="45" spans="1:36" ht="18.75" customHeight="1">
      <c r="A45" s="16" t="s">
        <v>32</v>
      </c>
      <c r="B45" s="29"/>
      <c r="C45" s="29"/>
      <c r="D45" s="28"/>
      <c r="E45" s="44"/>
      <c r="F45" s="26"/>
      <c r="G45" s="27"/>
      <c r="H45" s="26"/>
      <c r="I45" s="26"/>
      <c r="J45" s="26"/>
      <c r="K45" s="25"/>
      <c r="L45" s="6"/>
      <c r="M45" s="1" t="s">
        <v>123</v>
      </c>
    </row>
    <row r="46" spans="1:36">
      <c r="A46" s="28"/>
      <c r="B46" s="29"/>
      <c r="C46" s="29" t="s">
        <v>31</v>
      </c>
      <c r="D46" s="28"/>
      <c r="E46" s="28" t="s">
        <v>30</v>
      </c>
      <c r="F46" s="26">
        <v>200</v>
      </c>
      <c r="G46" s="27">
        <v>12</v>
      </c>
      <c r="H46" s="26">
        <f>F46*G46</f>
        <v>2400</v>
      </c>
      <c r="I46" s="26">
        <f t="shared" ref="I46:I51" si="7">H46</f>
        <v>2400</v>
      </c>
      <c r="J46" s="26"/>
      <c r="K46" s="25"/>
      <c r="M46" s="1" t="s">
        <v>122</v>
      </c>
    </row>
    <row r="47" spans="1:36">
      <c r="A47" s="28"/>
      <c r="B47" s="29"/>
      <c r="C47" s="29" t="s">
        <v>29</v>
      </c>
      <c r="D47" s="28"/>
      <c r="E47" s="44" t="s">
        <v>28</v>
      </c>
      <c r="F47" s="26">
        <v>912.05</v>
      </c>
      <c r="G47" s="27">
        <v>4</v>
      </c>
      <c r="H47" s="26">
        <f>F47*G47</f>
        <v>3648.2</v>
      </c>
      <c r="I47" s="26">
        <f t="shared" si="7"/>
        <v>3648.2</v>
      </c>
      <c r="J47" s="26"/>
      <c r="K47" s="25"/>
      <c r="M47" s="1" t="s">
        <v>121</v>
      </c>
    </row>
    <row r="48" spans="1:36" ht="15" customHeight="1">
      <c r="A48" s="28"/>
      <c r="B48" s="29"/>
      <c r="C48" s="29" t="s">
        <v>27</v>
      </c>
      <c r="D48" s="28"/>
      <c r="E48" s="44" t="s">
        <v>26</v>
      </c>
      <c r="F48" s="26">
        <v>2000</v>
      </c>
      <c r="G48" s="27">
        <v>1</v>
      </c>
      <c r="H48" s="26">
        <f>F48*G48</f>
        <v>2000</v>
      </c>
      <c r="I48" s="26">
        <f t="shared" si="7"/>
        <v>2000</v>
      </c>
      <c r="J48" s="26"/>
      <c r="K48" s="25"/>
      <c r="L48" s="1" t="s">
        <v>120</v>
      </c>
    </row>
    <row r="49" spans="1:13">
      <c r="A49" s="28"/>
      <c r="B49" s="29"/>
      <c r="C49" s="29" t="s">
        <v>25</v>
      </c>
      <c r="D49" s="28"/>
      <c r="E49" s="44" t="s">
        <v>24</v>
      </c>
      <c r="F49" s="26">
        <v>1400</v>
      </c>
      <c r="G49" s="27">
        <v>1</v>
      </c>
      <c r="H49" s="26">
        <v>1400</v>
      </c>
      <c r="I49" s="26">
        <f t="shared" si="7"/>
        <v>1400</v>
      </c>
      <c r="J49" s="26"/>
      <c r="K49" s="25"/>
      <c r="L49" s="1" t="s">
        <v>119</v>
      </c>
    </row>
    <row r="50" spans="1:13">
      <c r="A50" s="28"/>
      <c r="B50" s="29"/>
      <c r="C50" s="29" t="s">
        <v>23</v>
      </c>
      <c r="D50" s="28"/>
      <c r="E50" s="44" t="s">
        <v>22</v>
      </c>
      <c r="F50" s="26">
        <v>80</v>
      </c>
      <c r="G50" s="27">
        <v>12</v>
      </c>
      <c r="H50" s="26">
        <f>F50*12</f>
        <v>960</v>
      </c>
      <c r="I50" s="26">
        <f t="shared" si="7"/>
        <v>960</v>
      </c>
      <c r="J50" s="26"/>
      <c r="K50" s="25"/>
      <c r="M50" s="1" t="s">
        <v>118</v>
      </c>
    </row>
    <row r="51" spans="1:13">
      <c r="A51" s="28"/>
      <c r="B51" s="29"/>
      <c r="C51" s="29" t="s">
        <v>21</v>
      </c>
      <c r="D51" s="28"/>
      <c r="E51" s="44" t="s">
        <v>20</v>
      </c>
      <c r="F51" s="26">
        <v>1200</v>
      </c>
      <c r="G51" s="27">
        <v>1</v>
      </c>
      <c r="H51" s="26">
        <v>1200</v>
      </c>
      <c r="I51" s="26">
        <f t="shared" si="7"/>
        <v>1200</v>
      </c>
      <c r="J51" s="26"/>
      <c r="K51" s="25"/>
      <c r="M51" s="1" t="s">
        <v>117</v>
      </c>
    </row>
    <row r="52" spans="1:13" s="6" customFormat="1" ht="14.5">
      <c r="A52" s="16"/>
      <c r="B52" s="43" t="s">
        <v>19</v>
      </c>
      <c r="C52" s="42"/>
      <c r="D52" s="41"/>
      <c r="E52" s="41"/>
      <c r="F52" s="39"/>
      <c r="G52" s="40"/>
      <c r="H52" s="39"/>
      <c r="I52" s="39">
        <f>SUM(I46:I51)</f>
        <v>11608.2</v>
      </c>
      <c r="J52" s="39">
        <f>SUM(J46:J51)</f>
        <v>0</v>
      </c>
      <c r="K52" s="38">
        <f>SUM(K46:K51)</f>
        <v>0</v>
      </c>
      <c r="M52" s="1" t="s">
        <v>116</v>
      </c>
    </row>
    <row r="53" spans="1:13">
      <c r="A53" s="16" t="s">
        <v>18</v>
      </c>
      <c r="B53" s="29"/>
      <c r="C53" s="29"/>
      <c r="D53" s="28"/>
      <c r="E53" s="44"/>
      <c r="F53" s="26"/>
      <c r="G53" s="27"/>
      <c r="H53" s="26"/>
      <c r="I53" s="26"/>
      <c r="J53" s="26"/>
      <c r="K53" s="25"/>
      <c r="L53" s="1" t="s">
        <v>115</v>
      </c>
    </row>
    <row r="54" spans="1:13">
      <c r="A54" s="28"/>
      <c r="B54" s="29"/>
      <c r="C54" s="29" t="s">
        <v>17</v>
      </c>
      <c r="D54" s="28"/>
      <c r="E54" s="28" t="s">
        <v>114</v>
      </c>
      <c r="F54" s="26">
        <f>21*35*14+(1709.52+3081.91)/3</f>
        <v>11887.143333333333</v>
      </c>
      <c r="G54" s="27">
        <v>3</v>
      </c>
      <c r="H54" s="26">
        <f>F54*G54</f>
        <v>35661.43</v>
      </c>
      <c r="I54" s="26">
        <f>H54</f>
        <v>35661.43</v>
      </c>
      <c r="J54" s="26"/>
      <c r="K54" s="25"/>
      <c r="M54" s="1" t="s">
        <v>113</v>
      </c>
    </row>
    <row r="55" spans="1:13">
      <c r="A55" s="28"/>
      <c r="B55" s="29"/>
      <c r="C55" s="29" t="s">
        <v>15</v>
      </c>
      <c r="D55" s="28"/>
      <c r="E55" s="28" t="s">
        <v>14</v>
      </c>
      <c r="F55" s="26">
        <v>10000</v>
      </c>
      <c r="G55" s="27">
        <v>1</v>
      </c>
      <c r="H55" s="26">
        <f>F55*G55</f>
        <v>10000</v>
      </c>
      <c r="I55" s="26">
        <f>H55</f>
        <v>10000</v>
      </c>
      <c r="J55" s="26"/>
      <c r="K55" s="25"/>
      <c r="M55" s="1" t="s">
        <v>112</v>
      </c>
    </row>
    <row r="56" spans="1:13">
      <c r="A56" s="28"/>
      <c r="B56" s="29"/>
      <c r="C56" s="29" t="s">
        <v>13</v>
      </c>
      <c r="D56" s="28"/>
      <c r="E56" s="44" t="s">
        <v>12</v>
      </c>
      <c r="F56" s="26">
        <v>735</v>
      </c>
      <c r="G56" s="27">
        <v>3</v>
      </c>
      <c r="H56" s="26">
        <f>F56*G56</f>
        <v>2205</v>
      </c>
      <c r="I56" s="26">
        <f>H56</f>
        <v>2205</v>
      </c>
      <c r="J56" s="26"/>
      <c r="K56" s="25"/>
      <c r="M56" s="1" t="s">
        <v>111</v>
      </c>
    </row>
    <row r="57" spans="1:13">
      <c r="A57" s="28"/>
      <c r="B57" s="29"/>
      <c r="C57" s="29" t="s">
        <v>11</v>
      </c>
      <c r="D57" s="28"/>
      <c r="E57" s="28" t="s">
        <v>10</v>
      </c>
      <c r="F57" s="26">
        <v>6538.05</v>
      </c>
      <c r="G57" s="27">
        <v>3</v>
      </c>
      <c r="H57" s="26">
        <f>F57*G57</f>
        <v>19614.150000000001</v>
      </c>
      <c r="I57" s="26">
        <f>H57</f>
        <v>19614.150000000001</v>
      </c>
      <c r="J57" s="26"/>
      <c r="K57" s="25"/>
    </row>
    <row r="58" spans="1:13" s="6" customFormat="1" ht="14.5">
      <c r="A58" s="16"/>
      <c r="B58" s="43" t="s">
        <v>9</v>
      </c>
      <c r="C58" s="42"/>
      <c r="D58" s="41"/>
      <c r="E58" s="41"/>
      <c r="F58" s="39"/>
      <c r="G58" s="40"/>
      <c r="H58" s="39"/>
      <c r="I58" s="39">
        <f>SUM(I54:I57)</f>
        <v>67480.58</v>
      </c>
      <c r="J58" s="39">
        <f>SUM(J54:J57)</f>
        <v>0</v>
      </c>
      <c r="K58" s="38">
        <f>SUM(K54:K57)</f>
        <v>0</v>
      </c>
      <c r="L58" s="1" t="s">
        <v>110</v>
      </c>
    </row>
    <row r="59" spans="1:13">
      <c r="A59" s="28"/>
      <c r="B59" s="29"/>
      <c r="C59" s="29"/>
      <c r="D59" s="28"/>
      <c r="E59" s="28"/>
      <c r="F59" s="26"/>
      <c r="G59" s="27"/>
      <c r="H59" s="26"/>
      <c r="I59" s="26"/>
      <c r="J59" s="26"/>
      <c r="K59" s="25"/>
      <c r="M59" s="1" t="s">
        <v>109</v>
      </c>
    </row>
    <row r="60" spans="1:13" s="30" customFormat="1" ht="14.5">
      <c r="A60" s="37"/>
      <c r="B60" s="36" t="s">
        <v>8</v>
      </c>
      <c r="C60" s="35"/>
      <c r="D60" s="34"/>
      <c r="E60" s="34"/>
      <c r="F60" s="32"/>
      <c r="G60" s="33"/>
      <c r="H60" s="32"/>
      <c r="I60" s="32" t="e">
        <f ca="1">SumBold(I17:I59)</f>
        <v>#NAME?</v>
      </c>
      <c r="J60" s="32" t="e">
        <f ca="1">SumBold(J17:J59)</f>
        <v>#NAME?</v>
      </c>
      <c r="K60" s="31" t="e">
        <f ca="1">SumBold(K17:K59)</f>
        <v>#NAME?</v>
      </c>
      <c r="M60" s="30" t="s">
        <v>108</v>
      </c>
    </row>
    <row r="61" spans="1:13">
      <c r="A61" s="28"/>
      <c r="B61" s="29"/>
      <c r="C61" s="29"/>
      <c r="D61" s="28"/>
      <c r="E61" s="28"/>
      <c r="F61" s="26"/>
      <c r="G61" s="27"/>
      <c r="H61" s="26"/>
      <c r="I61" s="26"/>
      <c r="J61" s="26"/>
      <c r="K61" s="25"/>
    </row>
    <row r="62" spans="1:13" ht="15" customHeight="1">
      <c r="A62" s="24" t="s">
        <v>7</v>
      </c>
      <c r="B62" s="23"/>
      <c r="C62" s="23"/>
      <c r="D62" s="22"/>
      <c r="E62" s="22"/>
      <c r="F62" s="20"/>
      <c r="G62" s="21"/>
      <c r="H62" s="20"/>
      <c r="I62" s="20"/>
      <c r="J62" s="20"/>
      <c r="K62" s="19"/>
    </row>
    <row r="63" spans="1:13" s="6" customFormat="1" ht="14.5">
      <c r="A63" s="16"/>
      <c r="B63" s="17" t="s">
        <v>6</v>
      </c>
      <c r="C63" s="17"/>
      <c r="D63" s="16"/>
      <c r="E63" s="16"/>
      <c r="F63" s="14"/>
      <c r="G63" s="15"/>
      <c r="H63" s="14"/>
      <c r="I63" s="14" t="e">
        <f ca="1">I14</f>
        <v>#NAME?</v>
      </c>
      <c r="J63" s="14" t="e">
        <f ca="1">J14</f>
        <v>#NAME?</v>
      </c>
      <c r="K63" s="18" t="e">
        <f ca="1">K14</f>
        <v>#NAME?</v>
      </c>
    </row>
    <row r="64" spans="1:13" s="6" customFormat="1" ht="14.5">
      <c r="A64" s="16"/>
      <c r="B64" s="17" t="s">
        <v>5</v>
      </c>
      <c r="C64" s="17"/>
      <c r="D64" s="16"/>
      <c r="E64" s="16"/>
      <c r="F64" s="14"/>
      <c r="G64" s="15"/>
      <c r="H64" s="14"/>
      <c r="I64" s="14" t="e">
        <f ca="1">I60</f>
        <v>#NAME?</v>
      </c>
      <c r="J64" s="14" t="e">
        <f ca="1">J60</f>
        <v>#NAME?</v>
      </c>
      <c r="K64" s="13" t="e">
        <f ca="1">K60</f>
        <v>#NAME?</v>
      </c>
    </row>
    <row r="65" spans="1:11" s="6" customFormat="1" ht="14.5">
      <c r="A65" s="11"/>
      <c r="B65" s="12" t="s">
        <v>4</v>
      </c>
      <c r="C65" s="12"/>
      <c r="D65" s="11"/>
      <c r="E65" s="11"/>
      <c r="F65" s="8"/>
      <c r="G65" s="10"/>
      <c r="H65" s="8"/>
      <c r="I65" s="9" t="e">
        <f ca="1">SUM(I63,I64*-1)-2229.12-2449.21</f>
        <v>#NAME?</v>
      </c>
      <c r="J65" s="8" t="e">
        <f ca="1">SUM(J63,J64*-1)</f>
        <v>#NAME?</v>
      </c>
      <c r="K65" s="7" t="e">
        <f ca="1">SUM(K63,K64*-1)</f>
        <v>#NAME?</v>
      </c>
    </row>
  </sheetData>
  <mergeCells count="1">
    <mergeCell ref="B1:K1"/>
  </mergeCells>
  <conditionalFormatting sqref="B45:D46 B40:K44 B56:K65 F45:K46 B36:K36 B6:K15 B47:K52 F53:K54 F37:K38 F18:K18 F21:K35 F19:H20 J19:K20 B21:D26 B18:D18 B19:B20 D19 O21:O26 O18">
    <cfRule type="expression" dxfId="246" priority="19">
      <formula>MOD($B6,2)=1</formula>
    </cfRule>
  </conditionalFormatting>
  <conditionalFormatting sqref="B33:D35">
    <cfRule type="expression" dxfId="245" priority="18">
      <formula>MOD($B33,2)=1</formula>
    </cfRule>
  </conditionalFormatting>
  <conditionalFormatting sqref="E45 C19 O19">
    <cfRule type="expression" dxfId="244" priority="20">
      <formula>MOD($B20,2)=1</formula>
    </cfRule>
  </conditionalFormatting>
  <conditionalFormatting sqref="B53:D55 F55:K55">
    <cfRule type="expression" dxfId="243" priority="16">
      <formula>MOD($B53,2)=1</formula>
    </cfRule>
  </conditionalFormatting>
  <conditionalFormatting sqref="E53">
    <cfRule type="expression" dxfId="242" priority="17">
      <formula>MOD($B54,2)=1</formula>
    </cfRule>
  </conditionalFormatting>
  <conditionalFormatting sqref="B30:D32">
    <cfRule type="expression" dxfId="241" priority="15">
      <formula>MOD($B30,2)=1</formula>
    </cfRule>
  </conditionalFormatting>
  <conditionalFormatting sqref="B27:D29">
    <cfRule type="expression" dxfId="240" priority="14">
      <formula>MOD($B27,2)=1</formula>
    </cfRule>
  </conditionalFormatting>
  <conditionalFormatting sqref="B37:D39 F39:K39">
    <cfRule type="expression" dxfId="239" priority="12">
      <formula>MOD($B37,2)=1</formula>
    </cfRule>
  </conditionalFormatting>
  <conditionalFormatting sqref="E37">
    <cfRule type="expression" dxfId="238" priority="13">
      <formula>MOD($B38,2)=1</formula>
    </cfRule>
  </conditionalFormatting>
  <conditionalFormatting sqref="M18:M36">
    <cfRule type="expression" dxfId="237" priority="11">
      <formula>MOD($B18,2)=1</formula>
    </cfRule>
  </conditionalFormatting>
  <conditionalFormatting sqref="O33:O35">
    <cfRule type="expression" dxfId="236" priority="10">
      <formula>MOD($B33,2)=1</formula>
    </cfRule>
  </conditionalFormatting>
  <conditionalFormatting sqref="O30:O32">
    <cfRule type="expression" dxfId="235" priority="9">
      <formula>MOD($B30,2)=1</formula>
    </cfRule>
  </conditionalFormatting>
  <conditionalFormatting sqref="O27:O29">
    <cfRule type="expression" dxfId="234" priority="8">
      <formula>MOD($B27,2)=1</formula>
    </cfRule>
  </conditionalFormatting>
  <conditionalFormatting sqref="I19">
    <cfRule type="expression" dxfId="233" priority="21">
      <formula>MOD($B19,2)=1</formula>
    </cfRule>
  </conditionalFormatting>
  <conditionalFormatting sqref="C20 O20 AI18">
    <cfRule type="expression" dxfId="232" priority="22">
      <formula>MOD($B17,2)=1</formula>
    </cfRule>
  </conditionalFormatting>
  <conditionalFormatting sqref="AI21:AI26">
    <cfRule type="expression" dxfId="231" priority="5">
      <formula>MOD($B20,2)=1</formula>
    </cfRule>
  </conditionalFormatting>
  <conditionalFormatting sqref="AI19">
    <cfRule type="expression" dxfId="230" priority="6">
      <formula>MOD($B19,2)=1</formula>
    </cfRule>
  </conditionalFormatting>
  <conditionalFormatting sqref="AI33:AI35">
    <cfRule type="expression" dxfId="229" priority="4">
      <formula>MOD($B32,2)=1</formula>
    </cfRule>
  </conditionalFormatting>
  <conditionalFormatting sqref="AI30:AI32">
    <cfRule type="expression" dxfId="228" priority="3">
      <formula>MOD($B29,2)=1</formula>
    </cfRule>
  </conditionalFormatting>
  <conditionalFormatting sqref="AI27:AI29">
    <cfRule type="expression" dxfId="227" priority="2">
      <formula>MOD($B26,2)=1</formula>
    </cfRule>
  </conditionalFormatting>
  <conditionalFormatting sqref="AI20">
    <cfRule type="expression" dxfId="226" priority="7">
      <formula>MOD($B18,2)=1</formula>
    </cfRule>
  </conditionalFormatting>
  <conditionalFormatting sqref="AI17">
    <cfRule type="expression" dxfId="225" priority="1">
      <formula>MOD($B16,2)=1</formula>
    </cfRule>
  </conditionalFormatting>
  <pageMargins left="0.7" right="0.7" top="0.75" bottom="0.75" header="0.3" footer="0.3"/>
  <pageSetup scale="26" fitToWidth="0" fitToHeight="0" orientation="portrait" r:id="rId1"/>
  <drawing r:id="rId2"/>
  <tableParts count="1">
    <tablePart r:id="rId3"/>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16995F-487C-4E55-ABE3-4A4281DB6748}">
  <sheetPr codeName="Sheet12"/>
  <dimension ref="A1:M102"/>
  <sheetViews>
    <sheetView showGridLines="0" zoomScale="39" zoomScaleNormal="75" workbookViewId="0">
      <pane ySplit="2" topLeftCell="A3" activePane="bottomLeft" state="frozen"/>
      <selection pane="bottomLeft" activeCell="E43" sqref="E43"/>
    </sheetView>
  </sheetViews>
  <sheetFormatPr defaultColWidth="8.58203125" defaultRowHeight="15.5"/>
  <cols>
    <col min="1" max="1" width="32.83203125" style="254" customWidth="1"/>
    <col min="2" max="2" width="18.5" style="183" customWidth="1"/>
    <col min="3" max="3" width="23.1640625" style="183" customWidth="1"/>
    <col min="4" max="4" width="13.33203125" style="182" customWidth="1"/>
    <col min="5" max="5" width="46.83203125" style="182" customWidth="1"/>
    <col min="6" max="6" width="15.25" style="180" customWidth="1"/>
    <col min="7" max="7" width="15.25" style="181" customWidth="1"/>
    <col min="8" max="8" width="19.33203125" style="180" customWidth="1"/>
    <col min="9" max="9" width="18.1640625" style="180" customWidth="1"/>
    <col min="10" max="11" width="20.58203125" style="180" customWidth="1"/>
    <col min="12" max="12" width="20.83203125" style="179" customWidth="1"/>
    <col min="13" max="16384" width="8.58203125" style="178"/>
  </cols>
  <sheetData>
    <row r="1" spans="1:13" ht="148.5" customHeight="1">
      <c r="B1" s="369" t="s">
        <v>1173</v>
      </c>
      <c r="C1" s="369"/>
      <c r="D1" s="369"/>
      <c r="E1" s="369"/>
      <c r="F1" s="369"/>
      <c r="G1" s="369"/>
      <c r="H1" s="369"/>
      <c r="I1" s="369"/>
      <c r="J1" s="369"/>
      <c r="K1" s="369"/>
    </row>
    <row r="2" spans="1:13" s="219" customFormat="1" ht="15" customHeight="1">
      <c r="A2" s="358" t="s">
        <v>106</v>
      </c>
      <c r="B2" s="222" t="s">
        <v>105</v>
      </c>
      <c r="C2" s="222" t="s">
        <v>104</v>
      </c>
      <c r="D2" s="222" t="s">
        <v>103</v>
      </c>
      <c r="E2" s="222" t="s">
        <v>102</v>
      </c>
      <c r="F2" s="221" t="s">
        <v>101</v>
      </c>
      <c r="G2" s="222" t="s">
        <v>1</v>
      </c>
      <c r="H2" s="221" t="s">
        <v>100</v>
      </c>
      <c r="I2" s="221" t="s">
        <v>99</v>
      </c>
      <c r="J2" s="221" t="s">
        <v>176</v>
      </c>
      <c r="K2" s="221" t="s">
        <v>98</v>
      </c>
      <c r="L2" s="292" t="s">
        <v>2</v>
      </c>
    </row>
    <row r="3" spans="1:13" ht="14.25" customHeight="1">
      <c r="L3" s="218"/>
    </row>
    <row r="4" spans="1:13">
      <c r="A4" s="354" t="s">
        <v>0</v>
      </c>
      <c r="B4" s="200"/>
      <c r="C4" s="200"/>
      <c r="D4" s="199"/>
      <c r="E4" s="199"/>
      <c r="F4" s="197"/>
      <c r="G4" s="198"/>
      <c r="H4" s="197"/>
      <c r="I4" s="197"/>
      <c r="J4" s="197"/>
      <c r="K4" s="197"/>
      <c r="L4" s="196"/>
    </row>
    <row r="5" spans="1:13" s="281" customFormat="1">
      <c r="A5" s="261" t="s">
        <v>1174</v>
      </c>
      <c r="B5" s="277"/>
      <c r="C5" s="277"/>
      <c r="D5" s="262"/>
      <c r="E5" s="262"/>
      <c r="F5" s="180"/>
      <c r="G5" s="181"/>
      <c r="H5" s="180"/>
      <c r="I5" s="180"/>
      <c r="J5" s="180"/>
      <c r="K5" s="180"/>
      <c r="L5" s="288"/>
    </row>
    <row r="6" spans="1:13" s="281" customFormat="1">
      <c r="A6" s="254"/>
      <c r="B6" s="277">
        <v>501</v>
      </c>
      <c r="C6" s="277" t="s">
        <v>1175</v>
      </c>
      <c r="D6" s="277" t="s">
        <v>628</v>
      </c>
      <c r="E6" s="262" t="s">
        <v>1176</v>
      </c>
      <c r="F6" s="180">
        <v>1200</v>
      </c>
      <c r="G6" s="181">
        <v>1</v>
      </c>
      <c r="H6" s="180">
        <f>F6*G6</f>
        <v>1200</v>
      </c>
      <c r="I6" s="180">
        <f>H6</f>
        <v>1200</v>
      </c>
      <c r="J6" s="180">
        <f>I6*0.75</f>
        <v>900</v>
      </c>
      <c r="K6" s="360"/>
      <c r="L6" s="270"/>
    </row>
    <row r="7" spans="1:13" s="281" customFormat="1">
      <c r="A7" s="254"/>
      <c r="B7" s="277"/>
      <c r="C7" s="277"/>
      <c r="D7" s="277"/>
      <c r="E7" s="262"/>
      <c r="F7" s="180"/>
      <c r="G7" s="181"/>
      <c r="H7" s="180"/>
      <c r="I7" s="180"/>
      <c r="J7" s="180"/>
      <c r="K7" s="360"/>
      <c r="L7" s="270"/>
    </row>
    <row r="8" spans="1:13" s="281" customFormat="1" ht="14.5">
      <c r="A8" s="261"/>
      <c r="B8" s="214" t="s">
        <v>1177</v>
      </c>
      <c r="C8" s="213"/>
      <c r="D8" s="272"/>
      <c r="E8" s="272"/>
      <c r="F8" s="210"/>
      <c r="G8" s="211"/>
      <c r="H8" s="210"/>
      <c r="I8" s="210">
        <f>SUM(I6)</f>
        <v>1200</v>
      </c>
      <c r="J8" s="210">
        <f>SUM(J6)</f>
        <v>900</v>
      </c>
      <c r="K8" s="210">
        <f>SUM(K6)</f>
        <v>0</v>
      </c>
      <c r="L8" s="216">
        <f>SUM(L6)</f>
        <v>0</v>
      </c>
    </row>
    <row r="9" spans="1:13" s="281" customFormat="1">
      <c r="A9" s="254"/>
      <c r="B9" s="277"/>
      <c r="C9" s="277"/>
      <c r="D9" s="262"/>
      <c r="E9" s="262"/>
      <c r="F9" s="180"/>
      <c r="G9" s="181"/>
      <c r="H9" s="180"/>
      <c r="I9" s="180"/>
      <c r="J9" s="180"/>
      <c r="K9" s="360"/>
      <c r="L9" s="270"/>
    </row>
    <row r="10" spans="1:13" s="281" customFormat="1" ht="14.5">
      <c r="A10" s="353"/>
      <c r="B10" s="208" t="s">
        <v>83</v>
      </c>
      <c r="C10" s="207"/>
      <c r="D10" s="274"/>
      <c r="E10" s="274"/>
      <c r="F10" s="204"/>
      <c r="G10" s="205"/>
      <c r="H10" s="204"/>
      <c r="I10" s="204">
        <f>I8</f>
        <v>1200</v>
      </c>
      <c r="J10" s="204">
        <f t="shared" ref="J10:L10" si="0">J8</f>
        <v>900</v>
      </c>
      <c r="K10" s="204">
        <f t="shared" si="0"/>
        <v>0</v>
      </c>
      <c r="L10" s="215">
        <f t="shared" si="0"/>
        <v>0</v>
      </c>
    </row>
    <row r="11" spans="1:13" s="281" customFormat="1">
      <c r="A11" s="254"/>
      <c r="B11" s="277"/>
      <c r="C11" s="277"/>
      <c r="D11" s="262"/>
      <c r="E11" s="262"/>
      <c r="F11" s="180"/>
      <c r="G11" s="181"/>
      <c r="H11" s="180"/>
      <c r="I11" s="180"/>
      <c r="J11" s="180"/>
      <c r="K11" s="360"/>
      <c r="L11" s="270"/>
    </row>
    <row r="12" spans="1:13" s="279" customFormat="1">
      <c r="A12" s="354" t="s">
        <v>3</v>
      </c>
      <c r="B12" s="200"/>
      <c r="C12" s="200"/>
      <c r="D12" s="265"/>
      <c r="E12" s="265"/>
      <c r="F12" s="197"/>
      <c r="G12" s="198"/>
      <c r="H12" s="197"/>
      <c r="I12" s="197"/>
      <c r="J12" s="197"/>
      <c r="K12" s="197"/>
      <c r="L12" s="266"/>
    </row>
    <row r="13" spans="1:13" s="281" customFormat="1">
      <c r="A13" s="261" t="s">
        <v>1178</v>
      </c>
      <c r="B13" s="277"/>
      <c r="C13" s="277"/>
      <c r="D13" s="262"/>
      <c r="E13" s="262"/>
      <c r="F13" s="180"/>
      <c r="G13" s="181"/>
      <c r="H13" s="180"/>
      <c r="I13" s="180"/>
      <c r="J13" s="180"/>
      <c r="K13" s="360"/>
      <c r="L13" s="270"/>
    </row>
    <row r="14" spans="1:13" s="280" customFormat="1">
      <c r="A14" s="254"/>
      <c r="B14" s="277">
        <v>521</v>
      </c>
      <c r="C14" s="262" t="s">
        <v>1179</v>
      </c>
      <c r="D14" s="277"/>
      <c r="E14" s="262" t="s">
        <v>1180</v>
      </c>
      <c r="F14" s="180">
        <v>25</v>
      </c>
      <c r="G14" s="181">
        <v>17</v>
      </c>
      <c r="H14" s="180">
        <f>F14*G14</f>
        <v>425</v>
      </c>
      <c r="I14" s="180">
        <f>H14*1.13*1.18</f>
        <v>566.69499999999994</v>
      </c>
      <c r="J14" s="180">
        <f t="shared" ref="J14:J19" si="1">I14*1.25</f>
        <v>708.36874999999986</v>
      </c>
      <c r="K14" s="360"/>
      <c r="L14" s="270"/>
    </row>
    <row r="15" spans="1:13" s="281" customFormat="1">
      <c r="A15" s="254"/>
      <c r="B15" s="277">
        <v>522</v>
      </c>
      <c r="C15" s="262" t="s">
        <v>1181</v>
      </c>
      <c r="D15" s="277"/>
      <c r="E15" s="262" t="s">
        <v>1182</v>
      </c>
      <c r="F15" s="180">
        <v>510</v>
      </c>
      <c r="G15" s="181">
        <v>8</v>
      </c>
      <c r="H15" s="180">
        <f>F15*G15</f>
        <v>4080</v>
      </c>
      <c r="I15" s="180">
        <f>H15*1.13</f>
        <v>4610.3999999999996</v>
      </c>
      <c r="J15" s="180">
        <f t="shared" si="1"/>
        <v>5763</v>
      </c>
      <c r="K15" s="360"/>
      <c r="L15" s="270">
        <v>4610.3999999999996</v>
      </c>
    </row>
    <row r="16" spans="1:13" s="281" customFormat="1">
      <c r="A16" s="254"/>
      <c r="B16" s="252">
        <v>523</v>
      </c>
      <c r="C16" s="278" t="s">
        <v>1183</v>
      </c>
      <c r="D16" s="252"/>
      <c r="E16" s="278" t="s">
        <v>1184</v>
      </c>
      <c r="F16" s="329">
        <v>62.52</v>
      </c>
      <c r="G16" s="331">
        <v>17</v>
      </c>
      <c r="H16" s="329">
        <f>1062.8</f>
        <v>1062.8</v>
      </c>
      <c r="I16" s="329">
        <f>1200.97</f>
        <v>1200.97</v>
      </c>
      <c r="J16" s="329">
        <f t="shared" si="1"/>
        <v>1501.2125000000001</v>
      </c>
      <c r="K16" s="361"/>
      <c r="L16" s="357">
        <v>1200.97</v>
      </c>
      <c r="M16" s="281" t="s">
        <v>1185</v>
      </c>
    </row>
    <row r="17" spans="1:12" s="281" customFormat="1">
      <c r="A17" s="254"/>
      <c r="B17" s="277">
        <v>524</v>
      </c>
      <c r="C17" s="262" t="s">
        <v>1186</v>
      </c>
      <c r="D17" s="277"/>
      <c r="E17" s="262" t="s">
        <v>1187</v>
      </c>
      <c r="F17" s="180">
        <f>54</f>
        <v>54</v>
      </c>
      <c r="G17" s="181">
        <v>34</v>
      </c>
      <c r="H17" s="180">
        <f>F17*G17</f>
        <v>1836</v>
      </c>
      <c r="I17" s="180">
        <f>H17*1.13*1.18</f>
        <v>2448.1223999999997</v>
      </c>
      <c r="J17" s="180">
        <f t="shared" si="1"/>
        <v>3060.1529999999998</v>
      </c>
      <c r="K17" s="360"/>
      <c r="L17" s="270"/>
    </row>
    <row r="18" spans="1:12" s="281" customFormat="1">
      <c r="A18" s="254"/>
      <c r="B18" s="277">
        <v>525</v>
      </c>
      <c r="C18" s="262" t="s">
        <v>1188</v>
      </c>
      <c r="D18" s="277"/>
      <c r="E18" s="262" t="s">
        <v>1189</v>
      </c>
      <c r="F18" s="180">
        <v>10</v>
      </c>
      <c r="G18" s="181">
        <v>17</v>
      </c>
      <c r="H18" s="180">
        <f>F18*G18</f>
        <v>170</v>
      </c>
      <c r="I18" s="180">
        <f>H18*1.13</f>
        <v>192.1</v>
      </c>
      <c r="J18" s="180">
        <f t="shared" si="1"/>
        <v>240.125</v>
      </c>
      <c r="K18" s="360"/>
      <c r="L18" s="270"/>
    </row>
    <row r="19" spans="1:12" s="281" customFormat="1">
      <c r="A19" s="261"/>
      <c r="B19" s="277">
        <v>526</v>
      </c>
      <c r="C19" s="262" t="s">
        <v>1190</v>
      </c>
      <c r="D19" s="277"/>
      <c r="E19" s="262" t="s">
        <v>1191</v>
      </c>
      <c r="F19" s="180">
        <v>65</v>
      </c>
      <c r="G19" s="181">
        <v>16</v>
      </c>
      <c r="H19" s="180">
        <f>F19*G19</f>
        <v>1040</v>
      </c>
      <c r="I19" s="180">
        <f>H19*1.13</f>
        <v>1175.1999999999998</v>
      </c>
      <c r="J19" s="180">
        <f t="shared" si="1"/>
        <v>1468.9999999999998</v>
      </c>
      <c r="K19" s="360"/>
      <c r="L19" s="270"/>
    </row>
    <row r="20" spans="1:12" s="281" customFormat="1">
      <c r="A20" s="261"/>
      <c r="B20" s="252">
        <v>528</v>
      </c>
      <c r="C20" s="278" t="s">
        <v>1192</v>
      </c>
      <c r="D20" s="252"/>
      <c r="E20" s="278" t="s">
        <v>1193</v>
      </c>
      <c r="F20" s="329">
        <v>35</v>
      </c>
      <c r="G20" s="331">
        <v>6</v>
      </c>
      <c r="H20" s="329">
        <f>F20*G20</f>
        <v>210</v>
      </c>
      <c r="I20" s="329">
        <f>H20*1.13*1.18</f>
        <v>280.01399999999995</v>
      </c>
      <c r="J20" s="329">
        <f>I20*1.25</f>
        <v>350.01749999999993</v>
      </c>
      <c r="K20" s="361"/>
      <c r="L20" s="357"/>
    </row>
    <row r="21" spans="1:12" s="281" customFormat="1">
      <c r="A21" s="254"/>
      <c r="B21" s="277"/>
      <c r="C21" s="277"/>
      <c r="D21" s="262"/>
      <c r="E21" s="262"/>
      <c r="F21" s="180"/>
      <c r="G21" s="181"/>
      <c r="H21" s="180"/>
      <c r="I21" s="180"/>
      <c r="J21" s="180"/>
      <c r="K21" s="360"/>
      <c r="L21" s="270"/>
    </row>
    <row r="22" spans="1:12" s="281" customFormat="1" ht="14.5">
      <c r="A22" s="254"/>
      <c r="B22" s="214" t="s">
        <v>1194</v>
      </c>
      <c r="C22" s="213"/>
      <c r="D22" s="272"/>
      <c r="E22" s="272"/>
      <c r="F22" s="210"/>
      <c r="G22" s="211"/>
      <c r="H22" s="210"/>
      <c r="I22" s="210">
        <f>SUM(I14:I20)</f>
        <v>10473.501399999997</v>
      </c>
      <c r="J22" s="210">
        <f t="shared" ref="J22:L22" si="2">SUM(J14:J20)</f>
        <v>13091.876749999999</v>
      </c>
      <c r="K22" s="210">
        <f t="shared" si="2"/>
        <v>0</v>
      </c>
      <c r="L22" s="216">
        <f t="shared" si="2"/>
        <v>5811.37</v>
      </c>
    </row>
    <row r="23" spans="1:12" s="281" customFormat="1">
      <c r="A23" s="261" t="s">
        <v>1195</v>
      </c>
      <c r="B23" s="277"/>
      <c r="C23" s="277"/>
      <c r="D23" s="262"/>
      <c r="E23" s="262"/>
      <c r="F23" s="180"/>
      <c r="G23" s="181"/>
      <c r="H23" s="180"/>
      <c r="I23" s="180"/>
      <c r="J23" s="180"/>
      <c r="K23" s="360"/>
      <c r="L23" s="270"/>
    </row>
    <row r="24" spans="1:12" s="281" customFormat="1">
      <c r="A24" s="355"/>
      <c r="B24" s="277">
        <v>531</v>
      </c>
      <c r="C24" s="262" t="s">
        <v>1196</v>
      </c>
      <c r="D24" s="277"/>
      <c r="E24" s="262" t="s">
        <v>1197</v>
      </c>
      <c r="F24" s="180">
        <v>30</v>
      </c>
      <c r="G24" s="181">
        <v>8</v>
      </c>
      <c r="H24" s="180">
        <f>F24*G24</f>
        <v>240</v>
      </c>
      <c r="I24" s="180">
        <f>H24*1.13</f>
        <v>271.2</v>
      </c>
      <c r="J24" s="180">
        <f>I24*1.25</f>
        <v>339</v>
      </c>
      <c r="K24" s="360"/>
      <c r="L24" s="270">
        <v>271.2</v>
      </c>
    </row>
    <row r="25" spans="1:12" s="279" customFormat="1">
      <c r="A25" s="254"/>
      <c r="B25" s="277">
        <v>532</v>
      </c>
      <c r="C25" s="262" t="s">
        <v>1198</v>
      </c>
      <c r="D25" s="277"/>
      <c r="E25" s="262" t="s">
        <v>1199</v>
      </c>
      <c r="F25" s="180">
        <v>210</v>
      </c>
      <c r="G25" s="181">
        <v>8</v>
      </c>
      <c r="H25" s="180">
        <f>F25*G25</f>
        <v>1680</v>
      </c>
      <c r="I25" s="180">
        <f>H25*1.13</f>
        <v>1898.3999999999999</v>
      </c>
      <c r="J25" s="180">
        <f>I25*1.25</f>
        <v>2373</v>
      </c>
      <c r="K25" s="360"/>
      <c r="L25" s="270">
        <v>1898.4</v>
      </c>
    </row>
    <row r="26" spans="1:12" s="281" customFormat="1">
      <c r="A26" s="261"/>
      <c r="B26" s="277">
        <v>533</v>
      </c>
      <c r="C26" s="262" t="s">
        <v>1200</v>
      </c>
      <c r="D26" s="277"/>
      <c r="E26" s="262" t="s">
        <v>1201</v>
      </c>
      <c r="F26" s="180">
        <v>30</v>
      </c>
      <c r="G26" s="181">
        <v>30</v>
      </c>
      <c r="H26" s="180">
        <f>F26*G26</f>
        <v>900</v>
      </c>
      <c r="I26" s="180">
        <f>H26*1.13*1.18</f>
        <v>1200.0599999999997</v>
      </c>
      <c r="J26" s="180">
        <f>I26*1.25</f>
        <v>1500.0749999999996</v>
      </c>
      <c r="K26" s="360"/>
      <c r="L26" s="270"/>
    </row>
    <row r="27" spans="1:12" s="281" customFormat="1">
      <c r="A27" s="254"/>
      <c r="B27" s="277">
        <v>534</v>
      </c>
      <c r="C27" s="262" t="s">
        <v>1202</v>
      </c>
      <c r="D27" s="277"/>
      <c r="E27" s="262" t="s">
        <v>1203</v>
      </c>
      <c r="F27" s="180">
        <v>30</v>
      </c>
      <c r="G27" s="251">
        <v>31</v>
      </c>
      <c r="H27" s="180">
        <f>F27*G27</f>
        <v>930</v>
      </c>
      <c r="I27" s="180">
        <f>H27*1.13*1.18</f>
        <v>1240.0619999999997</v>
      </c>
      <c r="J27" s="180">
        <f>I27*1.25</f>
        <v>1550.0774999999996</v>
      </c>
      <c r="K27" s="360"/>
      <c r="L27" s="270"/>
    </row>
    <row r="28" spans="1:12" s="281" customFormat="1">
      <c r="A28" s="353"/>
      <c r="B28" s="277"/>
      <c r="C28" s="277"/>
      <c r="D28" s="262"/>
      <c r="E28" s="262"/>
      <c r="F28" s="180"/>
      <c r="G28" s="181"/>
      <c r="H28" s="180"/>
      <c r="I28" s="180"/>
      <c r="J28" s="180"/>
      <c r="K28" s="360"/>
      <c r="L28" s="270"/>
    </row>
    <row r="29" spans="1:12" s="281" customFormat="1" ht="14.5">
      <c r="A29" s="254"/>
      <c r="B29" s="214" t="s">
        <v>1204</v>
      </c>
      <c r="C29" s="213"/>
      <c r="D29" s="272"/>
      <c r="E29" s="272"/>
      <c r="F29" s="210"/>
      <c r="G29" s="211"/>
      <c r="H29" s="210"/>
      <c r="I29" s="210">
        <f>SUM(I24:I27)</f>
        <v>4609.7219999999998</v>
      </c>
      <c r="J29" s="210">
        <f t="shared" ref="J29:L29" si="3">SUM(J24:J27)</f>
        <v>5762.1524999999992</v>
      </c>
      <c r="K29" s="210">
        <f t="shared" si="3"/>
        <v>0</v>
      </c>
      <c r="L29" s="216">
        <f t="shared" si="3"/>
        <v>2169.6</v>
      </c>
    </row>
    <row r="30" spans="1:12" s="281" customFormat="1">
      <c r="A30" s="261" t="s">
        <v>1205</v>
      </c>
      <c r="B30" s="277"/>
      <c r="C30" s="277"/>
      <c r="D30" s="262"/>
      <c r="E30" s="262"/>
      <c r="F30" s="180"/>
      <c r="G30" s="181"/>
      <c r="H30" s="180"/>
      <c r="I30" s="180"/>
      <c r="J30" s="180"/>
      <c r="K30" s="360"/>
      <c r="L30" s="270"/>
    </row>
    <row r="31" spans="1:12" s="281" customFormat="1">
      <c r="A31" s="254"/>
      <c r="B31" s="277">
        <v>541</v>
      </c>
      <c r="C31" s="262" t="s">
        <v>1206</v>
      </c>
      <c r="D31" s="277"/>
      <c r="E31" s="262" t="s">
        <v>1207</v>
      </c>
      <c r="F31" s="180">
        <v>30</v>
      </c>
      <c r="G31" s="181">
        <v>8</v>
      </c>
      <c r="H31" s="180">
        <f>F31*G31</f>
        <v>240</v>
      </c>
      <c r="I31" s="180">
        <f>H31*1.13</f>
        <v>271.2</v>
      </c>
      <c r="J31" s="180">
        <f>I31*1.25</f>
        <v>339</v>
      </c>
      <c r="K31" s="360"/>
      <c r="L31" s="270">
        <v>271.2</v>
      </c>
    </row>
    <row r="32" spans="1:12" s="279" customFormat="1">
      <c r="A32" s="254"/>
      <c r="B32" s="277">
        <v>542</v>
      </c>
      <c r="C32" s="262" t="s">
        <v>1208</v>
      </c>
      <c r="D32" s="277"/>
      <c r="E32" s="262" t="s">
        <v>1209</v>
      </c>
      <c r="F32" s="180">
        <v>60</v>
      </c>
      <c r="G32" s="181">
        <v>8</v>
      </c>
      <c r="H32" s="180">
        <f>F32*G32</f>
        <v>480</v>
      </c>
      <c r="I32" s="180">
        <f>H32*1.13</f>
        <v>542.4</v>
      </c>
      <c r="J32" s="180">
        <f>I32*1.25</f>
        <v>678</v>
      </c>
      <c r="K32" s="360"/>
      <c r="L32" s="270">
        <v>542.4</v>
      </c>
    </row>
    <row r="33" spans="1:13" s="281" customFormat="1">
      <c r="A33" s="261"/>
      <c r="B33" s="277"/>
      <c r="C33" s="277"/>
      <c r="D33" s="262"/>
      <c r="E33" s="262"/>
      <c r="F33" s="180"/>
      <c r="G33" s="181"/>
      <c r="H33" s="180"/>
      <c r="I33" s="180"/>
      <c r="J33" s="180"/>
      <c r="K33" s="360"/>
      <c r="L33" s="270"/>
    </row>
    <row r="34" spans="1:13" s="281" customFormat="1" ht="14.5">
      <c r="A34" s="254"/>
      <c r="B34" s="214" t="s">
        <v>1210</v>
      </c>
      <c r="C34" s="213"/>
      <c r="D34" s="272"/>
      <c r="E34" s="272"/>
      <c r="F34" s="210"/>
      <c r="G34" s="211"/>
      <c r="H34" s="210"/>
      <c r="I34" s="210">
        <f>SUM(I31:I32)</f>
        <v>813.59999999999991</v>
      </c>
      <c r="J34" s="210">
        <f t="shared" ref="J34:L34" si="4">SUM(J31:J32)</f>
        <v>1017</v>
      </c>
      <c r="K34" s="210">
        <f t="shared" si="4"/>
        <v>0</v>
      </c>
      <c r="L34" s="216">
        <f t="shared" si="4"/>
        <v>813.59999999999991</v>
      </c>
    </row>
    <row r="35" spans="1:13" s="281" customFormat="1">
      <c r="A35" s="261" t="s">
        <v>1211</v>
      </c>
      <c r="B35" s="277"/>
      <c r="C35" s="277"/>
      <c r="D35" s="262"/>
      <c r="E35" s="262"/>
      <c r="F35" s="180"/>
      <c r="G35" s="181"/>
      <c r="H35" s="180"/>
      <c r="I35" s="180"/>
      <c r="J35" s="180"/>
      <c r="K35" s="360"/>
      <c r="L35" s="270"/>
    </row>
    <row r="36" spans="1:13" s="281" customFormat="1">
      <c r="A36" s="254"/>
      <c r="B36" s="277">
        <v>551</v>
      </c>
      <c r="C36" s="262" t="s">
        <v>1212</v>
      </c>
      <c r="D36" s="277"/>
      <c r="E36" s="262" t="s">
        <v>1213</v>
      </c>
      <c r="F36" s="180">
        <v>0.5</v>
      </c>
      <c r="G36" s="181">
        <v>3136</v>
      </c>
      <c r="H36" s="180">
        <f>F36*G36</f>
        <v>1568</v>
      </c>
      <c r="I36" s="180">
        <f>H36*1.13</f>
        <v>1771.84</v>
      </c>
      <c r="J36" s="180">
        <f>I36*1.25</f>
        <v>2214.7999999999997</v>
      </c>
      <c r="K36" s="360"/>
      <c r="L36" s="270">
        <v>1940.9</v>
      </c>
    </row>
    <row r="37" spans="1:13" s="281" customFormat="1">
      <c r="A37" s="254"/>
      <c r="B37" s="277">
        <v>552</v>
      </c>
      <c r="C37" s="262" t="s">
        <v>1214</v>
      </c>
      <c r="D37" s="277"/>
      <c r="E37" s="262" t="s">
        <v>1215</v>
      </c>
      <c r="F37" s="180">
        <v>0.1016</v>
      </c>
      <c r="G37" s="181">
        <v>2986</v>
      </c>
      <c r="H37" s="180">
        <f>F37*G37</f>
        <v>303.37759999999997</v>
      </c>
      <c r="I37" s="180">
        <f>H37</f>
        <v>303.37759999999997</v>
      </c>
      <c r="J37" s="180">
        <f>I37*1.25</f>
        <v>379.22199999999998</v>
      </c>
      <c r="K37" s="360"/>
      <c r="L37" s="270">
        <v>303.38</v>
      </c>
    </row>
    <row r="38" spans="1:13" s="281" customFormat="1">
      <c r="A38" s="261"/>
      <c r="B38" s="277"/>
      <c r="C38" s="277"/>
      <c r="D38" s="262"/>
      <c r="E38" s="262"/>
      <c r="F38" s="180"/>
      <c r="G38" s="181"/>
      <c r="H38" s="180"/>
      <c r="I38" s="180"/>
      <c r="J38" s="180"/>
      <c r="K38" s="360"/>
      <c r="L38" s="270"/>
      <c r="M38" s="281" t="s">
        <v>1216</v>
      </c>
    </row>
    <row r="39" spans="1:13" s="279" customFormat="1" ht="14.5">
      <c r="A39" s="254"/>
      <c r="B39" s="214" t="s">
        <v>1217</v>
      </c>
      <c r="C39" s="213"/>
      <c r="D39" s="272"/>
      <c r="E39" s="272"/>
      <c r="F39" s="210"/>
      <c r="G39" s="211"/>
      <c r="H39" s="210"/>
      <c r="I39" s="210">
        <f>SUM(I36:I37)</f>
        <v>2075.2175999999999</v>
      </c>
      <c r="J39" s="210">
        <f t="shared" ref="J39:L39" si="5">SUM(J36:J37)</f>
        <v>2594.0219999999999</v>
      </c>
      <c r="K39" s="210">
        <f t="shared" si="5"/>
        <v>0</v>
      </c>
      <c r="L39" s="216">
        <f t="shared" si="5"/>
        <v>2244.2800000000002</v>
      </c>
    </row>
    <row r="40" spans="1:13" s="281" customFormat="1">
      <c r="A40" s="261" t="s">
        <v>1218</v>
      </c>
      <c r="B40" s="277"/>
      <c r="C40" s="277"/>
      <c r="D40" s="262"/>
      <c r="E40" s="262"/>
      <c r="F40" s="180"/>
      <c r="G40" s="181"/>
      <c r="H40" s="180"/>
      <c r="I40" s="180"/>
      <c r="J40" s="180"/>
      <c r="K40" s="360"/>
      <c r="L40" s="270"/>
    </row>
    <row r="41" spans="1:13" s="280" customFormat="1">
      <c r="A41" s="341" t="s">
        <v>1219</v>
      </c>
      <c r="B41" s="277">
        <v>5601</v>
      </c>
      <c r="C41" s="262" t="s">
        <v>1220</v>
      </c>
      <c r="D41" s="277"/>
      <c r="E41" s="262" t="s">
        <v>1221</v>
      </c>
      <c r="F41" s="342">
        <v>770</v>
      </c>
      <c r="G41" s="181">
        <v>1</v>
      </c>
      <c r="H41" s="180">
        <f t="shared" ref="H41:H47" si="6">F41*G41</f>
        <v>770</v>
      </c>
      <c r="I41" s="180">
        <f>H41*1.13</f>
        <v>870.09999999999991</v>
      </c>
      <c r="J41" s="180">
        <f t="shared" ref="J41:J47" si="7">I41*1.25</f>
        <v>1087.625</v>
      </c>
      <c r="K41" s="360"/>
      <c r="L41" s="270"/>
    </row>
    <row r="42" spans="1:13" s="281" customFormat="1">
      <c r="A42" s="254"/>
      <c r="B42" s="277">
        <v>5602</v>
      </c>
      <c r="C42" s="262" t="s">
        <v>1222</v>
      </c>
      <c r="D42" s="277"/>
      <c r="E42" s="262" t="s">
        <v>1223</v>
      </c>
      <c r="F42" s="180">
        <v>125</v>
      </c>
      <c r="G42" s="181">
        <v>1</v>
      </c>
      <c r="H42" s="180">
        <f t="shared" si="6"/>
        <v>125</v>
      </c>
      <c r="I42" s="180">
        <f>H42*1.05</f>
        <v>131.25</v>
      </c>
      <c r="J42" s="180">
        <f t="shared" si="7"/>
        <v>164.0625</v>
      </c>
      <c r="K42" s="360"/>
      <c r="L42" s="270">
        <v>131.25</v>
      </c>
    </row>
    <row r="43" spans="1:13" s="281" customFormat="1" ht="29">
      <c r="A43" s="343" t="s">
        <v>1224</v>
      </c>
      <c r="B43" s="277">
        <v>5603</v>
      </c>
      <c r="C43" s="262" t="s">
        <v>1225</v>
      </c>
      <c r="D43" s="277"/>
      <c r="E43" s="262" t="s">
        <v>1226</v>
      </c>
      <c r="F43" s="342">
        <v>700</v>
      </c>
      <c r="G43" s="181">
        <v>1</v>
      </c>
      <c r="H43" s="180">
        <f t="shared" si="6"/>
        <v>700</v>
      </c>
      <c r="I43" s="180">
        <f>H43*1.13</f>
        <v>790.99999999999989</v>
      </c>
      <c r="J43" s="180">
        <f t="shared" si="7"/>
        <v>988.74999999999989</v>
      </c>
      <c r="K43" s="360"/>
      <c r="L43" s="270">
        <v>623.76</v>
      </c>
    </row>
    <row r="44" spans="1:13" s="279" customFormat="1">
      <c r="A44" s="254"/>
      <c r="B44" s="277">
        <v>5604</v>
      </c>
      <c r="C44" s="262" t="s">
        <v>1227</v>
      </c>
      <c r="D44" s="277"/>
      <c r="E44" s="262" t="s">
        <v>1228</v>
      </c>
      <c r="F44" s="180">
        <v>650</v>
      </c>
      <c r="G44" s="181">
        <v>1</v>
      </c>
      <c r="H44" s="180">
        <f t="shared" si="6"/>
        <v>650</v>
      </c>
      <c r="I44" s="180">
        <f>H44</f>
        <v>650</v>
      </c>
      <c r="J44" s="180">
        <f t="shared" si="7"/>
        <v>812.5</v>
      </c>
      <c r="K44" s="360"/>
      <c r="L44" s="270"/>
    </row>
    <row r="45" spans="1:13" s="281" customFormat="1" ht="29">
      <c r="A45" s="343" t="s">
        <v>1229</v>
      </c>
      <c r="B45" s="277">
        <v>5607</v>
      </c>
      <c r="C45" s="262" t="s">
        <v>1230</v>
      </c>
      <c r="D45" s="277"/>
      <c r="E45" s="262" t="s">
        <v>1231</v>
      </c>
      <c r="F45" s="180">
        <v>250</v>
      </c>
      <c r="G45" s="181">
        <v>1</v>
      </c>
      <c r="H45" s="180">
        <f t="shared" si="6"/>
        <v>250</v>
      </c>
      <c r="I45" s="180">
        <f>H45*1.13</f>
        <v>282.5</v>
      </c>
      <c r="J45" s="180">
        <f t="shared" si="7"/>
        <v>353.125</v>
      </c>
      <c r="K45" s="360"/>
      <c r="L45" s="270"/>
    </row>
    <row r="46" spans="1:13" s="281" customFormat="1">
      <c r="A46" s="254"/>
      <c r="B46" s="277">
        <v>5608</v>
      </c>
      <c r="C46" s="262" t="s">
        <v>1232</v>
      </c>
      <c r="D46" s="277"/>
      <c r="E46" s="262" t="s">
        <v>1233</v>
      </c>
      <c r="F46" s="180">
        <v>825</v>
      </c>
      <c r="G46" s="181">
        <v>1</v>
      </c>
      <c r="H46" s="180">
        <f t="shared" si="6"/>
        <v>825</v>
      </c>
      <c r="I46" s="180">
        <f>H46</f>
        <v>825</v>
      </c>
      <c r="J46" s="180">
        <f t="shared" si="7"/>
        <v>1031.25</v>
      </c>
      <c r="K46" s="360"/>
      <c r="L46" s="270"/>
    </row>
    <row r="47" spans="1:13" s="281" customFormat="1" ht="29">
      <c r="A47" s="343" t="s">
        <v>1234</v>
      </c>
      <c r="B47" s="252">
        <v>5610</v>
      </c>
      <c r="C47" s="278" t="s">
        <v>1235</v>
      </c>
      <c r="D47" s="252"/>
      <c r="E47" s="278" t="s">
        <v>1236</v>
      </c>
      <c r="F47" s="329">
        <v>325</v>
      </c>
      <c r="G47" s="331">
        <v>6</v>
      </c>
      <c r="H47" s="329">
        <f t="shared" si="6"/>
        <v>1950</v>
      </c>
      <c r="I47" s="329">
        <f>H47</f>
        <v>1950</v>
      </c>
      <c r="J47" s="329">
        <f t="shared" si="7"/>
        <v>2437.5</v>
      </c>
      <c r="K47" s="361"/>
      <c r="L47" s="357"/>
    </row>
    <row r="48" spans="1:13" s="281" customFormat="1">
      <c r="A48" s="254"/>
      <c r="B48" s="273"/>
      <c r="C48" s="277"/>
      <c r="D48" s="277"/>
      <c r="E48" s="262"/>
      <c r="F48" s="262"/>
      <c r="G48" s="180"/>
      <c r="H48" s="181"/>
      <c r="I48" s="180"/>
      <c r="J48" s="180"/>
      <c r="K48" s="360"/>
      <c r="L48" s="270"/>
    </row>
    <row r="49" spans="1:12" s="281" customFormat="1" ht="14.5">
      <c r="A49" s="254"/>
      <c r="B49" s="214" t="s">
        <v>1237</v>
      </c>
      <c r="C49" s="213"/>
      <c r="D49" s="272"/>
      <c r="E49" s="272"/>
      <c r="F49" s="210"/>
      <c r="G49" s="211"/>
      <c r="H49" s="210"/>
      <c r="I49" s="210">
        <f>SUM(I41:I47)</f>
        <v>5499.85</v>
      </c>
      <c r="J49" s="210">
        <f t="shared" ref="J49:L49" si="8">SUM(J41:J47)</f>
        <v>6874.8125</v>
      </c>
      <c r="K49" s="210">
        <f t="shared" si="8"/>
        <v>0</v>
      </c>
      <c r="L49" s="216">
        <f t="shared" si="8"/>
        <v>755.01</v>
      </c>
    </row>
    <row r="50" spans="1:12" s="281" customFormat="1">
      <c r="A50" s="261" t="s">
        <v>1238</v>
      </c>
      <c r="B50" s="277"/>
      <c r="C50" s="277"/>
      <c r="D50" s="262"/>
      <c r="E50" s="262"/>
      <c r="F50" s="180"/>
      <c r="G50" s="181"/>
      <c r="H50" s="180"/>
      <c r="I50" s="180"/>
      <c r="J50" s="180"/>
      <c r="K50" s="360"/>
      <c r="L50" s="270"/>
    </row>
    <row r="51" spans="1:12" s="281" customFormat="1" ht="29">
      <c r="A51" s="343" t="s">
        <v>1239</v>
      </c>
      <c r="B51" s="277">
        <v>571</v>
      </c>
      <c r="C51" s="262" t="s">
        <v>1240</v>
      </c>
      <c r="D51" s="277"/>
      <c r="E51" s="262" t="s">
        <v>1241</v>
      </c>
      <c r="F51" s="180">
        <v>160</v>
      </c>
      <c r="G51" s="181">
        <v>30</v>
      </c>
      <c r="H51" s="180">
        <f>F51*G51</f>
        <v>4800</v>
      </c>
      <c r="I51" s="180">
        <f>H51*1.13</f>
        <v>5423.9999999999991</v>
      </c>
      <c r="J51" s="180">
        <f>I51*1.25</f>
        <v>6779.9999999999991</v>
      </c>
      <c r="K51" s="360"/>
      <c r="L51" s="270"/>
    </row>
    <row r="52" spans="1:12" s="281" customFormat="1">
      <c r="A52" s="254"/>
      <c r="B52" s="277">
        <v>572</v>
      </c>
      <c r="C52" s="262" t="s">
        <v>1242</v>
      </c>
      <c r="D52" s="277"/>
      <c r="E52" s="262" t="s">
        <v>1243</v>
      </c>
      <c r="F52" s="180">
        <v>450</v>
      </c>
      <c r="G52" s="181">
        <v>2</v>
      </c>
      <c r="H52" s="180">
        <f>F52*G52</f>
        <v>900</v>
      </c>
      <c r="I52" s="180">
        <f>H52*1.13</f>
        <v>1016.9999999999999</v>
      </c>
      <c r="J52" s="180">
        <f>I52*1.25</f>
        <v>1271.2499999999998</v>
      </c>
      <c r="K52" s="360"/>
      <c r="L52" s="270"/>
    </row>
    <row r="53" spans="1:12" s="281" customFormat="1">
      <c r="A53" s="254"/>
      <c r="B53" s="277"/>
      <c r="C53" s="277"/>
      <c r="D53" s="262"/>
      <c r="E53" s="262"/>
      <c r="F53" s="180"/>
      <c r="G53" s="181"/>
      <c r="H53" s="180"/>
      <c r="I53" s="180"/>
      <c r="J53" s="180"/>
      <c r="K53" s="360"/>
      <c r="L53" s="270"/>
    </row>
    <row r="54" spans="1:12" s="281" customFormat="1" ht="14.5">
      <c r="A54" s="254"/>
      <c r="B54" s="214" t="s">
        <v>549</v>
      </c>
      <c r="C54" s="213"/>
      <c r="D54" s="272"/>
      <c r="E54" s="272"/>
      <c r="F54" s="210"/>
      <c r="G54" s="211"/>
      <c r="H54" s="210"/>
      <c r="I54" s="210">
        <f>SUM(I51:I52)</f>
        <v>6440.9999999999991</v>
      </c>
      <c r="J54" s="210">
        <f t="shared" ref="J54:L54" si="9">SUM(J51:J52)</f>
        <v>8051.2499999999991</v>
      </c>
      <c r="K54" s="210">
        <f t="shared" si="9"/>
        <v>0</v>
      </c>
      <c r="L54" s="216">
        <f t="shared" si="9"/>
        <v>0</v>
      </c>
    </row>
    <row r="55" spans="1:12">
      <c r="A55" s="355"/>
      <c r="B55" s="209"/>
      <c r="D55" s="183"/>
      <c r="F55" s="182"/>
      <c r="G55" s="180"/>
      <c r="H55" s="181"/>
      <c r="K55" s="360"/>
      <c r="L55" s="344"/>
    </row>
    <row r="56" spans="1:12" ht="14.5">
      <c r="B56" s="208" t="s">
        <v>8</v>
      </c>
      <c r="C56" s="207"/>
      <c r="D56" s="206"/>
      <c r="E56" s="206"/>
      <c r="F56" s="204"/>
      <c r="G56" s="205"/>
      <c r="H56" s="204"/>
      <c r="I56" s="204">
        <f>SUM(I54,I49,I39,I34,I29,I22)</f>
        <v>29912.890999999996</v>
      </c>
      <c r="J56" s="204">
        <f t="shared" ref="J56:L56" si="10">SUM(J54,J49,J39,J34,J29,J22)</f>
        <v>37391.113750000004</v>
      </c>
      <c r="K56" s="204">
        <f t="shared" si="10"/>
        <v>0</v>
      </c>
      <c r="L56" s="215">
        <f t="shared" si="10"/>
        <v>11793.86</v>
      </c>
    </row>
    <row r="57" spans="1:12">
      <c r="K57" s="360"/>
      <c r="L57" s="202"/>
    </row>
    <row r="58" spans="1:12">
      <c r="A58" s="354" t="s">
        <v>7</v>
      </c>
      <c r="B58" s="200"/>
      <c r="C58" s="200"/>
      <c r="D58" s="199"/>
      <c r="E58" s="199"/>
      <c r="F58" s="197"/>
      <c r="G58" s="198"/>
      <c r="H58" s="197"/>
      <c r="I58" s="197"/>
      <c r="J58" s="197"/>
      <c r="K58" s="197"/>
      <c r="L58" s="196"/>
    </row>
    <row r="59" spans="1:12" ht="14.5">
      <c r="A59" s="261"/>
      <c r="B59" s="194" t="s">
        <v>6</v>
      </c>
      <c r="C59" s="194"/>
      <c r="D59" s="193"/>
      <c r="E59" s="193"/>
      <c r="F59" s="191"/>
      <c r="G59" s="192"/>
      <c r="H59" s="191"/>
      <c r="I59" s="191">
        <f>I10</f>
        <v>1200</v>
      </c>
      <c r="J59" s="191">
        <f>J10</f>
        <v>900</v>
      </c>
      <c r="K59" s="224">
        <f>K10</f>
        <v>0</v>
      </c>
      <c r="L59" s="190">
        <f>L10</f>
        <v>0</v>
      </c>
    </row>
    <row r="60" spans="1:12" ht="14.5">
      <c r="A60" s="261"/>
      <c r="B60" s="194" t="s">
        <v>5</v>
      </c>
      <c r="C60" s="194"/>
      <c r="D60" s="193"/>
      <c r="E60" s="193"/>
      <c r="F60" s="191"/>
      <c r="G60" s="192"/>
      <c r="H60" s="191"/>
      <c r="I60" s="191">
        <f>I56</f>
        <v>29912.890999999996</v>
      </c>
      <c r="J60" s="191">
        <f t="shared" ref="J60:L60" si="11">J56</f>
        <v>37391.113750000004</v>
      </c>
      <c r="K60" s="224">
        <f t="shared" si="11"/>
        <v>0</v>
      </c>
      <c r="L60" s="190">
        <f t="shared" si="11"/>
        <v>11793.86</v>
      </c>
    </row>
    <row r="61" spans="1:12" ht="14.5">
      <c r="A61" s="359"/>
      <c r="B61" s="189" t="s">
        <v>4</v>
      </c>
      <c r="C61" s="189"/>
      <c r="D61" s="188"/>
      <c r="E61" s="188"/>
      <c r="F61" s="186"/>
      <c r="G61" s="187"/>
      <c r="H61" s="186"/>
      <c r="I61" s="186">
        <f>SUM(I59,I60*-1)</f>
        <v>-28712.890999999996</v>
      </c>
      <c r="J61" s="186">
        <f t="shared" ref="J61:L61" si="12">SUM(J59,J60*-1)</f>
        <v>-36491.113750000004</v>
      </c>
      <c r="K61" s="186">
        <f t="shared" si="12"/>
        <v>0</v>
      </c>
      <c r="L61" s="185">
        <f t="shared" si="12"/>
        <v>-11793.86</v>
      </c>
    </row>
    <row r="62" spans="1:12">
      <c r="L62" s="345"/>
    </row>
    <row r="63" spans="1:12">
      <c r="B63" s="242"/>
      <c r="C63" s="242"/>
      <c r="D63" s="178"/>
      <c r="E63" s="178"/>
      <c r="F63" s="346"/>
      <c r="G63" s="251"/>
      <c r="H63" s="346"/>
      <c r="I63" s="346"/>
      <c r="J63" s="346"/>
      <c r="K63" s="346"/>
      <c r="L63" s="258"/>
    </row>
    <row r="64" spans="1:12">
      <c r="B64" s="242"/>
      <c r="C64" s="242"/>
      <c r="D64" s="178"/>
      <c r="E64" s="178"/>
      <c r="F64" s="346"/>
      <c r="G64" s="251"/>
      <c r="H64" s="346"/>
      <c r="I64" s="346"/>
      <c r="J64" s="346"/>
      <c r="K64" s="346"/>
      <c r="L64" s="258"/>
    </row>
    <row r="65" spans="1:12">
      <c r="A65" s="356"/>
      <c r="B65" s="242"/>
      <c r="C65" s="242"/>
      <c r="D65" s="178"/>
      <c r="E65" s="178"/>
      <c r="F65" s="346"/>
      <c r="G65" s="251"/>
      <c r="H65" s="346"/>
      <c r="I65" s="346"/>
      <c r="J65" s="346"/>
      <c r="K65" s="346"/>
      <c r="L65" s="258"/>
    </row>
    <row r="66" spans="1:12" ht="14.5">
      <c r="A66" s="352"/>
      <c r="B66" s="299"/>
      <c r="C66" s="299"/>
      <c r="D66" s="184"/>
      <c r="E66" s="184"/>
      <c r="F66" s="347"/>
      <c r="G66" s="348"/>
      <c r="H66" s="347"/>
      <c r="I66" s="347"/>
      <c r="J66" s="347"/>
      <c r="K66" s="347"/>
      <c r="L66" s="347"/>
    </row>
    <row r="67" spans="1:12">
      <c r="A67" s="355"/>
      <c r="B67" s="242"/>
      <c r="C67" s="242"/>
      <c r="D67" s="178"/>
      <c r="E67" s="178"/>
      <c r="F67" s="346"/>
      <c r="G67" s="251"/>
      <c r="H67" s="346"/>
      <c r="I67" s="346"/>
      <c r="J67" s="346"/>
      <c r="K67" s="346"/>
      <c r="L67" s="258"/>
    </row>
    <row r="68" spans="1:12" ht="14.5">
      <c r="A68" s="355"/>
      <c r="B68" s="349"/>
      <c r="C68" s="349"/>
      <c r="D68" s="203"/>
      <c r="E68" s="203"/>
      <c r="F68" s="350"/>
      <c r="G68" s="351"/>
      <c r="H68" s="350"/>
      <c r="I68" s="350"/>
      <c r="J68" s="350"/>
      <c r="K68" s="350"/>
      <c r="L68" s="350"/>
    </row>
    <row r="69" spans="1:12">
      <c r="A69" s="352"/>
      <c r="B69" s="242"/>
      <c r="C69" s="242"/>
      <c r="D69" s="178"/>
      <c r="E69" s="178"/>
      <c r="F69" s="346"/>
      <c r="G69" s="251"/>
      <c r="H69" s="346"/>
      <c r="I69" s="346"/>
      <c r="J69" s="346"/>
      <c r="K69" s="346"/>
      <c r="L69" s="258"/>
    </row>
    <row r="70" spans="1:12">
      <c r="A70" s="352"/>
      <c r="B70" s="242"/>
      <c r="C70" s="242"/>
      <c r="D70" s="178"/>
      <c r="E70" s="178"/>
      <c r="F70" s="346"/>
      <c r="G70" s="251"/>
      <c r="H70" s="346"/>
      <c r="I70" s="346"/>
      <c r="J70" s="346"/>
      <c r="K70" s="346"/>
      <c r="L70" s="258"/>
    </row>
    <row r="71" spans="1:12">
      <c r="A71" s="352"/>
      <c r="B71" s="242"/>
      <c r="C71" s="242"/>
      <c r="D71" s="178"/>
      <c r="E71" s="178"/>
      <c r="F71" s="346"/>
      <c r="G71" s="251"/>
      <c r="H71" s="346"/>
      <c r="I71" s="346"/>
      <c r="J71" s="346"/>
      <c r="K71" s="346"/>
      <c r="L71" s="258"/>
    </row>
    <row r="72" spans="1:12">
      <c r="A72" s="352"/>
      <c r="B72" s="242"/>
      <c r="C72" s="242"/>
      <c r="D72" s="178"/>
      <c r="E72" s="178"/>
      <c r="F72" s="346"/>
      <c r="G72" s="251"/>
      <c r="H72" s="346"/>
      <c r="I72" s="346"/>
      <c r="J72" s="346"/>
      <c r="K72" s="346"/>
      <c r="L72" s="258"/>
    </row>
    <row r="73" spans="1:12">
      <c r="A73" s="352"/>
      <c r="B73" s="242"/>
      <c r="C73" s="242"/>
      <c r="D73" s="242"/>
      <c r="E73" s="178"/>
      <c r="F73" s="346"/>
      <c r="G73" s="251"/>
      <c r="H73" s="346"/>
      <c r="I73" s="346"/>
      <c r="J73" s="346"/>
      <c r="K73" s="346"/>
      <c r="L73" s="258"/>
    </row>
    <row r="74" spans="1:12">
      <c r="A74" s="352"/>
      <c r="B74" s="242"/>
      <c r="C74" s="242"/>
      <c r="D74" s="178"/>
      <c r="E74" s="178"/>
      <c r="F74" s="346"/>
      <c r="G74" s="251"/>
      <c r="H74" s="346"/>
      <c r="I74" s="346"/>
      <c r="J74" s="346"/>
      <c r="K74" s="346"/>
      <c r="L74" s="258"/>
    </row>
    <row r="75" spans="1:12">
      <c r="A75" s="355"/>
      <c r="B75" s="242"/>
      <c r="C75" s="242"/>
      <c r="D75" s="178"/>
      <c r="E75" s="178"/>
      <c r="F75" s="346"/>
      <c r="G75" s="251"/>
      <c r="H75" s="346"/>
      <c r="I75" s="346"/>
      <c r="J75" s="346"/>
      <c r="K75" s="346"/>
      <c r="L75" s="258"/>
    </row>
    <row r="76" spans="1:12">
      <c r="A76" s="355"/>
      <c r="B76" s="242"/>
      <c r="C76" s="242"/>
      <c r="D76" s="178"/>
      <c r="E76" s="178"/>
      <c r="F76" s="346"/>
      <c r="G76" s="251"/>
      <c r="H76" s="346"/>
      <c r="I76" s="346"/>
      <c r="J76" s="346"/>
      <c r="K76" s="346"/>
      <c r="L76" s="258"/>
    </row>
    <row r="77" spans="1:12">
      <c r="A77" s="352"/>
      <c r="B77" s="242"/>
      <c r="C77" s="242"/>
      <c r="D77" s="178"/>
      <c r="E77" s="178"/>
      <c r="F77" s="346"/>
      <c r="G77" s="251"/>
      <c r="H77" s="346"/>
      <c r="I77" s="346"/>
      <c r="J77" s="346"/>
      <c r="K77" s="346"/>
      <c r="L77" s="258"/>
    </row>
    <row r="78" spans="1:12" ht="14.5">
      <c r="A78" s="352"/>
      <c r="B78" s="299"/>
      <c r="C78" s="299"/>
      <c r="D78" s="184"/>
      <c r="E78" s="184"/>
      <c r="F78" s="347"/>
      <c r="G78" s="348"/>
      <c r="H78" s="347"/>
      <c r="I78" s="347"/>
      <c r="J78" s="347"/>
      <c r="K78" s="347"/>
      <c r="L78" s="347"/>
    </row>
    <row r="79" spans="1:12">
      <c r="A79" s="352"/>
      <c r="B79" s="242"/>
      <c r="C79" s="242"/>
      <c r="D79" s="178"/>
      <c r="E79" s="178"/>
      <c r="F79" s="346"/>
      <c r="G79" s="251"/>
      <c r="H79" s="346"/>
      <c r="I79" s="346"/>
      <c r="J79" s="346"/>
      <c r="K79" s="346"/>
      <c r="L79" s="258"/>
    </row>
    <row r="80" spans="1:12">
      <c r="A80" s="352"/>
      <c r="B80" s="242"/>
      <c r="C80" s="242"/>
      <c r="D80" s="178"/>
      <c r="E80" s="178"/>
      <c r="F80" s="346"/>
      <c r="G80" s="251"/>
      <c r="H80" s="346"/>
      <c r="I80" s="346"/>
      <c r="J80" s="346"/>
      <c r="K80" s="346"/>
      <c r="L80" s="258"/>
    </row>
    <row r="81" spans="1:12">
      <c r="A81" s="352"/>
      <c r="B81" s="242"/>
      <c r="C81" s="242"/>
      <c r="D81" s="178"/>
      <c r="E81" s="178"/>
      <c r="F81" s="346"/>
      <c r="G81" s="251"/>
      <c r="H81" s="346"/>
      <c r="I81" s="346"/>
      <c r="J81" s="346"/>
      <c r="K81" s="346"/>
      <c r="L81" s="258"/>
    </row>
    <row r="82" spans="1:12">
      <c r="A82" s="355"/>
      <c r="B82" s="242"/>
      <c r="C82" s="242"/>
      <c r="D82" s="178"/>
      <c r="E82" s="178"/>
      <c r="F82" s="346"/>
      <c r="G82" s="251"/>
      <c r="H82" s="346"/>
      <c r="I82" s="346"/>
      <c r="J82" s="346"/>
      <c r="K82" s="346"/>
      <c r="L82" s="258"/>
    </row>
    <row r="83" spans="1:12">
      <c r="A83" s="352"/>
      <c r="B83" s="242"/>
      <c r="C83" s="242"/>
      <c r="D83" s="178"/>
      <c r="E83" s="178"/>
      <c r="F83" s="346"/>
      <c r="G83" s="251"/>
      <c r="H83" s="346"/>
      <c r="I83" s="346"/>
      <c r="J83" s="346"/>
      <c r="K83" s="346"/>
      <c r="L83" s="258"/>
    </row>
    <row r="84" spans="1:12">
      <c r="A84" s="352"/>
      <c r="B84" s="242"/>
      <c r="C84" s="242"/>
      <c r="D84" s="178"/>
      <c r="E84" s="178"/>
      <c r="F84" s="346"/>
      <c r="G84" s="251"/>
      <c r="H84" s="346"/>
      <c r="I84" s="346"/>
      <c r="J84" s="346"/>
      <c r="K84" s="346"/>
      <c r="L84" s="258"/>
    </row>
    <row r="85" spans="1:12" ht="14.5">
      <c r="A85" s="352"/>
      <c r="B85" s="299"/>
      <c r="C85" s="299"/>
      <c r="D85" s="184"/>
      <c r="E85" s="184"/>
      <c r="F85" s="347"/>
      <c r="G85" s="348"/>
      <c r="H85" s="347"/>
      <c r="I85" s="347"/>
      <c r="J85" s="347"/>
      <c r="K85" s="347"/>
      <c r="L85" s="347"/>
    </row>
    <row r="86" spans="1:12">
      <c r="A86" s="352"/>
      <c r="B86" s="242"/>
      <c r="C86" s="242"/>
      <c r="D86" s="178"/>
      <c r="E86" s="178"/>
      <c r="F86" s="346"/>
      <c r="G86" s="251"/>
      <c r="H86" s="346"/>
      <c r="I86" s="346"/>
      <c r="J86" s="346"/>
      <c r="K86" s="346"/>
      <c r="L86" s="258"/>
    </row>
    <row r="87" spans="1:12">
      <c r="A87" s="352"/>
      <c r="B87" s="242"/>
      <c r="C87" s="242"/>
      <c r="D87" s="178"/>
      <c r="E87" s="178"/>
      <c r="F87" s="346"/>
      <c r="G87" s="251"/>
      <c r="H87" s="346"/>
      <c r="I87" s="346"/>
      <c r="J87" s="346"/>
      <c r="K87" s="346"/>
      <c r="L87" s="258"/>
    </row>
    <row r="88" spans="1:12">
      <c r="A88" s="355"/>
      <c r="B88" s="242"/>
      <c r="C88" s="242"/>
      <c r="D88" s="178"/>
      <c r="E88" s="178"/>
      <c r="F88" s="346"/>
      <c r="G88" s="251"/>
      <c r="H88" s="346"/>
      <c r="I88" s="346"/>
      <c r="J88" s="346"/>
      <c r="K88" s="346"/>
      <c r="L88" s="258"/>
    </row>
    <row r="89" spans="1:12">
      <c r="A89" s="355"/>
      <c r="B89" s="242"/>
      <c r="C89" s="242"/>
      <c r="D89" s="178"/>
      <c r="E89" s="178"/>
      <c r="F89" s="346"/>
      <c r="G89" s="251"/>
      <c r="H89" s="346"/>
      <c r="I89" s="346"/>
      <c r="J89" s="346"/>
      <c r="K89" s="346"/>
      <c r="L89" s="258"/>
    </row>
    <row r="90" spans="1:12">
      <c r="A90" s="352"/>
      <c r="B90" s="242"/>
      <c r="C90" s="242"/>
      <c r="D90" s="178"/>
      <c r="E90" s="178"/>
      <c r="F90" s="346"/>
      <c r="G90" s="251"/>
      <c r="H90" s="346"/>
      <c r="I90" s="346"/>
      <c r="J90" s="346"/>
      <c r="K90" s="346"/>
      <c r="L90" s="258"/>
    </row>
    <row r="91" spans="1:12">
      <c r="A91" s="356"/>
      <c r="B91" s="242"/>
      <c r="C91" s="242"/>
      <c r="D91" s="178"/>
      <c r="E91" s="178"/>
      <c r="F91" s="346"/>
      <c r="G91" s="251"/>
      <c r="H91" s="346"/>
      <c r="I91" s="346"/>
      <c r="J91" s="346"/>
      <c r="K91" s="346"/>
      <c r="L91" s="258"/>
    </row>
    <row r="92" spans="1:12" ht="14.5">
      <c r="A92" s="352"/>
      <c r="B92" s="299"/>
      <c r="C92" s="299"/>
      <c r="D92" s="184"/>
      <c r="E92" s="184"/>
      <c r="F92" s="347"/>
      <c r="G92" s="348"/>
      <c r="H92" s="347"/>
      <c r="I92" s="347"/>
      <c r="J92" s="347"/>
      <c r="K92" s="347"/>
      <c r="L92" s="347"/>
    </row>
    <row r="93" spans="1:12">
      <c r="A93" s="352"/>
      <c r="B93" s="242"/>
      <c r="C93" s="242"/>
      <c r="D93" s="178"/>
      <c r="E93" s="178"/>
      <c r="F93" s="346"/>
      <c r="G93" s="251"/>
      <c r="H93" s="346"/>
      <c r="I93" s="346"/>
      <c r="J93" s="346"/>
      <c r="K93" s="346"/>
      <c r="L93" s="258"/>
    </row>
    <row r="94" spans="1:12" ht="14.5">
      <c r="A94" s="355"/>
      <c r="B94" s="349"/>
      <c r="C94" s="349"/>
      <c r="D94" s="203"/>
      <c r="E94" s="203"/>
      <c r="F94" s="350"/>
      <c r="G94" s="351"/>
      <c r="H94" s="350"/>
      <c r="I94" s="350"/>
      <c r="J94" s="350"/>
      <c r="K94" s="350"/>
      <c r="L94" s="350"/>
    </row>
    <row r="95" spans="1:12">
      <c r="A95" s="352"/>
      <c r="B95" s="242"/>
      <c r="C95" s="242"/>
      <c r="D95" s="178"/>
      <c r="E95" s="178"/>
      <c r="F95" s="346"/>
      <c r="G95" s="251"/>
      <c r="H95" s="346"/>
      <c r="I95" s="346"/>
      <c r="J95" s="346"/>
      <c r="K95" s="346"/>
      <c r="L95" s="258"/>
    </row>
    <row r="96" spans="1:12">
      <c r="A96" s="352"/>
      <c r="B96" s="242"/>
      <c r="C96" s="242"/>
      <c r="D96" s="178"/>
      <c r="E96" s="178"/>
      <c r="F96" s="346"/>
      <c r="G96" s="251"/>
      <c r="H96" s="346"/>
      <c r="I96" s="346"/>
      <c r="J96" s="346"/>
      <c r="K96" s="346"/>
      <c r="L96" s="258"/>
    </row>
    <row r="97" spans="1:12" ht="14.5">
      <c r="A97" s="352"/>
      <c r="B97" s="299"/>
      <c r="C97" s="299"/>
      <c r="D97" s="184"/>
      <c r="E97" s="184"/>
      <c r="F97" s="347"/>
      <c r="G97" s="348"/>
      <c r="H97" s="347"/>
      <c r="I97" s="347"/>
      <c r="J97" s="347"/>
      <c r="K97" s="347"/>
      <c r="L97" s="347"/>
    </row>
    <row r="98" spans="1:12" ht="14.5">
      <c r="A98" s="355"/>
      <c r="B98" s="299"/>
      <c r="C98" s="299"/>
      <c r="D98" s="184"/>
      <c r="E98" s="184"/>
      <c r="F98" s="347"/>
      <c r="G98" s="348"/>
      <c r="H98" s="347"/>
      <c r="I98" s="347"/>
      <c r="J98" s="347"/>
      <c r="K98" s="347"/>
      <c r="L98" s="347"/>
    </row>
    <row r="99" spans="1:12" ht="14.5">
      <c r="A99" s="352"/>
      <c r="B99" s="299"/>
      <c r="C99" s="299"/>
      <c r="D99" s="184"/>
      <c r="E99" s="184"/>
      <c r="F99" s="347"/>
      <c r="G99" s="348"/>
      <c r="H99" s="347"/>
      <c r="I99" s="347"/>
      <c r="J99" s="347"/>
      <c r="K99" s="347"/>
      <c r="L99" s="347"/>
    </row>
    <row r="100" spans="1:12">
      <c r="A100" s="355"/>
      <c r="B100" s="242"/>
      <c r="C100" s="242"/>
      <c r="D100" s="178"/>
      <c r="E100" s="178"/>
      <c r="F100" s="346"/>
      <c r="G100" s="251"/>
      <c r="H100" s="346"/>
      <c r="I100" s="346"/>
      <c r="J100" s="346"/>
      <c r="K100" s="346"/>
      <c r="L100" s="258"/>
    </row>
    <row r="101" spans="1:12">
      <c r="A101" s="355"/>
    </row>
    <row r="102" spans="1:12">
      <c r="A102" s="352"/>
    </row>
  </sheetData>
  <mergeCells count="1">
    <mergeCell ref="B1:K1"/>
  </mergeCells>
  <conditionalFormatting sqref="B93:L99 B72:L78 C48:L48 B13:L47 B50:L54 B56:L66">
    <cfRule type="expression" dxfId="222" priority="10">
      <formula>MOD($B13,2)=1</formula>
    </cfRule>
  </conditionalFormatting>
  <conditionalFormatting sqref="B67:L69">
    <cfRule type="expression" dxfId="221" priority="9">
      <formula>MOD($B67,2)=1</formula>
    </cfRule>
  </conditionalFormatting>
  <conditionalFormatting sqref="B86:L92">
    <cfRule type="expression" dxfId="220" priority="8">
      <formula>MOD($B86,2)=1</formula>
    </cfRule>
  </conditionalFormatting>
  <conditionalFormatting sqref="B79:L85">
    <cfRule type="expression" dxfId="219" priority="7">
      <formula>MOD($B79,2)=1</formula>
    </cfRule>
  </conditionalFormatting>
  <conditionalFormatting sqref="B9:L11">
    <cfRule type="expression" dxfId="218" priority="5">
      <formula>MOD($B9,2)=1</formula>
    </cfRule>
  </conditionalFormatting>
  <conditionalFormatting sqref="B49:L49">
    <cfRule type="expression" dxfId="217" priority="4">
      <formula>MOD($B49,2)=1</formula>
    </cfRule>
  </conditionalFormatting>
  <conditionalFormatting sqref="C55:L55">
    <cfRule type="expression" dxfId="216" priority="3">
      <formula>MOD($B55,2)=1</formula>
    </cfRule>
  </conditionalFormatting>
  <conditionalFormatting sqref="B6:L7">
    <cfRule type="expression" dxfId="215" priority="2">
      <formula>MOD($B6,2)=1</formula>
    </cfRule>
  </conditionalFormatting>
  <conditionalFormatting sqref="B8:L8">
    <cfRule type="expression" dxfId="214" priority="1">
      <formula>MOD($B8,2)=1</formula>
    </cfRule>
  </conditionalFormatting>
  <pageMargins left="0.7" right="0.7" top="0.75" bottom="0.75" header="0.3" footer="0.3"/>
  <pageSetup scale="26" fitToWidth="0" fitToHeight="0"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A9FE65-C402-4E04-9F2F-C8F959C3D1CB}">
  <sheetPr codeName="Sheet10"/>
  <dimension ref="A1:L26"/>
  <sheetViews>
    <sheetView showGridLines="0" zoomScale="44" zoomScaleNormal="75" workbookViewId="0">
      <pane ySplit="2" topLeftCell="A3" activePane="bottomLeft" state="frozen"/>
      <selection pane="bottomLeft" activeCell="G46" sqref="G46"/>
    </sheetView>
  </sheetViews>
  <sheetFormatPr defaultColWidth="8.58203125" defaultRowHeight="15.5"/>
  <cols>
    <col min="1" max="1" width="29.58203125" style="178" customWidth="1"/>
    <col min="2" max="2" width="23.1640625" style="334" customWidth="1"/>
    <col min="3" max="3" width="23.1640625" style="183" customWidth="1"/>
    <col min="4" max="4" width="37.25" style="178" customWidth="1"/>
    <col min="5" max="5" width="36.33203125" style="178" customWidth="1"/>
    <col min="6" max="6" width="15.25" style="180" customWidth="1"/>
    <col min="7" max="7" width="15.25" style="181" customWidth="1"/>
    <col min="8" max="8" width="19.33203125" style="180" customWidth="1"/>
    <col min="9" max="9" width="18.1640625" style="180" customWidth="1"/>
    <col min="10" max="11" width="20.58203125" style="180" customWidth="1"/>
    <col min="12" max="12" width="20.83203125" style="179" customWidth="1"/>
    <col min="13" max="16384" width="8.58203125" style="178"/>
  </cols>
  <sheetData>
    <row r="1" spans="1:12" ht="148.5" customHeight="1">
      <c r="A1" s="182"/>
      <c r="B1" s="369" t="s">
        <v>1172</v>
      </c>
      <c r="C1" s="369"/>
      <c r="D1" s="369"/>
      <c r="E1" s="369"/>
      <c r="F1" s="369"/>
      <c r="G1" s="369"/>
      <c r="H1" s="369"/>
      <c r="I1" s="369"/>
      <c r="J1" s="369"/>
      <c r="K1" s="369"/>
    </row>
    <row r="2" spans="1:12" s="219" customFormat="1" ht="15" customHeight="1">
      <c r="A2" s="222" t="s">
        <v>106</v>
      </c>
      <c r="B2" s="340" t="s">
        <v>105</v>
      </c>
      <c r="C2" s="222" t="s">
        <v>104</v>
      </c>
      <c r="D2" s="222" t="s">
        <v>103</v>
      </c>
      <c r="E2" s="222" t="s">
        <v>102</v>
      </c>
      <c r="F2" s="221" t="s">
        <v>101</v>
      </c>
      <c r="G2" s="222" t="s">
        <v>1</v>
      </c>
      <c r="H2" s="221" t="s">
        <v>100</v>
      </c>
      <c r="I2" s="221" t="s">
        <v>99</v>
      </c>
      <c r="J2" s="221" t="s">
        <v>176</v>
      </c>
      <c r="K2" s="221" t="s">
        <v>98</v>
      </c>
      <c r="L2" s="292" t="s">
        <v>2</v>
      </c>
    </row>
    <row r="3" spans="1:12" ht="14.25" customHeight="1">
      <c r="A3" s="182"/>
      <c r="D3" s="182"/>
      <c r="E3" s="182"/>
      <c r="L3" s="218"/>
    </row>
    <row r="4" spans="1:12" ht="15" customHeight="1">
      <c r="A4" s="201" t="s">
        <v>0</v>
      </c>
      <c r="B4" s="337"/>
      <c r="C4" s="200"/>
      <c r="D4" s="199"/>
      <c r="E4" s="199"/>
      <c r="F4" s="197"/>
      <c r="G4" s="198"/>
      <c r="H4" s="197"/>
      <c r="I4" s="197"/>
      <c r="J4" s="197"/>
      <c r="K4" s="197"/>
      <c r="L4" s="196"/>
    </row>
    <row r="5" spans="1:12">
      <c r="A5" s="193" t="s">
        <v>446</v>
      </c>
      <c r="D5" s="182"/>
      <c r="E5" s="182"/>
      <c r="L5" s="217"/>
    </row>
    <row r="6" spans="1:12">
      <c r="A6" s="182"/>
      <c r="D6" s="182"/>
      <c r="E6" s="182"/>
      <c r="L6" s="202"/>
    </row>
    <row r="7" spans="1:12" s="203" customFormat="1" ht="14.5">
      <c r="A7" s="209"/>
      <c r="B7" s="338" t="s">
        <v>83</v>
      </c>
      <c r="C7" s="207"/>
      <c r="D7" s="206"/>
      <c r="E7" s="206"/>
      <c r="F7" s="204"/>
      <c r="G7" s="205"/>
      <c r="H7" s="204"/>
      <c r="I7" s="204">
        <v>0</v>
      </c>
      <c r="J7" s="204">
        <v>0</v>
      </c>
      <c r="K7" s="204">
        <v>0</v>
      </c>
      <c r="L7" s="215">
        <v>0</v>
      </c>
    </row>
    <row r="8" spans="1:12">
      <c r="A8" s="182"/>
      <c r="D8" s="182"/>
      <c r="E8" s="182"/>
      <c r="L8" s="202"/>
    </row>
    <row r="9" spans="1:12" ht="15" customHeight="1">
      <c r="A9" s="201" t="s">
        <v>3</v>
      </c>
      <c r="B9" s="337"/>
      <c r="C9" s="200"/>
      <c r="D9" s="199"/>
      <c r="E9" s="199"/>
      <c r="F9" s="197"/>
      <c r="G9" s="198"/>
      <c r="H9" s="197"/>
      <c r="I9" s="197"/>
      <c r="J9" s="197"/>
      <c r="K9" s="197"/>
      <c r="L9" s="196"/>
    </row>
    <row r="10" spans="1:12">
      <c r="A10" s="193" t="s">
        <v>1101</v>
      </c>
      <c r="D10" s="182"/>
      <c r="E10" s="182"/>
      <c r="L10" s="202"/>
    </row>
    <row r="11" spans="1:12">
      <c r="A11" s="182"/>
      <c r="B11" s="334" t="s">
        <v>1171</v>
      </c>
      <c r="C11" s="183" t="s">
        <v>1170</v>
      </c>
      <c r="D11" s="181">
        <v>0</v>
      </c>
      <c r="E11" s="182" t="s">
        <v>1169</v>
      </c>
      <c r="F11" s="180">
        <f>10*17</f>
        <v>170</v>
      </c>
      <c r="G11" s="181">
        <v>7</v>
      </c>
      <c r="H11" s="180">
        <f>F11*G11</f>
        <v>1190</v>
      </c>
      <c r="I11" s="180">
        <f>H11*1.13</f>
        <v>1344.6999999999998</v>
      </c>
      <c r="J11" s="180">
        <f>I11*1.25</f>
        <v>1680.8749999999998</v>
      </c>
      <c r="L11" s="202"/>
    </row>
    <row r="12" spans="1:12">
      <c r="A12" s="182"/>
      <c r="B12" s="334" t="s">
        <v>1168</v>
      </c>
      <c r="C12" s="183" t="s">
        <v>1167</v>
      </c>
      <c r="D12" s="181">
        <v>0</v>
      </c>
      <c r="E12" s="182" t="s">
        <v>1166</v>
      </c>
      <c r="F12" s="180">
        <v>35</v>
      </c>
      <c r="G12" s="181">
        <v>24</v>
      </c>
      <c r="H12" s="180">
        <f>F12*G12</f>
        <v>840</v>
      </c>
      <c r="I12" s="180">
        <f>H12*1.13</f>
        <v>949.19999999999993</v>
      </c>
      <c r="J12" s="180">
        <f>I12*1.25</f>
        <v>1186.5</v>
      </c>
      <c r="L12" s="202"/>
    </row>
    <row r="13" spans="1:12">
      <c r="A13" s="182"/>
      <c r="B13" s="334" t="s">
        <v>1165</v>
      </c>
      <c r="C13" s="183" t="s">
        <v>1164</v>
      </c>
      <c r="D13" s="182">
        <v>0</v>
      </c>
      <c r="E13" s="182" t="s">
        <v>1163</v>
      </c>
      <c r="F13" s="180">
        <f>15*7</f>
        <v>105</v>
      </c>
      <c r="G13" s="181">
        <v>1</v>
      </c>
      <c r="H13" s="180">
        <f>F13*G13</f>
        <v>105</v>
      </c>
      <c r="I13" s="180">
        <f>H13*1.13</f>
        <v>118.64999999999999</v>
      </c>
      <c r="J13" s="180">
        <f>I13*1.25</f>
        <v>148.3125</v>
      </c>
      <c r="L13" s="202"/>
    </row>
    <row r="14" spans="1:12">
      <c r="A14" s="182"/>
      <c r="D14" s="182"/>
      <c r="E14" s="182"/>
      <c r="L14" s="202"/>
    </row>
    <row r="15" spans="1:12" s="184" customFormat="1" ht="14.5">
      <c r="A15" s="193"/>
      <c r="B15" s="339" t="s">
        <v>157</v>
      </c>
      <c r="C15" s="213"/>
      <c r="D15" s="212"/>
      <c r="E15" s="212"/>
      <c r="F15" s="210"/>
      <c r="G15" s="211"/>
      <c r="H15" s="210"/>
      <c r="I15" s="210">
        <f>SUM(I11:I13)</f>
        <v>2412.5499999999997</v>
      </c>
      <c r="J15" s="210">
        <f t="shared" ref="J15:L15" si="0">SUM(J11:J13)</f>
        <v>3015.6875</v>
      </c>
      <c r="K15" s="210">
        <f t="shared" si="0"/>
        <v>0</v>
      </c>
      <c r="L15" s="216">
        <f t="shared" si="0"/>
        <v>0</v>
      </c>
    </row>
    <row r="16" spans="1:12">
      <c r="A16" s="193" t="s">
        <v>637</v>
      </c>
      <c r="D16" s="182"/>
      <c r="E16" s="182"/>
      <c r="L16" s="202"/>
    </row>
    <row r="17" spans="1:12">
      <c r="A17" s="182"/>
      <c r="B17" s="334" t="s">
        <v>1162</v>
      </c>
      <c r="C17" s="183" t="s">
        <v>1161</v>
      </c>
      <c r="D17" s="182">
        <v>0</v>
      </c>
      <c r="E17" s="182" t="s">
        <v>1160</v>
      </c>
      <c r="F17" s="180">
        <v>125</v>
      </c>
      <c r="G17" s="181">
        <v>1</v>
      </c>
      <c r="H17" s="180">
        <f>F17*G17</f>
        <v>125</v>
      </c>
      <c r="I17" s="180">
        <f>H17*1.13</f>
        <v>141.25</v>
      </c>
      <c r="J17" s="180">
        <f>I17*1.25</f>
        <v>176.5625</v>
      </c>
      <c r="L17" s="202"/>
    </row>
    <row r="18" spans="1:12">
      <c r="A18" s="182"/>
      <c r="D18" s="182"/>
      <c r="E18" s="182"/>
      <c r="L18" s="202"/>
    </row>
    <row r="19" spans="1:12" s="184" customFormat="1" ht="14.5">
      <c r="A19" s="193"/>
      <c r="B19" s="339" t="s">
        <v>142</v>
      </c>
      <c r="C19" s="213"/>
      <c r="D19" s="212"/>
      <c r="E19" s="212"/>
      <c r="F19" s="210"/>
      <c r="G19" s="211"/>
      <c r="H19" s="210"/>
      <c r="I19" s="210">
        <f>SUM(I17:I17)</f>
        <v>141.25</v>
      </c>
      <c r="J19" s="210">
        <f t="shared" ref="J19:L19" si="1">SUM(J17:J17)</f>
        <v>176.5625</v>
      </c>
      <c r="K19" s="210">
        <f t="shared" si="1"/>
        <v>0</v>
      </c>
      <c r="L19" s="216">
        <f t="shared" si="1"/>
        <v>0</v>
      </c>
    </row>
    <row r="20" spans="1:12">
      <c r="A20" s="182"/>
      <c r="D20" s="182"/>
      <c r="E20" s="182"/>
      <c r="L20" s="202"/>
    </row>
    <row r="21" spans="1:12" s="203" customFormat="1" ht="14.5">
      <c r="A21" s="209"/>
      <c r="B21" s="338" t="s">
        <v>8</v>
      </c>
      <c r="C21" s="207"/>
      <c r="D21" s="206"/>
      <c r="E21" s="206"/>
      <c r="F21" s="204"/>
      <c r="G21" s="205"/>
      <c r="H21" s="204"/>
      <c r="I21" s="204">
        <f>SUM(I15,I19)</f>
        <v>2553.7999999999997</v>
      </c>
      <c r="J21" s="204">
        <f t="shared" ref="J21:L21" si="2">SUM(J15,J19)</f>
        <v>3192.25</v>
      </c>
      <c r="K21" s="204">
        <f t="shared" si="2"/>
        <v>0</v>
      </c>
      <c r="L21" s="215">
        <f t="shared" si="2"/>
        <v>0</v>
      </c>
    </row>
    <row r="22" spans="1:12">
      <c r="A22" s="182"/>
      <c r="D22" s="182"/>
      <c r="E22" s="182"/>
      <c r="L22" s="202"/>
    </row>
    <row r="23" spans="1:12" ht="15" customHeight="1">
      <c r="A23" s="201" t="s">
        <v>7</v>
      </c>
      <c r="B23" s="337"/>
      <c r="C23" s="200"/>
      <c r="D23" s="199"/>
      <c r="E23" s="199"/>
      <c r="F23" s="197"/>
      <c r="G23" s="198"/>
      <c r="H23" s="197"/>
      <c r="I23" s="197"/>
      <c r="J23" s="197"/>
      <c r="K23" s="197"/>
      <c r="L23" s="196"/>
    </row>
    <row r="24" spans="1:12" s="184" customFormat="1" ht="14.5">
      <c r="A24" s="193"/>
      <c r="B24" s="336" t="s">
        <v>6</v>
      </c>
      <c r="C24" s="194"/>
      <c r="D24" s="193"/>
      <c r="E24" s="193"/>
      <c r="F24" s="191"/>
      <c r="G24" s="192"/>
      <c r="H24" s="191"/>
      <c r="I24" s="191">
        <f>I7</f>
        <v>0</v>
      </c>
      <c r="J24" s="191">
        <f>J7</f>
        <v>0</v>
      </c>
      <c r="K24" s="191">
        <f>K7</f>
        <v>0</v>
      </c>
      <c r="L24" s="195">
        <f>L7</f>
        <v>0</v>
      </c>
    </row>
    <row r="25" spans="1:12" s="184" customFormat="1" ht="14.5">
      <c r="A25" s="193"/>
      <c r="B25" s="336" t="s">
        <v>5</v>
      </c>
      <c r="C25" s="194"/>
      <c r="D25" s="193"/>
      <c r="E25" s="193"/>
      <c r="F25" s="191"/>
      <c r="G25" s="192"/>
      <c r="H25" s="191"/>
      <c r="I25" s="191">
        <f>I21</f>
        <v>2553.7999999999997</v>
      </c>
      <c r="J25" s="191">
        <f>J21</f>
        <v>3192.25</v>
      </c>
      <c r="K25" s="191">
        <f>K21</f>
        <v>0</v>
      </c>
      <c r="L25" s="190">
        <f>L21</f>
        <v>0</v>
      </c>
    </row>
    <row r="26" spans="1:12" s="184" customFormat="1" ht="14.5">
      <c r="A26" s="188"/>
      <c r="B26" s="335" t="s">
        <v>4</v>
      </c>
      <c r="C26" s="189"/>
      <c r="D26" s="188"/>
      <c r="E26" s="188"/>
      <c r="F26" s="186"/>
      <c r="G26" s="187"/>
      <c r="H26" s="186"/>
      <c r="I26" s="186">
        <f>SUM(I24,I25*-1)</f>
        <v>-2553.7999999999997</v>
      </c>
      <c r="J26" s="186">
        <f>SUM(J24,J25*-1)</f>
        <v>-3192.25</v>
      </c>
      <c r="K26" s="186">
        <f>SUM(K24,K25*-1)</f>
        <v>0</v>
      </c>
      <c r="L26" s="185">
        <f>SUM(L24,L25*-1)</f>
        <v>0</v>
      </c>
    </row>
  </sheetData>
  <mergeCells count="1">
    <mergeCell ref="B1:K1"/>
  </mergeCells>
  <conditionalFormatting sqref="B11:L26">
    <cfRule type="expression" dxfId="213" priority="2">
      <formula>MOD($B11,2)=1</formula>
    </cfRule>
  </conditionalFormatting>
  <conditionalFormatting sqref="B6:L8">
    <cfRule type="expression" dxfId="212" priority="1">
      <formula>MOD($B6,2)=1</formula>
    </cfRule>
  </conditionalFormatting>
  <pageMargins left="0.7" right="0.7" top="0.75" bottom="0.75" header="0.3" footer="0.3"/>
  <pageSetup scale="26" fitToWidth="0" fitToHeight="0"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0C254D-5521-41C5-A277-C75C882F2F5B}">
  <sheetPr codeName="Sheet21"/>
  <dimension ref="A1:L40"/>
  <sheetViews>
    <sheetView showGridLines="0" zoomScale="61" zoomScaleNormal="75" workbookViewId="0">
      <pane ySplit="2" topLeftCell="A3" activePane="bottomLeft" state="frozen"/>
      <selection pane="bottomLeft" activeCell="L31" sqref="L8:L31"/>
    </sheetView>
  </sheetViews>
  <sheetFormatPr defaultColWidth="8.58203125" defaultRowHeight="15.5"/>
  <cols>
    <col min="1" max="1" width="29.58203125" style="182" customWidth="1"/>
    <col min="2" max="3" width="23.1640625" style="183" customWidth="1"/>
    <col min="4" max="4" width="37.25" style="182" customWidth="1"/>
    <col min="5" max="5" width="36.33203125" style="182" customWidth="1"/>
    <col min="6" max="6" width="15.25" style="180" customWidth="1"/>
    <col min="7" max="7" width="15.25" style="181" customWidth="1"/>
    <col min="8" max="8" width="19.33203125" style="180" customWidth="1"/>
    <col min="9" max="9" width="18.1640625" style="180" customWidth="1"/>
    <col min="10" max="11" width="20.58203125" style="180" customWidth="1"/>
    <col min="12" max="12" width="20.83203125" style="179" customWidth="1"/>
    <col min="13" max="16384" width="8.58203125" style="178"/>
  </cols>
  <sheetData>
    <row r="1" spans="1:12" ht="148.5" customHeight="1">
      <c r="B1" s="369" t="s">
        <v>1159</v>
      </c>
      <c r="C1" s="369"/>
      <c r="D1" s="369"/>
      <c r="E1" s="369"/>
      <c r="F1" s="369"/>
      <c r="G1" s="369"/>
      <c r="H1" s="369"/>
      <c r="I1" s="369"/>
      <c r="J1" s="369"/>
      <c r="K1" s="369"/>
    </row>
    <row r="2" spans="1:12" s="219" customFormat="1" ht="15" customHeight="1">
      <c r="A2" s="222" t="s">
        <v>106</v>
      </c>
      <c r="B2" s="222" t="s">
        <v>105</v>
      </c>
      <c r="C2" s="222" t="s">
        <v>104</v>
      </c>
      <c r="D2" s="222" t="s">
        <v>103</v>
      </c>
      <c r="E2" s="222" t="s">
        <v>102</v>
      </c>
      <c r="F2" s="221" t="s">
        <v>101</v>
      </c>
      <c r="G2" s="222" t="s">
        <v>1</v>
      </c>
      <c r="H2" s="221" t="s">
        <v>100</v>
      </c>
      <c r="I2" s="221" t="s">
        <v>99</v>
      </c>
      <c r="J2" s="221" t="s">
        <v>176</v>
      </c>
      <c r="K2" s="221" t="s">
        <v>98</v>
      </c>
      <c r="L2" s="220" t="s">
        <v>2</v>
      </c>
    </row>
    <row r="3" spans="1:12" ht="14.25" customHeight="1">
      <c r="L3" s="218"/>
    </row>
    <row r="4" spans="1:12" ht="15" customHeight="1">
      <c r="A4" s="201" t="s">
        <v>0</v>
      </c>
      <c r="B4" s="200"/>
      <c r="C4" s="200"/>
      <c r="D4" s="199"/>
      <c r="E4" s="199"/>
      <c r="F4" s="197"/>
      <c r="G4" s="198"/>
      <c r="H4" s="197"/>
      <c r="I4" s="197"/>
      <c r="J4" s="197"/>
      <c r="K4" s="197"/>
      <c r="L4" s="196"/>
    </row>
    <row r="5" spans="1:12">
      <c r="A5" s="193" t="s">
        <v>1158</v>
      </c>
      <c r="L5" s="217"/>
    </row>
    <row r="6" spans="1:12">
      <c r="B6" s="183">
        <v>51150</v>
      </c>
      <c r="C6" s="183" t="s">
        <v>628</v>
      </c>
      <c r="D6" s="182" t="s">
        <v>628</v>
      </c>
      <c r="E6" s="182" t="s">
        <v>628</v>
      </c>
      <c r="H6" s="180">
        <v>0</v>
      </c>
      <c r="I6" s="180">
        <v>0</v>
      </c>
      <c r="J6" s="180">
        <f>I6*0.75</f>
        <v>0</v>
      </c>
      <c r="L6" s="202"/>
    </row>
    <row r="7" spans="1:12">
      <c r="L7" s="202"/>
    </row>
    <row r="8" spans="1:12" s="184" customFormat="1" ht="14.5">
      <c r="A8" s="193"/>
      <c r="B8" s="214" t="s">
        <v>1157</v>
      </c>
      <c r="C8" s="213"/>
      <c r="D8" s="212"/>
      <c r="E8" s="212"/>
      <c r="F8" s="210"/>
      <c r="G8" s="211"/>
      <c r="H8" s="210"/>
      <c r="I8" s="210">
        <v>0</v>
      </c>
      <c r="J8" s="210">
        <f>SUM(J6:J6)</f>
        <v>0</v>
      </c>
      <c r="K8" s="210">
        <f>SUM(K6:K6)</f>
        <v>0</v>
      </c>
      <c r="L8" s="216">
        <f>SUM(L6:L6)</f>
        <v>0</v>
      </c>
    </row>
    <row r="9" spans="1:12">
      <c r="L9" s="202"/>
    </row>
    <row r="10" spans="1:12" s="203" customFormat="1" ht="14.5">
      <c r="A10" s="209"/>
      <c r="B10" s="208" t="s">
        <v>83</v>
      </c>
      <c r="C10" s="207"/>
      <c r="D10" s="206"/>
      <c r="E10" s="206"/>
      <c r="F10" s="204"/>
      <c r="G10" s="205"/>
      <c r="H10" s="204">
        <v>0</v>
      </c>
      <c r="I10" s="204">
        <v>0</v>
      </c>
      <c r="J10" s="204">
        <v>0</v>
      </c>
      <c r="K10" s="204">
        <v>0</v>
      </c>
      <c r="L10" s="215">
        <v>0</v>
      </c>
    </row>
    <row r="11" spans="1:12">
      <c r="L11" s="202"/>
    </row>
    <row r="12" spans="1:12" ht="15" customHeight="1">
      <c r="A12" s="201" t="s">
        <v>3</v>
      </c>
      <c r="B12" s="200"/>
      <c r="C12" s="200"/>
      <c r="D12" s="199"/>
      <c r="E12" s="199"/>
      <c r="F12" s="197"/>
      <c r="G12" s="198"/>
      <c r="H12" s="197"/>
      <c r="I12" s="197"/>
      <c r="J12" s="197"/>
      <c r="K12" s="197"/>
      <c r="L12" s="196"/>
    </row>
    <row r="13" spans="1:12">
      <c r="A13" s="193" t="s">
        <v>1156</v>
      </c>
      <c r="L13" s="202"/>
    </row>
    <row r="14" spans="1:12">
      <c r="B14" s="183">
        <v>51150</v>
      </c>
      <c r="C14" s="183" t="s">
        <v>1155</v>
      </c>
      <c r="D14" s="183">
        <v>1</v>
      </c>
      <c r="E14" s="182" t="s">
        <v>1154</v>
      </c>
      <c r="F14" s="180">
        <v>3</v>
      </c>
      <c r="G14" s="181">
        <v>10</v>
      </c>
      <c r="H14" s="180">
        <v>33.9</v>
      </c>
      <c r="I14" s="180">
        <f>H14*1.13</f>
        <v>38.306999999999995</v>
      </c>
      <c r="J14" s="180">
        <f>I14*1.25</f>
        <v>47.883749999999992</v>
      </c>
      <c r="L14" s="202"/>
    </row>
    <row r="15" spans="1:12">
      <c r="B15" s="183">
        <v>51151</v>
      </c>
      <c r="C15" s="183" t="s">
        <v>1153</v>
      </c>
      <c r="D15" s="183">
        <v>2</v>
      </c>
      <c r="E15" s="182" t="s">
        <v>1152</v>
      </c>
      <c r="F15" s="180">
        <v>3</v>
      </c>
      <c r="G15" s="181">
        <v>18</v>
      </c>
      <c r="H15" s="180">
        <f>F15*G15</f>
        <v>54</v>
      </c>
      <c r="I15" s="180">
        <f>H15*1.13</f>
        <v>61.019999999999996</v>
      </c>
      <c r="J15" s="180">
        <f>I15*1.25</f>
        <v>76.274999999999991</v>
      </c>
      <c r="L15" s="202"/>
    </row>
    <row r="16" spans="1:12">
      <c r="B16" s="183">
        <v>51152</v>
      </c>
      <c r="C16" s="183" t="s">
        <v>1151</v>
      </c>
      <c r="D16" s="183">
        <v>5</v>
      </c>
      <c r="E16" s="182" t="s">
        <v>1150</v>
      </c>
      <c r="F16" s="180">
        <v>100</v>
      </c>
      <c r="G16" s="181">
        <v>6</v>
      </c>
      <c r="H16" s="180">
        <f>F16*G16</f>
        <v>600</v>
      </c>
      <c r="I16" s="180">
        <f>H16*1.13</f>
        <v>677.99999999999989</v>
      </c>
      <c r="J16" s="180">
        <f>I16*1.25</f>
        <v>847.49999999999989</v>
      </c>
      <c r="L16" s="202"/>
    </row>
    <row r="17" spans="1:12">
      <c r="B17" s="183">
        <v>51153</v>
      </c>
      <c r="C17" s="183" t="s">
        <v>1149</v>
      </c>
      <c r="D17" s="183">
        <v>4</v>
      </c>
      <c r="E17" s="182" t="s">
        <v>1148</v>
      </c>
      <c r="F17" s="180">
        <v>1000</v>
      </c>
      <c r="G17" s="181">
        <v>1</v>
      </c>
      <c r="H17" s="180">
        <f>F17*G17</f>
        <v>1000</v>
      </c>
      <c r="I17" s="180">
        <f>H17*1.13</f>
        <v>1130</v>
      </c>
      <c r="J17" s="180">
        <f>I17*1.25</f>
        <v>1412.5</v>
      </c>
      <c r="L17" s="202"/>
    </row>
    <row r="18" spans="1:12">
      <c r="L18" s="202"/>
    </row>
    <row r="19" spans="1:12" s="184" customFormat="1" ht="14.5">
      <c r="A19" s="193"/>
      <c r="B19" s="214" t="s">
        <v>1147</v>
      </c>
      <c r="C19" s="213"/>
      <c r="D19" s="212"/>
      <c r="E19" s="212"/>
      <c r="F19" s="210"/>
      <c r="G19" s="211"/>
      <c r="H19" s="210"/>
      <c r="I19" s="210">
        <f>SUM(I14:I17)</f>
        <v>1907.3269999999998</v>
      </c>
      <c r="J19" s="210">
        <f t="shared" ref="J19:L19" si="0">SUM(J14:J17)</f>
        <v>2384.1587499999996</v>
      </c>
      <c r="K19" s="210">
        <f t="shared" si="0"/>
        <v>0</v>
      </c>
      <c r="L19" s="216">
        <f t="shared" si="0"/>
        <v>0</v>
      </c>
    </row>
    <row r="20" spans="1:12">
      <c r="A20" s="193" t="s">
        <v>637</v>
      </c>
      <c r="L20" s="202"/>
    </row>
    <row r="21" spans="1:12">
      <c r="B21" s="183">
        <v>51155</v>
      </c>
      <c r="C21" s="183" t="s">
        <v>1146</v>
      </c>
      <c r="D21" s="183">
        <v>6</v>
      </c>
      <c r="E21" s="182" t="s">
        <v>1145</v>
      </c>
      <c r="F21" s="180">
        <v>4.99</v>
      </c>
      <c r="G21" s="181">
        <v>8</v>
      </c>
      <c r="H21" s="180">
        <f>F21*G21</f>
        <v>39.92</v>
      </c>
      <c r="I21" s="180">
        <f>H21*1.13</f>
        <v>45.1096</v>
      </c>
      <c r="J21" s="180">
        <f>I21*1.25</f>
        <v>56.387</v>
      </c>
      <c r="L21" s="202"/>
    </row>
    <row r="22" spans="1:12">
      <c r="B22" s="183">
        <v>51156</v>
      </c>
      <c r="C22" s="183" t="s">
        <v>1144</v>
      </c>
      <c r="D22" s="183">
        <v>7</v>
      </c>
      <c r="E22" s="182" t="s">
        <v>1143</v>
      </c>
      <c r="F22" s="180">
        <v>75</v>
      </c>
      <c r="G22" s="181">
        <v>1</v>
      </c>
      <c r="H22" s="180">
        <f>F22*G22</f>
        <v>75</v>
      </c>
      <c r="I22" s="180">
        <f>H22*1.13</f>
        <v>84.749999999999986</v>
      </c>
      <c r="J22" s="180">
        <f>I22*1.25</f>
        <v>105.93749999999999</v>
      </c>
      <c r="L22" s="202"/>
    </row>
    <row r="23" spans="1:12">
      <c r="B23" s="183">
        <v>51157</v>
      </c>
      <c r="C23" s="183" t="s">
        <v>1142</v>
      </c>
      <c r="D23" s="183">
        <v>8</v>
      </c>
      <c r="E23" s="182" t="s">
        <v>1141</v>
      </c>
      <c r="F23" s="180">
        <v>99.34</v>
      </c>
      <c r="G23" s="181">
        <v>8</v>
      </c>
      <c r="H23" s="180">
        <f>F23*G23</f>
        <v>794.72</v>
      </c>
      <c r="I23" s="180">
        <f>H23*1.13</f>
        <v>898.03359999999998</v>
      </c>
      <c r="J23" s="180">
        <f>I23*1.25</f>
        <v>1122.5419999999999</v>
      </c>
      <c r="L23" s="202"/>
    </row>
    <row r="24" spans="1:12">
      <c r="B24" s="183">
        <v>51158</v>
      </c>
      <c r="C24" s="183" t="s">
        <v>1140</v>
      </c>
      <c r="D24" s="183">
        <v>3</v>
      </c>
      <c r="E24" s="182" t="s">
        <v>1139</v>
      </c>
      <c r="F24" s="180">
        <v>20</v>
      </c>
      <c r="G24" s="181">
        <v>8</v>
      </c>
      <c r="H24" s="180">
        <f>F24*G24</f>
        <v>160</v>
      </c>
      <c r="I24" s="180">
        <f>H24*1.13</f>
        <v>180.79999999999998</v>
      </c>
      <c r="J24" s="180">
        <f>I24*1.25</f>
        <v>225.99999999999997</v>
      </c>
      <c r="L24" s="202"/>
    </row>
    <row r="25" spans="1:12">
      <c r="L25" s="202"/>
    </row>
    <row r="26" spans="1:12" s="184" customFormat="1" ht="14.5">
      <c r="A26" s="193"/>
      <c r="B26" s="214" t="s">
        <v>1138</v>
      </c>
      <c r="C26" s="213"/>
      <c r="D26" s="212"/>
      <c r="E26" s="212"/>
      <c r="F26" s="210"/>
      <c r="G26" s="211"/>
      <c r="H26" s="210"/>
      <c r="I26" s="210">
        <f>SUM(I21:I24)</f>
        <v>1208.6931999999999</v>
      </c>
      <c r="J26" s="210">
        <f t="shared" ref="J26:L26" si="1">SUM(J21:J24)</f>
        <v>1510.8664999999999</v>
      </c>
      <c r="K26" s="210">
        <f t="shared" si="1"/>
        <v>0</v>
      </c>
      <c r="L26" s="216">
        <f t="shared" si="1"/>
        <v>0</v>
      </c>
    </row>
    <row r="27" spans="1:12">
      <c r="A27" s="193"/>
      <c r="L27" s="202"/>
    </row>
    <row r="28" spans="1:12" ht="14.5">
      <c r="B28" s="208" t="s">
        <v>8</v>
      </c>
      <c r="C28" s="207"/>
      <c r="D28" s="206"/>
      <c r="E28" s="206"/>
      <c r="F28" s="204"/>
      <c r="G28" s="205"/>
      <c r="H28" s="204"/>
      <c r="I28" s="204">
        <f>SUM(I19,I26)</f>
        <v>3116.0201999999999</v>
      </c>
      <c r="J28" s="204">
        <f t="shared" ref="J28:L28" si="2">SUM(J19,J26)</f>
        <v>3895.0252499999997</v>
      </c>
      <c r="K28" s="204">
        <f t="shared" si="2"/>
        <v>0</v>
      </c>
      <c r="L28" s="215">
        <f t="shared" si="2"/>
        <v>0</v>
      </c>
    </row>
    <row r="29" spans="1:12">
      <c r="L29" s="202"/>
    </row>
    <row r="30" spans="1:12">
      <c r="A30" s="201" t="s">
        <v>7</v>
      </c>
      <c r="B30" s="200"/>
      <c r="C30" s="200"/>
      <c r="D30" s="199"/>
      <c r="E30" s="199"/>
      <c r="F30" s="197"/>
      <c r="G30" s="198"/>
      <c r="H30" s="197"/>
      <c r="I30" s="197"/>
      <c r="J30" s="197"/>
      <c r="K30" s="197"/>
      <c r="L30" s="196"/>
    </row>
    <row r="31" spans="1:12" ht="14.5">
      <c r="B31" s="194" t="s">
        <v>6</v>
      </c>
      <c r="C31" s="194"/>
      <c r="D31" s="193"/>
      <c r="E31" s="193"/>
      <c r="F31" s="191"/>
      <c r="G31" s="192"/>
      <c r="H31" s="191"/>
      <c r="I31" s="191">
        <f>I10</f>
        <v>0</v>
      </c>
      <c r="J31" s="191">
        <f>J10</f>
        <v>0</v>
      </c>
      <c r="K31" s="191">
        <f>K10</f>
        <v>0</v>
      </c>
      <c r="L31" s="195">
        <f>L10</f>
        <v>0</v>
      </c>
    </row>
    <row r="32" spans="1:12" ht="14.5">
      <c r="B32" s="194" t="s">
        <v>5</v>
      </c>
      <c r="C32" s="194"/>
      <c r="D32" s="193"/>
      <c r="E32" s="193"/>
      <c r="F32" s="191"/>
      <c r="G32" s="192"/>
      <c r="H32" s="191"/>
      <c r="I32" s="191">
        <f>I28</f>
        <v>3116.0201999999999</v>
      </c>
      <c r="J32" s="191">
        <f>J28</f>
        <v>3895.0252499999997</v>
      </c>
      <c r="K32" s="191">
        <f>K28</f>
        <v>0</v>
      </c>
      <c r="L32" s="190">
        <f>L28</f>
        <v>0</v>
      </c>
    </row>
    <row r="33" spans="1:12" s="184" customFormat="1" ht="14.5">
      <c r="A33" s="188"/>
      <c r="B33" s="189" t="s">
        <v>4</v>
      </c>
      <c r="C33" s="189"/>
      <c r="D33" s="188"/>
      <c r="E33" s="188"/>
      <c r="F33" s="186"/>
      <c r="G33" s="187"/>
      <c r="H33" s="186"/>
      <c r="I33" s="186">
        <f>SUM(I31,I32*-1)</f>
        <v>-3116.0201999999999</v>
      </c>
      <c r="J33" s="186">
        <f>SUM(J31,J32*-1)</f>
        <v>-3895.0252499999997</v>
      </c>
      <c r="K33" s="186">
        <f>SUM(K31,K32*-1)</f>
        <v>0</v>
      </c>
      <c r="L33" s="185">
        <f>SUM(L31,L32*-1)</f>
        <v>0</v>
      </c>
    </row>
    <row r="35" spans="1:12" s="203" customFormat="1">
      <c r="A35" s="209"/>
      <c r="B35" s="183"/>
      <c r="C35" s="183"/>
      <c r="D35" s="182"/>
      <c r="E35" s="182"/>
      <c r="F35" s="180"/>
      <c r="G35" s="181"/>
      <c r="H35" s="180"/>
      <c r="I35" s="180"/>
      <c r="J35" s="180"/>
      <c r="K35" s="180"/>
      <c r="L35" s="179"/>
    </row>
    <row r="37" spans="1:12" ht="15" customHeight="1">
      <c r="A37" s="193"/>
    </row>
    <row r="38" spans="1:12" s="184" customFormat="1">
      <c r="A38" s="193"/>
      <c r="B38" s="183"/>
      <c r="C38" s="183"/>
      <c r="D38" s="182"/>
      <c r="E38" s="182"/>
      <c r="F38" s="180"/>
      <c r="G38" s="181"/>
      <c r="H38" s="180"/>
      <c r="I38" s="180"/>
      <c r="J38" s="180"/>
      <c r="K38" s="180"/>
      <c r="L38" s="179"/>
    </row>
    <row r="39" spans="1:12" s="184" customFormat="1">
      <c r="A39" s="183"/>
      <c r="B39" s="183"/>
      <c r="C39" s="182"/>
      <c r="D39" s="182"/>
      <c r="E39" s="180"/>
      <c r="F39" s="181"/>
      <c r="G39" s="180"/>
      <c r="H39" s="180"/>
      <c r="I39" s="180"/>
      <c r="J39" s="180"/>
      <c r="K39" s="179"/>
    </row>
    <row r="40" spans="1:12" s="184" customFormat="1">
      <c r="A40" s="182"/>
      <c r="B40" s="183"/>
      <c r="C40" s="183"/>
      <c r="D40" s="182"/>
      <c r="E40" s="182"/>
      <c r="F40" s="180"/>
      <c r="G40" s="181"/>
      <c r="H40" s="180"/>
      <c r="I40" s="180"/>
      <c r="J40" s="180"/>
      <c r="K40" s="180"/>
      <c r="L40" s="179"/>
    </row>
  </sheetData>
  <mergeCells count="1">
    <mergeCell ref="B1:K1"/>
  </mergeCells>
  <conditionalFormatting sqref="B6:L8 B14:L19 B27:L33">
    <cfRule type="expression" dxfId="211" priority="3">
      <formula>MOD($B6,2)=1</formula>
    </cfRule>
  </conditionalFormatting>
  <conditionalFormatting sqref="B9:L11">
    <cfRule type="expression" dxfId="210" priority="2">
      <formula>MOD($B9,2)=1</formula>
    </cfRule>
  </conditionalFormatting>
  <conditionalFormatting sqref="B20:L26">
    <cfRule type="expression" dxfId="209" priority="1">
      <formula>MOD($B20,2)=1</formula>
    </cfRule>
  </conditionalFormatting>
  <pageMargins left="0.7" right="0.7" top="0.75" bottom="0.75" header="0.3" footer="0.3"/>
  <pageSetup scale="26" fitToWidth="0" fitToHeight="0" orientation="portrait" r:id="rId1"/>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BFCCE0-419A-4555-BCEB-D285FD939172}">
  <sheetPr codeName="Sheet1"/>
  <dimension ref="A1:L41"/>
  <sheetViews>
    <sheetView showGridLines="0" zoomScale="53" zoomScaleNormal="75" workbookViewId="0">
      <pane ySplit="2" topLeftCell="A3" activePane="bottomLeft" state="frozen"/>
      <selection pane="bottomLeft" activeCell="F44" sqref="F44"/>
    </sheetView>
  </sheetViews>
  <sheetFormatPr defaultColWidth="9.58203125" defaultRowHeight="15.5"/>
  <cols>
    <col min="1" max="1" width="29.75" style="182" customWidth="1"/>
    <col min="2" max="2" width="23.33203125" style="183" customWidth="1"/>
    <col min="3" max="3" width="38.08203125" style="183" bestFit="1" customWidth="1"/>
    <col min="4" max="4" width="17.4140625" style="182" customWidth="1"/>
    <col min="5" max="5" width="91.83203125" style="182" customWidth="1"/>
    <col min="6" max="6" width="15.25" style="180" customWidth="1"/>
    <col min="7" max="7" width="15.25" style="181" customWidth="1"/>
    <col min="8" max="8" width="19.33203125" style="180" customWidth="1"/>
    <col min="9" max="9" width="18.1640625" style="180" customWidth="1"/>
    <col min="10" max="11" width="20.58203125" style="180" customWidth="1"/>
    <col min="12" max="12" width="20.83203125" style="179" customWidth="1"/>
    <col min="13" max="16384" width="9.58203125" style="178"/>
  </cols>
  <sheetData>
    <row r="1" spans="1:12" ht="148.5" customHeight="1">
      <c r="B1" s="369" t="s">
        <v>1137</v>
      </c>
      <c r="C1" s="369"/>
      <c r="D1" s="369"/>
      <c r="E1" s="369"/>
      <c r="F1" s="369"/>
      <c r="G1" s="369"/>
      <c r="H1" s="369"/>
      <c r="I1" s="369"/>
      <c r="J1" s="369"/>
      <c r="K1" s="369"/>
    </row>
    <row r="2" spans="1:12" s="219" customFormat="1" ht="15" customHeight="1">
      <c r="A2" s="222" t="s">
        <v>106</v>
      </c>
      <c r="B2" s="222" t="s">
        <v>105</v>
      </c>
      <c r="C2" s="222" t="s">
        <v>104</v>
      </c>
      <c r="D2" s="222" t="s">
        <v>103</v>
      </c>
      <c r="E2" s="222" t="s">
        <v>102</v>
      </c>
      <c r="F2" s="221" t="s">
        <v>101</v>
      </c>
      <c r="G2" s="222" t="s">
        <v>1</v>
      </c>
      <c r="H2" s="221" t="s">
        <v>100</v>
      </c>
      <c r="I2" s="221" t="s">
        <v>99</v>
      </c>
      <c r="J2" s="221" t="s">
        <v>176</v>
      </c>
      <c r="K2" s="221" t="s">
        <v>98</v>
      </c>
      <c r="L2" s="220" t="s">
        <v>2</v>
      </c>
    </row>
    <row r="3" spans="1:12" ht="14.25" customHeight="1">
      <c r="L3" s="218"/>
    </row>
    <row r="4" spans="1:12" ht="15" customHeight="1">
      <c r="A4" s="201" t="s">
        <v>0</v>
      </c>
      <c r="B4" s="200"/>
      <c r="C4" s="200"/>
      <c r="D4" s="199"/>
      <c r="E4" s="199"/>
      <c r="F4" s="197"/>
      <c r="G4" s="198"/>
      <c r="H4" s="197"/>
      <c r="I4" s="197"/>
      <c r="J4" s="197"/>
      <c r="K4" s="197"/>
      <c r="L4" s="196"/>
    </row>
    <row r="5" spans="1:12">
      <c r="A5" s="193" t="s">
        <v>549</v>
      </c>
      <c r="L5" s="217"/>
    </row>
    <row r="6" spans="1:12">
      <c r="L6" s="202"/>
    </row>
    <row r="7" spans="1:12" s="203" customFormat="1" ht="14.5">
      <c r="A7" s="209"/>
      <c r="B7" s="208" t="s">
        <v>83</v>
      </c>
      <c r="C7" s="207"/>
      <c r="D7" s="206"/>
      <c r="E7" s="206"/>
      <c r="F7" s="204"/>
      <c r="G7" s="205"/>
      <c r="H7" s="204"/>
      <c r="I7" s="204">
        <v>0</v>
      </c>
      <c r="J7" s="204">
        <v>0</v>
      </c>
      <c r="K7" s="204">
        <v>0</v>
      </c>
      <c r="L7" s="215">
        <v>0</v>
      </c>
    </row>
    <row r="8" spans="1:12">
      <c r="L8" s="202"/>
    </row>
    <row r="9" spans="1:12" ht="15" customHeight="1">
      <c r="A9" s="201" t="s">
        <v>3</v>
      </c>
      <c r="B9" s="200"/>
      <c r="C9" s="200"/>
      <c r="D9" s="199"/>
      <c r="E9" s="199"/>
      <c r="F9" s="197"/>
      <c r="G9" s="198"/>
      <c r="H9" s="197"/>
      <c r="I9" s="197"/>
      <c r="J9" s="197"/>
      <c r="K9" s="197"/>
      <c r="L9" s="196"/>
    </row>
    <row r="10" spans="1:12" s="281" customFormat="1">
      <c r="A10" s="271" t="s">
        <v>1136</v>
      </c>
      <c r="B10" s="277"/>
      <c r="C10" s="277"/>
      <c r="D10" s="262"/>
      <c r="E10" s="262"/>
      <c r="F10" s="180"/>
      <c r="G10" s="181"/>
      <c r="H10" s="180"/>
      <c r="I10" s="180"/>
      <c r="J10" s="180"/>
      <c r="K10" s="180"/>
      <c r="L10" s="288"/>
    </row>
    <row r="11" spans="1:12" s="281" customFormat="1" ht="16">
      <c r="A11" s="262"/>
      <c r="B11" s="277">
        <v>85100</v>
      </c>
      <c r="C11" s="277" t="s">
        <v>1135</v>
      </c>
      <c r="D11" s="262">
        <v>8</v>
      </c>
      <c r="E11" s="362" t="s">
        <v>1134</v>
      </c>
      <c r="F11" s="327">
        <v>2.5</v>
      </c>
      <c r="G11" s="181">
        <v>100</v>
      </c>
      <c r="H11" s="327">
        <v>250</v>
      </c>
      <c r="I11" s="327">
        <v>282.5</v>
      </c>
      <c r="J11" s="327">
        <v>353.13</v>
      </c>
      <c r="K11" s="180"/>
      <c r="L11" s="363">
        <v>214.69</v>
      </c>
    </row>
    <row r="12" spans="1:12" s="281" customFormat="1" ht="16">
      <c r="A12" s="262"/>
      <c r="B12" s="277">
        <v>85101</v>
      </c>
      <c r="C12" s="277" t="s">
        <v>1133</v>
      </c>
      <c r="D12" s="181">
        <v>5</v>
      </c>
      <c r="E12" s="364" t="s">
        <v>1132</v>
      </c>
      <c r="F12" s="327">
        <v>10</v>
      </c>
      <c r="G12" s="181">
        <v>4</v>
      </c>
      <c r="H12" s="327">
        <v>40</v>
      </c>
      <c r="I12" s="327">
        <v>45.2</v>
      </c>
      <c r="J12" s="327">
        <v>56.5</v>
      </c>
      <c r="K12" s="180"/>
      <c r="L12" s="270">
        <v>40</v>
      </c>
    </row>
    <row r="13" spans="1:12" s="281" customFormat="1" ht="16">
      <c r="A13" s="262"/>
      <c r="B13" s="277">
        <v>85102</v>
      </c>
      <c r="C13" s="277" t="s">
        <v>1131</v>
      </c>
      <c r="D13" s="262">
        <v>6</v>
      </c>
      <c r="E13" s="365" t="s">
        <v>1130</v>
      </c>
      <c r="F13" s="327">
        <v>200</v>
      </c>
      <c r="G13" s="181">
        <v>1</v>
      </c>
      <c r="H13" s="327">
        <v>200</v>
      </c>
      <c r="I13" s="327">
        <v>226</v>
      </c>
      <c r="J13" s="327">
        <v>282.5</v>
      </c>
      <c r="K13" s="180"/>
      <c r="L13" s="270">
        <v>180</v>
      </c>
    </row>
    <row r="14" spans="1:12" s="281" customFormat="1" ht="16">
      <c r="A14" s="262"/>
      <c r="B14" s="277">
        <v>85103</v>
      </c>
      <c r="C14" s="277" t="s">
        <v>388</v>
      </c>
      <c r="D14" s="262">
        <v>7</v>
      </c>
      <c r="E14" s="362" t="s">
        <v>1129</v>
      </c>
      <c r="F14" s="327">
        <v>10</v>
      </c>
      <c r="G14" s="181">
        <v>4</v>
      </c>
      <c r="H14" s="327">
        <v>40</v>
      </c>
      <c r="I14" s="327">
        <v>45.2</v>
      </c>
      <c r="J14" s="327">
        <v>56.5</v>
      </c>
      <c r="K14" s="180"/>
      <c r="L14" s="270">
        <v>27.87</v>
      </c>
    </row>
    <row r="15" spans="1:12" s="281" customFormat="1">
      <c r="A15" s="262"/>
      <c r="B15" s="277">
        <v>85104</v>
      </c>
      <c r="C15" s="277" t="s">
        <v>1128</v>
      </c>
      <c r="D15" s="262">
        <v>3</v>
      </c>
      <c r="E15" s="366" t="s">
        <v>1127</v>
      </c>
      <c r="F15" s="327">
        <v>2.5</v>
      </c>
      <c r="G15" s="181">
        <v>60</v>
      </c>
      <c r="H15" s="327">
        <v>150</v>
      </c>
      <c r="I15" s="327">
        <v>169.5</v>
      </c>
      <c r="J15" s="327">
        <v>211.88</v>
      </c>
      <c r="K15" s="180"/>
      <c r="L15" s="270"/>
    </row>
    <row r="16" spans="1:12" s="281" customFormat="1" ht="16">
      <c r="A16" s="262"/>
      <c r="B16" s="252">
        <v>85106</v>
      </c>
      <c r="C16" s="252" t="s">
        <v>759</v>
      </c>
      <c r="D16" s="278">
        <v>4</v>
      </c>
      <c r="E16" s="364" t="s">
        <v>1126</v>
      </c>
      <c r="F16" s="330">
        <v>0.34</v>
      </c>
      <c r="G16" s="331">
        <v>300</v>
      </c>
      <c r="H16" s="330">
        <v>102</v>
      </c>
      <c r="I16" s="330">
        <v>115.26</v>
      </c>
      <c r="J16" s="330">
        <v>144.08000000000001</v>
      </c>
      <c r="K16" s="329"/>
      <c r="L16" s="357">
        <v>102.02</v>
      </c>
    </row>
    <row r="17" spans="1:12" s="281" customFormat="1" ht="16">
      <c r="A17" s="262"/>
      <c r="B17" s="277"/>
      <c r="C17" s="277" t="s">
        <v>1125</v>
      </c>
      <c r="D17" s="262">
        <v>1</v>
      </c>
      <c r="E17" s="365" t="s">
        <v>1124</v>
      </c>
      <c r="F17" s="327">
        <v>20</v>
      </c>
      <c r="G17" s="181">
        <v>1</v>
      </c>
      <c r="H17" s="327">
        <v>20</v>
      </c>
      <c r="I17" s="327">
        <v>22.6</v>
      </c>
      <c r="J17" s="327">
        <v>28.25</v>
      </c>
      <c r="K17" s="180"/>
      <c r="L17" s="270"/>
    </row>
    <row r="18" spans="1:12" s="281" customFormat="1" ht="16">
      <c r="A18" s="262"/>
      <c r="B18" s="277">
        <v>85107</v>
      </c>
      <c r="C18" s="277" t="s">
        <v>1112</v>
      </c>
      <c r="D18" s="262">
        <v>2</v>
      </c>
      <c r="E18" s="365" t="s">
        <v>1123</v>
      </c>
      <c r="F18" s="327">
        <v>25</v>
      </c>
      <c r="G18" s="181">
        <v>4</v>
      </c>
      <c r="H18" s="327">
        <v>100</v>
      </c>
      <c r="I18" s="327">
        <v>113</v>
      </c>
      <c r="J18" s="327">
        <v>141.25</v>
      </c>
      <c r="K18" s="180"/>
      <c r="L18" s="270">
        <v>75</v>
      </c>
    </row>
    <row r="19" spans="1:12" s="281" customFormat="1">
      <c r="A19" s="262"/>
      <c r="B19" s="277"/>
      <c r="C19" s="277"/>
      <c r="D19" s="262"/>
      <c r="E19" s="262"/>
      <c r="F19" s="180"/>
      <c r="G19" s="181"/>
      <c r="H19" s="180"/>
      <c r="I19" s="180"/>
      <c r="J19" s="180"/>
      <c r="K19" s="180"/>
      <c r="L19" s="270"/>
    </row>
    <row r="20" spans="1:12" s="279" customFormat="1" ht="14.5">
      <c r="A20" s="271"/>
      <c r="B20" s="214" t="s">
        <v>1122</v>
      </c>
      <c r="C20" s="213"/>
      <c r="D20" s="272"/>
      <c r="E20" s="272"/>
      <c r="F20" s="210"/>
      <c r="G20" s="211"/>
      <c r="H20" s="210"/>
      <c r="I20" s="328">
        <f>SUM(I11:I18)</f>
        <v>1019.2600000000001</v>
      </c>
      <c r="J20" s="328">
        <f t="shared" ref="J20:L20" si="0">SUM(J11:J18)</f>
        <v>1274.0899999999999</v>
      </c>
      <c r="K20" s="328">
        <f t="shared" si="0"/>
        <v>0</v>
      </c>
      <c r="L20" s="332">
        <f t="shared" si="0"/>
        <v>639.58000000000004</v>
      </c>
    </row>
    <row r="21" spans="1:12" s="281" customFormat="1">
      <c r="A21" s="271" t="s">
        <v>1121</v>
      </c>
      <c r="B21" s="277"/>
      <c r="C21" s="277"/>
      <c r="D21" s="262"/>
      <c r="E21" s="262"/>
      <c r="F21" s="180"/>
      <c r="G21" s="181"/>
      <c r="H21" s="180"/>
      <c r="I21" s="180"/>
      <c r="J21" s="180"/>
      <c r="K21" s="180"/>
      <c r="L21" s="270"/>
    </row>
    <row r="22" spans="1:12" s="281" customFormat="1">
      <c r="A22" s="262"/>
      <c r="B22" s="277">
        <v>85200</v>
      </c>
      <c r="C22" s="277" t="s">
        <v>1120</v>
      </c>
      <c r="D22" s="262">
        <v>6</v>
      </c>
      <c r="E22" s="262" t="s">
        <v>1119</v>
      </c>
      <c r="F22" s="327">
        <v>5</v>
      </c>
      <c r="G22" s="181">
        <v>60</v>
      </c>
      <c r="H22" s="327">
        <v>300</v>
      </c>
      <c r="I22" s="327">
        <v>339</v>
      </c>
      <c r="J22" s="327">
        <v>423.75</v>
      </c>
      <c r="K22" s="180"/>
      <c r="L22" s="270">
        <v>118.21</v>
      </c>
    </row>
    <row r="23" spans="1:12" s="281" customFormat="1">
      <c r="A23" s="262"/>
      <c r="B23" s="277">
        <v>85201</v>
      </c>
      <c r="C23" s="277" t="s">
        <v>1118</v>
      </c>
      <c r="D23" s="262">
        <v>5</v>
      </c>
      <c r="E23" s="262" t="s">
        <v>1117</v>
      </c>
      <c r="F23" s="327">
        <v>20</v>
      </c>
      <c r="G23" s="181">
        <v>1</v>
      </c>
      <c r="H23" s="327">
        <v>20</v>
      </c>
      <c r="I23" s="327">
        <v>22.6</v>
      </c>
      <c r="J23" s="327">
        <v>28.25</v>
      </c>
      <c r="K23" s="180"/>
      <c r="L23" s="270"/>
    </row>
    <row r="24" spans="1:12" s="281" customFormat="1">
      <c r="A24" s="262"/>
      <c r="B24" s="277">
        <v>85202</v>
      </c>
      <c r="C24" s="277" t="s">
        <v>1116</v>
      </c>
      <c r="D24" s="262">
        <v>4</v>
      </c>
      <c r="E24" s="262" t="s">
        <v>1115</v>
      </c>
      <c r="F24" s="327">
        <v>20</v>
      </c>
      <c r="G24" s="181">
        <v>2</v>
      </c>
      <c r="H24" s="327">
        <v>40</v>
      </c>
      <c r="I24" s="327">
        <v>45.2</v>
      </c>
      <c r="J24" s="327">
        <v>56.5</v>
      </c>
      <c r="K24" s="180"/>
      <c r="L24" s="270"/>
    </row>
    <row r="25" spans="1:12" s="281" customFormat="1">
      <c r="A25" s="262"/>
      <c r="B25" s="277">
        <v>85203</v>
      </c>
      <c r="C25" s="277" t="s">
        <v>1114</v>
      </c>
      <c r="D25" s="262">
        <v>2</v>
      </c>
      <c r="E25" s="262" t="s">
        <v>1113</v>
      </c>
      <c r="F25" s="327">
        <v>20</v>
      </c>
      <c r="G25" s="181">
        <v>11</v>
      </c>
      <c r="H25" s="327">
        <v>220</v>
      </c>
      <c r="I25" s="327">
        <v>248.6</v>
      </c>
      <c r="J25" s="327">
        <v>310.75</v>
      </c>
      <c r="K25" s="180"/>
      <c r="L25" s="270"/>
    </row>
    <row r="26" spans="1:12" s="281" customFormat="1">
      <c r="A26" s="262"/>
      <c r="B26" s="277">
        <v>85204</v>
      </c>
      <c r="C26" s="277" t="s">
        <v>1112</v>
      </c>
      <c r="D26" s="262">
        <v>3</v>
      </c>
      <c r="E26" s="262" t="s">
        <v>1111</v>
      </c>
      <c r="F26" s="327">
        <v>25</v>
      </c>
      <c r="G26" s="181">
        <v>3</v>
      </c>
      <c r="H26" s="327">
        <v>75</v>
      </c>
      <c r="I26" s="327">
        <v>84.75</v>
      </c>
      <c r="J26" s="327">
        <v>105.94</v>
      </c>
      <c r="K26" s="180"/>
      <c r="L26" s="270">
        <v>75</v>
      </c>
    </row>
    <row r="27" spans="1:12" s="281" customFormat="1">
      <c r="A27" s="262"/>
      <c r="B27" s="252">
        <v>85205</v>
      </c>
      <c r="C27" s="252" t="s">
        <v>1110</v>
      </c>
      <c r="D27" s="278">
        <v>1</v>
      </c>
      <c r="E27" s="278" t="s">
        <v>1109</v>
      </c>
      <c r="F27" s="330">
        <v>20</v>
      </c>
      <c r="G27" s="331">
        <v>1</v>
      </c>
      <c r="H27" s="330">
        <v>20</v>
      </c>
      <c r="I27" s="330">
        <v>22.6</v>
      </c>
      <c r="J27" s="330">
        <v>28.25</v>
      </c>
      <c r="K27" s="329"/>
      <c r="L27" s="357"/>
    </row>
    <row r="28" spans="1:12" s="281" customFormat="1">
      <c r="A28" s="262"/>
      <c r="B28" s="277"/>
      <c r="C28" s="277"/>
      <c r="D28" s="262"/>
      <c r="E28" s="262"/>
      <c r="F28" s="180"/>
      <c r="G28" s="181"/>
      <c r="H28" s="180"/>
      <c r="I28" s="180"/>
      <c r="J28" s="180"/>
      <c r="K28" s="180"/>
      <c r="L28" s="270"/>
    </row>
    <row r="29" spans="1:12" s="279" customFormat="1" ht="14.5">
      <c r="A29" s="271"/>
      <c r="B29" s="214" t="s">
        <v>1108</v>
      </c>
      <c r="C29" s="213"/>
      <c r="D29" s="272"/>
      <c r="E29" s="272"/>
      <c r="F29" s="210"/>
      <c r="G29" s="211"/>
      <c r="H29" s="210"/>
      <c r="I29" s="328">
        <f>SUM(I22:I27)</f>
        <v>762.75</v>
      </c>
      <c r="J29" s="328">
        <f t="shared" ref="J29:L29" si="1">SUM(J22:J27)</f>
        <v>953.44</v>
      </c>
      <c r="K29" s="328">
        <f t="shared" si="1"/>
        <v>0</v>
      </c>
      <c r="L29" s="332">
        <f t="shared" si="1"/>
        <v>193.20999999999998</v>
      </c>
    </row>
    <row r="30" spans="1:12" s="281" customFormat="1">
      <c r="A30" s="271" t="s">
        <v>51</v>
      </c>
      <c r="B30" s="277"/>
      <c r="C30" s="277"/>
      <c r="D30" s="262"/>
      <c r="F30" s="180"/>
      <c r="G30" s="181"/>
      <c r="H30" s="180"/>
      <c r="I30" s="180"/>
      <c r="J30" s="180"/>
      <c r="K30" s="180"/>
      <c r="L30" s="270">
        <v>392</v>
      </c>
    </row>
    <row r="31" spans="1:12" s="281" customFormat="1">
      <c r="A31" s="262"/>
      <c r="B31" s="277">
        <v>85300</v>
      </c>
      <c r="C31" s="277" t="s">
        <v>1106</v>
      </c>
      <c r="D31" s="262">
        <v>1</v>
      </c>
      <c r="E31" s="262" t="s">
        <v>1107</v>
      </c>
      <c r="F31" s="327">
        <v>28</v>
      </c>
      <c r="G31" s="181">
        <v>13</v>
      </c>
      <c r="H31" s="327">
        <v>364</v>
      </c>
      <c r="I31" s="327">
        <v>411.32</v>
      </c>
      <c r="J31" s="327">
        <v>514.15</v>
      </c>
      <c r="K31" s="180"/>
      <c r="L31" s="270"/>
    </row>
    <row r="32" spans="1:12" s="281" customFormat="1">
      <c r="A32" s="262"/>
      <c r="B32" s="277">
        <v>85301</v>
      </c>
      <c r="C32" s="277" t="s">
        <v>1105</v>
      </c>
      <c r="D32" s="262">
        <v>2</v>
      </c>
      <c r="E32" s="262" t="s">
        <v>1104</v>
      </c>
      <c r="F32" s="327">
        <v>15</v>
      </c>
      <c r="G32" s="181">
        <v>100</v>
      </c>
      <c r="H32" s="327">
        <v>1500</v>
      </c>
      <c r="I32" s="327">
        <v>1695</v>
      </c>
      <c r="J32" s="327">
        <v>2118.75</v>
      </c>
      <c r="K32" s="180"/>
      <c r="L32" s="270">
        <v>1500</v>
      </c>
    </row>
    <row r="33" spans="1:12" s="281" customFormat="1">
      <c r="A33" s="262"/>
      <c r="B33" s="277"/>
      <c r="C33" s="277"/>
      <c r="D33" s="262"/>
      <c r="E33" s="262"/>
      <c r="F33" s="180"/>
      <c r="G33" s="181"/>
      <c r="H33" s="180"/>
      <c r="I33" s="180"/>
      <c r="J33" s="180"/>
      <c r="K33" s="180"/>
      <c r="L33" s="270"/>
    </row>
    <row r="34" spans="1:12" s="279" customFormat="1" ht="14.5">
      <c r="A34" s="271"/>
      <c r="B34" s="214" t="s">
        <v>1103</v>
      </c>
      <c r="C34" s="213"/>
      <c r="D34" s="272"/>
      <c r="E34" s="272"/>
      <c r="F34" s="210"/>
      <c r="G34" s="211"/>
      <c r="H34" s="210"/>
      <c r="I34" s="328">
        <f>SUM(I31:I32)</f>
        <v>2106.3200000000002</v>
      </c>
      <c r="J34" s="328">
        <f t="shared" ref="J34:L34" si="2">SUM(J31:J32)</f>
        <v>2632.9</v>
      </c>
      <c r="K34" s="328">
        <f t="shared" si="2"/>
        <v>0</v>
      </c>
      <c r="L34" s="332">
        <f t="shared" si="2"/>
        <v>1500</v>
      </c>
    </row>
    <row r="35" spans="1:12">
      <c r="L35" s="202"/>
    </row>
    <row r="36" spans="1:12" s="203" customFormat="1" ht="14.5">
      <c r="A36" s="209"/>
      <c r="B36" s="208" t="s">
        <v>8</v>
      </c>
      <c r="C36" s="207"/>
      <c r="D36" s="206"/>
      <c r="E36" s="206"/>
      <c r="F36" s="204"/>
      <c r="G36" s="205"/>
      <c r="H36" s="204"/>
      <c r="I36" s="333">
        <f>SUM(I34,I29,I20)</f>
        <v>3888.3300000000004</v>
      </c>
      <c r="J36" s="333">
        <f t="shared" ref="J36:L36" si="3">SUM(J34,J29,J20)</f>
        <v>4860.43</v>
      </c>
      <c r="K36" s="333">
        <f t="shared" si="3"/>
        <v>0</v>
      </c>
      <c r="L36" s="326">
        <f t="shared" si="3"/>
        <v>2332.79</v>
      </c>
    </row>
    <row r="37" spans="1:12">
      <c r="L37" s="202"/>
    </row>
    <row r="38" spans="1:12" ht="15" customHeight="1">
      <c r="A38" s="201" t="s">
        <v>7</v>
      </c>
      <c r="B38" s="200"/>
      <c r="C38" s="200"/>
      <c r="D38" s="199"/>
      <c r="E38" s="199"/>
      <c r="F38" s="197"/>
      <c r="G38" s="198"/>
      <c r="H38" s="197"/>
      <c r="I38" s="197"/>
      <c r="J38" s="197"/>
      <c r="K38" s="197"/>
      <c r="L38" s="196"/>
    </row>
    <row r="39" spans="1:12" s="184" customFormat="1" ht="14.5">
      <c r="A39" s="193"/>
      <c r="B39" s="194" t="s">
        <v>6</v>
      </c>
      <c r="C39" s="194"/>
      <c r="D39" s="193"/>
      <c r="E39" s="193"/>
      <c r="F39" s="191"/>
      <c r="G39" s="192"/>
      <c r="H39" s="191"/>
      <c r="I39" s="191">
        <f>I7</f>
        <v>0</v>
      </c>
      <c r="J39" s="191">
        <f>J7</f>
        <v>0</v>
      </c>
      <c r="K39" s="191">
        <f>K7</f>
        <v>0</v>
      </c>
      <c r="L39" s="190">
        <f>L7</f>
        <v>0</v>
      </c>
    </row>
    <row r="40" spans="1:12" s="184" customFormat="1" ht="14.5">
      <c r="A40" s="193"/>
      <c r="B40" s="194" t="s">
        <v>5</v>
      </c>
      <c r="C40" s="194"/>
      <c r="D40" s="193"/>
      <c r="E40" s="193"/>
      <c r="F40" s="191"/>
      <c r="G40" s="192"/>
      <c r="H40" s="191"/>
      <c r="I40" s="191">
        <f>I36</f>
        <v>3888.3300000000004</v>
      </c>
      <c r="J40" s="191">
        <f>J36</f>
        <v>4860.43</v>
      </c>
      <c r="K40" s="191">
        <f>K36</f>
        <v>0</v>
      </c>
      <c r="L40" s="190">
        <f>L36</f>
        <v>2332.79</v>
      </c>
    </row>
    <row r="41" spans="1:12" s="184" customFormat="1" ht="14.5">
      <c r="A41" s="188"/>
      <c r="B41" s="189" t="s">
        <v>4</v>
      </c>
      <c r="C41" s="189"/>
      <c r="D41" s="188"/>
      <c r="E41" s="188"/>
      <c r="F41" s="186"/>
      <c r="G41" s="187"/>
      <c r="H41" s="186"/>
      <c r="I41" s="186">
        <f>SUM(I39,I40*-1)</f>
        <v>-3888.3300000000004</v>
      </c>
      <c r="J41" s="186">
        <f>SUM(J39,J40*-1)</f>
        <v>-4860.43</v>
      </c>
      <c r="K41" s="186">
        <f>SUM(K39,K40*-1)</f>
        <v>0</v>
      </c>
      <c r="L41" s="185">
        <f>SUM(L39,L40*-1)</f>
        <v>-2332.79</v>
      </c>
    </row>
  </sheetData>
  <mergeCells count="1">
    <mergeCell ref="B1:K1"/>
  </mergeCells>
  <conditionalFormatting sqref="B11:B18 D14:L14 D11:D13 F11:L13 D18:L18 D15:D17 F15:L17 B30:D31 F30:L31 B19:L20 B32:L41">
    <cfRule type="expression" dxfId="208" priority="4">
      <formula>MOD($B11,2)=1</formula>
    </cfRule>
  </conditionalFormatting>
  <conditionalFormatting sqref="B6:L8">
    <cfRule type="expression" dxfId="207" priority="3">
      <formula>MOD($B6,2)=1</formula>
    </cfRule>
  </conditionalFormatting>
  <conditionalFormatting sqref="B21:L29">
    <cfRule type="expression" dxfId="206" priority="2">
      <formula>MOD($B21,2)=1</formula>
    </cfRule>
  </conditionalFormatting>
  <conditionalFormatting sqref="C11:C18">
    <cfRule type="expression" dxfId="205" priority="1">
      <formula>MOD($B11,2)=1</formula>
    </cfRule>
  </conditionalFormatting>
  <conditionalFormatting sqref="E31">
    <cfRule type="expression" dxfId="204" priority="5">
      <formula>MOD($B31,2)=1</formula>
    </cfRule>
  </conditionalFormatting>
  <pageMargins left="0.7" right="0.7" top="0.75" bottom="0.75" header="0.3" footer="0.3"/>
  <pageSetup scale="26" fitToWidth="0" fitToHeight="0" orientation="portrait" r:id="rId1"/>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98E1AF-8C23-4B1C-9D8C-0FF81A22B059}">
  <sheetPr codeName="Sheet2"/>
  <dimension ref="A1:L37"/>
  <sheetViews>
    <sheetView showGridLines="0" zoomScale="51" zoomScaleNormal="75" workbookViewId="0">
      <pane ySplit="2" topLeftCell="A3" activePane="bottomLeft" state="frozen"/>
      <selection pane="bottomLeft" activeCell="D34" sqref="D34"/>
    </sheetView>
  </sheetViews>
  <sheetFormatPr defaultColWidth="8.58203125" defaultRowHeight="15.5"/>
  <cols>
    <col min="1" max="1" width="29.58203125" style="182" customWidth="1"/>
    <col min="2" max="3" width="23.1640625" style="183" customWidth="1"/>
    <col min="4" max="4" width="37.25" style="182" customWidth="1"/>
    <col min="5" max="5" width="36.33203125" style="182" customWidth="1"/>
    <col min="6" max="6" width="15.25" style="180" customWidth="1"/>
    <col min="7" max="7" width="15.25" style="181" customWidth="1"/>
    <col min="8" max="8" width="19.33203125" style="180" customWidth="1"/>
    <col min="9" max="9" width="18.1640625" style="180" customWidth="1"/>
    <col min="10" max="11" width="20.58203125" style="180" customWidth="1"/>
    <col min="12" max="12" width="20.83203125" style="179" customWidth="1"/>
    <col min="13" max="16384" width="8.58203125" style="178"/>
  </cols>
  <sheetData>
    <row r="1" spans="1:12" ht="148.5" customHeight="1">
      <c r="B1" s="369" t="s">
        <v>1102</v>
      </c>
      <c r="C1" s="369"/>
      <c r="D1" s="369"/>
      <c r="E1" s="369"/>
      <c r="F1" s="369"/>
      <c r="G1" s="369"/>
      <c r="H1" s="369"/>
      <c r="I1" s="369"/>
      <c r="J1" s="369"/>
      <c r="K1" s="369"/>
    </row>
    <row r="2" spans="1:12" s="219" customFormat="1" ht="15" customHeight="1">
      <c r="A2" s="222" t="s">
        <v>106</v>
      </c>
      <c r="B2" s="222" t="s">
        <v>105</v>
      </c>
      <c r="C2" s="222" t="s">
        <v>104</v>
      </c>
      <c r="D2" s="222" t="s">
        <v>103</v>
      </c>
      <c r="E2" s="222" t="s">
        <v>102</v>
      </c>
      <c r="F2" s="221" t="s">
        <v>101</v>
      </c>
      <c r="G2" s="222" t="s">
        <v>1</v>
      </c>
      <c r="H2" s="221" t="s">
        <v>100</v>
      </c>
      <c r="I2" s="221" t="s">
        <v>99</v>
      </c>
      <c r="J2" s="221" t="s">
        <v>176</v>
      </c>
      <c r="K2" s="221" t="s">
        <v>98</v>
      </c>
      <c r="L2" s="220" t="s">
        <v>2</v>
      </c>
    </row>
    <row r="3" spans="1:12" ht="14.25" customHeight="1">
      <c r="L3" s="218"/>
    </row>
    <row r="4" spans="1:12" ht="15" customHeight="1">
      <c r="A4" s="201" t="s">
        <v>0</v>
      </c>
      <c r="B4" s="200"/>
      <c r="C4" s="200"/>
      <c r="D4" s="199"/>
      <c r="E4" s="199"/>
      <c r="F4" s="197"/>
      <c r="G4" s="198"/>
      <c r="H4" s="197"/>
      <c r="I4" s="197"/>
      <c r="J4" s="197"/>
      <c r="K4" s="197"/>
      <c r="L4" s="196"/>
    </row>
    <row r="5" spans="1:12">
      <c r="A5" s="193" t="s">
        <v>446</v>
      </c>
      <c r="L5" s="217"/>
    </row>
    <row r="6" spans="1:12">
      <c r="L6" s="202"/>
    </row>
    <row r="7" spans="1:12" s="203" customFormat="1" ht="14.5">
      <c r="A7" s="209"/>
      <c r="B7" s="208" t="s">
        <v>83</v>
      </c>
      <c r="C7" s="207"/>
      <c r="D7" s="206"/>
      <c r="E7" s="206"/>
      <c r="F7" s="204"/>
      <c r="G7" s="205"/>
      <c r="H7" s="204"/>
      <c r="I7" s="204">
        <v>0</v>
      </c>
      <c r="J7" s="204">
        <v>0</v>
      </c>
      <c r="K7" s="204">
        <v>0</v>
      </c>
      <c r="L7" s="215">
        <v>0</v>
      </c>
    </row>
    <row r="8" spans="1:12">
      <c r="L8" s="202"/>
    </row>
    <row r="9" spans="1:12" ht="15" customHeight="1">
      <c r="A9" s="201" t="s">
        <v>3</v>
      </c>
      <c r="B9" s="200"/>
      <c r="C9" s="200"/>
      <c r="D9" s="199"/>
      <c r="E9" s="199"/>
      <c r="F9" s="197"/>
      <c r="G9" s="198"/>
      <c r="H9" s="197"/>
      <c r="I9" s="197"/>
      <c r="J9" s="197"/>
      <c r="K9" s="197"/>
      <c r="L9" s="196"/>
    </row>
    <row r="10" spans="1:12">
      <c r="A10" s="193" t="s">
        <v>1101</v>
      </c>
      <c r="L10" s="202"/>
    </row>
    <row r="11" spans="1:12">
      <c r="B11" s="183">
        <v>85100</v>
      </c>
      <c r="C11" s="183" t="s">
        <v>1100</v>
      </c>
      <c r="D11" s="181">
        <v>11</v>
      </c>
      <c r="E11" s="182" t="s">
        <v>1099</v>
      </c>
      <c r="F11" s="180">
        <v>50</v>
      </c>
      <c r="G11" s="181">
        <v>25</v>
      </c>
      <c r="H11" s="180">
        <f>F11*G11</f>
        <v>1250</v>
      </c>
      <c r="I11" s="180">
        <f>H11*1.13</f>
        <v>1412.4999999999998</v>
      </c>
      <c r="J11" s="180">
        <f>I11*1.25</f>
        <v>1765.6249999999998</v>
      </c>
      <c r="L11" s="202">
        <v>1029.48</v>
      </c>
    </row>
    <row r="12" spans="1:12">
      <c r="B12" s="183">
        <v>85101</v>
      </c>
      <c r="C12" s="183" t="s">
        <v>222</v>
      </c>
      <c r="D12" s="181">
        <v>10</v>
      </c>
      <c r="E12" s="182" t="s">
        <v>1098</v>
      </c>
      <c r="F12" s="180">
        <v>3</v>
      </c>
      <c r="G12" s="181">
        <v>250</v>
      </c>
      <c r="H12" s="180">
        <f>F12*G12</f>
        <v>750</v>
      </c>
      <c r="I12" s="180">
        <f>H12*1.13</f>
        <v>847.49999999999989</v>
      </c>
      <c r="J12" s="180">
        <f>I12*1.25</f>
        <v>1059.3749999999998</v>
      </c>
      <c r="L12" s="202">
        <v>680.59</v>
      </c>
    </row>
    <row r="13" spans="1:12">
      <c r="B13" s="183">
        <v>85102</v>
      </c>
      <c r="C13" s="183" t="s">
        <v>1097</v>
      </c>
      <c r="D13" s="182">
        <v>9</v>
      </c>
      <c r="E13" s="182" t="s">
        <v>1096</v>
      </c>
      <c r="F13" s="180">
        <v>40</v>
      </c>
      <c r="G13" s="181">
        <v>5</v>
      </c>
      <c r="H13" s="180">
        <f>F13*G13</f>
        <v>200</v>
      </c>
      <c r="I13" s="180">
        <f>H13*1.13</f>
        <v>225.99999999999997</v>
      </c>
      <c r="J13" s="180">
        <f>I13*1.25</f>
        <v>282.49999999999994</v>
      </c>
      <c r="L13" s="202"/>
    </row>
    <row r="14" spans="1:12">
      <c r="B14" s="183">
        <v>85103</v>
      </c>
      <c r="C14" s="183" t="s">
        <v>1095</v>
      </c>
      <c r="D14" s="182">
        <v>6</v>
      </c>
      <c r="E14" s="182" t="s">
        <v>1094</v>
      </c>
      <c r="F14" s="180">
        <v>8</v>
      </c>
      <c r="G14" s="181">
        <v>25</v>
      </c>
      <c r="H14" s="180">
        <f>F14*G14</f>
        <v>200</v>
      </c>
      <c r="I14" s="180">
        <f>H14*1.13</f>
        <v>225.99999999999997</v>
      </c>
      <c r="J14" s="180">
        <f>I14*1.25</f>
        <v>282.49999999999994</v>
      </c>
      <c r="L14" s="202"/>
    </row>
    <row r="15" spans="1:12">
      <c r="B15" s="183">
        <v>85104</v>
      </c>
      <c r="C15" s="183" t="s">
        <v>1093</v>
      </c>
      <c r="D15" s="182">
        <v>5</v>
      </c>
      <c r="E15" s="182" t="s">
        <v>1092</v>
      </c>
      <c r="F15" s="180">
        <v>20</v>
      </c>
      <c r="G15" s="181">
        <v>10</v>
      </c>
      <c r="H15" s="180">
        <f>F15*G15</f>
        <v>200</v>
      </c>
      <c r="I15" s="180">
        <f>H15*1.13</f>
        <v>225.99999999999997</v>
      </c>
      <c r="J15" s="180">
        <f>I15*1.25</f>
        <v>282.49999999999994</v>
      </c>
      <c r="L15" s="202">
        <v>279.61</v>
      </c>
    </row>
    <row r="16" spans="1:12">
      <c r="L16" s="202"/>
    </row>
    <row r="17" spans="1:12" s="184" customFormat="1" ht="14.5">
      <c r="A17" s="193"/>
      <c r="B17" s="214" t="s">
        <v>157</v>
      </c>
      <c r="C17" s="213"/>
      <c r="D17" s="212"/>
      <c r="E17" s="212"/>
      <c r="F17" s="210"/>
      <c r="G17" s="211"/>
      <c r="H17" s="210"/>
      <c r="I17" s="210">
        <f>SUM(I11:I15)</f>
        <v>2937.9999999999995</v>
      </c>
      <c r="J17" s="210">
        <f t="shared" ref="J17:L17" si="0">SUM(J11:J15)</f>
        <v>3672.4999999999995</v>
      </c>
      <c r="K17" s="210">
        <f t="shared" si="0"/>
        <v>0</v>
      </c>
      <c r="L17" s="216">
        <f t="shared" si="0"/>
        <v>1989.6800000000003</v>
      </c>
    </row>
    <row r="18" spans="1:12">
      <c r="A18" s="193" t="s">
        <v>961</v>
      </c>
      <c r="L18" s="202"/>
    </row>
    <row r="19" spans="1:12">
      <c r="B19" s="183">
        <v>85200</v>
      </c>
      <c r="C19" s="183" t="s">
        <v>1091</v>
      </c>
      <c r="D19" s="182">
        <v>8</v>
      </c>
      <c r="E19" s="182" t="s">
        <v>1090</v>
      </c>
      <c r="F19" s="180">
        <v>120</v>
      </c>
      <c r="G19" s="181">
        <v>1</v>
      </c>
      <c r="H19" s="180">
        <f>F19*G19</f>
        <v>120</v>
      </c>
      <c r="I19" s="180">
        <f>H19*1.13</f>
        <v>135.6</v>
      </c>
      <c r="J19" s="180">
        <f>I19*1.25</f>
        <v>169.5</v>
      </c>
      <c r="L19" s="202"/>
    </row>
    <row r="20" spans="1:12">
      <c r="B20" s="183">
        <v>85201</v>
      </c>
      <c r="C20" s="183" t="s">
        <v>1089</v>
      </c>
      <c r="D20" s="182">
        <v>7</v>
      </c>
      <c r="E20" s="182" t="s">
        <v>1088</v>
      </c>
      <c r="F20" s="180">
        <v>200</v>
      </c>
      <c r="G20" s="181">
        <v>1</v>
      </c>
      <c r="H20" s="180">
        <f>F20*G20</f>
        <v>200</v>
      </c>
      <c r="I20" s="180">
        <f>H20*1.13</f>
        <v>225.99999999999997</v>
      </c>
      <c r="J20" s="180">
        <f>I20*1.25</f>
        <v>282.49999999999994</v>
      </c>
      <c r="L20" s="202"/>
    </row>
    <row r="21" spans="1:12">
      <c r="L21" s="202"/>
    </row>
    <row r="22" spans="1:12" s="184" customFormat="1" ht="14.5">
      <c r="A22" s="193"/>
      <c r="B22" s="214" t="s">
        <v>142</v>
      </c>
      <c r="C22" s="213"/>
      <c r="D22" s="212"/>
      <c r="E22" s="212"/>
      <c r="F22" s="210"/>
      <c r="G22" s="211"/>
      <c r="H22" s="210"/>
      <c r="I22" s="210">
        <f>SUM(I19:I20)</f>
        <v>361.59999999999997</v>
      </c>
      <c r="J22" s="210">
        <f t="shared" ref="J22:L22" si="1">SUM(J19:J20)</f>
        <v>451.99999999999994</v>
      </c>
      <c r="K22" s="210">
        <f t="shared" si="1"/>
        <v>0</v>
      </c>
      <c r="L22" s="216">
        <f t="shared" si="1"/>
        <v>0</v>
      </c>
    </row>
    <row r="23" spans="1:12">
      <c r="A23" s="193" t="s">
        <v>1087</v>
      </c>
      <c r="L23" s="202"/>
    </row>
    <row r="24" spans="1:12">
      <c r="B24" s="183">
        <v>85200</v>
      </c>
      <c r="C24" s="183" t="s">
        <v>1086</v>
      </c>
      <c r="D24" s="182">
        <v>3</v>
      </c>
      <c r="E24" s="182" t="s">
        <v>1085</v>
      </c>
      <c r="F24" s="180">
        <v>0.85</v>
      </c>
      <c r="G24" s="181">
        <v>250</v>
      </c>
      <c r="H24" s="180">
        <f>F24*G24</f>
        <v>212.5</v>
      </c>
      <c r="I24" s="180">
        <f>H24*1.13</f>
        <v>240.12499999999997</v>
      </c>
      <c r="J24" s="180">
        <f>I24*1.25</f>
        <v>300.15624999999994</v>
      </c>
      <c r="L24" s="202"/>
    </row>
    <row r="25" spans="1:12">
      <c r="B25" s="183">
        <v>85201</v>
      </c>
      <c r="C25" s="183" t="s">
        <v>1084</v>
      </c>
      <c r="D25" s="182">
        <v>4</v>
      </c>
      <c r="E25" s="182" t="s">
        <v>1083</v>
      </c>
      <c r="F25" s="180">
        <v>5</v>
      </c>
      <c r="G25" s="181">
        <v>20</v>
      </c>
      <c r="H25" s="180">
        <f>F25*G25</f>
        <v>100</v>
      </c>
      <c r="I25" s="180">
        <f>H25*1.13</f>
        <v>112.99999999999999</v>
      </c>
      <c r="J25" s="180">
        <f>I25*1.25</f>
        <v>141.24999999999997</v>
      </c>
      <c r="L25" s="202">
        <v>17.23</v>
      </c>
    </row>
    <row r="26" spans="1:12">
      <c r="B26" s="183">
        <v>85202</v>
      </c>
      <c r="C26" s="183" t="s">
        <v>1082</v>
      </c>
      <c r="D26" s="182">
        <v>2</v>
      </c>
      <c r="E26" s="182" t="s">
        <v>1081</v>
      </c>
      <c r="F26" s="180">
        <v>0.5</v>
      </c>
      <c r="G26" s="181">
        <v>100</v>
      </c>
      <c r="H26" s="180">
        <f>F26*G26</f>
        <v>50</v>
      </c>
      <c r="I26" s="180">
        <f>H26*1.13</f>
        <v>56.499999999999993</v>
      </c>
      <c r="J26" s="180">
        <f>I26*1.25</f>
        <v>70.624999999999986</v>
      </c>
      <c r="L26" s="202"/>
    </row>
    <row r="27" spans="1:12">
      <c r="B27" s="183">
        <v>85203</v>
      </c>
      <c r="C27" s="183" t="s">
        <v>1080</v>
      </c>
      <c r="D27" s="182">
        <v>1</v>
      </c>
      <c r="E27" s="182" t="s">
        <v>1079</v>
      </c>
      <c r="F27" s="180">
        <v>200</v>
      </c>
      <c r="G27" s="181">
        <v>1</v>
      </c>
      <c r="H27" s="180">
        <f>F27*G27</f>
        <v>200</v>
      </c>
      <c r="I27" s="180">
        <f>H27*1.13</f>
        <v>225.99999999999997</v>
      </c>
      <c r="J27" s="180">
        <f>I27*1.25</f>
        <v>282.49999999999994</v>
      </c>
      <c r="L27" s="202">
        <v>27.75</v>
      </c>
    </row>
    <row r="28" spans="1:12">
      <c r="B28" s="183">
        <v>85204</v>
      </c>
      <c r="C28" s="183" t="s">
        <v>1078</v>
      </c>
      <c r="I28" s="180">
        <v>2229.12</v>
      </c>
      <c r="L28" s="289">
        <v>4014</v>
      </c>
    </row>
    <row r="29" spans="1:12">
      <c r="L29" s="202"/>
    </row>
    <row r="30" spans="1:12" s="184" customFormat="1" ht="14.5">
      <c r="A30" s="193"/>
      <c r="B30" s="214" t="s">
        <v>1001</v>
      </c>
      <c r="C30" s="213"/>
      <c r="D30" s="212"/>
      <c r="E30" s="212"/>
      <c r="F30" s="210"/>
      <c r="G30" s="211"/>
      <c r="H30" s="210"/>
      <c r="I30" s="210">
        <f>SUM(I24:I28)</f>
        <v>2864.7449999999999</v>
      </c>
      <c r="J30" s="210">
        <f t="shared" ref="J30:L30" si="2">SUM(J24:J28)</f>
        <v>794.53124999999977</v>
      </c>
      <c r="K30" s="210">
        <f t="shared" si="2"/>
        <v>0</v>
      </c>
      <c r="L30" s="216">
        <f t="shared" si="2"/>
        <v>4058.98</v>
      </c>
    </row>
    <row r="31" spans="1:12">
      <c r="L31" s="202"/>
    </row>
    <row r="32" spans="1:12" s="203" customFormat="1" ht="14.5">
      <c r="A32" s="209"/>
      <c r="B32" s="208" t="s">
        <v>8</v>
      </c>
      <c r="C32" s="207"/>
      <c r="D32" s="206"/>
      <c r="E32" s="206"/>
      <c r="F32" s="204"/>
      <c r="G32" s="205"/>
      <c r="H32" s="204"/>
      <c r="I32" s="204">
        <f>SUM(I17,I22,I30)</f>
        <v>6164.3449999999993</v>
      </c>
      <c r="J32" s="204">
        <f t="shared" ref="J32:L32" si="3">SUM(J17,J22,J30)</f>
        <v>4919.0312499999991</v>
      </c>
      <c r="K32" s="204">
        <f t="shared" si="3"/>
        <v>0</v>
      </c>
      <c r="L32" s="215">
        <f t="shared" si="3"/>
        <v>6048.66</v>
      </c>
    </row>
    <row r="33" spans="1:12">
      <c r="L33" s="202"/>
    </row>
    <row r="34" spans="1:12" ht="15" customHeight="1">
      <c r="A34" s="201" t="s">
        <v>7</v>
      </c>
      <c r="B34" s="200"/>
      <c r="C34" s="200"/>
      <c r="D34" s="199"/>
      <c r="E34" s="199"/>
      <c r="F34" s="197"/>
      <c r="G34" s="198"/>
      <c r="H34" s="197"/>
      <c r="I34" s="197"/>
      <c r="J34" s="197"/>
      <c r="K34" s="197"/>
      <c r="L34" s="196"/>
    </row>
    <row r="35" spans="1:12" s="184" customFormat="1" ht="14.5">
      <c r="A35" s="193"/>
      <c r="B35" s="194" t="s">
        <v>6</v>
      </c>
      <c r="C35" s="194"/>
      <c r="D35" s="193"/>
      <c r="E35" s="193"/>
      <c r="F35" s="191"/>
      <c r="G35" s="192"/>
      <c r="H35" s="191"/>
      <c r="I35" s="191">
        <f>I7</f>
        <v>0</v>
      </c>
      <c r="J35" s="191">
        <f>J7</f>
        <v>0</v>
      </c>
      <c r="K35" s="191">
        <f>K7</f>
        <v>0</v>
      </c>
      <c r="L35" s="195">
        <f>L7</f>
        <v>0</v>
      </c>
    </row>
    <row r="36" spans="1:12" s="184" customFormat="1" ht="14.5">
      <c r="A36" s="193"/>
      <c r="B36" s="194" t="s">
        <v>5</v>
      </c>
      <c r="C36" s="194"/>
      <c r="D36" s="193"/>
      <c r="E36" s="193"/>
      <c r="F36" s="191"/>
      <c r="G36" s="192"/>
      <c r="H36" s="191"/>
      <c r="I36" s="191">
        <f>I32</f>
        <v>6164.3449999999993</v>
      </c>
      <c r="J36" s="191">
        <f>J32</f>
        <v>4919.0312499999991</v>
      </c>
      <c r="K36" s="191">
        <f>K32</f>
        <v>0</v>
      </c>
      <c r="L36" s="190">
        <f>L32</f>
        <v>6048.66</v>
      </c>
    </row>
    <row r="37" spans="1:12" s="184" customFormat="1" ht="14.5">
      <c r="A37" s="188"/>
      <c r="B37" s="189" t="s">
        <v>4</v>
      </c>
      <c r="C37" s="189"/>
      <c r="D37" s="188"/>
      <c r="E37" s="188"/>
      <c r="F37" s="186"/>
      <c r="G37" s="187"/>
      <c r="H37" s="186"/>
      <c r="I37" s="186">
        <f>SUM(I35,I36*-1)</f>
        <v>-6164.3449999999993</v>
      </c>
      <c r="J37" s="186">
        <f>SUM(J35,J36*-1)</f>
        <v>-4919.0312499999991</v>
      </c>
      <c r="K37" s="186">
        <f>SUM(K35,K36*-1)</f>
        <v>0</v>
      </c>
      <c r="L37" s="185">
        <f>SUM(L35,L36*-1)</f>
        <v>-6048.66</v>
      </c>
    </row>
  </sheetData>
  <mergeCells count="1">
    <mergeCell ref="B1:K1"/>
  </mergeCells>
  <conditionalFormatting sqref="B11:L22 B31:L37">
    <cfRule type="expression" dxfId="203" priority="3">
      <formula>MOD($B11,2)=1</formula>
    </cfRule>
  </conditionalFormatting>
  <conditionalFormatting sqref="B6:L8">
    <cfRule type="expression" dxfId="202" priority="2">
      <formula>MOD($B6,2)=1</formula>
    </cfRule>
  </conditionalFormatting>
  <conditionalFormatting sqref="B23:L30">
    <cfRule type="expression" dxfId="201" priority="1">
      <formula>MOD($B23,2)=1</formula>
    </cfRule>
  </conditionalFormatting>
  <pageMargins left="0.7" right="0.7" top="0.75" bottom="0.75" header="0.3" footer="0.3"/>
  <pageSetup scale="26" fitToWidth="0" fitToHeight="0" orientation="portrait" r:id="rId1"/>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AAB891-2CB5-451A-A17E-18112BCB6DCF}">
  <sheetPr codeName="Sheet20"/>
  <dimension ref="A1:L51"/>
  <sheetViews>
    <sheetView showGridLines="0" zoomScale="56" zoomScaleNormal="85" workbookViewId="0">
      <pane ySplit="2" topLeftCell="A5" activePane="bottomLeft" state="frozen"/>
      <selection pane="bottomLeft" activeCell="I20" sqref="I20"/>
    </sheetView>
  </sheetViews>
  <sheetFormatPr defaultColWidth="9.58203125" defaultRowHeight="15.5"/>
  <cols>
    <col min="1" max="1" width="29.58203125" style="182" customWidth="1"/>
    <col min="2" max="3" width="23.1640625" style="183" customWidth="1"/>
    <col min="4" max="4" width="37.08203125" style="183" customWidth="1"/>
    <col min="5" max="5" width="36.33203125" style="182" customWidth="1"/>
    <col min="6" max="6" width="15.08203125" style="111" customWidth="1"/>
    <col min="7" max="7" width="15.08203125" style="183" customWidth="1"/>
    <col min="8" max="8" width="15" style="111" customWidth="1"/>
    <col min="9" max="9" width="14.83203125" style="111" customWidth="1"/>
    <col min="10" max="11" width="20.5" style="111" customWidth="1"/>
    <col min="12" max="12" width="20.83203125" style="120" customWidth="1"/>
    <col min="13" max="16384" width="9.58203125" style="178"/>
  </cols>
  <sheetData>
    <row r="1" spans="1:12" ht="148.5" customHeight="1">
      <c r="B1" s="369" t="s">
        <v>1074</v>
      </c>
      <c r="C1" s="369"/>
      <c r="D1" s="369"/>
      <c r="E1" s="369"/>
      <c r="F1" s="369"/>
      <c r="G1" s="369"/>
      <c r="H1" s="369"/>
      <c r="I1" s="369"/>
      <c r="J1" s="369"/>
      <c r="K1" s="369"/>
    </row>
    <row r="2" spans="1:12" s="219" customFormat="1" ht="15" customHeight="1">
      <c r="A2" s="222" t="s">
        <v>106</v>
      </c>
      <c r="B2" s="222" t="s">
        <v>105</v>
      </c>
      <c r="C2" s="222" t="s">
        <v>104</v>
      </c>
      <c r="D2" s="222" t="s">
        <v>103</v>
      </c>
      <c r="E2" s="222" t="s">
        <v>102</v>
      </c>
      <c r="F2" s="110" t="s">
        <v>101</v>
      </c>
      <c r="G2" s="222" t="s">
        <v>1</v>
      </c>
      <c r="H2" s="110" t="s">
        <v>100</v>
      </c>
      <c r="I2" s="110" t="s">
        <v>99</v>
      </c>
      <c r="J2" s="110" t="s">
        <v>176</v>
      </c>
      <c r="K2" s="110" t="s">
        <v>98</v>
      </c>
      <c r="L2" s="306" t="s">
        <v>2</v>
      </c>
    </row>
    <row r="3" spans="1:12" ht="14.25" customHeight="1">
      <c r="L3" s="122"/>
    </row>
    <row r="4" spans="1:12" ht="15" customHeight="1">
      <c r="A4" s="201" t="s">
        <v>0</v>
      </c>
      <c r="B4" s="200"/>
      <c r="C4" s="200"/>
      <c r="D4" s="200"/>
      <c r="E4" s="199"/>
      <c r="F4" s="112"/>
      <c r="G4" s="200"/>
      <c r="H4" s="112"/>
      <c r="I4" s="112"/>
      <c r="J4" s="112"/>
      <c r="K4" s="112"/>
      <c r="L4" s="123"/>
    </row>
    <row r="5" spans="1:12">
      <c r="A5" s="193" t="s">
        <v>446</v>
      </c>
      <c r="L5" s="124"/>
    </row>
    <row r="6" spans="1:12" s="184" customFormat="1" ht="14.5">
      <c r="A6" s="193"/>
      <c r="B6" s="214" t="s">
        <v>445</v>
      </c>
      <c r="C6" s="213"/>
      <c r="D6" s="213"/>
      <c r="E6" s="212"/>
      <c r="F6" s="114"/>
      <c r="G6" s="213"/>
      <c r="H6" s="114"/>
      <c r="I6" s="114">
        <v>0</v>
      </c>
      <c r="J6" s="114">
        <v>0</v>
      </c>
      <c r="K6" s="114">
        <v>0</v>
      </c>
      <c r="L6" s="126">
        <v>0</v>
      </c>
    </row>
    <row r="7" spans="1:12">
      <c r="L7" s="125"/>
    </row>
    <row r="8" spans="1:12" s="203" customFormat="1" ht="14.5">
      <c r="A8" s="209"/>
      <c r="B8" s="208" t="s">
        <v>83</v>
      </c>
      <c r="C8" s="207"/>
      <c r="D8" s="207"/>
      <c r="E8" s="206"/>
      <c r="F8" s="116"/>
      <c r="G8" s="207"/>
      <c r="H8" s="116"/>
      <c r="I8" s="116">
        <f>I6</f>
        <v>0</v>
      </c>
      <c r="J8" s="116">
        <f t="shared" ref="J8:L8" si="0">J6</f>
        <v>0</v>
      </c>
      <c r="K8" s="116">
        <f t="shared" si="0"/>
        <v>0</v>
      </c>
      <c r="L8" s="128">
        <f t="shared" si="0"/>
        <v>0</v>
      </c>
    </row>
    <row r="9" spans="1:12">
      <c r="L9" s="125"/>
    </row>
    <row r="10" spans="1:12" ht="15" customHeight="1">
      <c r="A10" s="201" t="s">
        <v>3</v>
      </c>
      <c r="B10" s="200"/>
      <c r="C10" s="200"/>
      <c r="D10" s="200"/>
      <c r="E10" s="199"/>
      <c r="F10" s="112"/>
      <c r="G10" s="200"/>
      <c r="H10" s="112"/>
      <c r="I10" s="112"/>
      <c r="J10" s="112"/>
      <c r="K10" s="112"/>
      <c r="L10" s="123"/>
    </row>
    <row r="11" spans="1:12">
      <c r="A11" s="193" t="s">
        <v>1075</v>
      </c>
      <c r="L11" s="125"/>
    </row>
    <row r="12" spans="1:12" ht="16.5">
      <c r="B12" s="183" t="s">
        <v>1073</v>
      </c>
      <c r="C12" s="183" t="s">
        <v>1072</v>
      </c>
      <c r="D12" s="183">
        <v>16</v>
      </c>
      <c r="E12" s="182" t="s">
        <v>1071</v>
      </c>
      <c r="F12" s="315">
        <v>400</v>
      </c>
      <c r="G12" s="316">
        <v>1</v>
      </c>
      <c r="H12" s="111">
        <f>F12*G12</f>
        <v>400</v>
      </c>
      <c r="I12" s="111">
        <f>H12*1.13</f>
        <v>451.99999999999994</v>
      </c>
      <c r="J12" s="111">
        <f>I12*1.25</f>
        <v>564.99999999999989</v>
      </c>
      <c r="K12" s="320"/>
      <c r="L12" s="321"/>
    </row>
    <row r="13" spans="1:12" ht="16.5">
      <c r="B13" s="183" t="s">
        <v>1070</v>
      </c>
      <c r="C13" s="183" t="s">
        <v>1058</v>
      </c>
      <c r="E13" s="182" t="s">
        <v>1064</v>
      </c>
      <c r="F13" s="317">
        <v>150</v>
      </c>
      <c r="G13" s="318">
        <v>4</v>
      </c>
      <c r="H13" s="111">
        <f t="shared" ref="H13:H19" si="1">F13*G13</f>
        <v>600</v>
      </c>
      <c r="I13" s="111">
        <f t="shared" ref="I13:I19" si="2">H13*1.13</f>
        <v>677.99999999999989</v>
      </c>
      <c r="J13" s="111">
        <f t="shared" ref="J13:J19" si="3">I13*1.25</f>
        <v>847.49999999999989</v>
      </c>
      <c r="K13" s="322">
        <v>186.45</v>
      </c>
      <c r="L13" s="323">
        <v>186.45</v>
      </c>
    </row>
    <row r="14" spans="1:12" ht="16.5">
      <c r="B14" s="183" t="s">
        <v>1069</v>
      </c>
      <c r="C14" s="183" t="s">
        <v>1054</v>
      </c>
      <c r="E14" s="182" t="s">
        <v>1064</v>
      </c>
      <c r="F14" s="315">
        <v>90</v>
      </c>
      <c r="G14" s="316">
        <v>4</v>
      </c>
      <c r="H14" s="111">
        <f t="shared" si="1"/>
        <v>360</v>
      </c>
      <c r="I14" s="111">
        <f t="shared" si="2"/>
        <v>406.79999999999995</v>
      </c>
      <c r="J14" s="111">
        <f t="shared" si="3"/>
        <v>508.49999999999994</v>
      </c>
      <c r="K14" s="320">
        <v>220</v>
      </c>
      <c r="L14" s="321">
        <v>220</v>
      </c>
    </row>
    <row r="15" spans="1:12" ht="16.5">
      <c r="B15" s="183" t="s">
        <v>1068</v>
      </c>
      <c r="C15" s="183" t="s">
        <v>1056</v>
      </c>
      <c r="E15" s="182" t="s">
        <v>1064</v>
      </c>
      <c r="F15" s="317">
        <v>150</v>
      </c>
      <c r="G15" s="318">
        <v>4</v>
      </c>
      <c r="H15" s="111">
        <f t="shared" si="1"/>
        <v>600</v>
      </c>
      <c r="I15" s="111">
        <f t="shared" si="2"/>
        <v>677.99999999999989</v>
      </c>
      <c r="J15" s="111">
        <f t="shared" si="3"/>
        <v>847.49999999999989</v>
      </c>
      <c r="K15" s="322">
        <v>320</v>
      </c>
      <c r="L15" s="323">
        <v>320</v>
      </c>
    </row>
    <row r="16" spans="1:12" ht="16.5">
      <c r="B16" s="183" t="s">
        <v>1067</v>
      </c>
      <c r="C16" s="183" t="s">
        <v>1050</v>
      </c>
      <c r="E16" s="182" t="s">
        <v>1064</v>
      </c>
      <c r="F16" s="315">
        <v>120</v>
      </c>
      <c r="G16" s="316">
        <v>4</v>
      </c>
      <c r="H16" s="111">
        <f t="shared" si="1"/>
        <v>480</v>
      </c>
      <c r="I16" s="111">
        <f t="shared" si="2"/>
        <v>542.4</v>
      </c>
      <c r="J16" s="111">
        <f t="shared" si="3"/>
        <v>678</v>
      </c>
      <c r="K16" s="320">
        <v>102</v>
      </c>
      <c r="L16" s="321">
        <v>102</v>
      </c>
    </row>
    <row r="17" spans="1:12" ht="16.5">
      <c r="B17" s="183" t="s">
        <v>1066</v>
      </c>
      <c r="C17" s="183" t="s">
        <v>1052</v>
      </c>
      <c r="E17" s="182" t="s">
        <v>1064</v>
      </c>
      <c r="F17" s="317">
        <v>20</v>
      </c>
      <c r="G17" s="318">
        <v>4</v>
      </c>
      <c r="H17" s="111">
        <f t="shared" si="1"/>
        <v>80</v>
      </c>
      <c r="I17" s="111">
        <f t="shared" si="2"/>
        <v>90.399999999999991</v>
      </c>
      <c r="J17" s="111">
        <f t="shared" si="3"/>
        <v>112.99999999999999</v>
      </c>
      <c r="K17" s="322">
        <v>0</v>
      </c>
      <c r="L17" s="323">
        <v>0</v>
      </c>
    </row>
    <row r="18" spans="1:12" ht="16.5">
      <c r="B18" s="183" t="s">
        <v>1065</v>
      </c>
      <c r="C18" s="183" t="s">
        <v>1048</v>
      </c>
      <c r="E18" s="182" t="s">
        <v>1064</v>
      </c>
      <c r="F18" s="315">
        <v>150</v>
      </c>
      <c r="G18" s="316">
        <v>4</v>
      </c>
      <c r="H18" s="111">
        <f t="shared" si="1"/>
        <v>600</v>
      </c>
      <c r="I18" s="111">
        <f t="shared" si="2"/>
        <v>677.99999999999989</v>
      </c>
      <c r="J18" s="111">
        <f t="shared" si="3"/>
        <v>847.49999999999989</v>
      </c>
      <c r="K18" s="320">
        <v>185</v>
      </c>
      <c r="L18" s="321">
        <v>185</v>
      </c>
    </row>
    <row r="19" spans="1:12" ht="16.5">
      <c r="B19" s="183" t="s">
        <v>1063</v>
      </c>
      <c r="C19" s="183" t="s">
        <v>1062</v>
      </c>
      <c r="E19" s="182" t="s">
        <v>1061</v>
      </c>
      <c r="F19" s="317">
        <v>20</v>
      </c>
      <c r="G19" s="318">
        <v>15</v>
      </c>
      <c r="H19" s="111">
        <f t="shared" si="1"/>
        <v>300</v>
      </c>
      <c r="I19" s="111">
        <f t="shared" si="2"/>
        <v>338.99999999999994</v>
      </c>
      <c r="J19" s="111">
        <f t="shared" si="3"/>
        <v>423.74999999999994</v>
      </c>
      <c r="K19" s="322">
        <v>340</v>
      </c>
      <c r="L19" s="323">
        <v>340</v>
      </c>
    </row>
    <row r="20" spans="1:12">
      <c r="L20" s="125"/>
    </row>
    <row r="21" spans="1:12" ht="14.5">
      <c r="B21" s="214" t="s">
        <v>157</v>
      </c>
      <c r="C21" s="213"/>
      <c r="D21" s="213"/>
      <c r="E21" s="212"/>
      <c r="F21" s="114"/>
      <c r="G21" s="213"/>
      <c r="H21" s="114"/>
      <c r="I21" s="114">
        <f>SUM(I12:I19)</f>
        <v>3864.6</v>
      </c>
      <c r="J21" s="114">
        <f t="shared" ref="J21:L21" si="4">SUM(J12:J19)</f>
        <v>4830.7499999999991</v>
      </c>
      <c r="K21" s="114">
        <f t="shared" si="4"/>
        <v>1353.45</v>
      </c>
      <c r="L21" s="126">
        <f t="shared" si="4"/>
        <v>1353.45</v>
      </c>
    </row>
    <row r="22" spans="1:12">
      <c r="A22" s="193" t="s">
        <v>1060</v>
      </c>
      <c r="L22" s="125"/>
    </row>
    <row r="23" spans="1:12" ht="16.5">
      <c r="B23" s="183" t="s">
        <v>1059</v>
      </c>
      <c r="C23" s="183" t="s">
        <v>1047</v>
      </c>
      <c r="D23" s="183">
        <v>6</v>
      </c>
      <c r="E23" s="182" t="s">
        <v>1058</v>
      </c>
      <c r="F23" s="315">
        <v>75</v>
      </c>
      <c r="G23" s="316">
        <v>2</v>
      </c>
      <c r="H23" s="111">
        <f>F23*G23</f>
        <v>150</v>
      </c>
      <c r="I23" s="111">
        <f>H23*1.13</f>
        <v>169.49999999999997</v>
      </c>
      <c r="J23" s="111">
        <f>I23*1.25</f>
        <v>211.87499999999997</v>
      </c>
      <c r="K23" s="320"/>
      <c r="L23" s="321"/>
    </row>
    <row r="24" spans="1:12" ht="16.5">
      <c r="B24" s="183" t="s">
        <v>1057</v>
      </c>
      <c r="C24" s="183" t="s">
        <v>1047</v>
      </c>
      <c r="D24" s="183">
        <v>7</v>
      </c>
      <c r="E24" s="182" t="s">
        <v>1056</v>
      </c>
      <c r="F24" s="317">
        <v>75</v>
      </c>
      <c r="G24" s="318">
        <v>2</v>
      </c>
      <c r="H24" s="111">
        <f t="shared" ref="H24:H29" si="5">F24*G24</f>
        <v>150</v>
      </c>
      <c r="I24" s="111">
        <f t="shared" ref="I24:I29" si="6">H24*1.13</f>
        <v>169.49999999999997</v>
      </c>
      <c r="J24" s="111">
        <f t="shared" ref="J24:J29" si="7">I24*1.25</f>
        <v>211.87499999999997</v>
      </c>
      <c r="K24" s="322"/>
      <c r="L24" s="323"/>
    </row>
    <row r="25" spans="1:12" ht="16.5">
      <c r="B25" s="183" t="s">
        <v>1055</v>
      </c>
      <c r="C25" s="183" t="s">
        <v>1047</v>
      </c>
      <c r="D25" s="183">
        <v>9</v>
      </c>
      <c r="E25" s="182" t="s">
        <v>1054</v>
      </c>
      <c r="F25" s="315">
        <v>75</v>
      </c>
      <c r="G25" s="316">
        <v>2</v>
      </c>
      <c r="H25" s="111">
        <f t="shared" si="5"/>
        <v>150</v>
      </c>
      <c r="I25" s="111">
        <f t="shared" si="6"/>
        <v>169.49999999999997</v>
      </c>
      <c r="J25" s="111">
        <f t="shared" si="7"/>
        <v>211.87499999999997</v>
      </c>
      <c r="K25" s="320"/>
      <c r="L25" s="321"/>
    </row>
    <row r="26" spans="1:12" s="184" customFormat="1" ht="16.5">
      <c r="A26" s="182"/>
      <c r="B26" s="183" t="s">
        <v>1076</v>
      </c>
      <c r="C26" s="183" t="s">
        <v>1047</v>
      </c>
      <c r="D26" s="183"/>
      <c r="E26" s="182" t="s">
        <v>1052</v>
      </c>
      <c r="F26" s="317">
        <v>20</v>
      </c>
      <c r="G26" s="318">
        <v>2</v>
      </c>
      <c r="H26" s="111">
        <f t="shared" si="5"/>
        <v>40</v>
      </c>
      <c r="I26" s="111">
        <f t="shared" si="6"/>
        <v>45.199999999999996</v>
      </c>
      <c r="J26" s="111">
        <f t="shared" si="7"/>
        <v>56.499999999999993</v>
      </c>
      <c r="K26" s="322">
        <v>40</v>
      </c>
      <c r="L26" s="323">
        <v>40</v>
      </c>
    </row>
    <row r="27" spans="1:12" ht="16.5">
      <c r="B27" s="183" t="s">
        <v>1053</v>
      </c>
      <c r="C27" s="183" t="s">
        <v>1047</v>
      </c>
      <c r="D27" s="183">
        <v>5</v>
      </c>
      <c r="E27" s="182" t="s">
        <v>1050</v>
      </c>
      <c r="F27" s="315">
        <v>75</v>
      </c>
      <c r="G27" s="316">
        <v>2</v>
      </c>
      <c r="H27" s="111">
        <f t="shared" si="5"/>
        <v>150</v>
      </c>
      <c r="I27" s="111">
        <f t="shared" si="6"/>
        <v>169.49999999999997</v>
      </c>
      <c r="J27" s="111">
        <f t="shared" si="7"/>
        <v>211.87499999999997</v>
      </c>
      <c r="K27" s="320"/>
      <c r="L27" s="321"/>
    </row>
    <row r="28" spans="1:12" ht="16.5">
      <c r="B28" s="183" t="s">
        <v>1051</v>
      </c>
      <c r="C28" s="183" t="s">
        <v>1047</v>
      </c>
      <c r="D28" s="183">
        <v>4</v>
      </c>
      <c r="E28" s="182" t="s">
        <v>1048</v>
      </c>
      <c r="F28" s="317">
        <v>75</v>
      </c>
      <c r="G28" s="318">
        <v>2</v>
      </c>
      <c r="H28" s="111">
        <f t="shared" si="5"/>
        <v>150</v>
      </c>
      <c r="I28" s="111">
        <f t="shared" si="6"/>
        <v>169.49999999999997</v>
      </c>
      <c r="J28" s="111">
        <f t="shared" si="7"/>
        <v>211.87499999999997</v>
      </c>
      <c r="K28" s="322"/>
      <c r="L28" s="323"/>
    </row>
    <row r="29" spans="1:12" ht="16.5">
      <c r="B29" s="183" t="s">
        <v>1049</v>
      </c>
      <c r="C29" s="183" t="s">
        <v>1047</v>
      </c>
      <c r="D29" s="183">
        <v>1</v>
      </c>
      <c r="E29" s="182" t="s">
        <v>1046</v>
      </c>
      <c r="F29" s="315">
        <v>75</v>
      </c>
      <c r="G29" s="316">
        <v>5</v>
      </c>
      <c r="H29" s="111">
        <f t="shared" si="5"/>
        <v>375</v>
      </c>
      <c r="I29" s="111">
        <f t="shared" si="6"/>
        <v>423.74999999999994</v>
      </c>
      <c r="J29" s="111">
        <f t="shared" si="7"/>
        <v>529.68749999999989</v>
      </c>
      <c r="K29" s="320">
        <v>1143</v>
      </c>
      <c r="L29" s="321">
        <v>1143</v>
      </c>
    </row>
    <row r="30" spans="1:12">
      <c r="L30" s="125"/>
    </row>
    <row r="31" spans="1:12" ht="14.5">
      <c r="A31" s="193"/>
      <c r="B31" s="214" t="s">
        <v>142</v>
      </c>
      <c r="C31" s="213"/>
      <c r="D31" s="213"/>
      <c r="E31" s="212"/>
      <c r="F31" s="114"/>
      <c r="G31" s="213"/>
      <c r="H31" s="114"/>
      <c r="I31" s="114">
        <f>SUM(I23:I29)</f>
        <v>1316.4499999999998</v>
      </c>
      <c r="J31" s="114">
        <f t="shared" ref="J31:L31" si="8">SUM(J23:J29)</f>
        <v>1645.5624999999995</v>
      </c>
      <c r="K31" s="114">
        <f t="shared" si="8"/>
        <v>1183</v>
      </c>
      <c r="L31" s="126">
        <f t="shared" si="8"/>
        <v>1183</v>
      </c>
    </row>
    <row r="32" spans="1:12">
      <c r="A32" s="193" t="s">
        <v>1045</v>
      </c>
      <c r="L32" s="125"/>
    </row>
    <row r="33" spans="1:12" ht="16.5">
      <c r="B33" s="183" t="s">
        <v>1044</v>
      </c>
      <c r="C33" s="183" t="s">
        <v>1043</v>
      </c>
      <c r="D33" s="183">
        <v>8</v>
      </c>
      <c r="E33" s="182" t="s">
        <v>1042</v>
      </c>
      <c r="F33" s="313">
        <v>20</v>
      </c>
      <c r="G33" s="314">
        <v>4</v>
      </c>
      <c r="H33" s="111">
        <f>F33*G33</f>
        <v>80</v>
      </c>
      <c r="I33" s="111">
        <f>H33*1.13</f>
        <v>90.399999999999991</v>
      </c>
      <c r="J33" s="111">
        <f>I33*1.25</f>
        <v>112.99999999999999</v>
      </c>
      <c r="K33" s="324">
        <f>37.52+16.57+20.94</f>
        <v>75.03</v>
      </c>
      <c r="L33" s="325">
        <f>37.52+16.57+20.94</f>
        <v>75.03</v>
      </c>
    </row>
    <row r="34" spans="1:12">
      <c r="L34" s="125"/>
    </row>
    <row r="35" spans="1:12">
      <c r="A35" s="193"/>
      <c r="B35" s="214" t="s">
        <v>1001</v>
      </c>
      <c r="C35" s="213"/>
      <c r="D35" s="213"/>
      <c r="E35" s="212"/>
      <c r="F35" s="114"/>
      <c r="G35" s="213"/>
      <c r="H35" s="148"/>
      <c r="I35" s="114">
        <f>I33</f>
        <v>90.399999999999991</v>
      </c>
      <c r="J35" s="114">
        <f t="shared" ref="J35:L35" si="9">J33</f>
        <v>112.99999999999999</v>
      </c>
      <c r="K35" s="114">
        <f t="shared" si="9"/>
        <v>75.03</v>
      </c>
      <c r="L35" s="126">
        <f t="shared" si="9"/>
        <v>75.03</v>
      </c>
    </row>
    <row r="36" spans="1:12">
      <c r="A36" s="193" t="s">
        <v>1041</v>
      </c>
      <c r="L36" s="125"/>
    </row>
    <row r="37" spans="1:12" s="184" customFormat="1" ht="16.5">
      <c r="B37" s="242" t="s">
        <v>1040</v>
      </c>
      <c r="C37" s="178" t="s">
        <v>1039</v>
      </c>
      <c r="D37" s="242">
        <v>15</v>
      </c>
      <c r="E37" s="178" t="s">
        <v>1038</v>
      </c>
      <c r="F37" s="313">
        <v>50</v>
      </c>
      <c r="G37" s="314">
        <v>4</v>
      </c>
      <c r="H37" s="111">
        <f>F37*G37</f>
        <v>200</v>
      </c>
      <c r="I37" s="111">
        <f>H37*1.13</f>
        <v>225.99999999999997</v>
      </c>
      <c r="J37" s="111">
        <f>I37*1.25</f>
        <v>282.49999999999994</v>
      </c>
      <c r="K37" s="302"/>
      <c r="L37" s="307">
        <v>0</v>
      </c>
    </row>
    <row r="38" spans="1:12" ht="16.5">
      <c r="B38" s="183" t="s">
        <v>1037</v>
      </c>
      <c r="C38" s="183" t="s">
        <v>1077</v>
      </c>
      <c r="D38" s="183">
        <v>14</v>
      </c>
      <c r="E38" s="182" t="s">
        <v>1036</v>
      </c>
      <c r="F38" s="309">
        <v>50</v>
      </c>
      <c r="G38" s="310">
        <v>2</v>
      </c>
      <c r="H38" s="111">
        <f>F38*G38</f>
        <v>100</v>
      </c>
      <c r="I38" s="111">
        <f>H38*1.13</f>
        <v>112.99999999999999</v>
      </c>
      <c r="J38" s="111">
        <f>I38*1.25</f>
        <v>141.24999999999997</v>
      </c>
      <c r="L38" s="125"/>
    </row>
    <row r="39" spans="1:12" s="203" customFormat="1">
      <c r="B39" s="301"/>
      <c r="C39" s="301"/>
      <c r="D39" s="300"/>
      <c r="E39" s="301"/>
      <c r="F39" s="111"/>
      <c r="G39" s="300"/>
      <c r="H39" s="111"/>
      <c r="I39" s="111"/>
      <c r="J39" s="111"/>
      <c r="K39" s="303"/>
      <c r="L39" s="308"/>
    </row>
    <row r="40" spans="1:12">
      <c r="B40" s="214" t="s">
        <v>992</v>
      </c>
      <c r="C40" s="297"/>
      <c r="D40" s="297"/>
      <c r="E40" s="298"/>
      <c r="F40" s="148"/>
      <c r="G40" s="297"/>
      <c r="H40" s="148"/>
      <c r="I40" s="114">
        <f>SUM(I37:I38)</f>
        <v>338.99999999999994</v>
      </c>
      <c r="J40" s="114">
        <f t="shared" ref="J40:L40" si="10">SUM(J37:J38)</f>
        <v>423.74999999999989</v>
      </c>
      <c r="K40" s="114">
        <f t="shared" si="10"/>
        <v>0</v>
      </c>
      <c r="L40" s="126">
        <f t="shared" si="10"/>
        <v>0</v>
      </c>
    </row>
    <row r="41" spans="1:12" ht="15" customHeight="1">
      <c r="A41" s="193" t="s">
        <v>1034</v>
      </c>
      <c r="L41" s="125"/>
    </row>
    <row r="42" spans="1:12" s="184" customFormat="1" ht="16.5">
      <c r="B42" s="183" t="s">
        <v>1035</v>
      </c>
      <c r="C42" s="183" t="s">
        <v>1034</v>
      </c>
      <c r="D42" s="183">
        <v>12</v>
      </c>
      <c r="E42" s="319" t="s">
        <v>1033</v>
      </c>
      <c r="F42" s="311">
        <v>3200</v>
      </c>
      <c r="G42" s="312">
        <v>1</v>
      </c>
      <c r="H42" s="111">
        <f>F42*G42</f>
        <v>3200</v>
      </c>
      <c r="I42" s="111">
        <f>H42*1.13</f>
        <v>3615.9999999999995</v>
      </c>
      <c r="J42" s="111">
        <f>I42*1.25</f>
        <v>4519.9999999999991</v>
      </c>
      <c r="K42" s="302"/>
      <c r="L42" s="307">
        <v>1160.67</v>
      </c>
    </row>
    <row r="43" spans="1:12" s="184" customFormat="1">
      <c r="B43" s="183"/>
      <c r="C43" s="183"/>
      <c r="D43" s="183"/>
      <c r="E43" s="183"/>
      <c r="F43" s="111"/>
      <c r="G43" s="299"/>
      <c r="H43" s="111"/>
      <c r="I43" s="111"/>
      <c r="J43" s="111"/>
      <c r="K43" s="302"/>
      <c r="L43" s="307"/>
    </row>
    <row r="44" spans="1:12">
      <c r="B44" s="214" t="s">
        <v>984</v>
      </c>
      <c r="C44" s="297"/>
      <c r="D44" s="297"/>
      <c r="E44" s="298"/>
      <c r="F44" s="148"/>
      <c r="G44" s="297"/>
      <c r="H44" s="148"/>
      <c r="I44" s="114">
        <f>SUM(I42:I42)</f>
        <v>3615.9999999999995</v>
      </c>
      <c r="J44" s="114">
        <f t="shared" ref="J44:L44" si="11">SUM(J42:J42)</f>
        <v>4519.9999999999991</v>
      </c>
      <c r="K44" s="114">
        <f t="shared" si="11"/>
        <v>0</v>
      </c>
      <c r="L44" s="126">
        <f t="shared" si="11"/>
        <v>1160.67</v>
      </c>
    </row>
    <row r="45" spans="1:12">
      <c r="B45" s="231"/>
      <c r="C45" s="304"/>
      <c r="D45" s="304"/>
      <c r="E45" s="305"/>
      <c r="F45" s="156"/>
      <c r="G45" s="304"/>
      <c r="H45" s="156"/>
      <c r="I45" s="158"/>
      <c r="J45" s="158"/>
      <c r="K45" s="158"/>
      <c r="L45" s="127"/>
    </row>
    <row r="46" spans="1:12" ht="14.5">
      <c r="A46" s="209"/>
      <c r="B46" s="208" t="s">
        <v>8</v>
      </c>
      <c r="C46" s="207"/>
      <c r="D46" s="207"/>
      <c r="E46" s="206"/>
      <c r="F46" s="116"/>
      <c r="G46" s="207"/>
      <c r="H46" s="116"/>
      <c r="I46" s="116">
        <f>SUM(I21,I31,I35,I40,I44)</f>
        <v>9226.4499999999989</v>
      </c>
      <c r="J46" s="116">
        <f t="shared" ref="J46:L46" si="12">SUM(J21,J31,J35,J40,J44)</f>
        <v>11533.062499999996</v>
      </c>
      <c r="K46" s="116">
        <f t="shared" si="12"/>
        <v>2611.48</v>
      </c>
      <c r="L46" s="128">
        <f t="shared" si="12"/>
        <v>3772.15</v>
      </c>
    </row>
    <row r="47" spans="1:12">
      <c r="L47" s="125"/>
    </row>
    <row r="48" spans="1:12">
      <c r="A48" s="201" t="s">
        <v>7</v>
      </c>
      <c r="B48" s="200"/>
      <c r="C48" s="200"/>
      <c r="D48" s="200"/>
      <c r="E48" s="199"/>
      <c r="F48" s="112"/>
      <c r="G48" s="200"/>
      <c r="H48" s="112"/>
      <c r="I48" s="112"/>
      <c r="J48" s="112"/>
      <c r="K48" s="112"/>
      <c r="L48" s="123"/>
    </row>
    <row r="49" spans="1:12" ht="14.5">
      <c r="A49" s="193"/>
      <c r="B49" s="194" t="s">
        <v>6</v>
      </c>
      <c r="C49" s="194"/>
      <c r="D49" s="194"/>
      <c r="E49" s="193"/>
      <c r="F49" s="115"/>
      <c r="G49" s="194"/>
      <c r="H49" s="115"/>
      <c r="I49" s="115">
        <f>I8</f>
        <v>0</v>
      </c>
      <c r="J49" s="115">
        <f>J8</f>
        <v>0</v>
      </c>
      <c r="K49" s="115">
        <f>K8</f>
        <v>0</v>
      </c>
      <c r="L49" s="130">
        <f>L8</f>
        <v>0</v>
      </c>
    </row>
    <row r="50" spans="1:12" ht="14.5">
      <c r="A50" s="193"/>
      <c r="B50" s="194" t="s">
        <v>5</v>
      </c>
      <c r="C50" s="194"/>
      <c r="D50" s="194"/>
      <c r="E50" s="193"/>
      <c r="F50" s="115"/>
      <c r="G50" s="194"/>
      <c r="H50" s="115"/>
      <c r="I50" s="115">
        <f>I46</f>
        <v>9226.4499999999989</v>
      </c>
      <c r="J50" s="115">
        <f>J46</f>
        <v>11533.062499999996</v>
      </c>
      <c r="K50" s="115">
        <f>K46</f>
        <v>2611.48</v>
      </c>
      <c r="L50" s="127">
        <f>L46</f>
        <v>3772.15</v>
      </c>
    </row>
    <row r="51" spans="1:12" ht="14.5">
      <c r="A51" s="188"/>
      <c r="B51" s="189" t="s">
        <v>4</v>
      </c>
      <c r="C51" s="189"/>
      <c r="D51" s="189"/>
      <c r="E51" s="188"/>
      <c r="F51" s="118"/>
      <c r="G51" s="189"/>
      <c r="H51" s="118"/>
      <c r="I51" s="118">
        <f>SUM(I49,I50*-1)</f>
        <v>-9226.4499999999989</v>
      </c>
      <c r="J51" s="118">
        <f>SUM(J49,J50*-1)</f>
        <v>-11533.062499999996</v>
      </c>
      <c r="K51" s="118">
        <f>SUM(K49,K50*-1)</f>
        <v>-2611.48</v>
      </c>
      <c r="L51" s="131">
        <f>SUM(L49,L50*-1)</f>
        <v>-3772.15</v>
      </c>
    </row>
  </sheetData>
  <mergeCells count="1">
    <mergeCell ref="B1:K1"/>
  </mergeCells>
  <phoneticPr fontId="23" type="noConversion"/>
  <conditionalFormatting sqref="B34:G36 C24:G27 B22:C23 E22:L23 B6:L6 B45 I45:L45 E28:E29 B24:B29 H42:J43 K24:L27 H24:J29 H34:H39 I37:J39 B12:L21 B31:L33 I34:L36 B46:L51">
    <cfRule type="expression" dxfId="200" priority="17">
      <formula>MOD($B6,2)=1</formula>
    </cfRule>
  </conditionalFormatting>
  <conditionalFormatting sqref="B7:L9">
    <cfRule type="expression" dxfId="199" priority="16">
      <formula>MOD($B7,2)=1</formula>
    </cfRule>
  </conditionalFormatting>
  <conditionalFormatting sqref="I40:L40">
    <cfRule type="expression" dxfId="198" priority="13">
      <formula>MOD($B40,2)=1</formula>
    </cfRule>
  </conditionalFormatting>
  <conditionalFormatting sqref="B40">
    <cfRule type="expression" dxfId="197" priority="12">
      <formula>MOD($B40,2)=1</formula>
    </cfRule>
  </conditionalFormatting>
  <conditionalFormatting sqref="I44:L44">
    <cfRule type="expression" dxfId="196" priority="8">
      <formula>MOD($B44,2)=1</formula>
    </cfRule>
  </conditionalFormatting>
  <conditionalFormatting sqref="B44">
    <cfRule type="expression" dxfId="195" priority="7">
      <formula>MOD($B44,2)=1</formula>
    </cfRule>
  </conditionalFormatting>
  <conditionalFormatting sqref="D23">
    <cfRule type="expression" dxfId="194" priority="18">
      <formula>MOD($B22,2)=1</formula>
    </cfRule>
  </conditionalFormatting>
  <pageMargins left="0.7" right="0.7" top="0.75" bottom="0.75" header="0.3" footer="0.3"/>
  <pageSetup scale="26" fitToWidth="0" fitToHeight="0" orientation="portrait" r:id="rId1"/>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ED7B35-8CC2-4400-865E-688EF8FC0180}">
  <sheetPr codeName="Sheet19"/>
  <dimension ref="A1:L54"/>
  <sheetViews>
    <sheetView showGridLines="0" zoomScale="57" zoomScaleNormal="75" workbookViewId="0">
      <pane ySplit="2" topLeftCell="A16" activePane="bottomLeft" state="frozen"/>
      <selection pane="bottomLeft" activeCell="G45" sqref="G45"/>
    </sheetView>
  </sheetViews>
  <sheetFormatPr defaultColWidth="9.58203125" defaultRowHeight="15.5"/>
  <cols>
    <col min="1" max="1" width="29.58203125" style="182" customWidth="1"/>
    <col min="2" max="3" width="23.1640625" style="183" customWidth="1"/>
    <col min="4" max="4" width="37.08203125" style="183" customWidth="1"/>
    <col min="5" max="5" width="36.33203125" style="182" customWidth="1"/>
    <col min="6" max="6" width="15.08203125" style="111" customWidth="1"/>
    <col min="7" max="7" width="15.08203125" style="183" customWidth="1"/>
    <col min="8" max="8" width="15" style="111" customWidth="1"/>
    <col min="9" max="9" width="14.83203125" style="111" customWidth="1"/>
    <col min="10" max="11" width="20.5" style="111" customWidth="1"/>
    <col min="12" max="12" width="20.83203125" style="120" customWidth="1"/>
    <col min="13" max="16384" width="9.58203125" style="178"/>
  </cols>
  <sheetData>
    <row r="1" spans="1:12" ht="148.5" customHeight="1">
      <c r="B1" s="369" t="s">
        <v>1032</v>
      </c>
      <c r="C1" s="369"/>
      <c r="D1" s="369"/>
      <c r="E1" s="369"/>
      <c r="F1" s="369"/>
      <c r="G1" s="369"/>
      <c r="H1" s="369"/>
      <c r="I1" s="369"/>
      <c r="J1" s="369"/>
      <c r="K1" s="369"/>
    </row>
    <row r="2" spans="1:12" s="219" customFormat="1" ht="15" customHeight="1">
      <c r="A2" s="222" t="s">
        <v>106</v>
      </c>
      <c r="B2" s="222" t="s">
        <v>105</v>
      </c>
      <c r="C2" s="222" t="s">
        <v>104</v>
      </c>
      <c r="D2" s="222" t="s">
        <v>103</v>
      </c>
      <c r="E2" s="222" t="s">
        <v>102</v>
      </c>
      <c r="F2" s="110" t="s">
        <v>101</v>
      </c>
      <c r="G2" s="222" t="s">
        <v>1</v>
      </c>
      <c r="H2" s="110" t="s">
        <v>100</v>
      </c>
      <c r="I2" s="110" t="s">
        <v>99</v>
      </c>
      <c r="J2" s="110" t="s">
        <v>176</v>
      </c>
      <c r="K2" s="110" t="s">
        <v>98</v>
      </c>
      <c r="L2" s="306" t="s">
        <v>2</v>
      </c>
    </row>
    <row r="3" spans="1:12" ht="14.25" customHeight="1">
      <c r="L3" s="122"/>
    </row>
    <row r="4" spans="1:12" ht="15" customHeight="1">
      <c r="A4" s="201" t="s">
        <v>0</v>
      </c>
      <c r="B4" s="200"/>
      <c r="C4" s="200"/>
      <c r="D4" s="200"/>
      <c r="E4" s="199"/>
      <c r="F4" s="112"/>
      <c r="G4" s="200"/>
      <c r="H4" s="112"/>
      <c r="I4" s="112"/>
      <c r="J4" s="112"/>
      <c r="K4" s="112"/>
      <c r="L4" s="123"/>
    </row>
    <row r="5" spans="1:12">
      <c r="A5" s="193" t="s">
        <v>446</v>
      </c>
      <c r="L5" s="124"/>
    </row>
    <row r="6" spans="1:12" s="184" customFormat="1" ht="14.5">
      <c r="A6" s="193"/>
      <c r="B6" s="214" t="s">
        <v>445</v>
      </c>
      <c r="C6" s="213"/>
      <c r="D6" s="213"/>
      <c r="E6" s="212"/>
      <c r="F6" s="114"/>
      <c r="G6" s="213"/>
      <c r="H6" s="114"/>
      <c r="I6" s="114">
        <v>0</v>
      </c>
      <c r="J6" s="114">
        <v>0</v>
      </c>
      <c r="K6" s="114">
        <v>0</v>
      </c>
      <c r="L6" s="126">
        <v>0</v>
      </c>
    </row>
    <row r="7" spans="1:12">
      <c r="L7" s="125"/>
    </row>
    <row r="8" spans="1:12" s="203" customFormat="1" ht="14.5">
      <c r="A8" s="209"/>
      <c r="B8" s="208" t="s">
        <v>83</v>
      </c>
      <c r="C8" s="207"/>
      <c r="D8" s="207"/>
      <c r="E8" s="206"/>
      <c r="F8" s="116"/>
      <c r="G8" s="207"/>
      <c r="H8" s="116"/>
      <c r="I8" s="116">
        <f>I6</f>
        <v>0</v>
      </c>
      <c r="J8" s="116">
        <f t="shared" ref="J8:L8" si="0">J6</f>
        <v>0</v>
      </c>
      <c r="K8" s="116">
        <f t="shared" si="0"/>
        <v>0</v>
      </c>
      <c r="L8" s="128">
        <f t="shared" si="0"/>
        <v>0</v>
      </c>
    </row>
    <row r="9" spans="1:12">
      <c r="L9" s="125"/>
    </row>
    <row r="10" spans="1:12" ht="15" customHeight="1">
      <c r="A10" s="201" t="s">
        <v>3</v>
      </c>
      <c r="B10" s="200"/>
      <c r="C10" s="200"/>
      <c r="D10" s="200"/>
      <c r="E10" s="199"/>
      <c r="F10" s="112"/>
      <c r="G10" s="200"/>
      <c r="H10" s="112"/>
      <c r="I10" s="112"/>
      <c r="J10" s="112"/>
      <c r="K10" s="112"/>
      <c r="L10" s="123"/>
    </row>
    <row r="11" spans="1:12">
      <c r="A11" s="193" t="s">
        <v>1031</v>
      </c>
      <c r="L11" s="125"/>
    </row>
    <row r="12" spans="1:12">
      <c r="B12" s="183" t="s">
        <v>1030</v>
      </c>
      <c r="C12" s="183" t="s">
        <v>222</v>
      </c>
      <c r="D12" s="183">
        <v>16</v>
      </c>
      <c r="E12" s="182" t="s">
        <v>1029</v>
      </c>
      <c r="F12" s="111">
        <v>300</v>
      </c>
      <c r="G12" s="183">
        <v>5</v>
      </c>
      <c r="H12" s="111">
        <f>F12*G12</f>
        <v>1500</v>
      </c>
      <c r="I12" s="111">
        <f>H12*1.13</f>
        <v>1694.9999999999998</v>
      </c>
      <c r="J12" s="111">
        <f>I12*1.25</f>
        <v>2118.7499999999995</v>
      </c>
      <c r="K12" s="111">
        <v>125.35</v>
      </c>
      <c r="L12" s="125"/>
    </row>
    <row r="13" spans="1:12">
      <c r="L13" s="125"/>
    </row>
    <row r="14" spans="1:12" ht="14.5">
      <c r="B14" s="214" t="s">
        <v>157</v>
      </c>
      <c r="C14" s="213"/>
      <c r="D14" s="213"/>
      <c r="E14" s="212"/>
      <c r="F14" s="114"/>
      <c r="G14" s="213"/>
      <c r="H14" s="114"/>
      <c r="I14" s="114">
        <f>SUM(I12:I12)</f>
        <v>1694.9999999999998</v>
      </c>
      <c r="J14" s="114">
        <f t="shared" ref="J14:L14" si="1">SUM(J12:J12)</f>
        <v>2118.7499999999995</v>
      </c>
      <c r="K14" s="114">
        <f t="shared" si="1"/>
        <v>125.35</v>
      </c>
      <c r="L14" s="126">
        <f t="shared" si="1"/>
        <v>0</v>
      </c>
    </row>
    <row r="15" spans="1:12">
      <c r="A15" s="193" t="s">
        <v>1028</v>
      </c>
      <c r="L15" s="125"/>
    </row>
    <row r="16" spans="1:12">
      <c r="B16" s="183" t="s">
        <v>1027</v>
      </c>
      <c r="C16" s="183" t="s">
        <v>1026</v>
      </c>
      <c r="D16" s="183">
        <v>6</v>
      </c>
      <c r="E16" s="182" t="s">
        <v>1025</v>
      </c>
      <c r="F16" s="111">
        <v>30</v>
      </c>
      <c r="G16" s="183">
        <v>1</v>
      </c>
      <c r="H16" s="111">
        <f>F16*G16</f>
        <v>30</v>
      </c>
      <c r="I16" s="111">
        <f>H16*1.13</f>
        <v>33.9</v>
      </c>
      <c r="J16" s="111">
        <f>I16*1.25</f>
        <v>42.375</v>
      </c>
      <c r="L16" s="125">
        <v>66.64</v>
      </c>
    </row>
    <row r="17" spans="1:12">
      <c r="B17" s="183" t="s">
        <v>1024</v>
      </c>
      <c r="C17" s="183" t="s">
        <v>1023</v>
      </c>
      <c r="D17" s="183">
        <v>7</v>
      </c>
      <c r="E17" s="182" t="s">
        <v>1020</v>
      </c>
      <c r="F17" s="111">
        <v>10</v>
      </c>
      <c r="G17" s="183">
        <v>1</v>
      </c>
      <c r="H17" s="111">
        <f>F17*G17</f>
        <v>10</v>
      </c>
      <c r="I17" s="111">
        <f>H17*1.13</f>
        <v>11.299999999999999</v>
      </c>
      <c r="J17" s="111">
        <f>I17*1.25</f>
        <v>14.124999999999998</v>
      </c>
      <c r="L17" s="125"/>
    </row>
    <row r="18" spans="1:12">
      <c r="B18" s="183" t="s">
        <v>1022</v>
      </c>
      <c r="C18" s="183" t="s">
        <v>1021</v>
      </c>
      <c r="D18" s="183">
        <v>9</v>
      </c>
      <c r="E18" s="182" t="s">
        <v>1020</v>
      </c>
      <c r="F18" s="111">
        <v>750</v>
      </c>
      <c r="G18" s="183">
        <v>1</v>
      </c>
      <c r="H18" s="111">
        <f>F18*G18</f>
        <v>750</v>
      </c>
      <c r="I18" s="111">
        <f>H18*1.13</f>
        <v>847.49999999999989</v>
      </c>
      <c r="J18" s="111">
        <f>I18*1.25</f>
        <v>1059.3749999999998</v>
      </c>
      <c r="L18" s="125"/>
    </row>
    <row r="19" spans="1:12" s="184" customFormat="1">
      <c r="A19" s="182"/>
      <c r="B19" s="183"/>
      <c r="C19" s="183"/>
      <c r="D19" s="183"/>
      <c r="E19" s="182"/>
      <c r="F19" s="111"/>
      <c r="G19" s="183"/>
      <c r="H19" s="111"/>
      <c r="I19" s="111"/>
      <c r="J19" s="111"/>
      <c r="K19" s="111"/>
      <c r="L19" s="125"/>
    </row>
    <row r="20" spans="1:12">
      <c r="B20" s="183" t="s">
        <v>1019</v>
      </c>
      <c r="C20" s="183" t="s">
        <v>1018</v>
      </c>
      <c r="D20" s="183">
        <v>5</v>
      </c>
      <c r="E20" s="182" t="s">
        <v>1017</v>
      </c>
      <c r="F20" s="111">
        <v>15</v>
      </c>
      <c r="G20" s="183">
        <v>1</v>
      </c>
      <c r="H20" s="111">
        <f>F20*G20</f>
        <v>15</v>
      </c>
      <c r="I20" s="111">
        <f>H20*1.13</f>
        <v>16.95</v>
      </c>
      <c r="J20" s="111">
        <f>I20*1.25</f>
        <v>21.1875</v>
      </c>
      <c r="L20" s="125">
        <v>14.99</v>
      </c>
    </row>
    <row r="21" spans="1:12">
      <c r="B21" s="183" t="s">
        <v>1016</v>
      </c>
      <c r="C21" s="183" t="s">
        <v>1015</v>
      </c>
      <c r="D21" s="183">
        <v>4</v>
      </c>
      <c r="E21" s="182" t="s">
        <v>1014</v>
      </c>
      <c r="F21" s="111">
        <v>40</v>
      </c>
      <c r="G21" s="183">
        <v>2</v>
      </c>
      <c r="H21" s="111">
        <f>F21*G21</f>
        <v>80</v>
      </c>
      <c r="I21" s="111">
        <f>H21*1.13</f>
        <v>90.399999999999991</v>
      </c>
      <c r="J21" s="111">
        <f>I21*1.25</f>
        <v>112.99999999999999</v>
      </c>
      <c r="L21" s="125">
        <v>20.87</v>
      </c>
    </row>
    <row r="22" spans="1:12">
      <c r="B22" s="183" t="s">
        <v>1013</v>
      </c>
      <c r="C22" s="183" t="s">
        <v>1012</v>
      </c>
      <c r="D22" s="183">
        <v>1</v>
      </c>
      <c r="E22" s="182" t="s">
        <v>1011</v>
      </c>
      <c r="F22" s="111">
        <v>5</v>
      </c>
      <c r="G22" s="183">
        <v>2</v>
      </c>
      <c r="H22" s="111">
        <f>F22*G22</f>
        <v>10</v>
      </c>
      <c r="I22" s="111">
        <f>H22*1.13</f>
        <v>11.299999999999999</v>
      </c>
      <c r="J22" s="111">
        <f>I22*1.25</f>
        <v>14.124999999999998</v>
      </c>
      <c r="L22" s="125">
        <v>4.49</v>
      </c>
    </row>
    <row r="23" spans="1:12">
      <c r="B23" s="183" t="s">
        <v>1010</v>
      </c>
      <c r="C23" s="183" t="s">
        <v>1009</v>
      </c>
      <c r="D23" s="183">
        <v>2</v>
      </c>
      <c r="E23" s="182" t="s">
        <v>1008</v>
      </c>
      <c r="F23" s="111">
        <v>20</v>
      </c>
      <c r="G23" s="183">
        <v>5</v>
      </c>
      <c r="H23" s="111">
        <f>F23*G23</f>
        <v>100</v>
      </c>
      <c r="I23" s="111">
        <f>H23*1.13</f>
        <v>112.99999999999999</v>
      </c>
      <c r="J23" s="111">
        <f>I23*1.25</f>
        <v>141.24999999999997</v>
      </c>
      <c r="L23" s="125"/>
    </row>
    <row r="24" spans="1:12">
      <c r="B24" s="183" t="s">
        <v>1007</v>
      </c>
      <c r="C24" s="183" t="s">
        <v>1006</v>
      </c>
      <c r="D24" s="183">
        <v>3</v>
      </c>
      <c r="E24" s="182" t="s">
        <v>1005</v>
      </c>
      <c r="F24" s="111">
        <v>35</v>
      </c>
      <c r="G24" s="183">
        <v>1</v>
      </c>
      <c r="H24" s="111">
        <f>F24*G24</f>
        <v>35</v>
      </c>
      <c r="I24" s="111">
        <f>H24*1.13</f>
        <v>39.549999999999997</v>
      </c>
      <c r="J24" s="111">
        <f>I24*1.25</f>
        <v>49.4375</v>
      </c>
      <c r="L24" s="125"/>
    </row>
    <row r="25" spans="1:12">
      <c r="L25" s="125"/>
    </row>
    <row r="26" spans="1:12" ht="14.5">
      <c r="A26" s="193"/>
      <c r="B26" s="214" t="s">
        <v>142</v>
      </c>
      <c r="C26" s="213"/>
      <c r="D26" s="213"/>
      <c r="E26" s="212"/>
      <c r="F26" s="114"/>
      <c r="G26" s="213"/>
      <c r="H26" s="114"/>
      <c r="I26" s="114">
        <f>SUM(I16:I24)</f>
        <v>1163.8999999999999</v>
      </c>
      <c r="J26" s="114">
        <f t="shared" ref="J26:L26" si="2">SUM(J16:J24)</f>
        <v>1454.8749999999998</v>
      </c>
      <c r="K26" s="114">
        <f t="shared" si="2"/>
        <v>0</v>
      </c>
      <c r="L26" s="126">
        <f t="shared" si="2"/>
        <v>106.99</v>
      </c>
    </row>
    <row r="27" spans="1:12">
      <c r="A27" s="193" t="s">
        <v>1004</v>
      </c>
      <c r="L27" s="125"/>
    </row>
    <row r="28" spans="1:12">
      <c r="B28" s="183" t="s">
        <v>1003</v>
      </c>
      <c r="C28" s="183" t="s">
        <v>386</v>
      </c>
      <c r="D28" s="183">
        <v>8</v>
      </c>
      <c r="E28" s="182" t="s">
        <v>1002</v>
      </c>
      <c r="F28" s="111">
        <v>8</v>
      </c>
      <c r="G28" s="183">
        <v>17</v>
      </c>
      <c r="H28" s="111">
        <f>F28*G28</f>
        <v>136</v>
      </c>
      <c r="I28" s="111">
        <f>H28*1.13</f>
        <v>153.67999999999998</v>
      </c>
      <c r="J28" s="111">
        <f>I28*1.25</f>
        <v>192.09999999999997</v>
      </c>
      <c r="L28" s="125"/>
    </row>
    <row r="29" spans="1:12">
      <c r="L29" s="125"/>
    </row>
    <row r="30" spans="1:12">
      <c r="A30" s="193"/>
      <c r="B30" s="214" t="s">
        <v>1001</v>
      </c>
      <c r="C30" s="213"/>
      <c r="D30" s="213"/>
      <c r="E30" s="212"/>
      <c r="F30" s="114"/>
      <c r="G30" s="213"/>
      <c r="H30" s="148"/>
      <c r="I30" s="114">
        <f>SUM(I28)</f>
        <v>153.67999999999998</v>
      </c>
      <c r="J30" s="114">
        <f t="shared" ref="J30:L30" si="3">SUM(J28)</f>
        <v>192.09999999999997</v>
      </c>
      <c r="K30" s="114">
        <f t="shared" si="3"/>
        <v>0</v>
      </c>
      <c r="L30" s="126">
        <f t="shared" si="3"/>
        <v>0</v>
      </c>
    </row>
    <row r="31" spans="1:12">
      <c r="A31" s="193" t="s">
        <v>1000</v>
      </c>
      <c r="L31" s="125"/>
    </row>
    <row r="32" spans="1:12" s="184" customFormat="1">
      <c r="B32" s="242" t="s">
        <v>999</v>
      </c>
      <c r="C32" s="178" t="s">
        <v>554</v>
      </c>
      <c r="D32" s="242">
        <v>15</v>
      </c>
      <c r="E32" s="178" t="s">
        <v>998</v>
      </c>
      <c r="F32" s="111">
        <v>600</v>
      </c>
      <c r="G32" s="242">
        <v>2</v>
      </c>
      <c r="H32" s="111">
        <f>F32*G32</f>
        <v>1200</v>
      </c>
      <c r="I32" s="111">
        <f>H32*1.13</f>
        <v>1355.9999999999998</v>
      </c>
      <c r="J32" s="111">
        <f>I32*1.25</f>
        <v>1694.9999999999998</v>
      </c>
      <c r="K32" s="302"/>
      <c r="L32" s="307">
        <v>224.7</v>
      </c>
    </row>
    <row r="33" spans="1:12">
      <c r="B33" s="183" t="s">
        <v>997</v>
      </c>
      <c r="C33" s="183" t="s">
        <v>996</v>
      </c>
      <c r="D33" s="183">
        <v>14</v>
      </c>
      <c r="E33" s="182" t="s">
        <v>995</v>
      </c>
      <c r="F33" s="111">
        <v>25</v>
      </c>
      <c r="G33" s="183">
        <v>4</v>
      </c>
      <c r="H33" s="111">
        <f>F33*G33</f>
        <v>100</v>
      </c>
      <c r="I33" s="111">
        <f>H33*1.13</f>
        <v>112.99999999999999</v>
      </c>
      <c r="J33" s="111">
        <f>I33*1.25</f>
        <v>141.24999999999997</v>
      </c>
      <c r="L33" s="125"/>
    </row>
    <row r="34" spans="1:12" s="203" customFormat="1">
      <c r="B34" s="301" t="s">
        <v>994</v>
      </c>
      <c r="C34" s="301" t="s">
        <v>993</v>
      </c>
      <c r="D34" s="300"/>
      <c r="E34" s="301"/>
      <c r="F34" s="111">
        <v>0.1</v>
      </c>
      <c r="G34" s="300">
        <v>100</v>
      </c>
      <c r="H34" s="111">
        <f>F34*G34</f>
        <v>10</v>
      </c>
      <c r="I34" s="111">
        <f>H34*1.13</f>
        <v>11.299999999999999</v>
      </c>
      <c r="J34" s="111">
        <f>I34*1.25</f>
        <v>14.124999999999998</v>
      </c>
      <c r="K34" s="303"/>
      <c r="L34" s="308">
        <v>5</v>
      </c>
    </row>
    <row r="35" spans="1:12" s="203" customFormat="1">
      <c r="B35" s="301"/>
      <c r="C35" s="301"/>
      <c r="D35" s="300"/>
      <c r="E35" s="301"/>
      <c r="F35" s="111"/>
      <c r="G35" s="300"/>
      <c r="H35" s="111"/>
      <c r="I35" s="111"/>
      <c r="J35" s="111"/>
      <c r="K35" s="303"/>
      <c r="L35" s="308"/>
    </row>
    <row r="36" spans="1:12">
      <c r="B36" s="214" t="s">
        <v>992</v>
      </c>
      <c r="C36" s="297"/>
      <c r="D36" s="297"/>
      <c r="E36" s="298"/>
      <c r="F36" s="148"/>
      <c r="G36" s="297"/>
      <c r="H36" s="148"/>
      <c r="I36" s="114">
        <f>SUM(I32:I34)</f>
        <v>1480.2999999999997</v>
      </c>
      <c r="J36" s="114">
        <f t="shared" ref="J36:L36" si="4">SUM(J32:J34)</f>
        <v>1850.3749999999998</v>
      </c>
      <c r="K36" s="114">
        <f t="shared" si="4"/>
        <v>0</v>
      </c>
      <c r="L36" s="126">
        <f t="shared" si="4"/>
        <v>229.7</v>
      </c>
    </row>
    <row r="37" spans="1:12" ht="15" customHeight="1">
      <c r="A37" s="193" t="s">
        <v>991</v>
      </c>
      <c r="L37" s="125"/>
    </row>
    <row r="38" spans="1:12" s="184" customFormat="1">
      <c r="B38" s="183" t="s">
        <v>990</v>
      </c>
      <c r="C38" s="183" t="s">
        <v>989</v>
      </c>
      <c r="D38" s="183">
        <v>12</v>
      </c>
      <c r="E38" s="183" t="s">
        <v>988</v>
      </c>
      <c r="F38" s="111">
        <v>1000</v>
      </c>
      <c r="G38" s="299">
        <v>1</v>
      </c>
      <c r="H38" s="111">
        <f>F38*G38</f>
        <v>1000</v>
      </c>
      <c r="I38" s="111">
        <f>H38*1.13</f>
        <v>1130</v>
      </c>
      <c r="J38" s="111">
        <f>I38*1.25</f>
        <v>1412.5</v>
      </c>
      <c r="K38" s="302"/>
      <c r="L38" s="307"/>
    </row>
    <row r="39" spans="1:12" s="184" customFormat="1">
      <c r="B39" s="183" t="s">
        <v>987</v>
      </c>
      <c r="C39" s="183" t="s">
        <v>986</v>
      </c>
      <c r="D39" s="183">
        <v>13</v>
      </c>
      <c r="E39" s="183"/>
      <c r="F39" s="111">
        <v>8.0500000000000007</v>
      </c>
      <c r="G39" s="242">
        <f>17*5</f>
        <v>85</v>
      </c>
      <c r="H39" s="111">
        <f>F39*G39</f>
        <v>684.25000000000011</v>
      </c>
      <c r="I39" s="111">
        <f>H39*1.13</f>
        <v>773.2025000000001</v>
      </c>
      <c r="J39" s="111">
        <f>I39*1.25</f>
        <v>966.50312500000018</v>
      </c>
      <c r="K39" s="302"/>
      <c r="L39" s="307"/>
    </row>
    <row r="40" spans="1:12" s="184" customFormat="1">
      <c r="B40" s="183" t="s">
        <v>985</v>
      </c>
      <c r="C40" s="183" t="s">
        <v>554</v>
      </c>
      <c r="D40" s="183"/>
      <c r="E40" s="183"/>
      <c r="F40" s="111">
        <v>300</v>
      </c>
      <c r="G40" s="299">
        <v>1</v>
      </c>
      <c r="H40" s="111">
        <f>F40*G40</f>
        <v>300</v>
      </c>
      <c r="I40" s="111">
        <f>H40*1.13</f>
        <v>338.99999999999994</v>
      </c>
      <c r="J40" s="111">
        <f>I40*1.25</f>
        <v>423.74999999999994</v>
      </c>
      <c r="K40" s="302"/>
      <c r="L40" s="307"/>
    </row>
    <row r="41" spans="1:12" s="184" customFormat="1">
      <c r="B41" s="183"/>
      <c r="C41" s="183"/>
      <c r="D41" s="183"/>
      <c r="E41" s="183"/>
      <c r="F41" s="111"/>
      <c r="G41" s="299"/>
      <c r="H41" s="111"/>
      <c r="I41" s="111"/>
      <c r="J41" s="111"/>
      <c r="K41" s="302"/>
      <c r="L41" s="307"/>
    </row>
    <row r="42" spans="1:12">
      <c r="B42" s="214" t="s">
        <v>984</v>
      </c>
      <c r="C42" s="297"/>
      <c r="D42" s="297"/>
      <c r="E42" s="298"/>
      <c r="F42" s="148"/>
      <c r="G42" s="297"/>
      <c r="H42" s="148"/>
      <c r="I42" s="114">
        <f>SUM(I38:I40)</f>
        <v>2242.2024999999999</v>
      </c>
      <c r="J42" s="114">
        <f t="shared" ref="J42:L42" si="5">SUM(J38:J40)</f>
        <v>2802.7531250000002</v>
      </c>
      <c r="K42" s="114">
        <f t="shared" si="5"/>
        <v>0</v>
      </c>
      <c r="L42" s="126">
        <f t="shared" si="5"/>
        <v>0</v>
      </c>
    </row>
    <row r="43" spans="1:12">
      <c r="A43" s="193" t="s">
        <v>983</v>
      </c>
      <c r="E43" s="183"/>
      <c r="L43" s="125"/>
    </row>
    <row r="44" spans="1:12">
      <c r="B44" s="183" t="s">
        <v>982</v>
      </c>
      <c r="C44" s="183" t="s">
        <v>981</v>
      </c>
      <c r="D44" s="183">
        <v>11</v>
      </c>
      <c r="E44" s="183"/>
      <c r="F44" s="111">
        <v>1500</v>
      </c>
      <c r="G44" s="183">
        <v>1</v>
      </c>
      <c r="H44" s="111">
        <f>F44*G44</f>
        <v>1500</v>
      </c>
      <c r="I44" s="111">
        <f>H44*1.13</f>
        <v>1694.9999999999998</v>
      </c>
      <c r="J44" s="111">
        <f>I44*1.25</f>
        <v>2118.7499999999995</v>
      </c>
      <c r="L44" s="125"/>
    </row>
    <row r="45" spans="1:12">
      <c r="B45" s="183" t="s">
        <v>980</v>
      </c>
      <c r="C45" s="183" t="s">
        <v>979</v>
      </c>
      <c r="D45" s="183">
        <v>10</v>
      </c>
      <c r="E45" s="182" t="s">
        <v>978</v>
      </c>
      <c r="F45" s="111">
        <v>67</v>
      </c>
      <c r="G45" s="183">
        <v>2</v>
      </c>
      <c r="H45" s="111">
        <f>F45*G45</f>
        <v>134</v>
      </c>
      <c r="I45" s="111">
        <f>H45*1.13</f>
        <v>151.41999999999999</v>
      </c>
      <c r="J45" s="111">
        <f>I45*1.25</f>
        <v>189.27499999999998</v>
      </c>
      <c r="L45" s="125">
        <v>66.599999999999994</v>
      </c>
    </row>
    <row r="46" spans="1:12">
      <c r="L46" s="125"/>
    </row>
    <row r="47" spans="1:12">
      <c r="B47" s="214" t="s">
        <v>977</v>
      </c>
      <c r="C47" s="297"/>
      <c r="D47" s="297"/>
      <c r="E47" s="298"/>
      <c r="F47" s="148"/>
      <c r="G47" s="297"/>
      <c r="H47" s="148"/>
      <c r="I47" s="114">
        <f>SUM(I44:I45)</f>
        <v>1846.4199999999998</v>
      </c>
      <c r="J47" s="114">
        <f t="shared" ref="J47:L47" si="6">SUM(J44:J45)</f>
        <v>2308.0249999999996</v>
      </c>
      <c r="K47" s="114">
        <f t="shared" si="6"/>
        <v>0</v>
      </c>
      <c r="L47" s="126">
        <f t="shared" si="6"/>
        <v>66.599999999999994</v>
      </c>
    </row>
    <row r="48" spans="1:12">
      <c r="B48" s="231"/>
      <c r="C48" s="304"/>
      <c r="D48" s="304"/>
      <c r="E48" s="305"/>
      <c r="F48" s="156"/>
      <c r="G48" s="304"/>
      <c r="H48" s="156"/>
      <c r="I48" s="158"/>
      <c r="J48" s="158"/>
      <c r="K48" s="158"/>
      <c r="L48" s="127"/>
    </row>
    <row r="49" spans="1:12" ht="14.5">
      <c r="A49" s="209"/>
      <c r="B49" s="208" t="s">
        <v>8</v>
      </c>
      <c r="C49" s="207"/>
      <c r="D49" s="207"/>
      <c r="E49" s="206"/>
      <c r="F49" s="116"/>
      <c r="G49" s="207"/>
      <c r="H49" s="116"/>
      <c r="I49" s="116">
        <f>SUM(I14,I26,I30,I36,I42,I47)</f>
        <v>8581.5024999999987</v>
      </c>
      <c r="J49" s="116">
        <f t="shared" ref="J49:L49" si="7">SUM(J14,J26,J30,J36,J42,J47)</f>
        <v>10726.878124999997</v>
      </c>
      <c r="K49" s="116">
        <f t="shared" si="7"/>
        <v>125.35</v>
      </c>
      <c r="L49" s="128">
        <f t="shared" si="7"/>
        <v>403.28999999999996</v>
      </c>
    </row>
    <row r="50" spans="1:12">
      <c r="L50" s="125"/>
    </row>
    <row r="51" spans="1:12">
      <c r="A51" s="201" t="s">
        <v>7</v>
      </c>
      <c r="B51" s="200"/>
      <c r="C51" s="200"/>
      <c r="D51" s="200"/>
      <c r="E51" s="199"/>
      <c r="F51" s="112"/>
      <c r="G51" s="200"/>
      <c r="H51" s="112"/>
      <c r="I51" s="112"/>
      <c r="J51" s="112"/>
      <c r="K51" s="112"/>
      <c r="L51" s="123"/>
    </row>
    <row r="52" spans="1:12" ht="14.5">
      <c r="A52" s="193"/>
      <c r="B52" s="194" t="s">
        <v>6</v>
      </c>
      <c r="C52" s="194"/>
      <c r="D52" s="194"/>
      <c r="E52" s="193"/>
      <c r="F52" s="115"/>
      <c r="G52" s="194"/>
      <c r="H52" s="115"/>
      <c r="I52" s="115">
        <f>I8</f>
        <v>0</v>
      </c>
      <c r="J52" s="115">
        <f>J8</f>
        <v>0</v>
      </c>
      <c r="K52" s="115">
        <f>K8</f>
        <v>0</v>
      </c>
      <c r="L52" s="130">
        <f>L8</f>
        <v>0</v>
      </c>
    </row>
    <row r="53" spans="1:12" ht="14.5">
      <c r="A53" s="193"/>
      <c r="B53" s="194" t="s">
        <v>5</v>
      </c>
      <c r="C53" s="194"/>
      <c r="D53" s="194"/>
      <c r="E53" s="193"/>
      <c r="F53" s="115"/>
      <c r="G53" s="194"/>
      <c r="H53" s="115"/>
      <c r="I53" s="115">
        <f>I49</f>
        <v>8581.5024999999987</v>
      </c>
      <c r="J53" s="115">
        <f>J49</f>
        <v>10726.878124999997</v>
      </c>
      <c r="K53" s="115">
        <f>K49</f>
        <v>125.35</v>
      </c>
      <c r="L53" s="127">
        <f>L49</f>
        <v>403.28999999999996</v>
      </c>
    </row>
    <row r="54" spans="1:12" ht="14.5">
      <c r="A54" s="188"/>
      <c r="B54" s="189" t="s">
        <v>4</v>
      </c>
      <c r="C54" s="189"/>
      <c r="D54" s="189"/>
      <c r="E54" s="188"/>
      <c r="F54" s="118"/>
      <c r="G54" s="189"/>
      <c r="H54" s="118"/>
      <c r="I54" s="118">
        <f>SUM(I52,I53*-1)</f>
        <v>-8581.5024999999987</v>
      </c>
      <c r="J54" s="118">
        <f>SUM(J52,J53*-1)</f>
        <v>-10726.878124999997</v>
      </c>
      <c r="K54" s="118">
        <f>SUM(K52,K53*-1)</f>
        <v>-125.35</v>
      </c>
      <c r="L54" s="131">
        <f>SUM(L52,L53*-1)</f>
        <v>-403.28999999999996</v>
      </c>
    </row>
  </sheetData>
  <mergeCells count="1">
    <mergeCell ref="B1:K1"/>
  </mergeCells>
  <conditionalFormatting sqref="E21:E24 C20:L20 B20:B24 B29:G31 H29:H35 B17:L19 B15:C16 E15:L16 B47:B48 B6:L6 B12:L14 B26:L28 I29:L31 I47:L48 B49:L54">
    <cfRule type="expression" dxfId="193" priority="18">
      <formula>MOD($B6,2)=1</formula>
    </cfRule>
  </conditionalFormatting>
  <conditionalFormatting sqref="B7:L9">
    <cfRule type="expression" dxfId="192" priority="17">
      <formula>MOD($B7,2)=1</formula>
    </cfRule>
  </conditionalFormatting>
  <conditionalFormatting sqref="I32:I35">
    <cfRule type="expression" dxfId="191" priority="16">
      <formula>MOD($B32,2)=1</formula>
    </cfRule>
  </conditionalFormatting>
  <conditionalFormatting sqref="J32:J35">
    <cfRule type="expression" dxfId="190" priority="15">
      <formula>MOD($B32,2)=1</formula>
    </cfRule>
  </conditionalFormatting>
  <conditionalFormatting sqref="I36:L36">
    <cfRule type="expression" dxfId="189" priority="14">
      <formula>MOD($B36,2)=1</formula>
    </cfRule>
  </conditionalFormatting>
  <conditionalFormatting sqref="B36">
    <cfRule type="expression" dxfId="188" priority="13">
      <formula>MOD($B36,2)=1</formula>
    </cfRule>
  </conditionalFormatting>
  <conditionalFormatting sqref="H38:H41">
    <cfRule type="expression" dxfId="187" priority="12">
      <formula>MOD($B38,2)=1</formula>
    </cfRule>
  </conditionalFormatting>
  <conditionalFormatting sqref="I38:I41">
    <cfRule type="expression" dxfId="186" priority="11">
      <formula>MOD($B38,2)=1</formula>
    </cfRule>
  </conditionalFormatting>
  <conditionalFormatting sqref="J38:J41">
    <cfRule type="expression" dxfId="185" priority="10">
      <formula>MOD($B38,2)=1</formula>
    </cfRule>
  </conditionalFormatting>
  <conditionalFormatting sqref="I42:L42">
    <cfRule type="expression" dxfId="184" priority="9">
      <formula>MOD($B42,2)=1</formula>
    </cfRule>
  </conditionalFormatting>
  <conditionalFormatting sqref="B42">
    <cfRule type="expression" dxfId="183" priority="8">
      <formula>MOD($B42,2)=1</formula>
    </cfRule>
  </conditionalFormatting>
  <conditionalFormatting sqref="H44">
    <cfRule type="expression" dxfId="182" priority="7">
      <formula>MOD($B44,2)=1</formula>
    </cfRule>
  </conditionalFormatting>
  <conditionalFormatting sqref="I44">
    <cfRule type="expression" dxfId="181" priority="6">
      <formula>MOD($B44,2)=1</formula>
    </cfRule>
  </conditionalFormatting>
  <conditionalFormatting sqref="J44">
    <cfRule type="expression" dxfId="180" priority="5">
      <formula>MOD($B44,2)=1</formula>
    </cfRule>
  </conditionalFormatting>
  <conditionalFormatting sqref="H45">
    <cfRule type="expression" dxfId="179" priority="4">
      <formula>MOD($B45,2)=1</formula>
    </cfRule>
  </conditionalFormatting>
  <conditionalFormatting sqref="I45">
    <cfRule type="expression" dxfId="178" priority="3">
      <formula>MOD($B45,2)=1</formula>
    </cfRule>
  </conditionalFormatting>
  <conditionalFormatting sqref="J45">
    <cfRule type="expression" dxfId="177" priority="2">
      <formula>MOD($B45,2)=1</formula>
    </cfRule>
  </conditionalFormatting>
  <conditionalFormatting sqref="D16">
    <cfRule type="expression" dxfId="176" priority="19">
      <formula>MOD($B15,2)=1</formula>
    </cfRule>
  </conditionalFormatting>
  <pageMargins left="0.7" right="0.7" top="0.75" bottom="0.75" header="0.3" footer="0.3"/>
  <pageSetup scale="26" fitToWidth="0" fitToHeight="0" orientation="portrait" r:id="rId1"/>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64977281968EA747B82DFD73591F75F0" ma:contentTypeVersion="2" ma:contentTypeDescription="Create a new document." ma:contentTypeScope="" ma:versionID="da2b32e8aa6fcea64241f82f09f2dad7">
  <xsd:schema xmlns:xsd="http://www.w3.org/2001/XMLSchema" xmlns:xs="http://www.w3.org/2001/XMLSchema" xmlns:p="http://schemas.microsoft.com/office/2006/metadata/properties" xmlns:ns2="e6442f16-d6cf-484d-9226-a2ab39c04f9a" targetNamespace="http://schemas.microsoft.com/office/2006/metadata/properties" ma:root="true" ma:fieldsID="72ca24018b429b8215dd93ad84fe1b26" ns2:_="">
    <xsd:import namespace="e6442f16-d6cf-484d-9226-a2ab39c04f9a"/>
    <xsd:element name="properties">
      <xsd:complexType>
        <xsd:sequence>
          <xsd:element name="documentManagement">
            <xsd:complexType>
              <xsd:all>
                <xsd:element ref="ns2:MediaServiceMetadata" minOccurs="0"/>
                <xsd:element ref="ns2:MediaServiceFast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6442f16-d6cf-484d-9226-a2ab39c04f9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D406F8A4-75E5-4811-BEC6-3CF62CA6FFC2}">
  <ds:schemaRefs>
    <ds:schemaRef ds:uri="http://schemas.microsoft.com/sharepoint/v3/contenttype/forms"/>
  </ds:schemaRefs>
</ds:datastoreItem>
</file>

<file path=customXml/itemProps2.xml><?xml version="1.0" encoding="utf-8"?>
<ds:datastoreItem xmlns:ds="http://schemas.openxmlformats.org/officeDocument/2006/customXml" ds:itemID="{520363EE-D519-4192-B547-B0092E48EA91}">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5942DE9D-8F5C-4B23-949E-EC49E0D21BB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6442f16-d6cf-484d-9226-a2ab39c04f9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19</vt:i4>
      </vt:variant>
    </vt:vector>
  </HeadingPairs>
  <TitlesOfParts>
    <vt:vector size="19" baseType="lpstr">
      <vt:lpstr>Overall Summary</vt:lpstr>
      <vt:lpstr>EngServe Recovery Increase</vt:lpstr>
      <vt:lpstr>1. Prez</vt:lpstr>
      <vt:lpstr>2. VPOPs</vt:lpstr>
      <vt:lpstr>3. VPSA</vt:lpstr>
      <vt:lpstr>4. DoA</vt:lpstr>
      <vt:lpstr>5. DoComm</vt:lpstr>
      <vt:lpstr>6. DoCon</vt:lpstr>
      <vt:lpstr>7. DoD</vt:lpstr>
      <vt:lpstr>8. DoE</vt:lpstr>
      <vt:lpstr>9. DoER</vt:lpstr>
      <vt:lpstr>10. DoF</vt:lpstr>
      <vt:lpstr>11. DoFY</vt:lpstr>
      <vt:lpstr>12. DoHR</vt:lpstr>
      <vt:lpstr>13. DoIA</vt:lpstr>
      <vt:lpstr>14. DoIT</vt:lpstr>
      <vt:lpstr>15. DoPD</vt:lpstr>
      <vt:lpstr>16. DoS</vt:lpstr>
      <vt:lpstr>17. DoSi</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Microsoft Office User</dc:creator>
  <cp:keywords/>
  <dc:description/>
  <cp:lastModifiedBy>Ella McGurk</cp:lastModifiedBy>
  <cp:revision/>
  <dcterms:created xsi:type="dcterms:W3CDTF">2020-01-04T18:35:48Z</dcterms:created>
  <dcterms:modified xsi:type="dcterms:W3CDTF">2021-03-15T16:50:19Z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0x01010064977281968EA747B82DFD73591F75F0</vt:lpwstr>
  </property>
</Properties>
</file>