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threadedComments/threadedComment2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threadedComments/threadedComment3.xml" ContentType="application/vnd.ms-excel.threadedcomments+xml"/>
  <Override PartName="/xl/drawings/drawing7.xml" ContentType="application/vnd.openxmlformats-officedocument.drawing+xml"/>
  <Override PartName="/xl/comments8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85161547743502/Desktop/Operational Budgets/"/>
    </mc:Choice>
  </mc:AlternateContent>
  <xr:revisionPtr revIDLastSave="1" documentId="8_{1EA78178-C284-461B-B026-E7401DED306E}" xr6:coauthVersionLast="46" xr6:coauthVersionMax="46" xr10:uidLastSave="{EAD5AF23-2636-468A-9105-B0A3775804B2}"/>
  <bookViews>
    <workbookView xWindow="-98" yWindow="-98" windowWidth="22695" windowHeight="14595" activeTab="1" xr2:uid="{00000000-000D-0000-FFFF-FFFF00000000}"/>
  </bookViews>
  <sheets>
    <sheet name="Summary" sheetId="18" r:id="rId1"/>
    <sheet name="General" sheetId="19" r:id="rId2"/>
    <sheet name="Events" sheetId="12" r:id="rId3"/>
    <sheet name="President" sheetId="4" r:id="rId4"/>
    <sheet name="Conferences" sheetId="10" r:id="rId5"/>
    <sheet name="VPSA" sheetId="8" r:id="rId6"/>
    <sheet name="Vice President Operations" sheetId="15" r:id="rId7"/>
    <sheet name="Academics" sheetId="2" r:id="rId8"/>
    <sheet name="Communications" sheetId="9" r:id="rId9"/>
    <sheet name="Design" sheetId="11" r:id="rId10"/>
    <sheet name="External Relations" sheetId="6" r:id="rId11"/>
    <sheet name="Human Resources" sheetId="1" r:id="rId12"/>
    <sheet name="Finance" sheetId="17" r:id="rId13"/>
    <sheet name="First Year" sheetId="3" r:id="rId14"/>
    <sheet name="Internal Affairs" sheetId="13" r:id="rId15"/>
    <sheet name="IT" sheetId="16" r:id="rId16"/>
    <sheet name="Professional Development" sheetId="5" r:id="rId17"/>
    <sheet name="Services" sheetId="14" r:id="rId18"/>
  </sheets>
  <externalReferences>
    <externalReference r:id="rId19"/>
    <externalReference r:id="rId20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9" l="1"/>
  <c r="I76" i="19"/>
  <c r="I40" i="19"/>
  <c r="I38" i="19"/>
  <c r="I30" i="19"/>
  <c r="I28" i="19"/>
  <c r="J53" i="1"/>
  <c r="J49" i="1"/>
  <c r="J34" i="1"/>
  <c r="J28" i="1"/>
  <c r="J22" i="1"/>
  <c r="J17" i="1"/>
  <c r="J66" i="1" s="1"/>
  <c r="J67" i="1" s="1"/>
  <c r="J29" i="17"/>
  <c r="J109" i="3"/>
  <c r="J111" i="3" s="1"/>
  <c r="I106" i="3"/>
  <c r="I110" i="3" s="1"/>
  <c r="I111" i="3" s="1"/>
  <c r="J81" i="3"/>
  <c r="J74" i="3"/>
  <c r="I74" i="3"/>
  <c r="J67" i="3"/>
  <c r="I67" i="3"/>
  <c r="J60" i="3"/>
  <c r="I60" i="3"/>
  <c r="J50" i="3"/>
  <c r="J106" i="3" s="1"/>
  <c r="J110" i="3" s="1"/>
  <c r="I50" i="3"/>
  <c r="J31" i="3"/>
  <c r="I31" i="3"/>
  <c r="J70" i="5"/>
  <c r="J72" i="5" s="1"/>
  <c r="J54" i="5"/>
  <c r="J97" i="5" s="1"/>
  <c r="J101" i="5" s="1"/>
  <c r="J52" i="5"/>
  <c r="J32" i="5"/>
  <c r="J15" i="5"/>
  <c r="J31" i="8"/>
  <c r="J25" i="8"/>
  <c r="J19" i="8"/>
  <c r="J14" i="8"/>
  <c r="J34" i="8" s="1"/>
  <c r="J38" i="8" s="1"/>
  <c r="J39" i="8" s="1"/>
  <c r="J14" i="3"/>
  <c r="J12" i="3"/>
  <c r="J72" i="13"/>
  <c r="J54" i="13"/>
  <c r="J47" i="16"/>
  <c r="J21" i="16"/>
  <c r="J16" i="16"/>
  <c r="J12" i="16"/>
  <c r="J11" i="9"/>
  <c r="J24" i="4"/>
  <c r="J29" i="11"/>
  <c r="J32" i="11" s="1"/>
  <c r="J69" i="11" s="1"/>
  <c r="J70" i="11" s="1"/>
  <c r="AB11" i="9"/>
  <c r="AD11" i="9" s="1"/>
  <c r="AD12" i="9" s="1"/>
  <c r="J16" i="9" s="1"/>
  <c r="J23" i="9" s="1"/>
  <c r="AB10" i="9"/>
  <c r="AD10" i="9" s="1"/>
  <c r="I25" i="9"/>
  <c r="J25" i="9" s="1"/>
  <c r="J27" i="9"/>
  <c r="J29" i="9"/>
  <c r="G45" i="9"/>
  <c r="H45" i="9" s="1"/>
  <c r="J45" i="9" s="1"/>
  <c r="G46" i="9"/>
  <c r="H46" i="9" s="1"/>
  <c r="J46" i="9" s="1"/>
  <c r="I34" i="9"/>
  <c r="J34" i="9" s="1"/>
  <c r="I36" i="9"/>
  <c r="J36" i="9"/>
  <c r="J33" i="9"/>
  <c r="J28" i="9"/>
  <c r="J18" i="9"/>
  <c r="G44" i="9"/>
  <c r="H44" i="9"/>
  <c r="J44" i="9" s="1"/>
  <c r="G43" i="9"/>
  <c r="H43" i="9"/>
  <c r="J43" i="9" s="1"/>
  <c r="J47" i="9" s="1"/>
  <c r="G39" i="9"/>
  <c r="J37" i="9"/>
  <c r="J59" i="1"/>
  <c r="J60" i="1" s="1"/>
  <c r="I32" i="5"/>
  <c r="I51" i="19"/>
  <c r="J73" i="4"/>
  <c r="I72" i="5"/>
  <c r="I63" i="5"/>
  <c r="I54" i="5"/>
  <c r="G43" i="13"/>
  <c r="H43" i="13"/>
  <c r="J60" i="13"/>
  <c r="I27" i="13"/>
  <c r="I74" i="13"/>
  <c r="I79" i="13" s="1"/>
  <c r="J18" i="2"/>
  <c r="J21" i="2" s="1"/>
  <c r="I16" i="2"/>
  <c r="J13" i="2"/>
  <c r="J20" i="14"/>
  <c r="J27" i="13"/>
  <c r="I15" i="5"/>
  <c r="I19" i="5" s="1"/>
  <c r="I70" i="5"/>
  <c r="I52" i="5"/>
  <c r="J24" i="17"/>
  <c r="J10" i="11"/>
  <c r="J26" i="11"/>
  <c r="J38" i="11"/>
  <c r="J44" i="11"/>
  <c r="J51" i="11"/>
  <c r="J57" i="11"/>
  <c r="J63" i="11"/>
  <c r="J11" i="4"/>
  <c r="J66" i="4"/>
  <c r="J68" i="4" s="1"/>
  <c r="J58" i="4"/>
  <c r="J55" i="4"/>
  <c r="J63" i="4" s="1"/>
  <c r="J48" i="4"/>
  <c r="J51" i="4" s="1"/>
  <c r="J43" i="4"/>
  <c r="J27" i="4"/>
  <c r="J25" i="4"/>
  <c r="J23" i="4"/>
  <c r="J18" i="4"/>
  <c r="G10" i="14"/>
  <c r="H10" i="14"/>
  <c r="E11" i="14"/>
  <c r="G11" i="14" s="1"/>
  <c r="H11" i="14" s="1"/>
  <c r="E12" i="14"/>
  <c r="G12" i="14" s="1"/>
  <c r="H12" i="14" s="1"/>
  <c r="E13" i="14"/>
  <c r="G13" i="14"/>
  <c r="H13" i="14" s="1"/>
  <c r="G18" i="14"/>
  <c r="H18" i="14"/>
  <c r="H20" i="14" s="1"/>
  <c r="G87" i="5"/>
  <c r="H87" i="5"/>
  <c r="H90" i="5"/>
  <c r="G80" i="5"/>
  <c r="H80" i="5" s="1"/>
  <c r="H84" i="5" s="1"/>
  <c r="G81" i="5"/>
  <c r="H81" i="5"/>
  <c r="G82" i="5"/>
  <c r="H82" i="5"/>
  <c r="G75" i="5"/>
  <c r="H75" i="5"/>
  <c r="H77" i="5"/>
  <c r="G66" i="5"/>
  <c r="H66" i="5" s="1"/>
  <c r="G67" i="5"/>
  <c r="H67" i="5"/>
  <c r="G68" i="5"/>
  <c r="H68" i="5" s="1"/>
  <c r="G69" i="5"/>
  <c r="H69" i="5"/>
  <c r="G70" i="5"/>
  <c r="H70" i="5" s="1"/>
  <c r="G57" i="5"/>
  <c r="H57" i="5" s="1"/>
  <c r="G58" i="5"/>
  <c r="H58" i="5" s="1"/>
  <c r="G59" i="5"/>
  <c r="H59" i="5"/>
  <c r="G60" i="5"/>
  <c r="H60" i="5" s="1"/>
  <c r="G61" i="5"/>
  <c r="H61" i="5"/>
  <c r="G39" i="5"/>
  <c r="H39" i="5" s="1"/>
  <c r="G40" i="5"/>
  <c r="H40" i="5" s="1"/>
  <c r="G41" i="5"/>
  <c r="H41" i="5"/>
  <c r="G42" i="5"/>
  <c r="H42" i="5"/>
  <c r="G43" i="5"/>
  <c r="H43" i="5"/>
  <c r="G44" i="5"/>
  <c r="H44" i="5" s="1"/>
  <c r="G45" i="5"/>
  <c r="H45" i="5"/>
  <c r="G46" i="5"/>
  <c r="H46" i="5"/>
  <c r="G47" i="5"/>
  <c r="H47" i="5" s="1"/>
  <c r="G48" i="5"/>
  <c r="H48" i="5" s="1"/>
  <c r="G49" i="5"/>
  <c r="H49" i="5"/>
  <c r="G50" i="5"/>
  <c r="H50" i="5"/>
  <c r="G51" i="5"/>
  <c r="H51" i="5"/>
  <c r="G52" i="5"/>
  <c r="H52" i="5" s="1"/>
  <c r="E32" i="5"/>
  <c r="G32" i="5"/>
  <c r="H32" i="5"/>
  <c r="G33" i="5"/>
  <c r="H33" i="5" s="1"/>
  <c r="G25" i="5"/>
  <c r="H25" i="5" s="1"/>
  <c r="H29" i="5" s="1"/>
  <c r="G26" i="5"/>
  <c r="H26" i="5"/>
  <c r="G27" i="5"/>
  <c r="H27" i="5"/>
  <c r="G93" i="5"/>
  <c r="H93" i="5"/>
  <c r="H95" i="5" s="1"/>
  <c r="G63" i="13"/>
  <c r="H63" i="13"/>
  <c r="G64" i="13"/>
  <c r="H64" i="13"/>
  <c r="G65" i="13"/>
  <c r="H65" i="13" s="1"/>
  <c r="G66" i="13"/>
  <c r="H66" i="13" s="1"/>
  <c r="G67" i="13"/>
  <c r="H67" i="13"/>
  <c r="G68" i="13"/>
  <c r="H68" i="13"/>
  <c r="G69" i="13"/>
  <c r="H69" i="13"/>
  <c r="G70" i="13"/>
  <c r="H70" i="13" s="1"/>
  <c r="G71" i="13"/>
  <c r="H71" i="13"/>
  <c r="G72" i="13"/>
  <c r="H72" i="13"/>
  <c r="G53" i="13"/>
  <c r="H53" i="13" s="1"/>
  <c r="H60" i="13" s="1"/>
  <c r="G54" i="13"/>
  <c r="H54" i="13" s="1"/>
  <c r="G55" i="13"/>
  <c r="H55" i="13"/>
  <c r="G56" i="13"/>
  <c r="H56" i="13"/>
  <c r="G57" i="13"/>
  <c r="H57" i="13"/>
  <c r="G58" i="13"/>
  <c r="H58" i="13" s="1"/>
  <c r="G30" i="13"/>
  <c r="H30" i="13"/>
  <c r="G31" i="13"/>
  <c r="H31" i="13" s="1"/>
  <c r="G32" i="13"/>
  <c r="H32" i="13"/>
  <c r="G33" i="13"/>
  <c r="H33" i="13" s="1"/>
  <c r="G34" i="13"/>
  <c r="H34" i="13" s="1"/>
  <c r="G35" i="13"/>
  <c r="H35" i="13" s="1"/>
  <c r="G36" i="13"/>
  <c r="H36" i="13"/>
  <c r="G37" i="13"/>
  <c r="H37" i="13" s="1"/>
  <c r="G38" i="13"/>
  <c r="H38" i="13"/>
  <c r="G39" i="13"/>
  <c r="H39" i="13" s="1"/>
  <c r="G40" i="13"/>
  <c r="H40" i="13"/>
  <c r="G41" i="13"/>
  <c r="H41" i="13" s="1"/>
  <c r="G42" i="13"/>
  <c r="H42" i="13" s="1"/>
  <c r="G44" i="13"/>
  <c r="H44" i="13" s="1"/>
  <c r="G45" i="13"/>
  <c r="H45" i="13"/>
  <c r="G46" i="13"/>
  <c r="H46" i="13" s="1"/>
  <c r="G47" i="13"/>
  <c r="H47" i="13"/>
  <c r="G48" i="13"/>
  <c r="H48" i="13" s="1"/>
  <c r="G11" i="13"/>
  <c r="H11" i="13"/>
  <c r="H27" i="13" s="1"/>
  <c r="G12" i="13"/>
  <c r="H12" i="13" s="1"/>
  <c r="G13" i="13"/>
  <c r="H13" i="13" s="1"/>
  <c r="G14" i="13"/>
  <c r="H14" i="13" s="1"/>
  <c r="G15" i="13"/>
  <c r="H15" i="13"/>
  <c r="G16" i="13"/>
  <c r="H16" i="13" s="1"/>
  <c r="G17" i="13"/>
  <c r="H17" i="13"/>
  <c r="G18" i="13"/>
  <c r="H18" i="13" s="1"/>
  <c r="G19" i="13"/>
  <c r="H19" i="13"/>
  <c r="G20" i="13"/>
  <c r="H20" i="13" s="1"/>
  <c r="G21" i="13"/>
  <c r="H21" i="13" s="1"/>
  <c r="G22" i="13"/>
  <c r="H22" i="13" s="1"/>
  <c r="G23" i="13"/>
  <c r="H23" i="13"/>
  <c r="G24" i="13"/>
  <c r="H24" i="13" s="1"/>
  <c r="G25" i="13"/>
  <c r="H25" i="13"/>
  <c r="G26" i="13"/>
  <c r="H26" i="13" s="1"/>
  <c r="G77" i="13"/>
  <c r="H77" i="13"/>
  <c r="G78" i="13"/>
  <c r="H78" i="13" s="1"/>
  <c r="G14" i="1"/>
  <c r="H14" i="1" s="1"/>
  <c r="H17" i="1" s="1"/>
  <c r="G15" i="1"/>
  <c r="H15" i="1" s="1"/>
  <c r="G16" i="1"/>
  <c r="H16" i="1"/>
  <c r="G20" i="1"/>
  <c r="H20" i="1"/>
  <c r="G21" i="1"/>
  <c r="H21" i="1"/>
  <c r="H22" i="1" s="1"/>
  <c r="G25" i="1"/>
  <c r="H25" i="1"/>
  <c r="H28" i="1" s="1"/>
  <c r="G26" i="1"/>
  <c r="H26" i="1" s="1"/>
  <c r="G27" i="1"/>
  <c r="H27" i="1" s="1"/>
  <c r="G31" i="1"/>
  <c r="H31" i="1" s="1"/>
  <c r="G32" i="1"/>
  <c r="H32" i="1"/>
  <c r="G33" i="1"/>
  <c r="H33" i="1" s="1"/>
  <c r="G37" i="1"/>
  <c r="H37" i="1"/>
  <c r="G38" i="1"/>
  <c r="H38" i="1" s="1"/>
  <c r="G39" i="1"/>
  <c r="H39" i="1"/>
  <c r="G40" i="1"/>
  <c r="H40" i="1" s="1"/>
  <c r="G41" i="1"/>
  <c r="H41" i="1" s="1"/>
  <c r="G42" i="1"/>
  <c r="H42" i="1" s="1"/>
  <c r="G43" i="1"/>
  <c r="H43" i="1"/>
  <c r="G44" i="1"/>
  <c r="H44" i="1" s="1"/>
  <c r="G45" i="1"/>
  <c r="H45" i="1"/>
  <c r="G46" i="1"/>
  <c r="H46" i="1" s="1"/>
  <c r="G47" i="1"/>
  <c r="H47" i="1"/>
  <c r="G48" i="1"/>
  <c r="H48" i="1" s="1"/>
  <c r="G51" i="1"/>
  <c r="H51" i="1" s="1"/>
  <c r="H53" i="1" s="1"/>
  <c r="G52" i="1"/>
  <c r="H52" i="1" s="1"/>
  <c r="G56" i="1"/>
  <c r="H56" i="1" s="1"/>
  <c r="G57" i="1"/>
  <c r="H57" i="1"/>
  <c r="G58" i="1"/>
  <c r="H58" i="1"/>
  <c r="G59" i="1"/>
  <c r="H59" i="1" s="1"/>
  <c r="G10" i="17"/>
  <c r="H10" i="17" s="1"/>
  <c r="H13" i="17" s="1"/>
  <c r="H26" i="17" s="1"/>
  <c r="H30" i="17" s="1"/>
  <c r="G11" i="17"/>
  <c r="H11" i="17"/>
  <c r="G16" i="17"/>
  <c r="H16" i="17" s="1"/>
  <c r="H18" i="17" s="1"/>
  <c r="H21" i="17"/>
  <c r="H24" i="17" s="1"/>
  <c r="H22" i="17"/>
  <c r="G18" i="3"/>
  <c r="H18" i="3" s="1"/>
  <c r="H20" i="3" s="1"/>
  <c r="G23" i="3"/>
  <c r="H23" i="3" s="1"/>
  <c r="G24" i="3"/>
  <c r="H24" i="3"/>
  <c r="G26" i="3"/>
  <c r="H26" i="3"/>
  <c r="G27" i="3"/>
  <c r="H27" i="3"/>
  <c r="G28" i="3"/>
  <c r="H28" i="3" s="1"/>
  <c r="G34" i="3"/>
  <c r="H34" i="3"/>
  <c r="G35" i="3"/>
  <c r="H35" i="3"/>
  <c r="G36" i="3"/>
  <c r="H36" i="3" s="1"/>
  <c r="G37" i="3"/>
  <c r="H37" i="3" s="1"/>
  <c r="G38" i="3"/>
  <c r="H38" i="3"/>
  <c r="G39" i="3"/>
  <c r="H39" i="3"/>
  <c r="G40" i="3"/>
  <c r="H40" i="3"/>
  <c r="G41" i="3"/>
  <c r="H41" i="3" s="1"/>
  <c r="G42" i="3"/>
  <c r="H42" i="3"/>
  <c r="G43" i="3"/>
  <c r="H43" i="3"/>
  <c r="G44" i="3"/>
  <c r="H44" i="3" s="1"/>
  <c r="G45" i="3"/>
  <c r="H45" i="3" s="1"/>
  <c r="G46" i="3"/>
  <c r="H46" i="3"/>
  <c r="G47" i="3"/>
  <c r="H47" i="3"/>
  <c r="G48" i="3"/>
  <c r="H48" i="3"/>
  <c r="G53" i="3"/>
  <c r="H53" i="3" s="1"/>
  <c r="G54" i="3"/>
  <c r="H54" i="3"/>
  <c r="G55" i="3"/>
  <c r="H55" i="3"/>
  <c r="G56" i="3"/>
  <c r="H56" i="3" s="1"/>
  <c r="G57" i="3"/>
  <c r="H57" i="3" s="1"/>
  <c r="G58" i="3"/>
  <c r="H58" i="3"/>
  <c r="G63" i="3"/>
  <c r="H63" i="3"/>
  <c r="G64" i="3"/>
  <c r="H64" i="3"/>
  <c r="G65" i="3"/>
  <c r="H65" i="3" s="1"/>
  <c r="G70" i="3"/>
  <c r="H70" i="3"/>
  <c r="G72" i="3"/>
  <c r="H72" i="3" s="1"/>
  <c r="H74" i="3" s="1"/>
  <c r="G77" i="3"/>
  <c r="H77" i="3"/>
  <c r="G78" i="3"/>
  <c r="H78" i="3" s="1"/>
  <c r="G89" i="3"/>
  <c r="H89" i="3" s="1"/>
  <c r="H92" i="3" s="1"/>
  <c r="G90" i="3"/>
  <c r="H90" i="3" s="1"/>
  <c r="G84" i="3"/>
  <c r="H84" i="3" s="1"/>
  <c r="H86" i="3" s="1"/>
  <c r="G95" i="3"/>
  <c r="H95" i="3"/>
  <c r="G96" i="3"/>
  <c r="H96" i="3" s="1"/>
  <c r="H99" i="3" s="1"/>
  <c r="G97" i="3"/>
  <c r="H97" i="3"/>
  <c r="G102" i="3"/>
  <c r="H102" i="3" s="1"/>
  <c r="H104" i="3" s="1"/>
  <c r="G54" i="11"/>
  <c r="H54" i="11"/>
  <c r="G55" i="11"/>
  <c r="H55" i="11"/>
  <c r="H57" i="11"/>
  <c r="G41" i="11"/>
  <c r="H41" i="11" s="1"/>
  <c r="H44" i="11" s="1"/>
  <c r="G42" i="11"/>
  <c r="H42" i="11"/>
  <c r="G35" i="11"/>
  <c r="H35" i="11" s="1"/>
  <c r="H38" i="11" s="1"/>
  <c r="G36" i="11"/>
  <c r="H36" i="11"/>
  <c r="G29" i="11"/>
  <c r="H29" i="11" s="1"/>
  <c r="H32" i="11" s="1"/>
  <c r="G30" i="11"/>
  <c r="H30" i="11" s="1"/>
  <c r="E18" i="11"/>
  <c r="G18" i="11"/>
  <c r="H18" i="11"/>
  <c r="G19" i="11"/>
  <c r="H19" i="11" s="1"/>
  <c r="G20" i="11"/>
  <c r="H20" i="11"/>
  <c r="G21" i="11"/>
  <c r="H21" i="11" s="1"/>
  <c r="G22" i="11"/>
  <c r="H22" i="11"/>
  <c r="G23" i="11"/>
  <c r="H23" i="11" s="1"/>
  <c r="G24" i="11"/>
  <c r="H24" i="11" s="1"/>
  <c r="G25" i="11"/>
  <c r="H25" i="11" s="1"/>
  <c r="G8" i="11"/>
  <c r="H8" i="11" s="1"/>
  <c r="H10" i="11" s="1"/>
  <c r="H48" i="11"/>
  <c r="G49" i="11"/>
  <c r="H49" i="11"/>
  <c r="G50" i="11"/>
  <c r="H50" i="11" s="1"/>
  <c r="H51" i="11" s="1"/>
  <c r="G60" i="11"/>
  <c r="H60" i="11" s="1"/>
  <c r="G61" i="11"/>
  <c r="H61" i="11" s="1"/>
  <c r="G13" i="11"/>
  <c r="H13" i="11" s="1"/>
  <c r="H15" i="11" s="1"/>
  <c r="G138" i="6"/>
  <c r="H138" i="6" s="1"/>
  <c r="H141" i="6" s="1"/>
  <c r="G126" i="6"/>
  <c r="H126" i="6"/>
  <c r="G127" i="6"/>
  <c r="H127" i="6" s="1"/>
  <c r="G128" i="6"/>
  <c r="H128" i="6"/>
  <c r="G129" i="6"/>
  <c r="H129" i="6" s="1"/>
  <c r="G130" i="6"/>
  <c r="H130" i="6" s="1"/>
  <c r="G131" i="6"/>
  <c r="H131" i="6" s="1"/>
  <c r="G132" i="6"/>
  <c r="H132" i="6"/>
  <c r="G133" i="6"/>
  <c r="H133" i="6" s="1"/>
  <c r="G114" i="6"/>
  <c r="H114" i="6"/>
  <c r="G115" i="6"/>
  <c r="H115" i="6" s="1"/>
  <c r="G116" i="6"/>
  <c r="H116" i="6" s="1"/>
  <c r="G117" i="6"/>
  <c r="H117" i="6"/>
  <c r="G118" i="6"/>
  <c r="H118" i="6"/>
  <c r="G119" i="6"/>
  <c r="H119" i="6"/>
  <c r="G120" i="6"/>
  <c r="H120" i="6" s="1"/>
  <c r="G121" i="6"/>
  <c r="H121" i="6"/>
  <c r="G104" i="6"/>
  <c r="H104" i="6"/>
  <c r="G105" i="6"/>
  <c r="H105" i="6" s="1"/>
  <c r="H108" i="6" s="1"/>
  <c r="G106" i="6"/>
  <c r="H106" i="6" s="1"/>
  <c r="G96" i="6"/>
  <c r="H96" i="6"/>
  <c r="G97" i="6"/>
  <c r="H97" i="6"/>
  <c r="G98" i="6"/>
  <c r="H98" i="6"/>
  <c r="G99" i="6"/>
  <c r="H99" i="6" s="1"/>
  <c r="G90" i="6"/>
  <c r="H90" i="6"/>
  <c r="G91" i="6"/>
  <c r="H91" i="6" s="1"/>
  <c r="H93" i="6" s="1"/>
  <c r="G79" i="6"/>
  <c r="H79" i="6"/>
  <c r="G80" i="6"/>
  <c r="H80" i="6" s="1"/>
  <c r="G81" i="6"/>
  <c r="H81" i="6" s="1"/>
  <c r="G82" i="6"/>
  <c r="H82" i="6" s="1"/>
  <c r="G83" i="6"/>
  <c r="H83" i="6"/>
  <c r="G84" i="6"/>
  <c r="H84" i="6" s="1"/>
  <c r="G85" i="6"/>
  <c r="H85" i="6"/>
  <c r="G69" i="6"/>
  <c r="H69" i="6" s="1"/>
  <c r="G70" i="6"/>
  <c r="H70" i="6"/>
  <c r="G71" i="6"/>
  <c r="H71" i="6" s="1"/>
  <c r="G72" i="6"/>
  <c r="H72" i="6" s="1"/>
  <c r="G73" i="6"/>
  <c r="H73" i="6" s="1"/>
  <c r="G74" i="6"/>
  <c r="H74" i="6"/>
  <c r="G60" i="6"/>
  <c r="H60" i="6" s="1"/>
  <c r="H63" i="6" s="1"/>
  <c r="G61" i="6"/>
  <c r="H61" i="6"/>
  <c r="G54" i="6"/>
  <c r="H54" i="6" s="1"/>
  <c r="G55" i="6"/>
  <c r="H55" i="6" s="1"/>
  <c r="G48" i="6"/>
  <c r="H48" i="6"/>
  <c r="H51" i="6" s="1"/>
  <c r="G49" i="6"/>
  <c r="H49" i="6"/>
  <c r="G41" i="6"/>
  <c r="H41" i="6"/>
  <c r="G42" i="6"/>
  <c r="H42" i="6" s="1"/>
  <c r="G35" i="6"/>
  <c r="H35" i="6"/>
  <c r="G36" i="6"/>
  <c r="H36" i="6" s="1"/>
  <c r="H38" i="6" s="1"/>
  <c r="G30" i="6"/>
  <c r="H30" i="6" s="1"/>
  <c r="H32" i="6" s="1"/>
  <c r="H10" i="9"/>
  <c r="G11" i="9"/>
  <c r="H11" i="9" s="1"/>
  <c r="G12" i="9"/>
  <c r="H12" i="9"/>
  <c r="H13" i="9"/>
  <c r="H14" i="9"/>
  <c r="H15" i="9"/>
  <c r="G16" i="9"/>
  <c r="H16" i="9"/>
  <c r="G17" i="9"/>
  <c r="H17" i="9" s="1"/>
  <c r="G18" i="9"/>
  <c r="H18" i="9" s="1"/>
  <c r="G19" i="9"/>
  <c r="H19" i="9"/>
  <c r="G20" i="9"/>
  <c r="H20" i="9"/>
  <c r="G21" i="9"/>
  <c r="H21" i="9"/>
  <c r="G22" i="9"/>
  <c r="H22" i="9" s="1"/>
  <c r="G25" i="9"/>
  <c r="H25" i="9"/>
  <c r="G26" i="9"/>
  <c r="H26" i="9"/>
  <c r="G27" i="9"/>
  <c r="H27" i="9" s="1"/>
  <c r="G28" i="9"/>
  <c r="H28" i="9" s="1"/>
  <c r="G29" i="9"/>
  <c r="H29" i="9"/>
  <c r="G30" i="9"/>
  <c r="H30" i="9"/>
  <c r="G31" i="9"/>
  <c r="H31" i="9"/>
  <c r="G32" i="9"/>
  <c r="H32" i="9" s="1"/>
  <c r="G33" i="9"/>
  <c r="H33" i="9"/>
  <c r="G34" i="9"/>
  <c r="H34" i="9"/>
  <c r="G35" i="9"/>
  <c r="H35" i="9" s="1"/>
  <c r="G36" i="9"/>
  <c r="H36" i="9" s="1"/>
  <c r="G37" i="9"/>
  <c r="H37" i="9"/>
  <c r="G38" i="9"/>
  <c r="H38" i="9"/>
  <c r="H39" i="9"/>
  <c r="G40" i="9"/>
  <c r="H40" i="9"/>
  <c r="G25" i="2"/>
  <c r="H25" i="2" s="1"/>
  <c r="G26" i="2"/>
  <c r="H26" i="2"/>
  <c r="E27" i="2"/>
  <c r="G27" i="2" s="1"/>
  <c r="H27" i="2" s="1"/>
  <c r="F27" i="2"/>
  <c r="G28" i="2"/>
  <c r="H28" i="2" s="1"/>
  <c r="G29" i="2"/>
  <c r="H29" i="2" s="1"/>
  <c r="G30" i="2"/>
  <c r="H30" i="2" s="1"/>
  <c r="I30" i="2" s="1"/>
  <c r="I34" i="2" s="1"/>
  <c r="I44" i="2" s="1"/>
  <c r="I48" i="2" s="1"/>
  <c r="I49" i="2" s="1"/>
  <c r="G31" i="2"/>
  <c r="H31" i="2"/>
  <c r="G32" i="2"/>
  <c r="H32" i="2" s="1"/>
  <c r="J32" i="2" s="1"/>
  <c r="J34" i="2" s="1"/>
  <c r="G11" i="2"/>
  <c r="H11" i="2"/>
  <c r="G12" i="2"/>
  <c r="H12" i="2" s="1"/>
  <c r="F13" i="2"/>
  <c r="G13" i="2" s="1"/>
  <c r="H13" i="2" s="1"/>
  <c r="G14" i="2"/>
  <c r="H14" i="2" s="1"/>
  <c r="G15" i="2"/>
  <c r="H15" i="2" s="1"/>
  <c r="G16" i="2"/>
  <c r="H16" i="2"/>
  <c r="G17" i="2"/>
  <c r="H17" i="2" s="1"/>
  <c r="G18" i="2"/>
  <c r="H18" i="2"/>
  <c r="G19" i="2"/>
  <c r="H19" i="2" s="1"/>
  <c r="J19" i="2" s="1"/>
  <c r="G38" i="2"/>
  <c r="H38" i="2"/>
  <c r="F39" i="2"/>
  <c r="G39" i="2" s="1"/>
  <c r="H39" i="2" s="1"/>
  <c r="J39" i="2" s="1"/>
  <c r="C69" i="18"/>
  <c r="E10" i="15"/>
  <c r="G10" i="15" s="1"/>
  <c r="H10" i="15" s="1"/>
  <c r="G11" i="15"/>
  <c r="H11" i="15" s="1"/>
  <c r="G12" i="15"/>
  <c r="H12" i="15"/>
  <c r="H13" i="15"/>
  <c r="G66" i="4"/>
  <c r="H66" i="4" s="1"/>
  <c r="H68" i="4" s="1"/>
  <c r="G55" i="4"/>
  <c r="H55" i="4" s="1"/>
  <c r="H63" i="4" s="1"/>
  <c r="G56" i="4"/>
  <c r="H56" i="4"/>
  <c r="G58" i="4"/>
  <c r="H58" i="4"/>
  <c r="G59" i="4"/>
  <c r="H59" i="4"/>
  <c r="G61" i="4"/>
  <c r="H61" i="4" s="1"/>
  <c r="G48" i="4"/>
  <c r="H48" i="4"/>
  <c r="G49" i="4"/>
  <c r="H49" i="4" s="1"/>
  <c r="H51" i="4" s="1"/>
  <c r="G42" i="4"/>
  <c r="H42" i="4"/>
  <c r="E43" i="4"/>
  <c r="G43" i="4"/>
  <c r="H43" i="4" s="1"/>
  <c r="G21" i="4"/>
  <c r="H21" i="4" s="1"/>
  <c r="G22" i="4"/>
  <c r="H22" i="4"/>
  <c r="G23" i="4"/>
  <c r="H23" i="4" s="1"/>
  <c r="G24" i="4"/>
  <c r="H24" i="4"/>
  <c r="G25" i="4"/>
  <c r="H25" i="4" s="1"/>
  <c r="G26" i="4"/>
  <c r="H26" i="4"/>
  <c r="G27" i="4"/>
  <c r="H27" i="4" s="1"/>
  <c r="G28" i="4"/>
  <c r="H28" i="4" s="1"/>
  <c r="G29" i="4"/>
  <c r="H29" i="4" s="1"/>
  <c r="J29" i="4" s="1"/>
  <c r="G15" i="4"/>
  <c r="H15" i="4"/>
  <c r="G16" i="4"/>
  <c r="H16" i="4"/>
  <c r="H18" i="4" s="1"/>
  <c r="C22" i="18"/>
  <c r="C24" i="18"/>
  <c r="C26" i="18"/>
  <c r="C29" i="18"/>
  <c r="C32" i="18"/>
  <c r="C33" i="18"/>
  <c r="C34" i="18"/>
  <c r="C35" i="18"/>
  <c r="C37" i="18"/>
  <c r="C39" i="18"/>
  <c r="C53" i="18" s="1"/>
  <c r="C120" i="18" s="1"/>
  <c r="I137" i="19"/>
  <c r="G133" i="19"/>
  <c r="G132" i="19"/>
  <c r="H132" i="19" s="1"/>
  <c r="G123" i="19"/>
  <c r="H123" i="19"/>
  <c r="B121" i="19"/>
  <c r="B123" i="19"/>
  <c r="B125" i="19" s="1"/>
  <c r="B127" i="19" s="1"/>
  <c r="B129" i="19" s="1"/>
  <c r="B131" i="19" s="1"/>
  <c r="B132" i="19" s="1"/>
  <c r="B133" i="19" s="1"/>
  <c r="B135" i="19" s="1"/>
  <c r="G119" i="19"/>
  <c r="H119" i="19" s="1"/>
  <c r="H137" i="19" s="1"/>
  <c r="H117" i="19"/>
  <c r="I113" i="19"/>
  <c r="G111" i="19"/>
  <c r="H111" i="19" s="1"/>
  <c r="G108" i="19"/>
  <c r="H108" i="19" s="1"/>
  <c r="G105" i="19"/>
  <c r="H105" i="19"/>
  <c r="G104" i="19"/>
  <c r="H104" i="19" s="1"/>
  <c r="G102" i="19"/>
  <c r="H102" i="19"/>
  <c r="G101" i="19"/>
  <c r="H101" i="19" s="1"/>
  <c r="G100" i="19"/>
  <c r="H100" i="19"/>
  <c r="G97" i="19"/>
  <c r="H97" i="19" s="1"/>
  <c r="G95" i="19"/>
  <c r="H95" i="19" s="1"/>
  <c r="H91" i="19"/>
  <c r="H90" i="19"/>
  <c r="E89" i="19"/>
  <c r="G89" i="19"/>
  <c r="H89" i="19"/>
  <c r="H113" i="19" s="1"/>
  <c r="G83" i="19"/>
  <c r="H83" i="19"/>
  <c r="G82" i="19"/>
  <c r="H82" i="19" s="1"/>
  <c r="I82" i="19" s="1"/>
  <c r="G81" i="19"/>
  <c r="H81" i="19"/>
  <c r="G80" i="19"/>
  <c r="H80" i="19" s="1"/>
  <c r="I80" i="19" s="1"/>
  <c r="I85" i="19" s="1"/>
  <c r="H78" i="19"/>
  <c r="H76" i="19"/>
  <c r="G74" i="19"/>
  <c r="H74" i="19" s="1"/>
  <c r="G73" i="19"/>
  <c r="H73" i="19"/>
  <c r="G72" i="19"/>
  <c r="H72" i="19" s="1"/>
  <c r="G71" i="19"/>
  <c r="H71" i="19"/>
  <c r="G69" i="19"/>
  <c r="H69" i="19" s="1"/>
  <c r="H85" i="19" s="1"/>
  <c r="H70" i="19"/>
  <c r="G70" i="19"/>
  <c r="G59" i="19"/>
  <c r="H59" i="19"/>
  <c r="H57" i="19"/>
  <c r="G54" i="19"/>
  <c r="H54" i="19" s="1"/>
  <c r="H65" i="19" s="1"/>
  <c r="E51" i="19"/>
  <c r="G51" i="19"/>
  <c r="H51" i="19"/>
  <c r="E53" i="19"/>
  <c r="G53" i="19"/>
  <c r="H53" i="19"/>
  <c r="I53" i="19" s="1"/>
  <c r="I65" i="19" s="1"/>
  <c r="I139" i="19" s="1"/>
  <c r="I143" i="19" s="1"/>
  <c r="B54" i="19"/>
  <c r="G42" i="19"/>
  <c r="H42" i="19"/>
  <c r="I42" i="19" s="1"/>
  <c r="G40" i="19"/>
  <c r="H40" i="19"/>
  <c r="G38" i="19"/>
  <c r="H38" i="19"/>
  <c r="G36" i="19"/>
  <c r="H36" i="19"/>
  <c r="I36" i="19" s="1"/>
  <c r="G34" i="19"/>
  <c r="H34" i="19" s="1"/>
  <c r="I34" i="19" s="1"/>
  <c r="G32" i="19"/>
  <c r="H32" i="19" s="1"/>
  <c r="I32" i="19" s="1"/>
  <c r="G30" i="19"/>
  <c r="H30" i="19"/>
  <c r="G28" i="19"/>
  <c r="H28" i="19"/>
  <c r="H44" i="19" s="1"/>
  <c r="B28" i="19"/>
  <c r="B30" i="19"/>
  <c r="B32" i="19"/>
  <c r="B34" i="19" s="1"/>
  <c r="B36" i="19" s="1"/>
  <c r="B38" i="19" s="1"/>
  <c r="H22" i="19"/>
  <c r="I22" i="19" s="1"/>
  <c r="G20" i="19"/>
  <c r="H20" i="19" s="1"/>
  <c r="I20" i="19" s="1"/>
  <c r="H19" i="19"/>
  <c r="I19" i="19" s="1"/>
  <c r="G17" i="19"/>
  <c r="H17" i="19" s="1"/>
  <c r="G15" i="19"/>
  <c r="H15" i="19" s="1"/>
  <c r="G13" i="19"/>
  <c r="H13" i="19" s="1"/>
  <c r="I13" i="19" s="1"/>
  <c r="H11" i="19"/>
  <c r="G9" i="19"/>
  <c r="H9" i="19"/>
  <c r="H7" i="19"/>
  <c r="I7" i="19" s="1"/>
  <c r="C16" i="18"/>
  <c r="C14" i="18"/>
  <c r="C13" i="18"/>
  <c r="C12" i="18"/>
  <c r="C11" i="18"/>
  <c r="C10" i="18"/>
  <c r="C113" i="18"/>
  <c r="C112" i="18"/>
  <c r="C111" i="18"/>
  <c r="C110" i="18"/>
  <c r="C109" i="18"/>
  <c r="C108" i="18"/>
  <c r="C107" i="18"/>
  <c r="C90" i="18"/>
  <c r="C89" i="18"/>
  <c r="C88" i="18"/>
  <c r="C87" i="18"/>
  <c r="C92" i="18"/>
  <c r="C73" i="18"/>
  <c r="C62" i="18"/>
  <c r="C61" i="18"/>
  <c r="C60" i="18"/>
  <c r="C59" i="18"/>
  <c r="C57" i="18"/>
  <c r="C47" i="18"/>
  <c r="C46" i="18"/>
  <c r="C45" i="18"/>
  <c r="C44" i="18"/>
  <c r="C43" i="18"/>
  <c r="C42" i="18"/>
  <c r="J13" i="17"/>
  <c r="J18" i="17"/>
  <c r="J26" i="17" s="1"/>
  <c r="J30" i="17" s="1"/>
  <c r="J31" i="17" s="1"/>
  <c r="I29" i="17"/>
  <c r="I13" i="17"/>
  <c r="I26" i="17" s="1"/>
  <c r="I30" i="17" s="1"/>
  <c r="I31" i="17" s="1"/>
  <c r="I18" i="17"/>
  <c r="H29" i="17"/>
  <c r="I24" i="17"/>
  <c r="G14" i="15"/>
  <c r="H14" i="15"/>
  <c r="G13" i="15"/>
  <c r="I15" i="14"/>
  <c r="J15" i="14"/>
  <c r="J23" i="14" s="1"/>
  <c r="J27" i="14" s="1"/>
  <c r="J28" i="14" s="1"/>
  <c r="B18" i="14"/>
  <c r="I18" i="14"/>
  <c r="I20" i="14" s="1"/>
  <c r="J86" i="13"/>
  <c r="J74" i="13"/>
  <c r="J83" i="13" s="1"/>
  <c r="J87" i="13" s="1"/>
  <c r="J50" i="13"/>
  <c r="I86" i="13"/>
  <c r="I60" i="13"/>
  <c r="I50" i="13"/>
  <c r="G10" i="13"/>
  <c r="H10" i="13" s="1"/>
  <c r="I8" i="11"/>
  <c r="I10" i="11"/>
  <c r="I26" i="11"/>
  <c r="I32" i="11"/>
  <c r="I38" i="11"/>
  <c r="I44" i="11"/>
  <c r="I69" i="11" s="1"/>
  <c r="I70" i="11" s="1"/>
  <c r="I63" i="11"/>
  <c r="I57" i="11"/>
  <c r="I51" i="11"/>
  <c r="J15" i="11"/>
  <c r="I13" i="11"/>
  <c r="I15" i="11"/>
  <c r="G11" i="10"/>
  <c r="H11" i="10"/>
  <c r="G12" i="10"/>
  <c r="H12" i="10"/>
  <c r="G13" i="10"/>
  <c r="H13" i="10"/>
  <c r="G14" i="10"/>
  <c r="H14" i="10"/>
  <c r="G15" i="10"/>
  <c r="H15" i="10"/>
  <c r="G16" i="10"/>
  <c r="H16" i="10" s="1"/>
  <c r="G17" i="10"/>
  <c r="H17" i="10" s="1"/>
  <c r="H18" i="10"/>
  <c r="G19" i="10"/>
  <c r="H19" i="10" s="1"/>
  <c r="G20" i="10"/>
  <c r="H20" i="10" s="1"/>
  <c r="G35" i="10"/>
  <c r="H35" i="10"/>
  <c r="G36" i="10"/>
  <c r="H36" i="10"/>
  <c r="G37" i="10"/>
  <c r="H37" i="10"/>
  <c r="G38" i="10"/>
  <c r="H38" i="10" s="1"/>
  <c r="G39" i="10"/>
  <c r="H39" i="10" s="1"/>
  <c r="G40" i="10"/>
  <c r="H40" i="10"/>
  <c r="G41" i="10"/>
  <c r="H41" i="10"/>
  <c r="G42" i="10"/>
  <c r="H42" i="10"/>
  <c r="G43" i="10"/>
  <c r="H43" i="10"/>
  <c r="G48" i="10"/>
  <c r="H48" i="10"/>
  <c r="H51" i="10"/>
  <c r="G54" i="10"/>
  <c r="H54" i="10" s="1"/>
  <c r="H57" i="10" s="1"/>
  <c r="G55" i="10"/>
  <c r="I41" i="9"/>
  <c r="J169" i="6"/>
  <c r="J162" i="6"/>
  <c r="J157" i="6"/>
  <c r="J164" i="6"/>
  <c r="J171" i="6"/>
  <c r="I169" i="6"/>
  <c r="H167" i="6"/>
  <c r="H169" i="6"/>
  <c r="I162" i="6"/>
  <c r="I164" i="6" s="1"/>
  <c r="G160" i="6"/>
  <c r="H160" i="6" s="1"/>
  <c r="H162" i="6" s="1"/>
  <c r="G155" i="6"/>
  <c r="H155" i="6" s="1"/>
  <c r="H157" i="6" s="1"/>
  <c r="I157" i="6"/>
  <c r="I148" i="6"/>
  <c r="I150" i="6"/>
  <c r="J143" i="6"/>
  <c r="I135" i="6"/>
  <c r="I141" i="6"/>
  <c r="I123" i="6"/>
  <c r="I143" i="6"/>
  <c r="I108" i="6"/>
  <c r="I110" i="6" s="1"/>
  <c r="I63" i="6"/>
  <c r="I65" i="6" s="1"/>
  <c r="I57" i="6"/>
  <c r="I51" i="6"/>
  <c r="I44" i="6"/>
  <c r="I32" i="6"/>
  <c r="J108" i="6"/>
  <c r="J110" i="6" s="1"/>
  <c r="J101" i="6"/>
  <c r="J76" i="6"/>
  <c r="I101" i="6"/>
  <c r="J93" i="6"/>
  <c r="I87" i="6"/>
  <c r="I93" i="6" s="1"/>
  <c r="I76" i="6"/>
  <c r="J57" i="6"/>
  <c r="J32" i="6"/>
  <c r="J65" i="6" s="1"/>
  <c r="J24" i="6"/>
  <c r="I24" i="6"/>
  <c r="H22" i="6"/>
  <c r="H24" i="6" s="1"/>
  <c r="J17" i="6"/>
  <c r="J19" i="6"/>
  <c r="I17" i="6"/>
  <c r="G15" i="6"/>
  <c r="H15" i="6"/>
  <c r="H17" i="6"/>
  <c r="G10" i="6"/>
  <c r="H10" i="6" s="1"/>
  <c r="H12" i="6" s="1"/>
  <c r="G9" i="4"/>
  <c r="H9" i="4" s="1"/>
  <c r="H11" i="4" s="1"/>
  <c r="H73" i="4" s="1"/>
  <c r="B93" i="5"/>
  <c r="J90" i="5"/>
  <c r="J95" i="5"/>
  <c r="I90" i="5"/>
  <c r="I95" i="5"/>
  <c r="G88" i="5"/>
  <c r="H88" i="5"/>
  <c r="B88" i="5"/>
  <c r="B87" i="5"/>
  <c r="J84" i="5"/>
  <c r="I84" i="5"/>
  <c r="B82" i="5"/>
  <c r="B81" i="5"/>
  <c r="B80" i="5"/>
  <c r="J77" i="5"/>
  <c r="I77" i="5"/>
  <c r="B75" i="5"/>
  <c r="B70" i="5"/>
  <c r="B69" i="5"/>
  <c r="B68" i="5"/>
  <c r="B67" i="5"/>
  <c r="B66" i="5"/>
  <c r="J63" i="5"/>
  <c r="B61" i="5"/>
  <c r="B60" i="5"/>
  <c r="B59" i="5"/>
  <c r="B58" i="5"/>
  <c r="B57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J35" i="5"/>
  <c r="I35" i="5"/>
  <c r="B33" i="5"/>
  <c r="B32" i="5"/>
  <c r="J29" i="5"/>
  <c r="I29" i="5"/>
  <c r="B27" i="5"/>
  <c r="B26" i="5"/>
  <c r="B25" i="5"/>
  <c r="G17" i="5"/>
  <c r="H17" i="5" s="1"/>
  <c r="B17" i="5"/>
  <c r="G16" i="5"/>
  <c r="H16" i="5"/>
  <c r="B16" i="5"/>
  <c r="G15" i="5"/>
  <c r="H15" i="5" s="1"/>
  <c r="B15" i="5"/>
  <c r="G14" i="5"/>
  <c r="H14" i="5" s="1"/>
  <c r="B14" i="5"/>
  <c r="J11" i="5"/>
  <c r="J19" i="5"/>
  <c r="J21" i="5"/>
  <c r="J100" i="5"/>
  <c r="J102" i="5" s="1"/>
  <c r="I11" i="5"/>
  <c r="I21" i="5" s="1"/>
  <c r="I100" i="5" s="1"/>
  <c r="I102" i="5" s="1"/>
  <c r="G9" i="5"/>
  <c r="H9" i="5"/>
  <c r="H11" i="5" s="1"/>
  <c r="B9" i="5"/>
  <c r="I109" i="3"/>
  <c r="G71" i="3"/>
  <c r="H71" i="3"/>
  <c r="G10" i="3"/>
  <c r="H10" i="3"/>
  <c r="G9" i="3"/>
  <c r="H9" i="3" s="1"/>
  <c r="H12" i="3" s="1"/>
  <c r="H14" i="3" s="1"/>
  <c r="H109" i="3" s="1"/>
  <c r="G8" i="3"/>
  <c r="H8" i="3"/>
  <c r="I73" i="4"/>
  <c r="I68" i="4"/>
  <c r="I63" i="4"/>
  <c r="I51" i="4"/>
  <c r="G37" i="4"/>
  <c r="H37" i="4" s="1"/>
  <c r="G36" i="4"/>
  <c r="H36" i="4" s="1"/>
  <c r="H39" i="4" s="1"/>
  <c r="E35" i="4"/>
  <c r="G35" i="4"/>
  <c r="H35" i="4"/>
  <c r="J35" i="4" s="1"/>
  <c r="G34" i="4"/>
  <c r="H34" i="4"/>
  <c r="J34" i="4" s="1"/>
  <c r="J39" i="4" s="1"/>
  <c r="I31" i="4"/>
  <c r="I39" i="4"/>
  <c r="I45" i="4"/>
  <c r="J41" i="2"/>
  <c r="I21" i="2"/>
  <c r="I41" i="2"/>
  <c r="C60" i="1"/>
  <c r="C53" i="1"/>
  <c r="C49" i="1"/>
  <c r="C34" i="1"/>
  <c r="C28" i="1"/>
  <c r="C22" i="1"/>
  <c r="C17" i="1"/>
  <c r="C105" i="18"/>
  <c r="C115" i="18" s="1"/>
  <c r="C79" i="18"/>
  <c r="I97" i="5"/>
  <c r="I101" i="5"/>
  <c r="J26" i="6"/>
  <c r="J148" i="6" s="1"/>
  <c r="C75" i="18"/>
  <c r="I23" i="14" l="1"/>
  <c r="I27" i="14" s="1"/>
  <c r="I28" i="14" s="1"/>
  <c r="C64" i="18"/>
  <c r="H23" i="9"/>
  <c r="H31" i="17"/>
  <c r="C77" i="18"/>
  <c r="H87" i="6"/>
  <c r="H74" i="13"/>
  <c r="I145" i="6"/>
  <c r="H72" i="5"/>
  <c r="H97" i="5" s="1"/>
  <c r="H101" i="5" s="1"/>
  <c r="C81" i="18" s="1"/>
  <c r="H31" i="4"/>
  <c r="H70" i="4"/>
  <c r="H74" i="4" s="1"/>
  <c r="C67" i="18" s="1"/>
  <c r="H34" i="2"/>
  <c r="H44" i="2" s="1"/>
  <c r="H48" i="2" s="1"/>
  <c r="H15" i="14"/>
  <c r="H23" i="14" s="1"/>
  <c r="H27" i="14" s="1"/>
  <c r="H81" i="3"/>
  <c r="H60" i="1"/>
  <c r="H54" i="5"/>
  <c r="H44" i="6"/>
  <c r="H45" i="4"/>
  <c r="H21" i="2"/>
  <c r="H135" i="6"/>
  <c r="H143" i="6" s="1"/>
  <c r="H60" i="3"/>
  <c r="H49" i="1"/>
  <c r="H22" i="10"/>
  <c r="H65" i="10" s="1"/>
  <c r="H76" i="6"/>
  <c r="H31" i="3"/>
  <c r="H106" i="3" s="1"/>
  <c r="H110" i="3" s="1"/>
  <c r="H66" i="1"/>
  <c r="I24" i="19"/>
  <c r="H16" i="15"/>
  <c r="H19" i="15" s="1"/>
  <c r="H23" i="15" s="1"/>
  <c r="H50" i="13"/>
  <c r="J31" i="4"/>
  <c r="I44" i="19"/>
  <c r="H19" i="6"/>
  <c r="H26" i="6" s="1"/>
  <c r="H148" i="6" s="1"/>
  <c r="H24" i="19"/>
  <c r="H46" i="19" s="1"/>
  <c r="H142" i="19" s="1"/>
  <c r="H144" i="19" s="1"/>
  <c r="J44" i="2"/>
  <c r="J48" i="2" s="1"/>
  <c r="J49" i="2" s="1"/>
  <c r="H79" i="13"/>
  <c r="J145" i="6"/>
  <c r="J149" i="6" s="1"/>
  <c r="J150" i="6" s="1"/>
  <c r="H139" i="19"/>
  <c r="H143" i="19" s="1"/>
  <c r="H41" i="9"/>
  <c r="H101" i="6"/>
  <c r="H110" i="6" s="1"/>
  <c r="H123" i="6"/>
  <c r="H26" i="11"/>
  <c r="H65" i="11" s="1"/>
  <c r="H69" i="11" s="1"/>
  <c r="H67" i="3"/>
  <c r="J88" i="13"/>
  <c r="H41" i="2"/>
  <c r="H63" i="11"/>
  <c r="H34" i="1"/>
  <c r="H63" i="5"/>
  <c r="J54" i="9"/>
  <c r="J55" i="9" s="1"/>
  <c r="H164" i="6"/>
  <c r="H171" i="6" s="1"/>
  <c r="H19" i="5"/>
  <c r="H21" i="5" s="1"/>
  <c r="H100" i="5" s="1"/>
  <c r="H57" i="6"/>
  <c r="H65" i="6" s="1"/>
  <c r="H50" i="3"/>
  <c r="H35" i="5"/>
  <c r="H45" i="10"/>
  <c r="J41" i="9"/>
  <c r="J42" i="4"/>
  <c r="J45" i="4" s="1"/>
  <c r="J70" i="4" s="1"/>
  <c r="J74" i="4" s="1"/>
  <c r="J75" i="4" s="1"/>
  <c r="I83" i="13"/>
  <c r="I87" i="13" s="1"/>
  <c r="I88" i="13" s="1"/>
  <c r="J79" i="13"/>
  <c r="H70" i="11" l="1"/>
  <c r="C74" i="18"/>
  <c r="H145" i="6"/>
  <c r="H149" i="6" s="1"/>
  <c r="C72" i="18" s="1"/>
  <c r="C76" i="18"/>
  <c r="H111" i="3"/>
  <c r="C68" i="18"/>
  <c r="H24" i="15"/>
  <c r="H75" i="4"/>
  <c r="H28" i="14"/>
  <c r="C82" i="18"/>
  <c r="C70" i="18"/>
  <c r="H49" i="2"/>
  <c r="H83" i="13"/>
  <c r="H87" i="13" s="1"/>
  <c r="C78" i="18"/>
  <c r="H67" i="1"/>
  <c r="H69" i="10"/>
  <c r="H70" i="10"/>
  <c r="H150" i="6"/>
  <c r="H49" i="9"/>
  <c r="H54" i="9" s="1"/>
  <c r="H102" i="5"/>
  <c r="I46" i="19"/>
  <c r="I142" i="19" s="1"/>
  <c r="I144" i="19" s="1"/>
  <c r="H88" i="13" l="1"/>
  <c r="C80" i="18"/>
  <c r="H55" i="9"/>
  <c r="C71" i="18"/>
  <c r="C84" i="18" s="1"/>
  <c r="C117" i="18" s="1"/>
  <c r="C121" i="18" s="1"/>
  <c r="C122" i="18" s="1"/>
  <c r="I75" i="4" l="1"/>
  <c r="I74" i="4"/>
  <c r="I70" i="4"/>
  <c r="I1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Jillian Reid</author>
    <author>tc={C145A0FC-349F-48BF-BA1E-431F8CAB9F83}</author>
    <author>tc={C9270E12-D891-4FE5-B4DF-50CA875E0A55}</author>
    <author>tc={7E988878-7298-4961-A29F-94DCDBF06797}</author>
  </authors>
  <commentList>
    <comment ref="G11" authorId="0" shapeId="0" xr:uid="{5398B563-8239-47ED-86E2-920702E6A468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on Last Year.</t>
        </r>
      </text>
    </comment>
    <comment ref="I17" authorId="1" shapeId="0" xr:uid="{C145A0FC-349F-48BF-BA1E-431F8CAB9F83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Not including the TR student interest fees as these are spent under discretion of the management team, Ops and DoS. 40% due  in January 19 was calculated but needs to be double checked with BMO Feb/Mar Deposits
</t>
      </text>
    </comment>
    <comment ref="G19" authorId="0" shapeId="0" xr:uid="{C860B60B-85CD-4285-B7CC-A6C630422723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 with a decrease in revenue.</t>
        </r>
      </text>
    </comment>
    <comment ref="G20" authorId="0" shapeId="0" xr:uid="{B1208ED0-28BD-4033-81C9-BD4A05AA2298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years with a decrease in revenue.</t>
        </r>
      </text>
    </comment>
    <comment ref="E51" authorId="0" shapeId="0" xr:uid="{D8B3292B-D67E-4378-9741-39FAA9926C27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average of previous year.</t>
        </r>
      </text>
    </comment>
    <comment ref="H76" authorId="0" shapeId="0" xr:uid="{3CFD2552-68EE-4F46-BF07-C92E798EDB6A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last year with an increase due to increase in employees</t>
        </r>
      </text>
    </comment>
    <comment ref="H78" authorId="0" shapeId="0" xr:uid="{F960B3A8-3B57-40AB-9020-DD6EDF368606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last year with an increase due to increase in employees.</t>
        </r>
      </text>
    </comment>
    <comment ref="I81" authorId="2" shapeId="0" xr:uid="{C9270E12-D891-4FE5-B4DF-50CA875E0A5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Still being approved
</t>
      </text>
    </comment>
    <comment ref="I89" authorId="3" shapeId="0" xr:uid="{7E988878-7298-4961-A29F-94DCDBF0679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$8000 estimated for February-May
</t>
      </text>
    </comment>
    <comment ref="E105" authorId="0" shapeId="0" xr:uid="{82B1D9BB-B275-4A89-993B-B8127FC0F320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year.</t>
        </r>
      </text>
    </comment>
    <comment ref="H109" authorId="0" shapeId="0" xr:uid="{6CCA25E9-C96A-46F5-BFAA-D6B041F30653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Both Educated Guesses
</t>
        </r>
      </text>
    </comment>
    <comment ref="H121" authorId="0" shapeId="0" xr:uid="{1B2C7DD7-C0E2-4E0B-B6FD-8FAF904C94DF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</t>
        </r>
      </text>
    </comment>
    <comment ref="H125" authorId="0" shapeId="0" xr:uid="{0BF95DB3-6230-4568-9994-78362EAC3272}">
      <text>
        <r>
          <rPr>
            <b/>
            <sz val="9"/>
            <color indexed="81"/>
            <rFont val="Tahoma"/>
            <family val="2"/>
          </rPr>
          <t>Jillian Reid:</t>
        </r>
        <r>
          <rPr>
            <sz val="9"/>
            <color indexed="81"/>
            <rFont val="Tahoma"/>
            <family val="2"/>
          </rPr>
          <t xml:space="preserve">
Based off of last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Leah Vignale</author>
    <author>Miranda Bundgård</author>
    <author>engsoc_guest</author>
  </authors>
  <commentList>
    <comment ref="I84" authorId="0" shapeId="0" xr:uid="{C6794179-AC74-4419-B45F-FC551A8C23B2}">
      <text>
        <r>
          <rPr>
            <sz val="11"/>
            <color theme="1"/>
            <rFont val="Calibri"/>
            <family val="2"/>
            <scheme val="minor"/>
          </rPr>
          <t>1: Bill for 40.63
2: Bill for 5.65</t>
        </r>
      </text>
    </comment>
    <comment ref="I143" authorId="0" shapeId="0" xr:uid="{B68D8DA2-93DD-4703-B97F-7BF95C57D7BC}">
      <text>
        <r>
          <rPr>
            <sz val="11"/>
            <color theme="1"/>
            <rFont val="Calibri"/>
            <family val="2"/>
            <scheme val="minor"/>
          </rPr>
          <t xml:space="preserve">Actually used for the rental of a projector screen - exec approved
</t>
        </r>
      </text>
    </comment>
    <comment ref="I144" authorId="0" shapeId="0" xr:uid="{61B6E092-61E0-46F1-8E9D-318DA8C10DF3}">
      <text>
        <r>
          <rPr>
            <sz val="11"/>
            <color theme="1"/>
            <rFont val="Calibri"/>
            <family val="2"/>
            <scheme val="minor"/>
          </rPr>
          <t>Actually used for candles - exec approved</t>
        </r>
      </text>
    </comment>
    <comment ref="I146" authorId="0" shapeId="0" xr:uid="{C77D0B74-22BB-47EF-875B-E2B344A46BB9}">
      <text>
        <r>
          <rPr>
            <sz val="11"/>
            <color theme="1"/>
            <rFont val="Calibri"/>
            <family val="2"/>
            <scheme val="minor"/>
          </rPr>
          <t xml:space="preserve">It was one invoice from CoGro and this combines lines 9.049 and 9.05 - 115.26 + 113.00 totalling 228.26
</t>
        </r>
      </text>
    </comment>
    <comment ref="D192" authorId="1" shapeId="0" xr:uid="{43427F1F-CF41-4A2D-BD23-C486F66EF7E9}">
      <text>
        <r>
          <rPr>
            <b/>
            <sz val="9"/>
            <color indexed="81"/>
            <rFont val="Tahoma"/>
            <family val="2"/>
          </rPr>
          <t>Miranda Bundgård:</t>
        </r>
        <r>
          <rPr>
            <sz val="9"/>
            <color indexed="81"/>
            <rFont val="Tahoma"/>
            <family val="2"/>
          </rPr>
          <t xml:space="preserve">
Assuming this is the case for 2018-2019
</t>
        </r>
      </text>
    </comment>
    <comment ref="I216" authorId="2" shapeId="0" xr:uid="{23C9B570-3AC4-4153-AFCC-78B9B801367C}">
      <text>
        <r>
          <rPr>
            <sz val="11"/>
            <color theme="1"/>
            <rFont val="Calibri"/>
            <family val="2"/>
            <scheme val="minor"/>
          </rPr>
          <t xml:space="preserve">Hamburgers and Hotdogs and Buns
1: 192.92 - Leah Vignale (All)
2: 141.39 - Jay Young Company Card (All)
3: 11.97 - Jeremy Cohen (Buns)
4: 57.47 - Isobel Ross + Garret (Burgers)
</t>
        </r>
      </text>
    </comment>
    <comment ref="I217" authorId="0" shapeId="0" xr:uid="{1840E96F-BCCC-4F3F-B4BD-5E177D82C1C2}">
      <text>
        <r>
          <rPr>
            <sz val="11"/>
            <color theme="1"/>
            <rFont val="Calibri"/>
            <family val="2"/>
            <scheme val="minor"/>
          </rPr>
          <t xml:space="preserve">Combined this line with the one above (9.083)
</t>
        </r>
      </text>
    </comment>
    <comment ref="I218" authorId="2" shapeId="0" xr:uid="{6CED4A61-DA98-4162-81ED-E094DC157AD2}">
      <text>
        <r>
          <rPr>
            <b/>
            <sz val="9"/>
            <color indexed="81"/>
            <rFont val="Tahoma"/>
            <family val="2"/>
          </rPr>
          <t>engsoc_guest:</t>
        </r>
        <r>
          <rPr>
            <sz val="9"/>
            <color indexed="81"/>
            <rFont val="Tahoma"/>
            <family val="2"/>
          </rPr>
          <t xml:space="preserve">
Lots of leftover condiments</t>
        </r>
      </text>
    </comment>
    <comment ref="I219" authorId="2" shapeId="0" xr:uid="{80EDB85E-A0B6-43C6-8F03-A2572165DB09}">
      <text>
        <r>
          <rPr>
            <b/>
            <sz val="9"/>
            <color indexed="81"/>
            <rFont val="Tahoma"/>
            <family val="2"/>
          </rPr>
          <t>engsoc_guest:</t>
        </r>
        <r>
          <rPr>
            <sz val="9"/>
            <color indexed="81"/>
            <rFont val="Tahoma"/>
            <family val="2"/>
          </rPr>
          <t xml:space="preserve">
Had losts of napkins, used this for ice for the cooler and aluminum foil tubs to keep food hot</t>
        </r>
      </text>
    </comment>
    <comment ref="I220" authorId="2" shapeId="0" xr:uid="{004C80B5-B620-427E-8346-9B875104F3DF}">
      <text>
        <r>
          <rPr>
            <b/>
            <sz val="9"/>
            <color indexed="81"/>
            <rFont val="Tahoma"/>
            <family val="2"/>
          </rPr>
          <t>engsoc_guest:</t>
        </r>
        <r>
          <rPr>
            <sz val="9"/>
            <color indexed="81"/>
            <rFont val="Tahoma"/>
            <family val="2"/>
          </rPr>
          <t xml:space="preserve">
Lots of leftover propane</t>
        </r>
      </text>
    </comment>
    <comment ref="I230" authorId="2" shapeId="0" xr:uid="{148D3EB6-45C8-489C-8BF2-24BE1811DAB5}">
      <text>
        <r>
          <rPr>
            <b/>
            <sz val="9"/>
            <color indexed="81"/>
            <rFont val="Tahoma"/>
            <family val="2"/>
          </rPr>
          <t>engsoc_guest:</t>
        </r>
        <r>
          <rPr>
            <sz val="9"/>
            <color indexed="81"/>
            <rFont val="Tahoma"/>
            <family val="2"/>
          </rPr>
          <t xml:space="preserve">
Crewneck, 2 lines embroidary, large chest print, absorbed 50$ cost for new logo designed by CEO</t>
        </r>
      </text>
    </comment>
    <comment ref="I235" authorId="0" shapeId="0" xr:uid="{E6E262B2-2FD1-4C25-8E0D-FEB555E3A7B1}">
      <text>
        <r>
          <rPr>
            <sz val="11"/>
            <color theme="1"/>
            <rFont val="Calibri"/>
            <family val="2"/>
            <scheme val="minor"/>
          </rPr>
          <t>For Trivia - BOTB and Ritual were fre</t>
        </r>
      </text>
    </comment>
    <comment ref="I240" authorId="0" shapeId="0" xr:uid="{0BC244F0-EE55-4BAF-888C-572A1593963C}">
      <text>
        <r>
          <rPr>
            <sz val="11"/>
            <color theme="1"/>
            <rFont val="Calibri"/>
            <family val="2"/>
            <scheme val="minor"/>
          </rPr>
          <t xml:space="preserve">1: Band Cost - 1250.00$
2: Dinner for Band - 95.77
3: Ale House Booking Cost - 541.09
4: Ticket printing: 23.33
</t>
        </r>
      </text>
    </comment>
    <comment ref="I255" authorId="0" shapeId="0" xr:uid="{55FEA3B4-D99C-4331-83DE-1CA8330510C5}">
      <text>
        <r>
          <rPr>
            <sz val="11"/>
            <color theme="1"/>
            <rFont val="Calibri"/>
            <family val="2"/>
            <scheme val="minor"/>
          </rPr>
          <t xml:space="preserve">This section actually bought ice for both the volunteer appreciation dinner (8.97), some plates/napkins and utensils (14.96), ice for the BBQ (17.94) and 2 large vegetarian pizzas for the food mix-up for the volunteer appreciation dinner (44.63). 
</t>
        </r>
      </text>
    </comment>
    <comment ref="I260" authorId="0" shapeId="0" xr:uid="{5409295A-5D62-4FBF-8727-40FBF6BAD2D9}">
      <text>
        <r>
          <rPr>
            <sz val="11"/>
            <color theme="1"/>
            <rFont val="Calibri"/>
            <family val="2"/>
            <scheme val="minor"/>
          </rPr>
          <t xml:space="preserve">Actually Spent it on a new tri-fold poster and tape for posters 
</t>
        </r>
      </text>
    </comment>
    <comment ref="I266" authorId="0" shapeId="0" xr:uid="{2282E870-58E5-4CA9-AAA7-BE6362DE1E33}">
      <text>
        <r>
          <rPr>
            <sz val="11"/>
            <color theme="1"/>
            <rFont val="Calibri"/>
            <family val="2"/>
            <scheme val="minor"/>
          </rPr>
          <t xml:space="preserve">1: Bill for 29.97 for 3 bags of hot chocolate powder
2: Bill for 256.37 from Tea Room </t>
        </r>
      </text>
    </comment>
    <comment ref="I273" authorId="0" shapeId="0" xr:uid="{F4CA2A47-9640-4262-8084-FB00A9A63AE6}">
      <text>
        <r>
          <rPr>
            <sz val="11"/>
            <color theme="1"/>
            <rFont val="Calibri"/>
            <family val="2"/>
            <scheme val="minor"/>
          </rPr>
          <t xml:space="preserve">1: Bill for 12.43 for candy canes 
2: Bill for 18.36 for candy canes
</t>
        </r>
      </text>
    </comment>
    <comment ref="I293" authorId="0" shapeId="0" xr:uid="{C35E9B48-610B-4A0F-9012-0358A45D7136}">
      <text>
        <r>
          <rPr>
            <sz val="11"/>
            <color theme="1"/>
            <rFont val="Calibri"/>
            <family val="2"/>
            <scheme val="minor"/>
          </rPr>
          <t xml:space="preserve">1: Bill for 41.67 for cookies 
2: Bill for 12.71 for bags and tape for cookie give-away event 
</t>
        </r>
      </text>
    </comment>
    <comment ref="I294" authorId="0" shapeId="0" xr:uid="{22327103-F263-46AD-A318-9ABD3BB0B37E}">
      <text>
        <r>
          <rPr>
            <sz val="11"/>
            <color theme="1"/>
            <rFont val="Calibri"/>
            <family val="2"/>
            <scheme val="minor"/>
          </rPr>
          <t xml:space="preserve">Candy for alternative give-away events - exec approved
</t>
        </r>
      </text>
    </comment>
    <comment ref="I317" authorId="0" shapeId="0" xr:uid="{EEDAD10C-BF31-4C03-BB21-63AF86B96151}">
      <text>
        <r>
          <rPr>
            <sz val="11"/>
            <color theme="1"/>
            <rFont val="Calibri"/>
            <family val="2"/>
            <scheme val="minor"/>
          </rPr>
          <t>1: Bill for music equipment rental (146.90)
2: Bill for 11.30 for equipment pick up</t>
        </r>
      </text>
    </comment>
    <comment ref="I326" authorId="0" shapeId="0" xr:uid="{844B3242-E892-4CB6-B873-A0B6504A18F1}">
      <text>
        <r>
          <rPr>
            <sz val="11"/>
            <color theme="1"/>
            <rFont val="Calibri"/>
            <family val="2"/>
            <scheme val="minor"/>
          </rPr>
          <t>1: Bill for 13.84 for paper plates, napkins and a donation box
2: bill for 11.00 for table cloths for the event and candy for the promotion table</t>
        </r>
      </text>
    </comment>
    <comment ref="I344" authorId="0" shapeId="0" xr:uid="{3893C750-4042-4854-943C-913A76B4B1A3}">
      <text>
        <r>
          <rPr>
            <sz val="11"/>
            <color theme="1"/>
            <rFont val="Calibri"/>
            <family val="2"/>
            <scheme val="minor"/>
          </rPr>
          <t xml:space="preserve">1: Bill for 7.06 - Tea Lights for centrepiece decorations
2: Bill for 16.95 - Plates and Napkins for the food
</t>
        </r>
      </text>
    </comment>
    <comment ref="I346" authorId="0" shapeId="0" xr:uid="{E08FA522-853D-4B95-8224-C02F713D018E}">
      <text>
        <r>
          <rPr>
            <sz val="11"/>
            <color theme="1"/>
            <rFont val="Calibri"/>
            <family val="2"/>
            <scheme val="minor"/>
          </rPr>
          <t xml:space="preserve">This was for wine glasses and glass punch bowl for non-alcoholic punch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Carson Cook</author>
  </authors>
  <commentList>
    <comment ref="A53" authorId="0" shapeId="0" xr:uid="{52E2C813-53A8-4EE1-A058-E3FEC96262AC}">
      <text>
        <r>
          <rPr>
            <sz val="11"/>
            <color theme="1"/>
            <rFont val="Calibri"/>
            <family val="2"/>
            <scheme val="minor"/>
          </rPr>
          <t xml:space="preserve">Likely Dean will provide financial support of approximately $2000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Sidney Picco</author>
    <author>tc={88680B9F-4DDB-4562-A9B0-57932D838CEF}</author>
    <author>tc={CE2960AD-B4D7-4FF6-882E-8071BA06C4FE}</author>
    <author>tc={01FBFD16-98BD-4E15-A696-F375D4CBE9C7}</author>
    <author>tc={B9835372-5625-4FE2-A161-9259A1D076FA}</author>
    <author>tc={AF4FA4F5-428C-4128-A169-3BD1CC47615C}</author>
    <author>tc={9C2BBC17-D242-4F44-B023-E9F7626BD331}</author>
    <author>tc={45D534DD-3F1D-4557-BE0D-7C73DFE713F2}</author>
    <author>tc={0A212F70-5AB9-42A5-B5E0-E4DB0B4837FA}</author>
  </authors>
  <commentList>
    <comment ref="D11" authorId="0" shapeId="0" xr:uid="{A6A17566-8431-4B68-AAB8-AB5E77B7B843}">
      <text>
        <r>
          <rPr>
            <b/>
            <sz val="9"/>
            <color indexed="81"/>
            <rFont val="Tahoma"/>
            <family val="2"/>
          </rPr>
          <t>Sidney Picco:</t>
        </r>
        <r>
          <rPr>
            <sz val="9"/>
            <color indexed="81"/>
            <rFont val="Tahoma"/>
            <family val="2"/>
          </rPr>
          <t xml:space="preserve">
There may be some leftover notebooks, but they can be used for 2019-2020 and as appreciation for faculty.
</t>
        </r>
      </text>
    </comment>
    <comment ref="E11" authorId="0" shapeId="0" xr:uid="{F05D8C60-9307-4C92-81A3-0AB112D91D96}">
      <text>
        <r>
          <rPr>
            <sz val="12"/>
            <color theme="1"/>
            <rFont val="Calibri"/>
            <family val="2"/>
            <scheme val="minor"/>
          </rPr>
          <t>This includes the shipping and set up fee per workbook as well</t>
        </r>
      </text>
    </comment>
    <comment ref="J13" authorId="1" shapeId="0" xr:uid="{88680B9F-4DDB-4562-A9B0-57932D838CEF}">
      <text>
        <t>[Threaded comment]
Your version of Excel allows you to read this threaded comment; however, any edits to it will get removed if the file is opened in a newer version of Excel. Learn more: https://go.microsoft.com/fwlink/?linkid=870924
Comment:
    We only are projected to run 3 caucuses instead of 4.</t>
      </text>
    </comment>
    <comment ref="J14" authorId="2" shapeId="0" xr:uid="{CE2960AD-B4D7-4FF6-882E-8071BA06C4FE}">
      <text>
        <t>[Threaded comment]
Your version of Excel allows you to read this threaded comment; however, any edits to it will get removed if the file is opened in a newer version of Excel. Learn more: https://go.microsoft.com/fwlink/?linkid=870924
Comment:
    We will only run 1 feedback booth</t>
      </text>
    </comment>
    <comment ref="I16" authorId="3" shapeId="0" xr:uid="{01FBFD16-98BD-4E15-A696-F375D4CBE9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 will only likely have 3 manuals ready to go, so I will only need 3 binders</t>
      </text>
    </comment>
    <comment ref="D17" authorId="0" shapeId="0" xr:uid="{699A3DDD-919D-4E6C-9C3F-87A57C6D5E71}">
      <text>
        <r>
          <rPr>
            <b/>
            <sz val="9"/>
            <color indexed="81"/>
            <rFont val="Tahoma"/>
            <family val="2"/>
          </rPr>
          <t>Sidney Picco:</t>
        </r>
        <r>
          <rPr>
            <sz val="9"/>
            <color indexed="81"/>
            <rFont val="Tahoma"/>
            <family val="2"/>
          </rPr>
          <t xml:space="preserve">
Dean of Academics, Dean of Teaching and Learning, and Professor Ableson.</t>
        </r>
      </text>
    </comment>
    <comment ref="D18" authorId="0" shapeId="0" xr:uid="{7FB49E25-99A6-4D6C-A667-CED7553FB49B}">
      <text>
        <r>
          <rPr>
            <sz val="12"/>
            <color theme="1"/>
            <rFont val="Calibri"/>
            <family val="2"/>
            <scheme val="minor"/>
          </rPr>
          <t xml:space="preserve">3 dozen ordered from subway catering for 6 faculty office hour sessions.
</t>
        </r>
      </text>
    </comment>
    <comment ref="J18" authorId="4" shapeId="0" xr:uid="{B9835372-5625-4FE2-A161-9259A1D076FA}">
      <text>
        <t>[Threaded comment]
Your version of Excel allows you to read this threaded comment; however, any edits to it will get removed if the file is opened in a newer version of Excel. Learn more: https://go.microsoft.com/fwlink/?linkid=870924
Comment:
    We've only currently run 2 feedback booths, but will likely run one more which I have accounted for</t>
      </text>
    </comment>
    <comment ref="D19" authorId="0" shapeId="0" xr:uid="{1F003F58-FA84-441E-9CCF-B004562C70D7}">
      <text>
        <r>
          <rPr>
            <b/>
            <sz val="9"/>
            <color indexed="81"/>
            <rFont val="Tahoma"/>
            <family val="2"/>
          </rPr>
          <t>Sidney Picco:</t>
        </r>
        <r>
          <rPr>
            <sz val="9"/>
            <color indexed="81"/>
            <rFont val="Tahoma"/>
            <family val="2"/>
          </rPr>
          <t xml:space="preserve">
To be held together with the BED Fund Management Team.</t>
        </r>
      </text>
    </comment>
    <comment ref="J19" authorId="5" shapeId="0" xr:uid="{AF4FA4F5-428C-4128-A169-3BD1CC47615C}">
      <text>
        <t>[Threaded comment]
Your version of Excel allows you to read this threaded comment; however, any edits to it will get removed if the file is opened in a newer version of Excel. Learn more: https://go.microsoft.com/fwlink/?linkid=870924
Comment:
    Will not be confirmed until the appreciation dinner actually happens</t>
      </text>
    </comment>
    <comment ref="D28" authorId="0" shapeId="0" xr:uid="{72E54EBF-C753-4065-8C27-E87F45C3634A}">
      <text>
        <r>
          <rPr>
            <b/>
            <sz val="9"/>
            <color indexed="81"/>
            <rFont val="Tahoma"/>
            <family val="2"/>
          </rPr>
          <t>Sidney Picco:</t>
        </r>
        <r>
          <rPr>
            <sz val="9"/>
            <color indexed="81"/>
            <rFont val="Tahoma"/>
            <family val="2"/>
          </rPr>
          <t xml:space="preserve">
Ordering 100 because it is only $26 more for 100 instead of 50.</t>
        </r>
      </text>
    </comment>
    <comment ref="I30" authorId="6" shapeId="0" xr:uid="{9C2BBC17-D242-4F44-B023-E9F7626BD331}">
      <text>
        <t>[Threaded comment]
Your version of Excel allows you to read this threaded comment; however, any edits to it will get removed if the file is opened in a newer version of Excel. Learn more: https://go.microsoft.com/fwlink/?linkid=870924
Comment:
    Event hasn't happened yet but will likely happen in March</t>
      </text>
    </comment>
    <comment ref="D32" authorId="0" shapeId="0" xr:uid="{4F902997-D58F-4676-A726-7F17CE370457}">
      <text>
        <r>
          <rPr>
            <b/>
            <sz val="9"/>
            <color indexed="81"/>
            <rFont val="Tahoma"/>
            <family val="2"/>
          </rPr>
          <t>Sidney Picco:</t>
        </r>
        <r>
          <rPr>
            <sz val="9"/>
            <color indexed="81"/>
            <rFont val="Tahoma"/>
            <family val="2"/>
          </rPr>
          <t xml:space="preserve">
To be held at the same time as the Academics Team dinner.</t>
        </r>
      </text>
    </comment>
    <comment ref="J32" authorId="7" shapeId="0" xr:uid="{45D534DD-3F1D-4557-BE0D-7C73DFE713F2}">
      <text>
        <t>[Threaded comment]
Your version of Excel allows you to read this threaded comment; however, any edits to it will get removed if the file is opened in a newer version of Excel. Learn more: https://go.microsoft.com/fwlink/?linkid=870924
Comment:
    Hasn't occured yet but will likely happen in March</t>
      </text>
    </comment>
    <comment ref="A37" authorId="0" shapeId="0" xr:uid="{C8205D01-09D2-4884-9A92-05B95DCC5C56}">
      <text>
        <r>
          <rPr>
            <sz val="12"/>
            <color theme="1"/>
            <rFont val="Calibri"/>
            <family val="2"/>
            <scheme val="minor"/>
          </rPr>
          <t>Academic services are iCons and EngLinks</t>
        </r>
      </text>
    </comment>
    <comment ref="E38" authorId="0" shapeId="0" xr:uid="{57616950-7E1C-4400-BDBE-EC8F49841CE2}">
      <text>
        <r>
          <rPr>
            <sz val="12"/>
            <color theme="1"/>
            <rFont val="Calibri"/>
            <family val="2"/>
            <scheme val="minor"/>
          </rPr>
          <t>$5/person for food and $10/person for drink tickets</t>
        </r>
      </text>
    </comment>
    <comment ref="J39" authorId="8" shapeId="0" xr:uid="{0A212F70-5AB9-42A5-B5E0-E4DB0B4837FA}">
      <text>
        <t>[Threaded comment]
Your version of Excel allows you to read this threaded comment; however, any edits to it will get removed if the file is opened in a newer version of Excel. Learn more: https://go.microsoft.com/fwlink/?linkid=870924
Comment:
    Hasn't happened yet but will likely happen in March or April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Carson Cook</author>
  </authors>
  <commentList>
    <comment ref="D40" authorId="0" shapeId="0" xr:uid="{B57C7B85-966B-45B2-88AB-3A53A3561604}">
      <text>
        <r>
          <rPr>
            <sz val="10"/>
            <rFont val="Arial"/>
            <family val="2"/>
          </rPr>
          <t>describe cost breakdown - how many people will it serve in one event?
Unsure, waiting on Lora's response (from Del) -K</t>
        </r>
      </text>
    </comment>
    <comment ref="F40" authorId="0" shapeId="0" xr:uid="{BBCEF55C-C2ED-4A93-A5BB-6ED583D8124F}">
      <text>
        <r>
          <rPr>
            <sz val="10"/>
            <rFont val="Arial"/>
            <family val="2"/>
          </rPr>
          <t>Are there 5 surveys?</t>
        </r>
      </text>
    </comment>
    <comment ref="E45" authorId="0" shapeId="0" xr:uid="{8EB47F75-A8FA-4752-A88D-DCEFA4DC1358}">
      <text>
        <r>
          <rPr>
            <sz val="10"/>
            <rFont val="Arial"/>
            <family val="2"/>
          </rPr>
          <t>confirm with Izzy
---
Waiting on Izzy to give solid number -K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 Tseung</author>
  </authors>
  <commentList>
    <comment ref="F10" authorId="0" shapeId="0" xr:uid="{2A112AE4-8904-46D8-8CDF-AD6F2663E762}">
      <text>
        <r>
          <rPr>
            <b/>
            <sz val="9"/>
            <color indexed="81"/>
            <rFont val="Tahoma"/>
            <family val="2"/>
          </rPr>
          <t>Brandon Tseung:</t>
        </r>
        <r>
          <rPr>
            <sz val="9"/>
            <color indexed="81"/>
            <rFont val="Tahoma"/>
            <family val="2"/>
          </rPr>
          <t xml:space="preserve">
Previous year had a quantity of 6 for 3 people; add 4 units for 2 FYPCOs to this year's budget</t>
        </r>
      </text>
    </comment>
    <comment ref="E11" authorId="0" shapeId="0" xr:uid="{7B50F53C-2DF2-4315-AA9A-9F6A9195505A}">
      <text>
        <r>
          <rPr>
            <b/>
            <sz val="9"/>
            <color indexed="81"/>
            <rFont val="Tahoma"/>
            <family val="2"/>
          </rPr>
          <t>Brandon Tseung:</t>
        </r>
        <r>
          <rPr>
            <sz val="9"/>
            <color indexed="81"/>
            <rFont val="Tahoma"/>
            <family val="2"/>
          </rPr>
          <t xml:space="preserve">
Unit price reduced from $60 to $50 based on last year's actual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Carson Cook</author>
    <author>tc={6B2E153C-407E-47A7-A5BE-081DA2F4618D}</author>
  </authors>
  <commentList>
    <comment ref="E35" authorId="0" shapeId="0" xr:uid="{24C18715-42B1-4FB1-B4D0-510A53995CA0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Where is this coming from?
Emma: talking with Cathy from room booking</t>
        </r>
      </text>
    </comment>
    <comment ref="E39" authorId="0" shapeId="0" xr:uid="{01630E85-3BA4-4DCA-9370-689A427DA8C0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Where is this number coming from
Number from Nick's Budget not available online</t>
        </r>
      </text>
    </comment>
    <comment ref="E42" authorId="0" shapeId="0" xr:uid="{4D7110ED-6344-440D-96C6-5C27B0913B09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This should be around 2.50 / person, maybe a bit more</t>
        </r>
      </text>
    </comment>
    <comment ref="F42" authorId="0" shapeId="0" xr:uid="{AEA3FE4D-3CD6-447E-87DC-96A19236C865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3" authorId="0" shapeId="0" xr:uid="{AB6A7254-DBB8-4AC0-BF0B-BAD16CD22A31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Where are these numbers coming from?
Emma: Again from nicks budget, I will talk to izzy about catering
</t>
        </r>
      </text>
    </comment>
    <comment ref="K63" authorId="1" shapeId="0" xr:uid="{6B2E153C-407E-47A7-A5BE-081DA2F4618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Tea Room should have expensed this. I can follow up if they didn't
</t>
      </text>
    </comment>
    <comment ref="E70" authorId="0" shapeId="0" xr:uid="{6979BFF4-6B61-440D-9D8B-CD6B3AAD4025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Where is this coming from?
This is from what nick spent last year on candy
an estimate of what I can expect to spend
</t>
        </r>
      </text>
    </comment>
    <comment ref="G72" authorId="0" shapeId="0" xr:uid="{E340EB14-D62D-47C6-B0BF-76083C16F9BF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Seems like a high total for 8 themes (will it even be 8?)</t>
        </r>
      </text>
    </comment>
    <comment ref="E95" authorId="0" shapeId="0" xr:uid="{124E8413-F06D-4A08-A73C-C192935B8D73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Where is this number coming from?</t>
        </r>
      </text>
    </comment>
    <comment ref="E102" authorId="0" shapeId="0" xr:uid="{43E4576E-6EEB-4AC7-8899-07DC41B46B6F}">
      <text>
        <r>
          <rPr>
            <b/>
            <sz val="9"/>
            <color indexed="81"/>
            <rFont val="Tahoma"/>
            <family val="2"/>
          </rPr>
          <t>Carson Cook:</t>
        </r>
        <r>
          <rPr>
            <sz val="9"/>
            <color indexed="81"/>
            <rFont val="Tahoma"/>
            <family val="2"/>
          </rPr>
          <t xml:space="preserve">
Should this not be on EngLinks to fund? Check in with Jordan maybe
I believe that englinks has already submitted the budget I will ask to see if there is room under englinks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Tristan Brunet</author>
  </authors>
  <commentList>
    <comment ref="B11" authorId="0" shapeId="0" xr:uid="{663AF69C-9D5B-884F-8CEB-7FD213B1F540}">
      <text>
        <r>
          <rPr>
            <b/>
            <sz val="10"/>
            <color rgb="FF000000"/>
            <rFont val="Tahoma"/>
            <family val="2"/>
          </rPr>
          <t>Tristan Brunet: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This was a good event last year instead of the manager dinner since it included all staff. Had drink tickets and pizza and such. I got the number by adding a bit to the difference between last year's the dinner line's budget and actual</t>
        </r>
      </text>
    </comment>
    <comment ref="B12" authorId="0" shapeId="0" xr:uid="{FF0CBBD4-74FD-6749-A7FF-050852EB101C}">
      <text>
        <r>
          <rPr>
            <b/>
            <sz val="10"/>
            <color rgb="FF000000"/>
            <rFont val="Tahoma"/>
            <family val="2"/>
          </rPr>
          <t>Tristan Brunet: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 don't know how you want to split the pizza budget, but I put it into 2 lines so it's clear for you</t>
        </r>
      </text>
    </comment>
  </commentList>
</comments>
</file>

<file path=xl/sharedStrings.xml><?xml version="1.0" encoding="utf-8"?>
<sst xmlns="http://schemas.openxmlformats.org/spreadsheetml/2006/main" count="2340" uniqueCount="1696">
  <si>
    <t>Queen's Engineering Society</t>
  </si>
  <si>
    <t>2017-2018</t>
  </si>
  <si>
    <t>2016-2017</t>
  </si>
  <si>
    <t>DESCRIPTION</t>
  </si>
  <si>
    <t>BUDGET</t>
  </si>
  <si>
    <t>PRE ACTUAL</t>
  </si>
  <si>
    <t>ACTUAL</t>
  </si>
  <si>
    <t>Revenue ($)</t>
  </si>
  <si>
    <t>SALES REVENUE</t>
  </si>
  <si>
    <t xml:space="preserve">Summer BBQ </t>
  </si>
  <si>
    <t xml:space="preserve">Printing </t>
  </si>
  <si>
    <t>Council Candy</t>
  </si>
  <si>
    <t>QUESSI Management Fees</t>
  </si>
  <si>
    <t>Imaginus Poster Sale</t>
  </si>
  <si>
    <t>Net Student Interest Fees</t>
  </si>
  <si>
    <t>Total Advertising</t>
  </si>
  <si>
    <t>Rollover from previous year</t>
  </si>
  <si>
    <t>Total Sales Revenue</t>
  </si>
  <si>
    <t>POSITION REVENUE</t>
  </si>
  <si>
    <t>President</t>
  </si>
  <si>
    <t>VP Operations</t>
  </si>
  <si>
    <t>VP Student Affairs</t>
  </si>
  <si>
    <t>Director of Academics</t>
  </si>
  <si>
    <t>Director of Communications</t>
  </si>
  <si>
    <t>Director of External Communications</t>
  </si>
  <si>
    <t>Director of Conferences</t>
  </si>
  <si>
    <t>Director of Design</t>
  </si>
  <si>
    <t>Director of Events</t>
  </si>
  <si>
    <t>Director of First Year</t>
  </si>
  <si>
    <t>Director of Finance</t>
  </si>
  <si>
    <t>Director of Human Resources</t>
  </si>
  <si>
    <t>Director of Information Technology</t>
  </si>
  <si>
    <t>Director of Internal Affairs</t>
  </si>
  <si>
    <t>Director of Professional Development</t>
  </si>
  <si>
    <t>Director of Services</t>
  </si>
  <si>
    <t>Total Position Revenue</t>
  </si>
  <si>
    <t>RECOVERY REVENUE</t>
  </si>
  <si>
    <t>Accounting Recovery</t>
  </si>
  <si>
    <t>Administration Fees Recovery</t>
  </si>
  <si>
    <t>Rent Recovery</t>
  </si>
  <si>
    <t>Telephone &amp; Long Distance Recovery</t>
  </si>
  <si>
    <t>Insurance Recovery</t>
  </si>
  <si>
    <t>Bank Charges Recovery</t>
  </si>
  <si>
    <t>Printing Recovery</t>
  </si>
  <si>
    <t>Office Suppleis Recovery</t>
  </si>
  <si>
    <t>Total Recovery Revenue</t>
  </si>
  <si>
    <t>TOTAL REVENUE</t>
  </si>
  <si>
    <t>Expenses ($)</t>
  </si>
  <si>
    <t>COST OF GOODS SOLD</t>
  </si>
  <si>
    <t>Summer BBQ</t>
  </si>
  <si>
    <t>Total Printing Expenses</t>
  </si>
  <si>
    <t>Imaginus Expenses</t>
  </si>
  <si>
    <t>Yearbook Printing</t>
  </si>
  <si>
    <t>Engenda Printing</t>
  </si>
  <si>
    <t>Total Cost of Goods Sold</t>
  </si>
  <si>
    <t>POSITION EXPENSES</t>
  </si>
  <si>
    <t>Director of Community Outreach</t>
  </si>
  <si>
    <t>Total Position Expenses</t>
  </si>
  <si>
    <t>PAYROLL EXPENSES</t>
  </si>
  <si>
    <t>Wages &amp; Salaries</t>
  </si>
  <si>
    <t>EI Expense</t>
  </si>
  <si>
    <t>CPP Expense</t>
  </si>
  <si>
    <t>Exec &amp; Honoraria Expenses</t>
  </si>
  <si>
    <t>Total Payroll Expenses</t>
  </si>
  <si>
    <t>ADMINISTRATIVE EXPENSES</t>
  </si>
  <si>
    <t>Accounting &amp; Legal</t>
  </si>
  <si>
    <t xml:space="preserve"> </t>
  </si>
  <si>
    <t>Administration - General Manager Salary</t>
  </si>
  <si>
    <t>Rent</t>
  </si>
  <si>
    <t>Telephone &amp; Long Distance</t>
  </si>
  <si>
    <t xml:space="preserve">Insurance </t>
  </si>
  <si>
    <t>Bank Charges</t>
  </si>
  <si>
    <t>Total Administrative Expenses</t>
  </si>
  <si>
    <t>OPERATING EXPENSES</t>
  </si>
  <si>
    <t>Keys</t>
  </si>
  <si>
    <t>Shredding</t>
  </si>
  <si>
    <t>Courier &amp; Postage</t>
  </si>
  <si>
    <t>Office Supplies</t>
  </si>
  <si>
    <t>ESARCK</t>
  </si>
  <si>
    <t>Travel</t>
  </si>
  <si>
    <t>Repair &amp; Maintenance</t>
  </si>
  <si>
    <t>Jacket Bursaries</t>
  </si>
  <si>
    <t>Summer Projects</t>
  </si>
  <si>
    <t>Total Operating Expenses</t>
  </si>
  <si>
    <t>TOTAL EXPENSES</t>
  </si>
  <si>
    <t>Summary ($)</t>
  </si>
  <si>
    <t>Total Revenue</t>
  </si>
  <si>
    <t>Total Expenses</t>
  </si>
  <si>
    <t>Net Surplus</t>
  </si>
  <si>
    <t>GENERAL</t>
  </si>
  <si>
    <t>Line #</t>
  </si>
  <si>
    <t>Item</t>
  </si>
  <si>
    <t>Specifics</t>
  </si>
  <si>
    <t>Unit Price</t>
  </si>
  <si>
    <t>Quantity</t>
  </si>
  <si>
    <t>Subtotal</t>
  </si>
  <si>
    <t>Budget</t>
  </si>
  <si>
    <t>BBQ sales</t>
  </si>
  <si>
    <t>Average of all BBQ</t>
  </si>
  <si>
    <t>Printing Revenue</t>
  </si>
  <si>
    <t>Printing</t>
  </si>
  <si>
    <t>Charge from Students</t>
  </si>
  <si>
    <t>Council candy</t>
  </si>
  <si>
    <t>Donations for jacket bursary</t>
  </si>
  <si>
    <t>QUESSI</t>
  </si>
  <si>
    <t>Payment for managing bookstore Board of Directors</t>
  </si>
  <si>
    <t>Imaginus</t>
  </si>
  <si>
    <t>Renegotiated contract</t>
  </si>
  <si>
    <t>Student Interest Fees</t>
  </si>
  <si>
    <t>2800 students expected</t>
  </si>
  <si>
    <t>Total Advertising Revenue</t>
  </si>
  <si>
    <t>Yearbook Advertising</t>
  </si>
  <si>
    <t>CU advertising</t>
  </si>
  <si>
    <t>Engenda Advertising</t>
  </si>
  <si>
    <t>Rollover from 2016-2017</t>
  </si>
  <si>
    <t>Budgetary Rollover</t>
  </si>
  <si>
    <t>Based on specific services bookkeeping usage</t>
  </si>
  <si>
    <t>Collected via EngServe</t>
  </si>
  <si>
    <t>Based on specific services General Manager usage</t>
  </si>
  <si>
    <t>Based on specific services space usage</t>
  </si>
  <si>
    <t>Based on specific services phone usage</t>
  </si>
  <si>
    <t>Based on total insurance</t>
  </si>
  <si>
    <t>Debit and Credit usage</t>
  </si>
  <si>
    <t>Based on specific services printing</t>
  </si>
  <si>
    <t>Office Supplies Recovery</t>
  </si>
  <si>
    <t>COSTS OF GOODS SOLD</t>
  </si>
  <si>
    <t>BBQ materials</t>
  </si>
  <si>
    <t>Drinks, hot dogs, hamburgers, buns, condiments</t>
  </si>
  <si>
    <t>Printing Rental</t>
  </si>
  <si>
    <t>Machine rental from OT group</t>
  </si>
  <si>
    <t>Paper</t>
  </si>
  <si>
    <t>Printer paper from Staples - expected to need 25 cases</t>
  </si>
  <si>
    <t>Printing Ink</t>
  </si>
  <si>
    <t>Based off of last year</t>
  </si>
  <si>
    <t>Candy</t>
  </si>
  <si>
    <t>Assorted chocolate bars and candy</t>
  </si>
  <si>
    <t>Poster sale</t>
  </si>
  <si>
    <t>Tables</t>
  </si>
  <si>
    <t>Sci 18</t>
  </si>
  <si>
    <t>Printing through Friesen's</t>
  </si>
  <si>
    <t>Engendas</t>
  </si>
  <si>
    <t>Total Costs of Goods Sold</t>
  </si>
  <si>
    <t>Secretary</t>
  </si>
  <si>
    <t>Council secretary for 12 councils, 1 AGM</t>
  </si>
  <si>
    <t>Advisory Board secretary, 8 meetings</t>
  </si>
  <si>
    <t>Finance officer salary</t>
  </si>
  <si>
    <t>Salary for 12 week semester x2</t>
  </si>
  <si>
    <t>President summer salary</t>
  </si>
  <si>
    <t>Current salary + increase with Minimum Wage</t>
  </si>
  <si>
    <t>VP Operations summer salary</t>
  </si>
  <si>
    <t>0.31</t>
  </si>
  <si>
    <t>VP Student Affairs summer salary</t>
  </si>
  <si>
    <t>Employment insurance</t>
  </si>
  <si>
    <t>Based off of last year with increase</t>
  </si>
  <si>
    <t>Canada pension plan</t>
  </si>
  <si>
    <t>President Subsidy</t>
  </si>
  <si>
    <t>Up to half year's tuition</t>
  </si>
  <si>
    <t>VP Operations Subsidy</t>
  </si>
  <si>
    <t>Exec honoraria</t>
  </si>
  <si>
    <t>1 week salary per exec</t>
  </si>
  <si>
    <t>Bookkeeping</t>
  </si>
  <si>
    <t>CCS Bookkeeping Services</t>
  </si>
  <si>
    <t>Financial review</t>
  </si>
  <si>
    <t>Collins Barrow SEO LLP</t>
  </si>
  <si>
    <t>Lawyers</t>
  </si>
  <si>
    <t>Templeman</t>
  </si>
  <si>
    <t>Administration - General Manager</t>
  </si>
  <si>
    <t>General Manager</t>
  </si>
  <si>
    <t>Wages</t>
  </si>
  <si>
    <t>CPP and EI</t>
  </si>
  <si>
    <t>On-campus parking</t>
  </si>
  <si>
    <t>Storage Locker Rent</t>
  </si>
  <si>
    <t>For offsite storage of records and equipment</t>
  </si>
  <si>
    <t>Clark Hall rent</t>
  </si>
  <si>
    <t>Charged by university for building upkeep</t>
  </si>
  <si>
    <t>IT Services phone bills</t>
  </si>
  <si>
    <t>8 phone lines</t>
  </si>
  <si>
    <t>Average monthly long distance</t>
  </si>
  <si>
    <t>Queen's Phone Plan</t>
  </si>
  <si>
    <t>Subsidize Jay's Phone</t>
  </si>
  <si>
    <t>Insurance</t>
  </si>
  <si>
    <t>AMS insurance</t>
  </si>
  <si>
    <t>Overall society insurance</t>
  </si>
  <si>
    <t>ESARCK insurance</t>
  </si>
  <si>
    <t>Liability for ESARCK land</t>
  </si>
  <si>
    <t>Moneris rental</t>
  </si>
  <si>
    <t>Monthly rental, security fees, and service for handheld</t>
  </si>
  <si>
    <t>Transaction fees</t>
  </si>
  <si>
    <t>Credit</t>
  </si>
  <si>
    <t>Debit</t>
  </si>
  <si>
    <t>Credit cards</t>
  </si>
  <si>
    <t>Annual fees for corporate cards</t>
  </si>
  <si>
    <t>Keys for spaces</t>
  </si>
  <si>
    <t>Obtained through PPS</t>
  </si>
  <si>
    <t>Paper shredding</t>
  </si>
  <si>
    <t>Iron Mountain</t>
  </si>
  <si>
    <t>Mailing costs</t>
  </si>
  <si>
    <t>Through the Campus Bookstore</t>
  </si>
  <si>
    <t>Miscellaneous office supplies</t>
  </si>
  <si>
    <t>Folders, shelves, highlighters, etc.</t>
  </si>
  <si>
    <t>Property taxes</t>
  </si>
  <si>
    <t>Remitted to City of Kingston for grease pole site</t>
  </si>
  <si>
    <t>Mileage reports</t>
  </si>
  <si>
    <t>Reimbursement for travel expenses for the society</t>
  </si>
  <si>
    <t>Miscellaneous repair</t>
  </si>
  <si>
    <t>Unforeseen maintenance to society space</t>
  </si>
  <si>
    <t>Bursaries</t>
  </si>
  <si>
    <t>Jacket bursaries for GPAs</t>
  </si>
  <si>
    <t>To be put towards CEO for Jacket Bursaries</t>
  </si>
  <si>
    <t>FREC Bursaries for FRECS during Frosh Week</t>
  </si>
  <si>
    <t>Bursaries for FREC fees (half of total fee)</t>
  </si>
  <si>
    <t>Frosh Bursaries for frosh during Frosh Week</t>
  </si>
  <si>
    <t>Bursaries for frosh fees (half of total fee)</t>
  </si>
  <si>
    <t>Summer Spending</t>
  </si>
  <si>
    <t>Summer projects</t>
  </si>
  <si>
    <t>Breakdown of expenses to be presented to Council</t>
  </si>
  <si>
    <t xml:space="preserve">Miranda Bundgard - Director of Events </t>
  </si>
  <si>
    <t>Pre-Actual</t>
  </si>
  <si>
    <t>Actual</t>
  </si>
  <si>
    <t>EngVents</t>
  </si>
  <si>
    <t>ILC Escape Room I</t>
  </si>
  <si>
    <t>Last year was $10 per team, increasing to $20 per team</t>
  </si>
  <si>
    <t>ThunderBallz</t>
  </si>
  <si>
    <t>$30/team registration</t>
  </si>
  <si>
    <t>Open Mic Night</t>
  </si>
  <si>
    <t>Pay what you can pizza</t>
  </si>
  <si>
    <t>Stirling Movie Night</t>
  </si>
  <si>
    <t>$5 admission + popcorn</t>
  </si>
  <si>
    <t>ILC Escape Room II</t>
  </si>
  <si>
    <t>Assuming $20 per team was successful in first semester</t>
  </si>
  <si>
    <t>Total EngVents Revenue</t>
  </si>
  <si>
    <t>December 6th Memorial</t>
  </si>
  <si>
    <t>Dean Donation</t>
  </si>
  <si>
    <t>Traditionally, event expense covered by the Dean</t>
  </si>
  <si>
    <t>Total December 6th Memorial Revenue</t>
  </si>
  <si>
    <t>EngWeek</t>
  </si>
  <si>
    <t>Bowling</t>
  </si>
  <si>
    <t>T-sledz</t>
  </si>
  <si>
    <t>Movie Night</t>
  </si>
  <si>
    <t>Movie Night - Concession stand</t>
  </si>
  <si>
    <t>New Year's 2.0</t>
  </si>
  <si>
    <t>Games Night</t>
  </si>
  <si>
    <t>Bubble Soccer</t>
  </si>
  <si>
    <t>BOTB</t>
  </si>
  <si>
    <t>Total EngWeek Revenue</t>
  </si>
  <si>
    <t xml:space="preserve">Movember </t>
  </si>
  <si>
    <t xml:space="preserve">Ticket Sale </t>
  </si>
  <si>
    <t xml:space="preserve">Clark Event </t>
  </si>
  <si>
    <t>Three Events TBD</t>
  </si>
  <si>
    <t>Raffle Tickets</t>
  </si>
  <si>
    <t xml:space="preserve">Ritual and Trivia </t>
  </si>
  <si>
    <t>Concert Revenue</t>
  </si>
  <si>
    <t>Crossfit Class/Warrior Run</t>
  </si>
  <si>
    <t>Donations</t>
  </si>
  <si>
    <t>Crossfit Superclass or Warrior Run on a weekend - minimum donation</t>
  </si>
  <si>
    <t>75 (superclass)</t>
  </si>
  <si>
    <t>Crossfit Revenue</t>
  </si>
  <si>
    <t xml:space="preserve">Merchandise </t>
  </si>
  <si>
    <t>Old Shirts</t>
  </si>
  <si>
    <t>Sold @ sidewalk sale and events</t>
  </si>
  <si>
    <t xml:space="preserve">Old Hats </t>
  </si>
  <si>
    <t>Merchandise Revenue</t>
  </si>
  <si>
    <t>Yoga</t>
  </si>
  <si>
    <t xml:space="preserve">Sundays and Special Events </t>
  </si>
  <si>
    <t>Yoga Revenue</t>
  </si>
  <si>
    <t xml:space="preserve">Food </t>
  </si>
  <si>
    <t xml:space="preserve">Hamburgers </t>
  </si>
  <si>
    <t>Sold @ Weekly Ritual BBQ</t>
  </si>
  <si>
    <t xml:space="preserve">Cheeseburgers </t>
  </si>
  <si>
    <t>Movember Mochas</t>
  </si>
  <si>
    <t>TeaRoom</t>
  </si>
  <si>
    <t>Food Revenue</t>
  </si>
  <si>
    <t>Total Movember Revenue</t>
  </si>
  <si>
    <t>Dean's Wine and Cheese</t>
  </si>
  <si>
    <t>Traditionally, part of the event is supported by the Dean, based on last years donation</t>
  </si>
  <si>
    <t>Total Dean's Wine and Cheese Revenue</t>
  </si>
  <si>
    <t>Festival of Carols</t>
  </si>
  <si>
    <t>Sponsorship</t>
  </si>
  <si>
    <t>Donations for decorations</t>
  </si>
  <si>
    <t>Total Festival of Carols Revenue</t>
  </si>
  <si>
    <t xml:space="preserve">Comedy Show </t>
  </si>
  <si>
    <t>Thank you gift for comedian(s)</t>
  </si>
  <si>
    <t>Some Queen's memorabilia from bookstore</t>
  </si>
  <si>
    <t>Fee for comedian</t>
  </si>
  <si>
    <t>Quoted in an email</t>
  </si>
  <si>
    <t>Total Comedy Show Expenses</t>
  </si>
  <si>
    <t xml:space="preserve">ILC Escape Room I </t>
  </si>
  <si>
    <t>Room materials</t>
  </si>
  <si>
    <t>Reuse some materials from last year + buy some new ones</t>
  </si>
  <si>
    <t>Photo booth materials</t>
  </si>
  <si>
    <t>For promotional aspect, and to post on EngVents facebook page for publicity</t>
  </si>
  <si>
    <t>Total ILC Escape Room 1 Expenses</t>
  </si>
  <si>
    <t xml:space="preserve">Chutes &amp; Lattes </t>
  </si>
  <si>
    <t>Tea Room Rental (3 hours, drinks only)</t>
  </si>
  <si>
    <t>Found on Tea Room website</t>
  </si>
  <si>
    <t>Cookies, muffins, etc.</t>
  </si>
  <si>
    <t>To be purchased from Costco</t>
  </si>
  <si>
    <t>Total Chutes &amp; Lattes Expenses</t>
  </si>
  <si>
    <t>Thunderballz</t>
  </si>
  <si>
    <t xml:space="preserve">Thunderballz bars </t>
  </si>
  <si>
    <t>From Qtraditions website</t>
  </si>
  <si>
    <t>Gym Rental</t>
  </si>
  <si>
    <t>KCVI Gym Rental - Based on last year's invoice</t>
  </si>
  <si>
    <t>Total Thunderballz Expenses</t>
  </si>
  <si>
    <t xml:space="preserve">Open Mic </t>
  </si>
  <si>
    <t xml:space="preserve">Appreciation for those who perform </t>
  </si>
  <si>
    <t>A nice gesture to our volunteers</t>
  </si>
  <si>
    <t>For hungry audience members</t>
  </si>
  <si>
    <t>Total Open Mic Expenses</t>
  </si>
  <si>
    <t>Skating in the Square  </t>
  </si>
  <si>
    <t>Hot Chocolate</t>
  </si>
  <si>
    <t>Tim's Take 10 Containers</t>
  </si>
  <si>
    <t>Timbits (50 Pack)</t>
  </si>
  <si>
    <t>Based on the Tim Horton's website</t>
  </si>
  <si>
    <t>Total Skating Event Expenses</t>
  </si>
  <si>
    <t>Movie Night In Stirling Hall</t>
  </si>
  <si>
    <t>Popcorn/drinks/serving containers</t>
  </si>
  <si>
    <t>From Costco</t>
  </si>
  <si>
    <t>Total Movie Night In Stirling Hall Expenses</t>
  </si>
  <si>
    <t>Materials</t>
  </si>
  <si>
    <t>For room set-up</t>
  </si>
  <si>
    <t>Total ILC II Escape Room Expenses</t>
  </si>
  <si>
    <t>Are You Smarter Than A First Year</t>
  </si>
  <si>
    <t>From Shoppers</t>
  </si>
  <si>
    <t>Total Are You Smarter Than A First Year Expenses</t>
  </si>
  <si>
    <t>Volunteer Appreciation</t>
  </si>
  <si>
    <t>Crewneck sweaters</t>
  </si>
  <si>
    <t>CEO pricing with lettering</t>
  </si>
  <si>
    <t>Pizza</t>
  </si>
  <si>
    <t>For first and last meetings (3 large pizzas each)</t>
  </si>
  <si>
    <t>Total Volunteer Appreciation Expenses</t>
  </si>
  <si>
    <t>Miscellaneous</t>
  </si>
  <si>
    <t>EngDay Booth</t>
  </si>
  <si>
    <t>To advertise</t>
  </si>
  <si>
    <t>Total Miscellaneous Expenses</t>
  </si>
  <si>
    <t>Total EngVents Expenses</t>
  </si>
  <si>
    <t xml:space="preserve">December 6th Memorial </t>
  </si>
  <si>
    <t>Roses</t>
  </si>
  <si>
    <t>Red or deep violet</t>
  </si>
  <si>
    <t>Ribbon</t>
  </si>
  <si>
    <t>White</t>
  </si>
  <si>
    <t>Candles</t>
  </si>
  <si>
    <t>For ceremony</t>
  </si>
  <si>
    <t>Cardstock</t>
  </si>
  <si>
    <t>For invitations and programs</t>
  </si>
  <si>
    <t>Coffee/Tea</t>
  </si>
  <si>
    <t>CoGro -- used Tea Room</t>
  </si>
  <si>
    <t>Food</t>
  </si>
  <si>
    <t xml:space="preserve">CoGro - 2x Assorted </t>
  </si>
  <si>
    <t>Gift</t>
  </si>
  <si>
    <t>A gift for the speaker</t>
  </si>
  <si>
    <t>Total December 6th Memorial Expenses</t>
  </si>
  <si>
    <t>Stu Cons</t>
  </si>
  <si>
    <t>4 stucons * 3 hours = 12 units *** Assuming minimum wage increase to $14.00 (from current wage of 13.00)</t>
  </si>
  <si>
    <t>Stu Con Supervisor</t>
  </si>
  <si>
    <t>3 hours *** Assuming increase in wage from 14.50 to 15.50$</t>
  </si>
  <si>
    <t>Bussing</t>
  </si>
  <si>
    <t>(tax included)</t>
  </si>
  <si>
    <t>Bowling Games</t>
  </si>
  <si>
    <t>2 games * 70 people</t>
  </si>
  <si>
    <t>Shoe Rentals</t>
  </si>
  <si>
    <t>1 pair * 70 people</t>
  </si>
  <si>
    <t>Prize for best costume</t>
  </si>
  <si>
    <t>Total Curling Expenses</t>
  </si>
  <si>
    <t>EVENT 1 TBD (Clark Games Night Replacement)</t>
  </si>
  <si>
    <t>Items TBD</t>
  </si>
  <si>
    <t>Due to past low attendance, a new event will be chosen by students which is TBD. In the meantime, the budget will remain the same to reflect the possible expenses the new event will have</t>
  </si>
  <si>
    <t>Total Event 1 TBD Expenses</t>
  </si>
  <si>
    <t>EVENT 2 TBD (Movie Night Replacement)</t>
  </si>
  <si>
    <t>Total Karaoke Replacement Expenses</t>
  </si>
  <si>
    <t xml:space="preserve">Battle of the Bands </t>
  </si>
  <si>
    <t>Prize (cheque)</t>
  </si>
  <si>
    <t>Talent incentive</t>
  </si>
  <si>
    <t>Total Battle of the Bands Expenses</t>
  </si>
  <si>
    <t xml:space="preserve">Bubble Soccer </t>
  </si>
  <si>
    <t>Player Charges</t>
  </si>
  <si>
    <t>Additional charges for each player involved in event after 10 players</t>
  </si>
  <si>
    <t>Soccer Ball</t>
  </si>
  <si>
    <t>Special balls used for bubble soccer</t>
  </si>
  <si>
    <t>Bubble Ball</t>
  </si>
  <si>
    <t xml:space="preserve">The ball that the individual is inside </t>
  </si>
  <si>
    <t>Set-Up Charges</t>
  </si>
  <si>
    <t xml:space="preserve">Pump up the bubble balls, set up nets, etc. </t>
  </si>
  <si>
    <t>Venue Rental</t>
  </si>
  <si>
    <t>Rental of Mac Brown Gym</t>
  </si>
  <si>
    <t>Transportation</t>
  </si>
  <si>
    <t>To transport equipment from Toronto to venue</t>
  </si>
  <si>
    <t>Additonal Player Charges</t>
  </si>
  <si>
    <t>Additional charges for each player after 20 players (including up to 5 committee members)</t>
  </si>
  <si>
    <t>Goal Posts</t>
  </si>
  <si>
    <t>Special goal posts used for bubble soccer</t>
  </si>
  <si>
    <t>Award</t>
  </si>
  <si>
    <t>$10 gift cards from the Tea Room for winning team</t>
  </si>
  <si>
    <t>Total Bubble Soccer Expenses</t>
  </si>
  <si>
    <t>NYE 2.0 </t>
  </si>
  <si>
    <t>Venue (Brooklyn)</t>
  </si>
  <si>
    <t>The Brooklyn has generously not charged us for the venue</t>
  </si>
  <si>
    <t>Decorations</t>
  </si>
  <si>
    <t>Decorations for the venue, SWAG, and games/incentives (all from Dollar Store)</t>
  </si>
  <si>
    <t>Prizes</t>
  </si>
  <si>
    <t>Provided to winner of theme</t>
  </si>
  <si>
    <t>Total Pub Crawl Expenses</t>
  </si>
  <si>
    <t xml:space="preserve">Thunder Sledz </t>
  </si>
  <si>
    <t>Duct Tape</t>
  </si>
  <si>
    <t>Canadian Tire</t>
  </si>
  <si>
    <t>Rope</t>
  </si>
  <si>
    <t>Garbage Removal</t>
  </si>
  <si>
    <t>To clean garage at sites</t>
  </si>
  <si>
    <t>AB Field rental - replaced hot coco</t>
  </si>
  <si>
    <t>Tearoom</t>
  </si>
  <si>
    <t>Total Thundersledz Expenses</t>
  </si>
  <si>
    <t xml:space="preserve">Marketing </t>
  </si>
  <si>
    <t>EngWeek Sweaters</t>
  </si>
  <si>
    <t>For Committee to wear throughout event</t>
  </si>
  <si>
    <t>Food Colouring</t>
  </si>
  <si>
    <t>Purple Turbo for pre-week sponsored ritual</t>
  </si>
  <si>
    <t>Total Marketing Expenses</t>
  </si>
  <si>
    <t>Total EngWeek Expenses</t>
  </si>
  <si>
    <t>Cooked Hamburger Patties</t>
  </si>
  <si>
    <t>Purchased @ Giant Tiger (packs of 14)</t>
  </si>
  <si>
    <t>Burger Buns</t>
  </si>
  <si>
    <t>packs of 12</t>
  </si>
  <si>
    <t>Condiments</t>
  </si>
  <si>
    <t>To accompany the Hamburgers and Hotdogs</t>
  </si>
  <si>
    <t>Napkins</t>
  </si>
  <si>
    <t xml:space="preserve">For tidy eating </t>
  </si>
  <si>
    <t>Propane</t>
  </si>
  <si>
    <t>Expense if we run out</t>
  </si>
  <si>
    <t xml:space="preserve">Cheese </t>
  </si>
  <si>
    <t xml:space="preserve">Kraft Singles (packs of 16) </t>
  </si>
  <si>
    <t>Food Expenses</t>
  </si>
  <si>
    <t xml:space="preserve">Advertisements </t>
  </si>
  <si>
    <t xml:space="preserve">Props for photos </t>
  </si>
  <si>
    <t xml:space="preserve">Dollar store to use at ritual and trivia </t>
  </si>
  <si>
    <t xml:space="preserve">Games at Ritual </t>
  </si>
  <si>
    <t xml:space="preserve">Ballons, razors, sharpies ect. </t>
  </si>
  <si>
    <t>Jacket Bars</t>
  </si>
  <si>
    <t>Qtradition</t>
  </si>
  <si>
    <t>Posterboard</t>
  </si>
  <si>
    <t>Bristol board + other props</t>
  </si>
  <si>
    <t>Sweaters</t>
  </si>
  <si>
    <t>For committee to wear at events</t>
  </si>
  <si>
    <t>Advertisement Expenses</t>
  </si>
  <si>
    <t xml:space="preserve">Events </t>
  </si>
  <si>
    <t>Clark Booking</t>
  </si>
  <si>
    <t>Ritual, BOTB (TBD), Trivia (TBD)</t>
  </si>
  <si>
    <t>Opening Band Cost</t>
  </si>
  <si>
    <t>Crossfit Trainer</t>
  </si>
  <si>
    <t>2 Hours Session</t>
  </si>
  <si>
    <t>Room Bookings</t>
  </si>
  <si>
    <t>Yoga, Crossfit</t>
  </si>
  <si>
    <t>Hotel for Band</t>
  </si>
  <si>
    <t>4 Rooms</t>
  </si>
  <si>
    <t>Band</t>
  </si>
  <si>
    <t>For Concert</t>
  </si>
  <si>
    <t>Prize for BOTB</t>
  </si>
  <si>
    <t>Band Incentive</t>
  </si>
  <si>
    <t xml:space="preserve">A&amp;W Breakfast Sammy </t>
  </si>
  <si>
    <t>Events Expenses</t>
  </si>
  <si>
    <t>Committee Sweaters</t>
  </si>
  <si>
    <t>Donation from Exec</t>
  </si>
  <si>
    <t>Total Movember Expenses</t>
  </si>
  <si>
    <t xml:space="preserve">Terry Fox Run </t>
  </si>
  <si>
    <t>Catering for Dinner</t>
  </si>
  <si>
    <t>Ramekins Catering</t>
  </si>
  <si>
    <t>Dinner Materials</t>
  </si>
  <si>
    <t>Napkins, Cutlery, Tablecloths, Plates, Glasses</t>
  </si>
  <si>
    <t>Book Venue for Dinner</t>
  </si>
  <si>
    <t>Sutherland Room in JDUC</t>
  </si>
  <si>
    <t>Guest Speakers for Dinner</t>
  </si>
  <si>
    <t>Waiting to Confirm</t>
  </si>
  <si>
    <t>Book ARC gym in Case of Rain</t>
  </si>
  <si>
    <t>Rain Option During Run</t>
  </si>
  <si>
    <t>Food for BBQ</t>
  </si>
  <si>
    <t>Potentially donated from Loblaws</t>
  </si>
  <si>
    <t>For posters and advertising</t>
  </si>
  <si>
    <t>Total Terry Fox Run Expenses</t>
  </si>
  <si>
    <t>Wellness Events</t>
  </si>
  <si>
    <t xml:space="preserve">Lego Building Competition </t>
  </si>
  <si>
    <t>Selection Brand 500mL Container</t>
  </si>
  <si>
    <t>Styrofoam Cups</t>
  </si>
  <si>
    <t>Dollarama</t>
  </si>
  <si>
    <t xml:space="preserve">Total Lego Building Competition Expenses </t>
  </si>
  <si>
    <t xml:space="preserve">Candy Grams </t>
  </si>
  <si>
    <t xml:space="preserve">Candy Canes </t>
  </si>
  <si>
    <t xml:space="preserve">Dollarama </t>
  </si>
  <si>
    <t xml:space="preserve">Paper </t>
  </si>
  <si>
    <t xml:space="preserve">Ribbon </t>
  </si>
  <si>
    <t xml:space="preserve">Total Candy Grams Expenses </t>
  </si>
  <si>
    <t xml:space="preserve">Valentine Grams </t>
  </si>
  <si>
    <t>Lollipops</t>
  </si>
  <si>
    <t xml:space="preserve">Total Valentine Grams Expenses </t>
  </si>
  <si>
    <t xml:space="preserve">Easter Egg Giveaway </t>
  </si>
  <si>
    <t xml:space="preserve">Plastic Easter Eggs </t>
  </si>
  <si>
    <t xml:space="preserve">Walmart </t>
  </si>
  <si>
    <t>Easter Candy</t>
  </si>
  <si>
    <t xml:space="preserve">Total Easter Egg Giveaway Expenses </t>
  </si>
  <si>
    <t>Free Cookies</t>
  </si>
  <si>
    <t xml:space="preserve">Cookies </t>
  </si>
  <si>
    <t xml:space="preserve">Icing </t>
  </si>
  <si>
    <t xml:space="preserve">Sprinkles </t>
  </si>
  <si>
    <t xml:space="preserve">Total Cookie Decorating Expenses </t>
  </si>
  <si>
    <t xml:space="preserve">Sidewalk Chalk Event </t>
  </si>
  <si>
    <t xml:space="preserve">Sidewalk chalk </t>
  </si>
  <si>
    <t xml:space="preserve">Total Sidewalk Chalk Event Expenses </t>
  </si>
  <si>
    <t>Stand-up Retractable Banner</t>
  </si>
  <si>
    <t>For increased visibility during events</t>
  </si>
  <si>
    <t>Total Wellness Events Expenses</t>
  </si>
  <si>
    <t>Festival of Carols Cheer</t>
  </si>
  <si>
    <t xml:space="preserve">Service </t>
  </si>
  <si>
    <t>Grant Hall Rental</t>
  </si>
  <si>
    <t xml:space="preserve">For the Service </t>
  </si>
  <si>
    <t>Additional Decorations</t>
  </si>
  <si>
    <t>Poinsettas</t>
  </si>
  <si>
    <t>Accompanist</t>
  </si>
  <si>
    <t>Speakers/mics</t>
  </si>
  <si>
    <t>Music</t>
  </si>
  <si>
    <t>Choral Risers</t>
  </si>
  <si>
    <t>May not be needed</t>
  </si>
  <si>
    <t>Total Service Expenses</t>
  </si>
  <si>
    <t>Reception</t>
  </si>
  <si>
    <t>Fruit Trays</t>
  </si>
  <si>
    <t>Windmills (size large)</t>
  </si>
  <si>
    <t>Snacks</t>
  </si>
  <si>
    <t>CoGro Assorted Desert Trays</t>
  </si>
  <si>
    <t>Hot Beverages</t>
  </si>
  <si>
    <t>CoGro - 9 Teas (12) @ 15$ + 19 Coffee (8-10) @ 18</t>
  </si>
  <si>
    <t>Napkins + Plates</t>
  </si>
  <si>
    <t>Total Reception Expenses</t>
  </si>
  <si>
    <t>Advertisement</t>
  </si>
  <si>
    <t>Posters</t>
  </si>
  <si>
    <t>In House Printing</t>
  </si>
  <si>
    <t>Flyers</t>
  </si>
  <si>
    <t>In House Printing (estimate)</t>
  </si>
  <si>
    <t>Invitations</t>
  </si>
  <si>
    <t>Staples</t>
  </si>
  <si>
    <t>-</t>
  </si>
  <si>
    <t>Thank-you Card and Gift</t>
  </si>
  <si>
    <t>Total Advertising Expenses</t>
  </si>
  <si>
    <t>Total Festival of Carols Expenses</t>
  </si>
  <si>
    <t xml:space="preserve">Wine </t>
  </si>
  <si>
    <t xml:space="preserve">Supplied by local winery </t>
  </si>
  <si>
    <t xml:space="preserve">Live Music Entertainment </t>
  </si>
  <si>
    <t>For Event</t>
  </si>
  <si>
    <t xml:space="preserve">Juice </t>
  </si>
  <si>
    <t>For Non-Alcoholic Punch</t>
  </si>
  <si>
    <t xml:space="preserve">Decorations </t>
  </si>
  <si>
    <t>For Clark Hall</t>
  </si>
  <si>
    <t xml:space="preserve">Food and Snacks </t>
  </si>
  <si>
    <t>Platters from Widmills</t>
  </si>
  <si>
    <t>Wine Glasses</t>
  </si>
  <si>
    <t>Rental per dozen glasses</t>
  </si>
  <si>
    <t>Linen Rentals</t>
  </si>
  <si>
    <t xml:space="preserve">Tablecloths </t>
  </si>
  <si>
    <t>Total Dean's Wine and Cheese Expenses</t>
  </si>
  <si>
    <t>General Events Operating Costs</t>
  </si>
  <si>
    <t>Sidewalk Sale Booth</t>
  </si>
  <si>
    <t>Movember and Terry Fox Marketing</t>
  </si>
  <si>
    <t>For the events committee</t>
  </si>
  <si>
    <t xml:space="preserve">Total General Events Operating Expenses </t>
  </si>
  <si>
    <t>GRAND TOTAL</t>
  </si>
  <si>
    <t>President - Carson Cook</t>
  </si>
  <si>
    <t>External Relations</t>
  </si>
  <si>
    <t>Faculty Support</t>
  </si>
  <si>
    <t>Approx. half of membership/delegate fees</t>
  </si>
  <si>
    <t>General Appreciation</t>
  </si>
  <si>
    <t>1.02</t>
  </si>
  <si>
    <t>Clark Tabs Night - Drinks</t>
  </si>
  <si>
    <t>Bar Tab including tip</t>
  </si>
  <si>
    <t>1.03</t>
  </si>
  <si>
    <t>Clark Tabs Night - Food</t>
  </si>
  <si>
    <t>General Appreciation Expenses</t>
  </si>
  <si>
    <t>E/D Appreciation</t>
  </si>
  <si>
    <t>1.04</t>
  </si>
  <si>
    <t>Winter Dinner</t>
  </si>
  <si>
    <t>Dinner for ED after Winter Break</t>
  </si>
  <si>
    <t>1.05</t>
  </si>
  <si>
    <t>Holiday Dinner</t>
  </si>
  <si>
    <t>Dinner for ED before Fall Exams</t>
  </si>
  <si>
    <t>1.06</t>
  </si>
  <si>
    <t>Tea Room Allotment</t>
  </si>
  <si>
    <t>Per person, per month</t>
  </si>
  <si>
    <t>1.07</t>
  </si>
  <si>
    <t xml:space="preserve">Conference Bursary </t>
  </si>
  <si>
    <t>For delegate fees</t>
  </si>
  <si>
    <t>1.08</t>
  </si>
  <si>
    <t>Ruggers</t>
  </si>
  <si>
    <t>To wear during EngSoc events</t>
  </si>
  <si>
    <t>1.09</t>
  </si>
  <si>
    <t>ED Dinner</t>
  </si>
  <si>
    <t>Transition for in/outgoing</t>
  </si>
  <si>
    <t>1.10</t>
  </si>
  <si>
    <t>EngSoc Crests</t>
  </si>
  <si>
    <t>For Jackets</t>
  </si>
  <si>
    <t>1.11</t>
  </si>
  <si>
    <t>Morale Boosts</t>
  </si>
  <si>
    <t>Coffee, Meeting Snacks</t>
  </si>
  <si>
    <t>1.12</t>
  </si>
  <si>
    <t>Alumni Summit</t>
  </si>
  <si>
    <t>Tickets to attend summit</t>
  </si>
  <si>
    <t>E/D Appreciation Expenses</t>
  </si>
  <si>
    <t>Orientation Week Appreciation</t>
  </si>
  <si>
    <t>1.13</t>
  </si>
  <si>
    <t>OC TeaRoom Gift Card</t>
  </si>
  <si>
    <t>$50/month</t>
  </si>
  <si>
    <t>1.14</t>
  </si>
  <si>
    <t>FC TeamRoom Gift Cards</t>
  </si>
  <si>
    <t>$20/month, 14 people</t>
  </si>
  <si>
    <t>1.15</t>
  </si>
  <si>
    <t>FC Transition Dinner</t>
  </si>
  <si>
    <t>Appreciation dinner</t>
  </si>
  <si>
    <t>1.16</t>
  </si>
  <si>
    <t xml:space="preserve">Water Team </t>
  </si>
  <si>
    <t>Orientation Week Appreciation Expenses</t>
  </si>
  <si>
    <t>Science Formal Committee Appreciation</t>
  </si>
  <si>
    <t>1.17</t>
  </si>
  <si>
    <t>Convenor Gift Card</t>
  </si>
  <si>
    <t>1.18</t>
  </si>
  <si>
    <t>Executive Gift Cards</t>
  </si>
  <si>
    <t>$20/month/person</t>
  </si>
  <si>
    <t>Science Formal Appreciation Expenses</t>
  </si>
  <si>
    <t>External University Relations</t>
  </si>
  <si>
    <t>1.19</t>
  </si>
  <si>
    <t>CFES Membership Fees</t>
  </si>
  <si>
    <t>Annual fee calc per head</t>
  </si>
  <si>
    <t>1.20</t>
  </si>
  <si>
    <t>EngSoc Patches</t>
  </si>
  <si>
    <t>To be traded at conferences</t>
  </si>
  <si>
    <t>External University Relations Expenses</t>
  </si>
  <si>
    <t>CFES Conference Travel and Delegate Fees</t>
  </si>
  <si>
    <t>President's Meeting</t>
  </si>
  <si>
    <t>1.21</t>
  </si>
  <si>
    <t>Travel Expenses</t>
  </si>
  <si>
    <t>Flights and to/from airports</t>
  </si>
  <si>
    <t>1.22</t>
  </si>
  <si>
    <t>Delegate Fee</t>
  </si>
  <si>
    <t>Only the President attends</t>
  </si>
  <si>
    <t>Conference on Diversity in Engineering</t>
  </si>
  <si>
    <t>1.23</t>
  </si>
  <si>
    <t>Car rental and gas</t>
  </si>
  <si>
    <t>1.24</t>
  </si>
  <si>
    <t>Delegate Fees</t>
  </si>
  <si>
    <t>5 people</t>
  </si>
  <si>
    <t>Canadian Engineering Competition</t>
  </si>
  <si>
    <t>1.25</t>
  </si>
  <si>
    <t>CFES Events Expenses</t>
  </si>
  <si>
    <t>Misc.</t>
  </si>
  <si>
    <t>1.26</t>
  </si>
  <si>
    <t>Unexpected bursaries</t>
  </si>
  <si>
    <t>Unexpected events, contingency</t>
  </si>
  <si>
    <t>Misc. Expenses</t>
  </si>
  <si>
    <t>DIRECTOR OF CONFERENCES - SAM ROPER</t>
  </si>
  <si>
    <t xml:space="preserve">Internal Conferences </t>
  </si>
  <si>
    <t>17-011</t>
  </si>
  <si>
    <t xml:space="preserve">Growth Incentive </t>
  </si>
  <si>
    <t xml:space="preserve">Presented to 1 of our 6 Internal Conferences </t>
  </si>
  <si>
    <t>17-012</t>
  </si>
  <si>
    <t>FYC</t>
  </si>
  <si>
    <t>Personal Attendance Fee</t>
  </si>
  <si>
    <t>17-013</t>
  </si>
  <si>
    <t>CEEC</t>
  </si>
  <si>
    <t>17-014</t>
  </si>
  <si>
    <t>CIRQUE</t>
  </si>
  <si>
    <t>17-015</t>
  </si>
  <si>
    <t>QSC</t>
  </si>
  <si>
    <t>17-016</t>
  </si>
  <si>
    <t>QGIC</t>
  </si>
  <si>
    <t>17-017</t>
  </si>
  <si>
    <t>QGEC</t>
  </si>
  <si>
    <t>17-018</t>
  </si>
  <si>
    <t>QEC</t>
  </si>
  <si>
    <t>17-019</t>
  </si>
  <si>
    <t>QCBT</t>
  </si>
  <si>
    <t>17-020</t>
  </si>
  <si>
    <t>Appreciation Gift</t>
  </si>
  <si>
    <t>Appreciation Gift Cards for Conference Heads (Likely Tearoom)</t>
  </si>
  <si>
    <t>17-021</t>
  </si>
  <si>
    <t>Photoshop</t>
  </si>
  <si>
    <t>For all conferences to use</t>
  </si>
  <si>
    <t>Total Internal Conferences Expenses</t>
  </si>
  <si>
    <t>Partial Conference Bursaries</t>
  </si>
  <si>
    <t>17-030</t>
  </si>
  <si>
    <t>17-031</t>
  </si>
  <si>
    <t>17-032</t>
  </si>
  <si>
    <t>17-033</t>
  </si>
  <si>
    <t>17-034</t>
  </si>
  <si>
    <t>17-035</t>
  </si>
  <si>
    <t>17-036</t>
  </si>
  <si>
    <t>17-037</t>
  </si>
  <si>
    <t>17-038</t>
  </si>
  <si>
    <t>Unspecified</t>
  </si>
  <si>
    <t>Total Partial Conference Bursaries Expenses</t>
  </si>
  <si>
    <t>Individual Conference Fall Meetings</t>
  </si>
  <si>
    <t>17-040</t>
  </si>
  <si>
    <t>Refreshments for Meeting</t>
  </si>
  <si>
    <t>Coffee/Donuts</t>
  </si>
  <si>
    <t>Total Conference Round Table Expenses</t>
  </si>
  <si>
    <t>External Delegates Growth</t>
  </si>
  <si>
    <t>17-050</t>
  </si>
  <si>
    <t>External Delegates Incentives</t>
  </si>
  <si>
    <t>Bursaries/other incentives</t>
  </si>
  <si>
    <t>17-051</t>
  </si>
  <si>
    <t>Travel Reimbursment</t>
  </si>
  <si>
    <t>Gas/Other fee reimbursment</t>
  </si>
  <si>
    <t>Total External Delegates Growth Expenses</t>
  </si>
  <si>
    <t>Vice President of Student Affairs - Emily Wiersma</t>
  </si>
  <si>
    <t>3.01</t>
  </si>
  <si>
    <t>Tea Room Gift Card</t>
  </si>
  <si>
    <t>For each month of the school year + 2 extra for special cases</t>
  </si>
  <si>
    <t>Mailing Lists</t>
  </si>
  <si>
    <t>3.02</t>
  </si>
  <si>
    <t>Subscription</t>
  </si>
  <si>
    <t>Mail Chimp</t>
  </si>
  <si>
    <t>price went up (99.77/month)</t>
  </si>
  <si>
    <t>Total Mailing Lists Expenses</t>
  </si>
  <si>
    <t>Discipline and Year Clubs</t>
  </si>
  <si>
    <t>3.03</t>
  </si>
  <si>
    <t>StuCon Bursary</t>
  </si>
  <si>
    <t>Intended for stucon subsidy</t>
  </si>
  <si>
    <t>used by mech, engphys, ece</t>
  </si>
  <si>
    <t>3.04</t>
  </si>
  <si>
    <t xml:space="preserve">General Bursary </t>
  </si>
  <si>
    <t>To subsidize other intiatives or events</t>
  </si>
  <si>
    <t>used by engphys, mech</t>
  </si>
  <si>
    <t>Total Discipline and Year Clubs Expenses</t>
  </si>
  <si>
    <t xml:space="preserve">Miscellaneous </t>
  </si>
  <si>
    <t>3.05</t>
  </si>
  <si>
    <t>Spotify</t>
  </si>
  <si>
    <t>For EngSoc Lounge</t>
  </si>
  <si>
    <t>price increase</t>
  </si>
  <si>
    <t>Lounge Supplies to Lend Out</t>
  </si>
  <si>
    <t>More Markers, Scissors</t>
  </si>
  <si>
    <t>don't think this ended up coming out of my budget - was a part of a general staples order</t>
  </si>
  <si>
    <t xml:space="preserve">VICE-PRESIDENT OPERATIONS -Behshid Behrouzi </t>
  </si>
  <si>
    <t>Advisory Board</t>
  </si>
  <si>
    <t>12-001</t>
  </si>
  <si>
    <t>Meeting Food</t>
  </si>
  <si>
    <t>$7/member per meeting</t>
  </si>
  <si>
    <t>12-002</t>
  </si>
  <si>
    <t>Transition Dinner</t>
  </si>
  <si>
    <t>Incoming and Outgoing board members</t>
  </si>
  <si>
    <t>12-003</t>
  </si>
  <si>
    <t>Appreciation</t>
  </si>
  <si>
    <t>Alumni and Faculty Gifts</t>
  </si>
  <si>
    <t>12-004</t>
  </si>
  <si>
    <t>Salary for Meetings</t>
  </si>
  <si>
    <t>12-005</t>
  </si>
  <si>
    <t>Merchandise</t>
  </si>
  <si>
    <t>Portfolios</t>
  </si>
  <si>
    <t>Advisory Board Expenses</t>
  </si>
  <si>
    <t>12-006</t>
  </si>
  <si>
    <t>Office supplies</t>
  </si>
  <si>
    <t xml:space="preserve">Paper, stationary, etc. </t>
  </si>
  <si>
    <t>Director of Academics - Sidney Picco</t>
  </si>
  <si>
    <t>Representation</t>
  </si>
  <si>
    <t xml:space="preserve">14-010 </t>
  </si>
  <si>
    <t>Engraved Notebooks</t>
  </si>
  <si>
    <t>Appreciation for academic reps, feedback officer/caucus coordinator and faculty</t>
  </si>
  <si>
    <t>14-011</t>
  </si>
  <si>
    <t>To promote feedback/academic events and mediums. Printed using EngSoc printer in colour.</t>
  </si>
  <si>
    <t>14-012</t>
  </si>
  <si>
    <t>For attendees of the 4 caucuses.</t>
  </si>
  <si>
    <t>14-013</t>
  </si>
  <si>
    <t>Incentive for students to submit feedback at the feedback booth.</t>
  </si>
  <si>
    <t>14-014</t>
  </si>
  <si>
    <t>Tea room gift cards</t>
  </si>
  <si>
    <t>Feedback submission contest prizes.</t>
  </si>
  <si>
    <t>14-015</t>
  </si>
  <si>
    <t>Binders</t>
  </si>
  <si>
    <t xml:space="preserve">To hold academic manuals/guides in the EngSoc lounge. </t>
  </si>
  <si>
    <t>14-016</t>
  </si>
  <si>
    <t xml:space="preserve">Thank you gesture for faculty office hours. </t>
  </si>
  <si>
    <t>14-017</t>
  </si>
  <si>
    <t>Cookies</t>
  </si>
  <si>
    <t>To offer to students participating in faculty office hours.</t>
  </si>
  <si>
    <t>14-018</t>
  </si>
  <si>
    <t>Appreciation Dinner</t>
  </si>
  <si>
    <t>Appreciation dinner for the feedback officer and caucus coordinator.</t>
  </si>
  <si>
    <t>Total Representation Expenses</t>
  </si>
  <si>
    <t>BED Fund</t>
  </si>
  <si>
    <t>14-020</t>
  </si>
  <si>
    <t>Tea and Coffee</t>
  </si>
  <si>
    <t>Tea Room idea generation event</t>
  </si>
  <si>
    <t>14-021</t>
  </si>
  <si>
    <t>Stickers</t>
  </si>
  <si>
    <t>Label purchases and promote the BED Fund</t>
  </si>
  <si>
    <t>14-023</t>
  </si>
  <si>
    <t xml:space="preserve">Food for rep gatherings (transition meeting, proposal meeting and appreciation meeting). </t>
  </si>
  <si>
    <t>14-024</t>
  </si>
  <si>
    <t>Jacket Patches</t>
  </si>
  <si>
    <t>Frosh group idea generation contest and appreciation for reps.</t>
  </si>
  <si>
    <t>14-025</t>
  </si>
  <si>
    <t>Free slice for each idea submitted in person at the ILC</t>
  </si>
  <si>
    <t>14-026</t>
  </si>
  <si>
    <t>Gifts for those who submitted one of the top 3 ideas.</t>
  </si>
  <si>
    <t>14-027</t>
  </si>
  <si>
    <t>Banner</t>
  </si>
  <si>
    <t>To promote the BED Fund during idea generation events.</t>
  </si>
  <si>
    <t>14-028</t>
  </si>
  <si>
    <t>Appreciation dinner for BED Fund Committee.</t>
  </si>
  <si>
    <t>Total BED Fund Expenses</t>
  </si>
  <si>
    <t>Services</t>
  </si>
  <si>
    <t>14-030</t>
  </si>
  <si>
    <t>Service staff appreciation</t>
  </si>
  <si>
    <t>Clark night for service managers and staff, split between DoA and DoS budget</t>
  </si>
  <si>
    <t>14-031</t>
  </si>
  <si>
    <t>Service manager appreciation</t>
  </si>
  <si>
    <t>Appreciation for service manager staff under Academics portfolio</t>
  </si>
  <si>
    <t>Total Services Expenseses</t>
  </si>
  <si>
    <t>Director of Communications - Alexander McKinnon</t>
  </si>
  <si>
    <t>Months</t>
  </si>
  <si>
    <t>Comm Team</t>
  </si>
  <si>
    <t>Director lower price, 4 months</t>
  </si>
  <si>
    <t>Director</t>
  </si>
  <si>
    <t>Photo</t>
  </si>
  <si>
    <t>Graphics</t>
  </si>
  <si>
    <t>Video</t>
  </si>
  <si>
    <t>monthly price (us)</t>
  </si>
  <si>
    <t>total US cost</t>
  </si>
  <si>
    <t>Exchange rate</t>
  </si>
  <si>
    <t>approx canada dollar price</t>
  </si>
  <si>
    <t>23-010</t>
  </si>
  <si>
    <t>Comm Team sweaters</t>
  </si>
  <si>
    <t>Establish a strong team identity</t>
  </si>
  <si>
    <t>#to be fixed pending the. correction of missprinted  sweaters</t>
  </si>
  <si>
    <t>adobe $$</t>
  </si>
  <si>
    <t>23-011</t>
  </si>
  <si>
    <t>Sunday Meetings and Work Sessions (10 sessions x 25 people)</t>
  </si>
  <si>
    <t>10 x 25</t>
  </si>
  <si>
    <t>#to be updated as year ends.</t>
  </si>
  <si>
    <t>23-012</t>
  </si>
  <si>
    <t>P&amp;CC poster printing</t>
  </si>
  <si>
    <t>11x17 Colour Posters, 125 per semester</t>
  </si>
  <si>
    <t>125 x 2</t>
  </si>
  <si>
    <t>23-013</t>
  </si>
  <si>
    <t>Miscellaneous supplies</t>
  </si>
  <si>
    <t>Markers, chalk, bristol board, etc. for photo booths, promotions</t>
  </si>
  <si>
    <t>23-014</t>
  </si>
  <si>
    <t>Viral advertising</t>
  </si>
  <si>
    <t>Facebook &amp; Snapchat advertising and promotion mainly used during frosh week and elections</t>
  </si>
  <si>
    <t>23-015</t>
  </si>
  <si>
    <t>Manager Appreciation</t>
  </si>
  <si>
    <t>Thank you dinner for the wonderful managers</t>
  </si>
  <si>
    <t>23-016</t>
  </si>
  <si>
    <t>Creative Cloud Subscription</t>
  </si>
  <si>
    <t>For the Graphic Design manager, All Adobe apps for 9 months</t>
  </si>
  <si>
    <t>#rolling on a monthly basis</t>
  </si>
  <si>
    <t>23-017</t>
  </si>
  <si>
    <t>Comm Team patches</t>
  </si>
  <si>
    <t>To thank the Comm team for their hard work</t>
  </si>
  <si>
    <t># yet to be purchased</t>
  </si>
  <si>
    <t>23-018</t>
  </si>
  <si>
    <t>Lanyards</t>
  </si>
  <si>
    <t>For identification during events (was not purchased last year)</t>
  </si>
  <si>
    <t>#more than we needed, but covers what is needed for next year. We bought bulk</t>
  </si>
  <si>
    <t>23-019</t>
  </si>
  <si>
    <t>Hats</t>
  </si>
  <si>
    <t>Team branding and identification during frosh week.</t>
  </si>
  <si>
    <t>#cancelled. We bought dollar store hats and sew on the crests</t>
  </si>
  <si>
    <t>23-020</t>
  </si>
  <si>
    <t>Developing photos</t>
  </si>
  <si>
    <t xml:space="preserve">Developing photos from instant camera for EngSoc Lounge photo wall </t>
  </si>
  <si>
    <t># unneeded?</t>
  </si>
  <si>
    <t>23-021</t>
  </si>
  <si>
    <t>Social media organizational software</t>
  </si>
  <si>
    <t>Ease of social media management for social media manager</t>
  </si>
  <si>
    <t>#deemed uneccessary</t>
  </si>
  <si>
    <t>23-022</t>
  </si>
  <si>
    <t>Dropbox/googledrive</t>
  </si>
  <si>
    <t>Having a few hundred GB for easy photosharing helps</t>
  </si>
  <si>
    <t>#went towards flirkr - budget continues til may for funding. Must be continued through the summer. It's 49.99 a year</t>
  </si>
  <si>
    <t>Total Comm Team Expenses</t>
  </si>
  <si>
    <t>New Equipment</t>
  </si>
  <si>
    <t>23-023</t>
  </si>
  <si>
    <t>4TB redundant storage array</t>
  </si>
  <si>
    <t>4TB redundant nas / Our current archive drive could fail like the previous one. Lets not lose our history. More cost effective than cloud storage</t>
  </si>
  <si>
    <t>#purcased a much cheaper alternative, non-redundant from costco - yet to be purcahsed</t>
  </si>
  <si>
    <t>23-024</t>
  </si>
  <si>
    <t>Shotgun Microphone</t>
  </si>
  <si>
    <t>Rode shotgun mic. / Sound makes or breaks videos. Lav mics are no substitute for a shotgun mic.</t>
  </si>
  <si>
    <t xml:space="preserve"># not on my expense report. </t>
  </si>
  <si>
    <t>23-025</t>
  </si>
  <si>
    <t>Speed flash</t>
  </si>
  <si>
    <t>Yongnuo YN560 IV / Our new speedflash broke on the first weekend. It would be nice to replace it and have a pair</t>
  </si>
  <si>
    <t>23-026</t>
  </si>
  <si>
    <t>Photography Reflector</t>
  </si>
  <si>
    <t>NEWWER (TM) 43-inch / 110cm 5-in-1 Collapsible Multi-Disc Light Photography Reflector with Bag, for headshots/studioshots</t>
  </si>
  <si>
    <t>23-027</t>
  </si>
  <si>
    <t>Speedflash radio trigger</t>
  </si>
  <si>
    <t>YONGNUO YN560TX C Flash Transmitter - operatiing in flash slave mode simply does not work in most enviroments with light boxes</t>
  </si>
  <si>
    <t>#actual included in budget line actual 23-025</t>
  </si>
  <si>
    <t>23-028</t>
  </si>
  <si>
    <t>Flash stands</t>
  </si>
  <si>
    <t>Impact Air-Cushioned Light Stand  / The air cushion is cheap when compared to broken flash equiptment</t>
  </si>
  <si>
    <t>23-029</t>
  </si>
  <si>
    <t>Canon 5D Mark IV</t>
  </si>
  <si>
    <t>Our current nikon is failing. Canon is more user friendly and compatible with video usage.</t>
  </si>
  <si>
    <t>#was put through on the summer budget and council approval</t>
  </si>
  <si>
    <t>23-030</t>
  </si>
  <si>
    <t>Gaffer tape</t>
  </si>
  <si>
    <t>To hold the team together</t>
  </si>
  <si>
    <t>#was purchased with one of Besh's staples orders</t>
  </si>
  <si>
    <t>23-031</t>
  </si>
  <si>
    <t>Camera Remote</t>
  </si>
  <si>
    <t>This can be used for various applications</t>
  </si>
  <si>
    <t>23-032</t>
  </si>
  <si>
    <t>Camera Cleaning kit</t>
  </si>
  <si>
    <t>Essential to the upkeep of the equiptment/ important to ensure the new hardware lasts longer</t>
  </si>
  <si>
    <t>Predicted actual before discount - ProMaster  OpticClean Deluxe Care Kit 4879</t>
  </si>
  <si>
    <t>23-033</t>
  </si>
  <si>
    <t>Lighting filter gels</t>
  </si>
  <si>
    <t>Used to modify the flash light output to match the settings needed.</t>
  </si>
  <si>
    <t>#later deemed unecessary</t>
  </si>
  <si>
    <t>23-034</t>
  </si>
  <si>
    <t>Battery Grip</t>
  </si>
  <si>
    <t>Pixel BG-E20 Battery Grips for Canon 5D Mark IV/ Increased battery life for conference usage. Increases usability of camera</t>
  </si>
  <si>
    <t>#purcahsing promaster from camera kinfgston</t>
  </si>
  <si>
    <t>23-035</t>
  </si>
  <si>
    <t>Reflector clamps</t>
  </si>
  <si>
    <t>Kit of 2 / Essential to ensure reflectors donot require an assistant to hold them up</t>
  </si>
  <si>
    <t>#pack of 6</t>
  </si>
  <si>
    <t>23-036</t>
  </si>
  <si>
    <t>On camera flash difuser</t>
  </si>
  <si>
    <t>This should prevent harsh flash exposures in poorly lit photo jobs</t>
  </si>
  <si>
    <t>#unneeded</t>
  </si>
  <si>
    <t>23-037</t>
  </si>
  <si>
    <t>CF card for camera</t>
  </si>
  <si>
    <t>Sandisk CF card from kingston camera / speed needed to ensure our camera's video writes properly</t>
  </si>
  <si>
    <t>#much worse price than we thought ----- unknown if this is the correct actual or if this number represents another purchase</t>
  </si>
  <si>
    <t>23-038</t>
  </si>
  <si>
    <t>Video Capture card</t>
  </si>
  <si>
    <t>Elgato Cam Link /Council livestreams currently suck, and we've received a few live streaming requests last year. This is our budget capture card.</t>
  </si>
  <si>
    <t>#used for live streams, maybe was on sale?</t>
  </si>
  <si>
    <t>Total Equipment Expenses</t>
  </si>
  <si>
    <t>Unexpecetd purchases</t>
  </si>
  <si>
    <t>23-039</t>
  </si>
  <si>
    <t>mini HDMI to HDMI cable</t>
  </si>
  <si>
    <t>Specifically used for camera mount. It fits the camera cable rack thing to prevent cables from pulling. This is essential.</t>
  </si>
  <si>
    <t>23-040</t>
  </si>
  <si>
    <t>Translucent reflector umbrella</t>
  </si>
  <si>
    <t xml:space="preserve">used for mobile flash photogrpahy </t>
  </si>
  <si>
    <t>23-041</t>
  </si>
  <si>
    <t>Flash stand reflector holder</t>
  </si>
  <si>
    <t>used to mount the reflector equiptment ontop of the flash stands</t>
  </si>
  <si>
    <t>23-042</t>
  </si>
  <si>
    <t>Archive server fees</t>
  </si>
  <si>
    <t>For hosting the archive software</t>
  </si>
  <si>
    <t>Total Unexpecetd Purcahses</t>
  </si>
  <si>
    <t>Director of Design -  Hatem</t>
  </si>
  <si>
    <t>Roundtable Meetings</t>
  </si>
  <si>
    <t>15-000</t>
  </si>
  <si>
    <t>Design Team Roundtable, $80/meeting</t>
  </si>
  <si>
    <t>Total Roundtable Meetings Expenses</t>
  </si>
  <si>
    <t>Captain Networking</t>
  </si>
  <si>
    <t>15-010</t>
  </si>
  <si>
    <t>Drink</t>
  </si>
  <si>
    <t>Team Room Credit $6/meeting</t>
  </si>
  <si>
    <t>Design Bay - Room 115</t>
  </si>
  <si>
    <t>15-020</t>
  </si>
  <si>
    <t>General upkeep</t>
  </si>
  <si>
    <t>Cleaning supplies (dustpans: 1@ $4.29, 1@$80 vacuum cleaner, broom 1@$8.39 and waste bins 3@$45)</t>
  </si>
  <si>
    <t>15-021</t>
  </si>
  <si>
    <t>Partition Systems</t>
  </si>
  <si>
    <t>Shelving units for equipment and partition for space allocation</t>
  </si>
  <si>
    <t>15-022</t>
  </si>
  <si>
    <t>Cleaning Supplies</t>
  </si>
  <si>
    <t>Windex (3x$4.29+1x$12.69) and cloths (3x$4.99</t>
  </si>
  <si>
    <t>15-023</t>
  </si>
  <si>
    <t>Air Nozzle Attachments</t>
  </si>
  <si>
    <t>For cleaning the bay</t>
  </si>
  <si>
    <t>15-024</t>
  </si>
  <si>
    <t>iCon sign sheet</t>
  </si>
  <si>
    <t>For signing off on bay cleanliness</t>
  </si>
  <si>
    <t>15-025</t>
  </si>
  <si>
    <t>Signs</t>
  </si>
  <si>
    <t>Signs dictating safety and clean rules</t>
  </si>
  <si>
    <t>15-026</t>
  </si>
  <si>
    <t>Bay Redesign</t>
  </si>
  <si>
    <t>Workbenches, chairs, and table</t>
  </si>
  <si>
    <t>15-027</t>
  </si>
  <si>
    <t>Surface Plate</t>
  </si>
  <si>
    <t>For precision work and reference plane</t>
  </si>
  <si>
    <t>Total Design Bay - Room 115 Expenses</t>
  </si>
  <si>
    <t>Incentives</t>
  </si>
  <si>
    <t>15-030</t>
  </si>
  <si>
    <t>Safety Incentive</t>
  </si>
  <si>
    <t>Bursary for the purchase of safety equipment</t>
  </si>
  <si>
    <t>15-031</t>
  </si>
  <si>
    <t>Space Allocation</t>
  </si>
  <si>
    <t>First team to get their Space Allocation Evaluation in</t>
  </si>
  <si>
    <t>Total Incentives Expenses</t>
  </si>
  <si>
    <t>First Aid Training</t>
  </si>
  <si>
    <t>15-040</t>
  </si>
  <si>
    <t>Standard First Aid and CPR-C</t>
  </si>
  <si>
    <t>Training for two members per team</t>
  </si>
  <si>
    <t>15-041</t>
  </si>
  <si>
    <t>Food For Attendees</t>
  </si>
  <si>
    <t>Need pizza to do CPR</t>
  </si>
  <si>
    <t>Total First Aid Training Expenses</t>
  </si>
  <si>
    <t>Workshops</t>
  </si>
  <si>
    <t>15-050</t>
  </si>
  <si>
    <t>Coffee and tea for the training sessions</t>
  </si>
  <si>
    <t>4 sessions, $1.00 per person  Bought s</t>
  </si>
  <si>
    <t>Bought design equipment for workshops instead</t>
  </si>
  <si>
    <t>15-051</t>
  </si>
  <si>
    <t>Gifts for industry instructors</t>
  </si>
  <si>
    <t>Gifts for instructors from industry to show our appreciation</t>
  </si>
  <si>
    <t>Total Industry Training Expenses</t>
  </si>
  <si>
    <t>Design Team Room</t>
  </si>
  <si>
    <t>15-060</t>
  </si>
  <si>
    <t>Assortment of pens and paper to be in the meeting room</t>
  </si>
  <si>
    <t>15-061</t>
  </si>
  <si>
    <t>Poster Printing</t>
  </si>
  <si>
    <t>Hanging posters of each design team</t>
  </si>
  <si>
    <t>15-062</t>
  </si>
  <si>
    <t>Filing Cabinets</t>
  </si>
  <si>
    <t>To store confidential team documents and reports</t>
  </si>
  <si>
    <t>Total Training Summit</t>
  </si>
  <si>
    <t>Teams Night (Team Appreciation)</t>
  </si>
  <si>
    <t>15-070</t>
  </si>
  <si>
    <t>Drinks/Clark Rental</t>
  </si>
  <si>
    <t>Drink Minimum Met</t>
  </si>
  <si>
    <t>Total Teams Night (Team Appreciation) Expenses</t>
  </si>
  <si>
    <t>Design Team Night</t>
  </si>
  <si>
    <t>15-080</t>
  </si>
  <si>
    <t>Pizza for the session</t>
  </si>
  <si>
    <t>15-081</t>
  </si>
  <si>
    <t>Event Guide</t>
  </si>
  <si>
    <t>Printing event guides</t>
  </si>
  <si>
    <t>Director of External Relations - Zaid Kasim</t>
  </si>
  <si>
    <t>Fix N Clean</t>
  </si>
  <si>
    <t>Fall Event</t>
  </si>
  <si>
    <t>GPA Patch Sales</t>
  </si>
  <si>
    <t>Cleansweep Bars</t>
  </si>
  <si>
    <t>Total Fall Event Revenue</t>
  </si>
  <si>
    <t>(Made no money off of bars)</t>
  </si>
  <si>
    <t>Winter Event</t>
  </si>
  <si>
    <t>CleanSweep Bars</t>
  </si>
  <si>
    <t>Total Winter Event Revenue</t>
  </si>
  <si>
    <t>(Also made no money)</t>
  </si>
  <si>
    <t>Total Fix N Clean</t>
  </si>
  <si>
    <t>($0.00 for Fix N Clean)</t>
  </si>
  <si>
    <t>Community Outreach Team</t>
  </si>
  <si>
    <t>Food Drive</t>
  </si>
  <si>
    <t>Food Drive Donations</t>
  </si>
  <si>
    <t>Blood Drive(s)</t>
  </si>
  <si>
    <t>6.11</t>
  </si>
  <si>
    <t>For donors</t>
  </si>
  <si>
    <t>Total Blood Drive Expenses</t>
  </si>
  <si>
    <t>6.12</t>
  </si>
  <si>
    <t>Clothing for community outreach team</t>
  </si>
  <si>
    <t>(Expensive but rly nice hoodies)</t>
  </si>
  <si>
    <t>6.13</t>
  </si>
  <si>
    <t>GPA Patches</t>
  </si>
  <si>
    <t>For community outreach team</t>
  </si>
  <si>
    <t>Total Misc. Expenses</t>
  </si>
  <si>
    <t>Swab Drive</t>
  </si>
  <si>
    <t>Incentives for groups</t>
  </si>
  <si>
    <t>Pizza for the frosh group that donates the most swabs (average cost per pizza)</t>
  </si>
  <si>
    <t>(Pizza never ordered)</t>
  </si>
  <si>
    <t xml:space="preserve">Cookies for donors </t>
  </si>
  <si>
    <t>$4.00/pack</t>
  </si>
  <si>
    <t>(Canadian blood services provided snacks)</t>
  </si>
  <si>
    <t>Total Swab Drive Expenses</t>
  </si>
  <si>
    <t>Volunteering Day Trips</t>
  </si>
  <si>
    <t>Kingston Food Bank</t>
  </si>
  <si>
    <t>Bus</t>
  </si>
  <si>
    <t>May not be necessary (depending on number of volunteers)</t>
  </si>
  <si>
    <t>(Event never happened)</t>
  </si>
  <si>
    <t>For volunteers</t>
  </si>
  <si>
    <t>Habitat for Humanity</t>
  </si>
  <si>
    <t>Kingston Humane Society</t>
  </si>
  <si>
    <t>Total Volunteering Day Trips Expenses</t>
  </si>
  <si>
    <t>Youth Hockey Team</t>
  </si>
  <si>
    <t>Warming Refreshments</t>
  </si>
  <si>
    <t>For students who attend game/day with the team</t>
  </si>
  <si>
    <t>Sponsorship fee</t>
  </si>
  <si>
    <t>Cost of sponsoring the team</t>
  </si>
  <si>
    <t>(Haven't got back to us)</t>
  </si>
  <si>
    <t>Fan Bus</t>
  </si>
  <si>
    <t>To/from arena</t>
  </si>
  <si>
    <t>Ice Time</t>
  </si>
  <si>
    <t>To spend a day with the team we sponsor (cost per hour)</t>
  </si>
  <si>
    <t>(Never did)</t>
  </si>
  <si>
    <t>Snacks for day spent with the team</t>
  </si>
  <si>
    <t>Signage Making</t>
  </si>
  <si>
    <t>For students who attend the game</t>
  </si>
  <si>
    <t>Total Youth Hockey Team Expenses</t>
  </si>
  <si>
    <t>Santa Claus Parade</t>
  </si>
  <si>
    <t>Entrance Fee</t>
  </si>
  <si>
    <t>Fee to participate in parade</t>
  </si>
  <si>
    <t>Truck Rental</t>
  </si>
  <si>
    <t>For pulling the float</t>
  </si>
  <si>
    <t>(Jay handled this)</t>
  </si>
  <si>
    <t>Generator</t>
  </si>
  <si>
    <t>To power the float</t>
  </si>
  <si>
    <t>(Jay also handled this)</t>
  </si>
  <si>
    <t>Gas</t>
  </si>
  <si>
    <t>For the truck on the day of the parade</t>
  </si>
  <si>
    <t>For volunteers who help with building</t>
  </si>
  <si>
    <t>To build the float (Have been mostly donated in the past)</t>
  </si>
  <si>
    <t>Trailer Attachment</t>
  </si>
  <si>
    <t>Intend to reuse from last year, otherwise will need a new one</t>
  </si>
  <si>
    <t>(Did not use)</t>
  </si>
  <si>
    <t>Total Santa Claus Parade Expenses</t>
  </si>
  <si>
    <t>For (frosh) group that collects the most donations</t>
  </si>
  <si>
    <t>Boxes</t>
  </si>
  <si>
    <t>24 Boxes for transporting donations</t>
  </si>
  <si>
    <t>(Got them from dumpster)</t>
  </si>
  <si>
    <t>Total Food Drive Expenses</t>
  </si>
  <si>
    <t>24 Hr. Snow Fort Building Contest</t>
  </si>
  <si>
    <t>For builders</t>
  </si>
  <si>
    <t>In case not donated</t>
  </si>
  <si>
    <t>In case not donated (for builders)</t>
  </si>
  <si>
    <t>Cups</t>
  </si>
  <si>
    <t>For drinks</t>
  </si>
  <si>
    <t>Total Snow Fort Building Contest Expenses</t>
  </si>
  <si>
    <t>Treats</t>
  </si>
  <si>
    <t>for engday booth</t>
  </si>
  <si>
    <t>(We had stuff from home)</t>
  </si>
  <si>
    <t>For COT members</t>
  </si>
  <si>
    <t>(Nah)</t>
  </si>
  <si>
    <t>Quarter zips for COT members</t>
  </si>
  <si>
    <t>(got hoodies)</t>
  </si>
  <si>
    <t>Total External Relations Committee Expenses</t>
  </si>
  <si>
    <t>To compensate anything needed that is not donated</t>
  </si>
  <si>
    <t>(All donated)</t>
  </si>
  <si>
    <t>For drivers</t>
  </si>
  <si>
    <t>(Not needed)</t>
  </si>
  <si>
    <t>Advertising</t>
  </si>
  <si>
    <t>Potential advertising fees (ex. WHIG)</t>
  </si>
  <si>
    <t>(None)</t>
  </si>
  <si>
    <t>Sponsor Appreciation</t>
  </si>
  <si>
    <t>Shirts, thank you's</t>
  </si>
  <si>
    <t>(Lots of extras from last year!</t>
  </si>
  <si>
    <t>Drinks</t>
  </si>
  <si>
    <t>Tea and Coffee from Tim Horton's</t>
  </si>
  <si>
    <t>(Cheque never submitted)</t>
  </si>
  <si>
    <t>Lunch</t>
  </si>
  <si>
    <t>Pizza lunch for volunteers</t>
  </si>
  <si>
    <t>(Tata sponsored)</t>
  </si>
  <si>
    <t>For volunteers (ex. granola bars)</t>
  </si>
  <si>
    <t>(N/A)</t>
  </si>
  <si>
    <t>Car Rental</t>
  </si>
  <si>
    <t>to drive volunteers to houses that are further away</t>
  </si>
  <si>
    <t>(Did not go that far tbh)</t>
  </si>
  <si>
    <t>spent $790.10 on bars</t>
  </si>
  <si>
    <t>Total Fall Event Expenses</t>
  </si>
  <si>
    <t>(Exact same thing as fall)</t>
  </si>
  <si>
    <t>Total Winter Event Expenses</t>
  </si>
  <si>
    <t>If sponsorship fails</t>
  </si>
  <si>
    <t>For anything that ends up not being able to be received via sponsorship as planned</t>
  </si>
  <si>
    <t>N/A</t>
  </si>
  <si>
    <t>GPA bars</t>
  </si>
  <si>
    <t>Cleansweep bars for volunteers</t>
  </si>
  <si>
    <t>$95 on Rememberance Day Wreath and 2 taxi trips when we were aquiring hay</t>
  </si>
  <si>
    <t>Total Fix N Clean Expenses</t>
  </si>
  <si>
    <t>COT</t>
  </si>
  <si>
    <t>Director of Human Resources - Kodie Becker</t>
  </si>
  <si>
    <t>EVENTS COORDINATOR (FALL &amp; WINTER)</t>
  </si>
  <si>
    <t>Tim Bits</t>
  </si>
  <si>
    <t>40 for each event, ~8 events per semester</t>
  </si>
  <si>
    <t>Coffee</t>
  </si>
  <si>
    <t>30 people for each event</t>
  </si>
  <si>
    <t>Assorted Food</t>
  </si>
  <si>
    <t>Costco food platter for 20 people</t>
  </si>
  <si>
    <t>Total</t>
  </si>
  <si>
    <t>FEEDBACK OFFICER</t>
  </si>
  <si>
    <t>Survey Incentives</t>
  </si>
  <si>
    <t>Tea Room gift cards</t>
  </si>
  <si>
    <t>Survey Software</t>
  </si>
  <si>
    <t>1 Year Wufoo Professional Subscription</t>
  </si>
  <si>
    <t>HIRING TOWN HALL (FALL &amp; WINTER)</t>
  </si>
  <si>
    <t>Tea Room Drinks</t>
  </si>
  <si>
    <t>Open Bar</t>
  </si>
  <si>
    <t>11"x17" for advertisement</t>
  </si>
  <si>
    <t>Tea Room Rental Fee</t>
  </si>
  <si>
    <t>Renting for 2 hours</t>
  </si>
  <si>
    <t>HR TEAM APPRECIATION</t>
  </si>
  <si>
    <t>Spontaneous appreciation gift</t>
  </si>
  <si>
    <t>Will be given to team members to boost morale</t>
  </si>
  <si>
    <t>HR Team Appreciation Dinner</t>
  </si>
  <si>
    <t>HR Team Sweaters</t>
  </si>
  <si>
    <t>Sweaters so we can look cool at events</t>
  </si>
  <si>
    <t>EQUITY OFFICER</t>
  </si>
  <si>
    <t>EquiTEA Catering</t>
  </si>
  <si>
    <t>For equity town halls</t>
  </si>
  <si>
    <t>Hospitality gift</t>
  </si>
  <si>
    <t>For equity speaker</t>
  </si>
  <si>
    <t>Survey/Town Hall Incentives</t>
  </si>
  <si>
    <t>Pizza for EquiTEAM Diversity Reps</t>
  </si>
  <si>
    <t>For 8 meetings</t>
  </si>
  <si>
    <t>Snacks for Bursary Committee Meetings</t>
  </si>
  <si>
    <t>Meetings will run long</t>
  </si>
  <si>
    <t>EquiTEAM Appreciation Dinner</t>
  </si>
  <si>
    <t>Diversity Reps + FYPCO</t>
  </si>
  <si>
    <t>Equity Stickers to distribute at events</t>
  </si>
  <si>
    <t>From StickerMule</t>
  </si>
  <si>
    <t>Team Room Rental Fee - EquiTEA Week</t>
  </si>
  <si>
    <t>Decorations for EquiTEA Week</t>
  </si>
  <si>
    <t>Educate Session Snacks + Materials</t>
  </si>
  <si>
    <t>Evening Open Discussion to Learn about Diverse Groups in Eng, 1 per Equity Rep</t>
  </si>
  <si>
    <t>Permit to march in Pride Parade</t>
  </si>
  <si>
    <t>ERB</t>
  </si>
  <si>
    <t>ERB dinner</t>
  </si>
  <si>
    <t>Will be given to ERB as a thank you</t>
  </si>
  <si>
    <t>Hiring fair display</t>
  </si>
  <si>
    <t>Printing costs</t>
  </si>
  <si>
    <t>TRAINING OFFICER (FALL &amp; WINTER)</t>
  </si>
  <si>
    <t>Venue booking and setup</t>
  </si>
  <si>
    <t>Ellis AUD</t>
  </si>
  <si>
    <t>Dinner</t>
  </si>
  <si>
    <t>Pizza + accommodations for allergies</t>
  </si>
  <si>
    <t>Interview Workshop booking</t>
  </si>
  <si>
    <t>One event each semester</t>
  </si>
  <si>
    <t>Refreshments</t>
  </si>
  <si>
    <t>Tim Hortons Take 10 Coffee Boxes</t>
  </si>
  <si>
    <t>UNPLANNED/UNCATEGORIZED</t>
  </si>
  <si>
    <t>Survey Gizmo</t>
  </si>
  <si>
    <t>Dominos Pizza?</t>
  </si>
  <si>
    <t>Director of Finance - Brandon Tseung</t>
  </si>
  <si>
    <t>10.01</t>
  </si>
  <si>
    <t>Dinner for new DoF and FO's</t>
  </si>
  <si>
    <t>Appreciation dinner budget reallocated to quarter zips</t>
  </si>
  <si>
    <t>10.02</t>
  </si>
  <si>
    <t>Treasurer's Meeting</t>
  </si>
  <si>
    <t>Catering from Cogro</t>
  </si>
  <si>
    <t>Total Food</t>
  </si>
  <si>
    <t>10.03</t>
  </si>
  <si>
    <t>Supplies</t>
  </si>
  <si>
    <t>Deposit bags, coin rolls</t>
  </si>
  <si>
    <t>Reallocated to office supplies</t>
  </si>
  <si>
    <t>Total Office Expenses</t>
  </si>
  <si>
    <t>Miscellaneous Expenses</t>
  </si>
  <si>
    <t>10.04</t>
  </si>
  <si>
    <t>Cash Counter with Counterfeit Detection</t>
  </si>
  <si>
    <t>Brand and model TBD</t>
  </si>
  <si>
    <t>Discovered we already had one!</t>
  </si>
  <si>
    <t>10.05</t>
  </si>
  <si>
    <t>Finance Bars</t>
  </si>
  <si>
    <t>GPA Jacket bars for Finance Team</t>
  </si>
  <si>
    <t>10.06</t>
  </si>
  <si>
    <t>Finance Swag</t>
  </si>
  <si>
    <t>Quarter zips for finance team</t>
  </si>
  <si>
    <t>Director of First Year - Emma Prairie</t>
  </si>
  <si>
    <t>First Year Conference</t>
  </si>
  <si>
    <t>18-0000</t>
  </si>
  <si>
    <t>Early Bird Ticket</t>
  </si>
  <si>
    <t>Early Bird Conference Tickets</t>
  </si>
  <si>
    <t>18-0001</t>
  </si>
  <si>
    <t>Ticket</t>
  </si>
  <si>
    <t>Conference Ticket</t>
  </si>
  <si>
    <t>18-0002</t>
  </si>
  <si>
    <t>Applying for Dean's Donation and attempting to get food sponsorships</t>
  </si>
  <si>
    <t>New Tickets</t>
  </si>
  <si>
    <t>For the speaker series</t>
  </si>
  <si>
    <t>Super low, had higher attendance but had to give anyone who bought tickets before a free ticket</t>
  </si>
  <si>
    <t>Total First Year Conference Revenue</t>
  </si>
  <si>
    <t>First Year Exec</t>
  </si>
  <si>
    <t>18-0100</t>
  </si>
  <si>
    <t>Pass Crests</t>
  </si>
  <si>
    <t>To thank the Year Exec for all their hard work throughout the year</t>
  </si>
  <si>
    <t>Total First Year Exec Expenses</t>
  </si>
  <si>
    <t>FYPCOs</t>
  </si>
  <si>
    <t>18-0200</t>
  </si>
  <si>
    <t>FYPCO appreciation</t>
  </si>
  <si>
    <t>18-0201</t>
  </si>
  <si>
    <t>Treats &amp; Food</t>
  </si>
  <si>
    <t>For meetings &amp; FYPCO/Director workshops</t>
  </si>
  <si>
    <t>18-0202</t>
  </si>
  <si>
    <t>Conference Tickets</t>
  </si>
  <si>
    <t xml:space="preserve">For each FYPCO to attend FYC </t>
  </si>
  <si>
    <t>18-0203</t>
  </si>
  <si>
    <t>FYPCO Bonding</t>
  </si>
  <si>
    <t>Bowling!</t>
  </si>
  <si>
    <t>18-0204</t>
  </si>
  <si>
    <t>To benefit the fypcos in professional and life skills</t>
  </si>
  <si>
    <t>Total FYPCO Expenses</t>
  </si>
  <si>
    <t>Anticipated attendance of 160, committee of 13</t>
  </si>
  <si>
    <t>18-0300</t>
  </si>
  <si>
    <t>Delegate Package</t>
  </si>
  <si>
    <t>Name tags etc.</t>
  </si>
  <si>
    <t>18-0301</t>
  </si>
  <si>
    <t xml:space="preserve">Venue </t>
  </si>
  <si>
    <t>BioSci</t>
  </si>
  <si>
    <t>Kathy was supposed to expense this but I never heard anything</t>
  </si>
  <si>
    <t>18-0302</t>
  </si>
  <si>
    <t>Printed primers</t>
  </si>
  <si>
    <t>For some delegates if they want a physical copy</t>
  </si>
  <si>
    <t>18-0303</t>
  </si>
  <si>
    <t>18-0304</t>
  </si>
  <si>
    <t>Small gifts</t>
  </si>
  <si>
    <t>Speaker appreciation</t>
  </si>
  <si>
    <t>18-0305</t>
  </si>
  <si>
    <t>Tea Room Catering</t>
  </si>
  <si>
    <t>Hot Chocolate &amp; Coffee</t>
  </si>
  <si>
    <t>18-0306</t>
  </si>
  <si>
    <t>TBD</t>
  </si>
  <si>
    <t>18-0307</t>
  </si>
  <si>
    <t>18-0308</t>
  </si>
  <si>
    <t>Food for the teaser event</t>
  </si>
  <si>
    <t>18-0309</t>
  </si>
  <si>
    <t>Speaker Accomadations</t>
  </si>
  <si>
    <t>Hotel Bookings &amp; food for two days</t>
  </si>
  <si>
    <t>18-0310</t>
  </si>
  <si>
    <t>Committee Merch</t>
  </si>
  <si>
    <t>Quarter-zips for the committee, bars??</t>
  </si>
  <si>
    <t>18-0311</t>
  </si>
  <si>
    <t>Saturday tables &amp; chairs</t>
  </si>
  <si>
    <t>Rentals from the university</t>
  </si>
  <si>
    <t>18-0312</t>
  </si>
  <si>
    <t>Sunday tables/chairs/linen</t>
  </si>
  <si>
    <t>18-0313</t>
  </si>
  <si>
    <t>Misc snacks</t>
  </si>
  <si>
    <t>Crackers, cheese, and candy</t>
  </si>
  <si>
    <t>18-0314</t>
  </si>
  <si>
    <t>Thank yous</t>
  </si>
  <si>
    <t>For workshop leaders</t>
  </si>
  <si>
    <t>Total First Year Conference Expenses</t>
  </si>
  <si>
    <t>Physics Cookies</t>
  </si>
  <si>
    <t>18-0400</t>
  </si>
  <si>
    <t>Subway cookies</t>
  </si>
  <si>
    <t>APSC111 Midterm 1 cookies</t>
  </si>
  <si>
    <t>18-0401</t>
  </si>
  <si>
    <t>APSC111 Midterm 2 cookies</t>
  </si>
  <si>
    <t>18-0402</t>
  </si>
  <si>
    <t>APSC112 Midterm 1 cookies</t>
  </si>
  <si>
    <t>18-0403</t>
  </si>
  <si>
    <t>APSC112 Midterm 2 cookies</t>
  </si>
  <si>
    <t>18-0404</t>
  </si>
  <si>
    <t>J-Section APSC 112 Midterm 1 cookies</t>
  </si>
  <si>
    <t>18-0405</t>
  </si>
  <si>
    <t>J-Section APSC 112 Midterm 2 cookies</t>
  </si>
  <si>
    <t>Total Physics Cookies Expenses</t>
  </si>
  <si>
    <t>Discipline Fair</t>
  </si>
  <si>
    <t>18-0500</t>
  </si>
  <si>
    <t>18-0501</t>
  </si>
  <si>
    <t>Fruit Tray</t>
  </si>
  <si>
    <t>18-0502</t>
  </si>
  <si>
    <t>Muffin Tray</t>
  </si>
  <si>
    <t>Total Discipline Fair Expenses</t>
  </si>
  <si>
    <t>EngSoc Lounge Days</t>
  </si>
  <si>
    <t>Monthly Days themed days for the lounge</t>
  </si>
  <si>
    <t>18-0600</t>
  </si>
  <si>
    <t>Miscellaneous Candy</t>
  </si>
  <si>
    <t>From bulk barn. Include vegan candy options (During exams)</t>
  </si>
  <si>
    <t>18-0601</t>
  </si>
  <si>
    <t>Plastic Bags w/ twist ties</t>
  </si>
  <si>
    <t xml:space="preserve">From Walmart, 50 / pk (https://www.walmart.ca/en/ip/glad-storage-bags-with-twist-ties/6000039455595) </t>
  </si>
  <si>
    <t>18-0602</t>
  </si>
  <si>
    <t>Art Supplies</t>
  </si>
  <si>
    <t>Supplies to decorate the lounge</t>
  </si>
  <si>
    <t>Total EngSoc Lounge Snack Day Expenses</t>
  </si>
  <si>
    <t>Karaoke Night</t>
  </si>
  <si>
    <t>18-0700</t>
  </si>
  <si>
    <t>18-0701</t>
  </si>
  <si>
    <t>2L Soda</t>
  </si>
  <si>
    <t>Total Karaoke Night Expenses</t>
  </si>
  <si>
    <t>Ladder Committee</t>
  </si>
  <si>
    <t>18-0800</t>
  </si>
  <si>
    <t>Committee Bars</t>
  </si>
  <si>
    <t>Jacket Bars that say Ladder 18</t>
  </si>
  <si>
    <t>Total Ladder Committee Expenses</t>
  </si>
  <si>
    <t>Talent Show Night</t>
  </si>
  <si>
    <t>18-0900</t>
  </si>
  <si>
    <t>18-0901</t>
  </si>
  <si>
    <t>Total Talent Show Night Expenses</t>
  </si>
  <si>
    <t>Jacket PickUp Alternative</t>
  </si>
  <si>
    <t>18-01000</t>
  </si>
  <si>
    <t>18-01001</t>
  </si>
  <si>
    <t xml:space="preserve">Didn't happen </t>
  </si>
  <si>
    <t>18-01002</t>
  </si>
  <si>
    <t>Games, and maybe crafts</t>
  </si>
  <si>
    <t>Craft supplies such as colouring for stress relief</t>
  </si>
  <si>
    <t>Total Jacket Pickup Expenses</t>
  </si>
  <si>
    <t>Excel Word Help Session</t>
  </si>
  <si>
    <t>18-01100</t>
  </si>
  <si>
    <t>EngLinks Tutor</t>
  </si>
  <si>
    <t>To live stream answer questions and communicate with frosh who need help</t>
  </si>
  <si>
    <t>Total Excel Word Help Expenses</t>
  </si>
  <si>
    <t>Director of Internal Affairs - Emily Varga</t>
  </si>
  <si>
    <t>Council</t>
  </si>
  <si>
    <t>24-010</t>
  </si>
  <si>
    <t>Placard Printing</t>
  </si>
  <si>
    <t>For new members after Council transitions</t>
  </si>
  <si>
    <t>24-011</t>
  </si>
  <si>
    <t>Laminating</t>
  </si>
  <si>
    <t>For voting cards</t>
  </si>
  <si>
    <t>24-012</t>
  </si>
  <si>
    <t>Council Printing</t>
  </si>
  <si>
    <t>Average 10 copies x 4 pages</t>
  </si>
  <si>
    <t>24-013</t>
  </si>
  <si>
    <t>Annual General Meeting Printing</t>
  </si>
  <si>
    <t xml:space="preserve">Average 20 copies x 10 pages  </t>
  </si>
  <si>
    <t>24-014</t>
  </si>
  <si>
    <t>Council Pizza</t>
  </si>
  <si>
    <t>September 13th, Per person</t>
  </si>
  <si>
    <t>24-015</t>
  </si>
  <si>
    <t>September 27th, Per person</t>
  </si>
  <si>
    <t>24-016</t>
  </si>
  <si>
    <t>October 4th, Per person</t>
  </si>
  <si>
    <t>did not have council this date</t>
  </si>
  <si>
    <t>24-017</t>
  </si>
  <si>
    <t>October 11th, Per person</t>
  </si>
  <si>
    <t>24-018</t>
  </si>
  <si>
    <t>November 8th, Per person</t>
  </si>
  <si>
    <t>24-019</t>
  </si>
  <si>
    <t>November 22nd, end of year special council, Per person</t>
  </si>
  <si>
    <t>24-020</t>
  </si>
  <si>
    <t>January 10th, Per person</t>
  </si>
  <si>
    <t>24-021</t>
  </si>
  <si>
    <t>January 24th, Per person</t>
  </si>
  <si>
    <t>24-022</t>
  </si>
  <si>
    <t>January 30th, Per person</t>
  </si>
  <si>
    <t>24-023</t>
  </si>
  <si>
    <t>February 7th Per person</t>
  </si>
  <si>
    <t>24-024</t>
  </si>
  <si>
    <t>March 7th, Per person</t>
  </si>
  <si>
    <t>should budget for more, as new directors added (70 people)</t>
  </si>
  <si>
    <t>24-025</t>
  </si>
  <si>
    <t>Annual General Meeting, Per person</t>
  </si>
  <si>
    <t>24-026</t>
  </si>
  <si>
    <t>March 21st, end of year special council, Per person</t>
  </si>
  <si>
    <t>Total Council Expenses</t>
  </si>
  <si>
    <t>Elections</t>
  </si>
  <si>
    <t>General</t>
  </si>
  <si>
    <t>24-031</t>
  </si>
  <si>
    <t>Candidate Refunds</t>
  </si>
  <si>
    <t>up to $70 for president and VPs</t>
  </si>
  <si>
    <t>24-032</t>
  </si>
  <si>
    <t>Vice Presidents/Senators</t>
  </si>
  <si>
    <t>24-033</t>
  </si>
  <si>
    <t>Advertising (Nominations and Voting)</t>
  </si>
  <si>
    <t>24-034</t>
  </si>
  <si>
    <t>Debates (Night 1), Per person</t>
  </si>
  <si>
    <t>24-035</t>
  </si>
  <si>
    <t>24-036</t>
  </si>
  <si>
    <t>Debates (Night 2), Per person</t>
  </si>
  <si>
    <t>24-037</t>
  </si>
  <si>
    <t>24-038</t>
  </si>
  <si>
    <t>Equipment Rental</t>
  </si>
  <si>
    <t>For debates (both nights)</t>
  </si>
  <si>
    <t>24-039</t>
  </si>
  <si>
    <t>Voting Software</t>
  </si>
  <si>
    <t>From AMS</t>
  </si>
  <si>
    <t>24-040</t>
  </si>
  <si>
    <t xml:space="preserve">Executive Meet and Greet </t>
  </si>
  <si>
    <t>did not happen</t>
  </si>
  <si>
    <t>24-041</t>
  </si>
  <si>
    <t>Handed out at voting booths</t>
  </si>
  <si>
    <t>added tea with timbits</t>
  </si>
  <si>
    <t>24-042</t>
  </si>
  <si>
    <t>Elections Team Appreciation</t>
  </si>
  <si>
    <t>Dinner after Exec Elections, Per person</t>
  </si>
  <si>
    <t>emily paid for this and not showing up in IA expenses report</t>
  </si>
  <si>
    <t>Year Exec</t>
  </si>
  <si>
    <t>24-043</t>
  </si>
  <si>
    <t>Sci' 22 Elections, Per person</t>
  </si>
  <si>
    <t>these actuals are for sci 22 elections in first semester</t>
  </si>
  <si>
    <t>Sci' 22 Year Elections, per person</t>
  </si>
  <si>
    <t>for second semester elections</t>
  </si>
  <si>
    <t>24-044</t>
  </si>
  <si>
    <t>Stirling Hall Auditorium Room Booking</t>
  </si>
  <si>
    <t>Sci' 22 Elections</t>
  </si>
  <si>
    <t>don’t know if we were actually charged for this</t>
  </si>
  <si>
    <t>24-045</t>
  </si>
  <si>
    <t>Sci' 19 Elections, Per person</t>
  </si>
  <si>
    <t>24-046</t>
  </si>
  <si>
    <t>Sci' 20 Elections, Per person</t>
  </si>
  <si>
    <t>24-047</t>
  </si>
  <si>
    <t>Sci' 21 Elections, Per person</t>
  </si>
  <si>
    <t>24-048</t>
  </si>
  <si>
    <t>Total Elections Expenses</t>
  </si>
  <si>
    <t>Awards</t>
  </si>
  <si>
    <t>24-053</t>
  </si>
  <si>
    <t>Awards (certificates and frames)</t>
  </si>
  <si>
    <t>For students</t>
  </si>
  <si>
    <t>Jay bought</t>
  </si>
  <si>
    <t>24-054</t>
  </si>
  <si>
    <t>Awards (certificates, frames and gifts)</t>
  </si>
  <si>
    <t>For professors/teaching assistants</t>
  </si>
  <si>
    <t>Jay bought (only 1)</t>
  </si>
  <si>
    <t>24-055</t>
  </si>
  <si>
    <t>Awards Committee, Per person</t>
  </si>
  <si>
    <t>does not include tip or delivery</t>
  </si>
  <si>
    <t>24-056</t>
  </si>
  <si>
    <t>24-057</t>
  </si>
  <si>
    <t>Sword</t>
  </si>
  <si>
    <t>Engraving</t>
  </si>
  <si>
    <t>jay bought</t>
  </si>
  <si>
    <t>24-058</t>
  </si>
  <si>
    <t>Awards Plaque</t>
  </si>
  <si>
    <t>Updating winners</t>
  </si>
  <si>
    <t>Total Awards Expenses</t>
  </si>
  <si>
    <t>Banquet</t>
  </si>
  <si>
    <t>24-063</t>
  </si>
  <si>
    <t>Room Rental</t>
  </si>
  <si>
    <t>Capacity: 150-170</t>
  </si>
  <si>
    <t>24-064</t>
  </si>
  <si>
    <t>Per person</t>
  </si>
  <si>
    <t>24-065</t>
  </si>
  <si>
    <t>Wine</t>
  </si>
  <si>
    <t>Per bottle</t>
  </si>
  <si>
    <t>24-066</t>
  </si>
  <si>
    <t>Gratuities</t>
  </si>
  <si>
    <t>For banquet</t>
  </si>
  <si>
    <t>24-067</t>
  </si>
  <si>
    <t>Busing</t>
  </si>
  <si>
    <t>From banquet to campus</t>
  </si>
  <si>
    <t>jay paid for</t>
  </si>
  <si>
    <t>24-068</t>
  </si>
  <si>
    <t>Programs</t>
  </si>
  <si>
    <t>For banquet guests</t>
  </si>
  <si>
    <t>24-069</t>
  </si>
  <si>
    <t>Name Cards</t>
  </si>
  <si>
    <t>For tables</t>
  </si>
  <si>
    <t>24-070</t>
  </si>
  <si>
    <t>Student Constables</t>
  </si>
  <si>
    <t>To maintain safety</t>
  </si>
  <si>
    <t>24-071</t>
  </si>
  <si>
    <t>RSVP Software</t>
  </si>
  <si>
    <t>RSVPify - 1 event subscription</t>
  </si>
  <si>
    <t>24-072</t>
  </si>
  <si>
    <t>Decorations/Centrepieces</t>
  </si>
  <si>
    <t>Total Banquet Expenses</t>
  </si>
  <si>
    <t>IA team</t>
  </si>
  <si>
    <t>24-073</t>
  </si>
  <si>
    <t>IA sweaters</t>
  </si>
  <si>
    <t>24-074</t>
  </si>
  <si>
    <t>IA team appreciation dinner</t>
  </si>
  <si>
    <t>Total IA team expenses</t>
  </si>
  <si>
    <t>Director of Information Technology - Max Karan</t>
  </si>
  <si>
    <t>Email/Network</t>
  </si>
  <si>
    <t>21-01</t>
  </si>
  <si>
    <t>License Fee</t>
  </si>
  <si>
    <t>AMS/For Microsoft</t>
  </si>
  <si>
    <t>Total Email/Network Expenses</t>
  </si>
  <si>
    <t>Websites</t>
  </si>
  <si>
    <t>21-02</t>
  </si>
  <si>
    <t>Domain Management Fee</t>
  </si>
  <si>
    <t>Expiry</t>
  </si>
  <si>
    <t>21-03</t>
  </si>
  <si>
    <t>Name.com</t>
  </si>
  <si>
    <t>Total Website Expenses</t>
  </si>
  <si>
    <t>IT Team</t>
  </si>
  <si>
    <t>21-04</t>
  </si>
  <si>
    <t>Bars</t>
  </si>
  <si>
    <t>21-05</t>
  </si>
  <si>
    <t>21-06</t>
  </si>
  <si>
    <t>Incentivation</t>
  </si>
  <si>
    <t>21-07</t>
  </si>
  <si>
    <t>Pizza for 25 meetings</t>
  </si>
  <si>
    <t>21-08</t>
  </si>
  <si>
    <t>Project Expenses</t>
  </si>
  <si>
    <t>Various Software Licenses/Hardware Expenses</t>
  </si>
  <si>
    <t>Total IT Team Expenses</t>
  </si>
  <si>
    <t>Other Personnel Incentivation</t>
  </si>
  <si>
    <t>21-09</t>
  </si>
  <si>
    <t>21-10</t>
  </si>
  <si>
    <t>Food for some meetings</t>
  </si>
  <si>
    <t>Total Lounge Improvement Expenses</t>
  </si>
  <si>
    <t>Servers</t>
  </si>
  <si>
    <t>21-11</t>
  </si>
  <si>
    <t>Rackspace Servers</t>
  </si>
  <si>
    <t>Cloud Servers</t>
  </si>
  <si>
    <t>21-12</t>
  </si>
  <si>
    <t>Rackspace Services</t>
  </si>
  <si>
    <t>Cloud Databases</t>
  </si>
  <si>
    <t>21-13</t>
  </si>
  <si>
    <t>Cloud Load Balancers</t>
  </si>
  <si>
    <t>21-14</t>
  </si>
  <si>
    <t>Cloud Load Balancers (Database)</t>
  </si>
  <si>
    <t>21-15</t>
  </si>
  <si>
    <t>Cloud Block Storage</t>
  </si>
  <si>
    <t>21-16</t>
  </si>
  <si>
    <t>Cloud Files</t>
  </si>
  <si>
    <t>21-17</t>
  </si>
  <si>
    <t>Cloud Bandwidth</t>
  </si>
  <si>
    <t>21-18</t>
  </si>
  <si>
    <t>Cloud Backup</t>
  </si>
  <si>
    <t>Total Server Expenses</t>
  </si>
  <si>
    <t>Software</t>
  </si>
  <si>
    <t>21-19</t>
  </si>
  <si>
    <t>1Password</t>
  </si>
  <si>
    <t xml:space="preserve">Password Storage, 4 People, 12/months </t>
  </si>
  <si>
    <t>21-20</t>
  </si>
  <si>
    <t>License Fees</t>
  </si>
  <si>
    <t>Software Project Licensing Fees</t>
  </si>
  <si>
    <t>21-21</t>
  </si>
  <si>
    <t>Service</t>
  </si>
  <si>
    <t>Digital Ocean</t>
  </si>
  <si>
    <t>21-22</t>
  </si>
  <si>
    <t>Sengrid</t>
  </si>
  <si>
    <t>21-23</t>
  </si>
  <si>
    <t>Help Scout</t>
  </si>
  <si>
    <t>Total Software Expenses</t>
  </si>
  <si>
    <t>Events</t>
  </si>
  <si>
    <t>21-24</t>
  </si>
  <si>
    <t>Pizza/Food</t>
  </si>
  <si>
    <t>Food for workshops (2) - 30 people, $3/person</t>
  </si>
  <si>
    <t>Total WebTraining Expenses</t>
  </si>
  <si>
    <t>check</t>
  </si>
  <si>
    <t>unexpected</t>
  </si>
  <si>
    <t>aksimet</t>
  </si>
  <si>
    <t>Qhacks Prize</t>
  </si>
  <si>
    <t>solarwinds</t>
  </si>
  <si>
    <t>Director of PD - Juliana Brown</t>
  </si>
  <si>
    <t>AutoCAD Participation Fees</t>
  </si>
  <si>
    <t>Participant Cost</t>
  </si>
  <si>
    <t>Fee from when workshop ran</t>
  </si>
  <si>
    <t>Total AutoCAD Participant Fees Revenue</t>
  </si>
  <si>
    <t>Alumni Networking Summit</t>
  </si>
  <si>
    <t>Earlybird Student Participation Fee</t>
  </si>
  <si>
    <t>Student Participation Fee</t>
  </si>
  <si>
    <t>Alumni Participation Fee</t>
  </si>
  <si>
    <t>Estimate from last years Dean's Donation</t>
  </si>
  <si>
    <t>Total Alumni Networking Summit Revenue</t>
  </si>
  <si>
    <t>AutoCAD Workshops</t>
  </si>
  <si>
    <t>Participant Fees</t>
  </si>
  <si>
    <t>Instructor Cost - Previous Years</t>
  </si>
  <si>
    <t>Food - Previous Year</t>
  </si>
  <si>
    <t>Total AutoCAD Expenses</t>
  </si>
  <si>
    <t>Marketing</t>
  </si>
  <si>
    <t>Student version/pay per month</t>
  </si>
  <si>
    <t>Website Fee</t>
  </si>
  <si>
    <t>Paid yearly</t>
  </si>
  <si>
    <t>Total AutoDesk Expenses</t>
  </si>
  <si>
    <t xml:space="preserve">Event Insurance </t>
  </si>
  <si>
    <t>From Previous Year</t>
  </si>
  <si>
    <t>Timmys cost from last year</t>
  </si>
  <si>
    <t>Busses to Toronto</t>
  </si>
  <si>
    <t>Specifically for Networking Summit</t>
  </si>
  <si>
    <t>Lanyard</t>
  </si>
  <si>
    <t>Pen</t>
  </si>
  <si>
    <t>Bag</t>
  </si>
  <si>
    <t>Thank You Cards</t>
  </si>
  <si>
    <t>Gifts</t>
  </si>
  <si>
    <t>Team driving up and back</t>
  </si>
  <si>
    <t>Accomodations</t>
  </si>
  <si>
    <t>For team staying night before</t>
  </si>
  <si>
    <t>PD Stickers</t>
  </si>
  <si>
    <t>For promotion</t>
  </si>
  <si>
    <t>Bier Market</t>
  </si>
  <si>
    <t>Reservation</t>
  </si>
  <si>
    <t>Drink Tickets</t>
  </si>
  <si>
    <t>1 per student</t>
  </si>
  <si>
    <t>Total Alumni Networking Summit Expenses</t>
  </si>
  <si>
    <t>Wraps</t>
  </si>
  <si>
    <t>Career Crash Course</t>
  </si>
  <si>
    <t>Wage Negotiation - WISE workshop</t>
  </si>
  <si>
    <t>Upper Year Talk</t>
  </si>
  <si>
    <t>Wage Negotiation</t>
  </si>
  <si>
    <t xml:space="preserve">Summit &amp; Cirque Workshop </t>
  </si>
  <si>
    <t>Total EngTalks Expenses</t>
  </si>
  <si>
    <t>Sci' 88 Mentorship Event</t>
  </si>
  <si>
    <t>Beverages</t>
  </si>
  <si>
    <t>Coffee &amp; Tea</t>
  </si>
  <si>
    <t>Chairs</t>
  </si>
  <si>
    <t>Provided by Faculty</t>
  </si>
  <si>
    <t>Speakers</t>
  </si>
  <si>
    <t>Gifts &amp; Name Tags</t>
  </si>
  <si>
    <t>Total Mentorship Expenses</t>
  </si>
  <si>
    <t>10K Coffees</t>
  </si>
  <si>
    <t>Annual Platform</t>
  </si>
  <si>
    <t>Has been funded by faculty</t>
  </si>
  <si>
    <t>Total 10K Coffees</t>
  </si>
  <si>
    <t>PD Team</t>
  </si>
  <si>
    <t>Sweater or Shirt</t>
  </si>
  <si>
    <t xml:space="preserve">Clothing for PD Team </t>
  </si>
  <si>
    <t>Banner Stand</t>
  </si>
  <si>
    <t>Exec Dinner</t>
  </si>
  <si>
    <t>Total PD Team Expenses</t>
  </si>
  <si>
    <t>Consulting Week</t>
  </si>
  <si>
    <t xml:space="preserve">Tims Pastries </t>
  </si>
  <si>
    <t>From Tims</t>
  </si>
  <si>
    <t>Total Consulting Day Expenses</t>
  </si>
  <si>
    <t>Industry Expenses</t>
  </si>
  <si>
    <t>Food, Drinks &amp; Gifts</t>
  </si>
  <si>
    <t>Director of Services - Tristan Brunet</t>
  </si>
  <si>
    <t>Services Appreciation</t>
  </si>
  <si>
    <t>16.01</t>
  </si>
  <si>
    <t>Manager Dinner</t>
  </si>
  <si>
    <t>$40.00 per person</t>
  </si>
  <si>
    <t xml:space="preserve">Service Staff Appreciation </t>
  </si>
  <si>
    <t xml:space="preserve">Event in Fall term for all service staff </t>
  </si>
  <si>
    <t>Pizza for  Head Manager Meetings</t>
  </si>
  <si>
    <t>$7 per person, 8 people at 6 meetings a year</t>
  </si>
  <si>
    <t>Pizza for Assistant Manager Meetings</t>
  </si>
  <si>
    <t>$7 per person, 7 people at 16 meetings a year</t>
  </si>
  <si>
    <t>Total Manager Appreciation Expenses</t>
  </si>
  <si>
    <t>Staff Advertisement</t>
  </si>
  <si>
    <t xml:space="preserve">The Journal Advertisement </t>
  </si>
  <si>
    <t>Half Page Advertisement // One For Manger Application Period and One For Staff Application Period</t>
  </si>
  <si>
    <t>Misc purchases</t>
  </si>
  <si>
    <t>Small broken equipment and other expenses to test projects</t>
  </si>
  <si>
    <t>Tota Staff Advertisement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</si>
</sst>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&quot;$&quot;#,##0.00"/>
    <numFmt numFmtId="168" formatCode="[$CAD]#,##0.00"/>
    <numFmt numFmtId="169" formatCode="0.000"/>
    <numFmt numFmtId="170" formatCode="0.000%"/>
    <numFmt numFmtId="171" formatCode="&quot;$&quot;#,##0.000"/>
  </numFmts>
  <fonts count="6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  <font>
      <b/>
      <sz val="26"/>
      <color rgb="FF7030A0"/>
      <name val="Segoe UI"/>
      <family val="2"/>
    </font>
    <font>
      <b/>
      <sz val="26"/>
      <color rgb="FF660099"/>
      <name val="Segoe UI Light"/>
      <family val="2"/>
    </font>
    <font>
      <b/>
      <sz val="26"/>
      <color rgb="FF7030A0"/>
      <name val="Segoe UI Light"/>
      <family val="2"/>
    </font>
    <font>
      <b/>
      <sz val="12"/>
      <name val="Segoe UI"/>
      <family val="2"/>
    </font>
    <font>
      <b/>
      <sz val="12"/>
      <color theme="0"/>
      <name val="Segoe UI"/>
      <family val="2"/>
    </font>
    <font>
      <sz val="12"/>
      <color theme="0"/>
      <name val="Segoe UI"/>
      <family val="2"/>
    </font>
    <font>
      <b/>
      <sz val="11"/>
      <name val="Segoe UI"/>
      <family val="2"/>
    </font>
    <font>
      <i/>
      <sz val="12"/>
      <name val="Segoe UI"/>
      <family val="2"/>
    </font>
    <font>
      <sz val="12"/>
      <color rgb="FF000000"/>
      <name val="Segoe U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6"/>
      <color rgb="FF7030A0"/>
      <name val="Calibri"/>
      <family val="2"/>
      <scheme val="minor"/>
    </font>
    <font>
      <b/>
      <sz val="26"/>
      <color rgb="FF66009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sz val="11"/>
      <name val="Segoe UI"/>
      <family val="2"/>
    </font>
    <font>
      <sz val="12"/>
      <color theme="1"/>
      <name val="Segoe UI"/>
      <family val="2"/>
    </font>
    <font>
      <i/>
      <sz val="11"/>
      <name val="Segoe UI"/>
      <family val="2"/>
    </font>
    <font>
      <b/>
      <sz val="11"/>
      <color rgb="FFFFFFFF"/>
      <name val="Segoe UI"/>
      <family val="2"/>
    </font>
    <font>
      <b/>
      <sz val="11"/>
      <color rgb="FF000000"/>
      <name val="Segoe UI"/>
      <family val="2"/>
    </font>
    <font>
      <b/>
      <i/>
      <sz val="11"/>
      <color rgb="FF6711FF"/>
      <name val="Segoe UI"/>
      <family val="2"/>
    </font>
    <font>
      <sz val="11"/>
      <color rgb="FF000000"/>
      <name val="Segoe UI"/>
      <family val="2"/>
    </font>
    <font>
      <i/>
      <sz val="11"/>
      <color rgb="FF000000"/>
      <name val="Segoe UI"/>
      <family val="2"/>
    </font>
    <font>
      <b/>
      <i/>
      <sz val="11"/>
      <color rgb="FF000000"/>
      <name val="Segoe UI"/>
      <family val="2"/>
    </font>
    <font>
      <sz val="11"/>
      <color rgb="FF3F3F76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FFFF"/>
      <name val="Segoe UI"/>
      <family val="2"/>
    </font>
    <font>
      <b/>
      <sz val="13"/>
      <name val="Segoe UI"/>
      <family val="2"/>
    </font>
    <font>
      <sz val="11"/>
      <color rgb="FF000000"/>
      <name val="Arial"/>
      <family val="2"/>
    </font>
    <font>
      <sz val="13"/>
      <name val="Segoe UI"/>
      <family val="2"/>
    </font>
    <font>
      <b/>
      <sz val="14"/>
      <name val="Segoe UI"/>
      <family val="2"/>
    </font>
    <font>
      <b/>
      <sz val="20"/>
      <color rgb="FF000000"/>
      <name val="Calibri"/>
      <family val="2"/>
      <scheme val="minor"/>
    </font>
    <font>
      <b/>
      <sz val="11"/>
      <color rgb="FFFF0000"/>
      <name val="Segoe UI"/>
      <family val="2"/>
    </font>
    <font>
      <b/>
      <i/>
      <sz val="11"/>
      <color rgb="FF7030A0"/>
      <name val="Segoe UI"/>
      <family val="2"/>
    </font>
    <font>
      <b/>
      <sz val="12"/>
      <color theme="1"/>
      <name val="Segoe UI"/>
      <family val="2"/>
    </font>
    <font>
      <i/>
      <sz val="11"/>
      <color rgb="FF7030A0"/>
      <name val="Segoe UI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u/>
      <sz val="10"/>
      <color theme="10"/>
      <name val="Arial"/>
      <family val="2"/>
    </font>
    <font>
      <b/>
      <sz val="14"/>
      <color theme="0"/>
      <name val="Segoe UI"/>
      <family val="2"/>
    </font>
    <font>
      <sz val="14"/>
      <name val="Segoe UI"/>
      <family val="2"/>
    </font>
    <font>
      <b/>
      <sz val="20"/>
      <name val="Segoe UI"/>
      <family val="2"/>
    </font>
    <font>
      <b/>
      <i/>
      <sz val="12"/>
      <name val="Segoe UI"/>
      <family val="2"/>
    </font>
    <font>
      <sz val="14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trike/>
      <sz val="11"/>
      <color rgb="FFFF000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99"/>
        <bgColor rgb="FF000000"/>
      </patternFill>
    </fill>
    <fill>
      <patternFill patternType="solid">
        <fgColor rgb="FF66009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CB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ECB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600A5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CF305"/>
        <bgColor rgb="FF000000"/>
      </patternFill>
    </fill>
    <fill>
      <patternFill patternType="solid">
        <fgColor rgb="FFFFCC99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F2F2F2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E4D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2F2F2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4">
    <xf numFmtId="0" fontId="0" fillId="0" borderId="0"/>
    <xf numFmtId="44" fontId="2" fillId="0" borderId="0" applyFont="0" applyFill="0" applyBorder="0" applyAlignment="0" applyProtection="0"/>
    <xf numFmtId="3" fontId="4" fillId="8" borderId="0"/>
    <xf numFmtId="0" fontId="4" fillId="7" borderId="0" applyAlignment="0"/>
    <xf numFmtId="0" fontId="15" fillId="0" borderId="0"/>
    <xf numFmtId="0" fontId="14" fillId="0" borderId="0"/>
    <xf numFmtId="0" fontId="37" fillId="19" borderId="29" applyNumberFormat="0" applyAlignment="0" applyProtection="0"/>
    <xf numFmtId="0" fontId="2" fillId="20" borderId="0" applyNumberFormat="0" applyBorder="0" applyAlignment="0" applyProtection="0"/>
    <xf numFmtId="0" fontId="15" fillId="21" borderId="0"/>
    <xf numFmtId="166" fontId="15" fillId="0" borderId="0" applyFont="0" applyFill="0" applyBorder="0" applyAlignment="0" applyProtection="0"/>
    <xf numFmtId="0" fontId="47" fillId="29" borderId="34" applyBorder="0" applyAlignment="0">
      <alignment horizontal="left"/>
    </xf>
    <xf numFmtId="44" fontId="2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" fillId="21" borderId="0"/>
    <xf numFmtId="0" fontId="5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7" fillId="31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8" fillId="30" borderId="0" applyNumberFormat="0" applyBorder="0" applyAlignment="0" applyProtection="0"/>
    <xf numFmtId="0" fontId="59" fillId="32" borderId="0" applyNumberFormat="0" applyBorder="0" applyAlignment="0" applyProtection="0"/>
    <xf numFmtId="0" fontId="1" fillId="0" borderId="0"/>
    <xf numFmtId="0" fontId="14" fillId="0" borderId="0"/>
    <xf numFmtId="0" fontId="14" fillId="0" borderId="0"/>
    <xf numFmtId="0" fontId="60" fillId="33" borderId="39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2">
    <xf numFmtId="0" fontId="0" fillId="0" borderId="0" xfId="0"/>
    <xf numFmtId="49" fontId="4" fillId="2" borderId="1" xfId="0" applyNumberFormat="1" applyFont="1" applyFill="1" applyBorder="1"/>
    <xf numFmtId="49" fontId="4" fillId="2" borderId="2" xfId="0" applyNumberFormat="1" applyFont="1" applyFill="1" applyBorder="1"/>
    <xf numFmtId="49" fontId="5" fillId="2" borderId="2" xfId="0" applyNumberFormat="1" applyFont="1" applyFill="1" applyBorder="1" applyAlignment="1">
      <alignment vertical="center"/>
    </xf>
    <xf numFmtId="49" fontId="4" fillId="2" borderId="0" xfId="0" applyNumberFormat="1" applyFont="1" applyFill="1"/>
    <xf numFmtId="49" fontId="5" fillId="2" borderId="4" xfId="0" applyNumberFormat="1" applyFont="1" applyFill="1" applyBorder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horizontal="center"/>
    </xf>
    <xf numFmtId="167" fontId="8" fillId="2" borderId="10" xfId="0" applyNumberFormat="1" applyFont="1" applyFill="1" applyBorder="1" applyAlignment="1">
      <alignment horizontal="center"/>
    </xf>
    <xf numFmtId="167" fontId="8" fillId="2" borderId="11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9" fillId="3" borderId="6" xfId="0" applyNumberFormat="1" applyFont="1" applyFill="1" applyBorder="1"/>
    <xf numFmtId="49" fontId="9" fillId="3" borderId="7" xfId="0" applyNumberFormat="1" applyFont="1" applyFill="1" applyBorder="1" applyAlignment="1">
      <alignment horizontal="center"/>
    </xf>
    <xf numFmtId="49" fontId="9" fillId="4" borderId="9" xfId="0" applyNumberFormat="1" applyFont="1" applyFill="1" applyBorder="1" applyAlignment="1">
      <alignment horizontal="center"/>
    </xf>
    <xf numFmtId="49" fontId="9" fillId="3" borderId="10" xfId="0" applyNumberFormat="1" applyFont="1" applyFill="1" applyBorder="1" applyAlignment="1">
      <alignment horizontal="center"/>
    </xf>
    <xf numFmtId="1" fontId="9" fillId="3" borderId="10" xfId="0" applyNumberFormat="1" applyFont="1" applyFill="1" applyBorder="1" applyAlignment="1">
      <alignment horizontal="center"/>
    </xf>
    <xf numFmtId="167" fontId="9" fillId="3" borderId="10" xfId="0" applyNumberFormat="1" applyFont="1" applyFill="1" applyBorder="1" applyAlignment="1">
      <alignment horizontal="center"/>
    </xf>
    <xf numFmtId="167" fontId="9" fillId="4" borderId="11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0" fillId="2" borderId="0" xfId="0" applyNumberFormat="1" applyFont="1" applyFill="1"/>
    <xf numFmtId="0" fontId="11" fillId="5" borderId="4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7" fontId="11" fillId="5" borderId="2" xfId="0" applyNumberFormat="1" applyFont="1" applyFill="1" applyBorder="1" applyAlignment="1">
      <alignment horizontal="center"/>
    </xf>
    <xf numFmtId="1" fontId="11" fillId="5" borderId="2" xfId="0" applyNumberFormat="1" applyFont="1" applyFill="1" applyBorder="1" applyAlignment="1">
      <alignment horizontal="center"/>
    </xf>
    <xf numFmtId="167" fontId="11" fillId="5" borderId="3" xfId="0" applyNumberFormat="1" applyFont="1" applyFill="1" applyBorder="1" applyAlignment="1">
      <alignment horizontal="center"/>
    </xf>
    <xf numFmtId="0" fontId="4" fillId="2" borderId="0" xfId="0" applyFont="1" applyFill="1"/>
    <xf numFmtId="167" fontId="8" fillId="6" borderId="7" xfId="0" applyNumberFormat="1" applyFont="1" applyFill="1" applyBorder="1" applyAlignment="1">
      <alignment horizontal="center"/>
    </xf>
    <xf numFmtId="1" fontId="8" fillId="6" borderId="7" xfId="0" applyNumberFormat="1" applyFont="1" applyFill="1" applyBorder="1" applyAlignment="1">
      <alignment horizontal="center"/>
    </xf>
    <xf numFmtId="167" fontId="8" fillId="6" borderId="8" xfId="0" applyNumberFormat="1" applyFont="1" applyFill="1" applyBorder="1" applyAlignment="1">
      <alignment horizontal="center"/>
    </xf>
    <xf numFmtId="0" fontId="8" fillId="5" borderId="4" xfId="0" applyFont="1" applyFill="1" applyBorder="1"/>
    <xf numFmtId="0" fontId="8" fillId="5" borderId="0" xfId="0" applyFont="1" applyFill="1"/>
    <xf numFmtId="167" fontId="8" fillId="5" borderId="0" xfId="0" applyNumberFormat="1" applyFont="1" applyFill="1" applyAlignment="1">
      <alignment horizontal="center"/>
    </xf>
    <xf numFmtId="1" fontId="8" fillId="5" borderId="0" xfId="0" applyNumberFormat="1" applyFont="1" applyFill="1" applyAlignment="1">
      <alignment horizontal="center"/>
    </xf>
    <xf numFmtId="167" fontId="8" fillId="5" borderId="5" xfId="0" applyNumberFormat="1" applyFont="1" applyFill="1" applyBorder="1" applyAlignment="1">
      <alignment horizontal="center"/>
    </xf>
    <xf numFmtId="0" fontId="4" fillId="5" borderId="0" xfId="0" applyFont="1" applyFill="1"/>
    <xf numFmtId="167" fontId="4" fillId="5" borderId="0" xfId="0" applyNumberFormat="1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167" fontId="4" fillId="5" borderId="5" xfId="0" applyNumberFormat="1" applyFont="1" applyFill="1" applyBorder="1" applyAlignment="1">
      <alignment horizontal="center"/>
    </xf>
    <xf numFmtId="0" fontId="4" fillId="7" borderId="4" xfId="0" applyFont="1" applyFill="1" applyBorder="1"/>
    <xf numFmtId="0" fontId="4" fillId="7" borderId="0" xfId="0" applyFont="1" applyFill="1" applyAlignment="1">
      <alignment horizontal="center"/>
    </xf>
    <xf numFmtId="3" fontId="4" fillId="7" borderId="0" xfId="0" applyNumberFormat="1" applyFont="1" applyFill="1"/>
    <xf numFmtId="167" fontId="4" fillId="7" borderId="0" xfId="0" applyNumberFormat="1" applyFont="1" applyFill="1" applyAlignment="1">
      <alignment horizontal="left"/>
    </xf>
    <xf numFmtId="167" fontId="4" fillId="7" borderId="0" xfId="0" applyNumberFormat="1" applyFont="1" applyFill="1" applyAlignment="1">
      <alignment horizontal="center"/>
    </xf>
    <xf numFmtId="1" fontId="4" fillId="7" borderId="0" xfId="0" applyNumberFormat="1" applyFont="1" applyFill="1" applyAlignment="1">
      <alignment horizontal="center"/>
    </xf>
    <xf numFmtId="167" fontId="4" fillId="7" borderId="5" xfId="0" applyNumberFormat="1" applyFont="1" applyFill="1" applyBorder="1" applyAlignment="1">
      <alignment horizontal="center"/>
    </xf>
    <xf numFmtId="0" fontId="4" fillId="5" borderId="4" xfId="0" applyFont="1" applyFill="1" applyBorder="1"/>
    <xf numFmtId="0" fontId="4" fillId="8" borderId="0" xfId="0" applyFont="1" applyFill="1" applyAlignment="1">
      <alignment horizontal="center"/>
    </xf>
    <xf numFmtId="3" fontId="4" fillId="8" borderId="0" xfId="0" applyNumberFormat="1" applyFont="1" applyFill="1"/>
    <xf numFmtId="167" fontId="4" fillId="8" borderId="0" xfId="0" applyNumberFormat="1" applyFont="1" applyFill="1" applyAlignment="1">
      <alignment horizontal="left"/>
    </xf>
    <xf numFmtId="167" fontId="4" fillId="8" borderId="0" xfId="0" applyNumberFormat="1" applyFont="1" applyFill="1" applyAlignment="1">
      <alignment horizontal="center"/>
    </xf>
    <xf numFmtId="1" fontId="4" fillId="8" borderId="0" xfId="0" applyNumberFormat="1" applyFont="1" applyFill="1" applyAlignment="1">
      <alignment horizontal="center"/>
    </xf>
    <xf numFmtId="167" fontId="4" fillId="8" borderId="5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right"/>
    </xf>
    <xf numFmtId="0" fontId="8" fillId="5" borderId="10" xfId="0" applyFont="1" applyFill="1" applyBorder="1"/>
    <xf numFmtId="167" fontId="8" fillId="5" borderId="10" xfId="0" applyNumberFormat="1" applyFont="1" applyFill="1" applyBorder="1" applyAlignment="1">
      <alignment horizontal="center"/>
    </xf>
    <xf numFmtId="1" fontId="8" fillId="5" borderId="10" xfId="0" applyNumberFormat="1" applyFont="1" applyFill="1" applyBorder="1" applyAlignment="1">
      <alignment horizontal="center"/>
    </xf>
    <xf numFmtId="167" fontId="8" fillId="5" borderId="11" xfId="0" applyNumberFormat="1" applyFont="1" applyFill="1" applyBorder="1" applyAlignment="1">
      <alignment horizontal="center"/>
    </xf>
    <xf numFmtId="0" fontId="12" fillId="7" borderId="4" xfId="0" applyFont="1" applyFill="1" applyBorder="1"/>
    <xf numFmtId="4" fontId="4" fillId="8" borderId="0" xfId="2" applyNumberFormat="1" applyAlignment="1">
      <alignment horizontal="center"/>
    </xf>
    <xf numFmtId="3" fontId="4" fillId="8" borderId="0" xfId="2"/>
    <xf numFmtId="167" fontId="4" fillId="8" borderId="0" xfId="2" applyNumberFormat="1" applyAlignment="1">
      <alignment horizontal="center"/>
    </xf>
    <xf numFmtId="3" fontId="4" fillId="8" borderId="0" xfId="2" applyAlignment="1">
      <alignment horizontal="center"/>
    </xf>
    <xf numFmtId="0" fontId="12" fillId="5" borderId="4" xfId="0" applyFont="1" applyFill="1" applyBorder="1"/>
    <xf numFmtId="0" fontId="4" fillId="7" borderId="7" xfId="3" applyBorder="1" applyAlignment="1">
      <alignment horizontal="center"/>
    </xf>
    <xf numFmtId="0" fontId="4" fillId="7" borderId="7" xfId="3" applyBorder="1"/>
    <xf numFmtId="0" fontId="4" fillId="7" borderId="7" xfId="3" applyBorder="1" applyAlignment="1">
      <alignment horizontal="left"/>
    </xf>
    <xf numFmtId="167" fontId="4" fillId="7" borderId="7" xfId="3" applyNumberFormat="1" applyBorder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13" fillId="9" borderId="0" xfId="0" applyFont="1" applyFill="1"/>
    <xf numFmtId="167" fontId="4" fillId="10" borderId="0" xfId="0" applyNumberFormat="1" applyFont="1" applyFill="1" applyAlignment="1">
      <alignment horizontal="center"/>
    </xf>
    <xf numFmtId="167" fontId="4" fillId="10" borderId="5" xfId="0" applyNumberFormat="1" applyFont="1" applyFill="1" applyBorder="1" applyAlignment="1">
      <alignment horizontal="center"/>
    </xf>
    <xf numFmtId="4" fontId="4" fillId="5" borderId="0" xfId="0" applyNumberFormat="1" applyFont="1" applyFill="1" applyAlignment="1">
      <alignment horizontal="center"/>
    </xf>
    <xf numFmtId="167" fontId="4" fillId="5" borderId="0" xfId="0" applyNumberFormat="1" applyFont="1" applyFill="1" applyAlignment="1">
      <alignment horizontal="left"/>
    </xf>
    <xf numFmtId="167" fontId="4" fillId="8" borderId="0" xfId="1" applyNumberFormat="1" applyFont="1" applyFill="1" applyAlignment="1">
      <alignment horizontal="center"/>
    </xf>
    <xf numFmtId="2" fontId="4" fillId="8" borderId="0" xfId="3" applyNumberFormat="1" applyFill="1" applyAlignment="1">
      <alignment horizontal="center"/>
    </xf>
    <xf numFmtId="0" fontId="4" fillId="8" borderId="0" xfId="3" applyFill="1"/>
    <xf numFmtId="0" fontId="4" fillId="8" borderId="0" xfId="3" applyFill="1" applyAlignment="1">
      <alignment horizontal="left"/>
    </xf>
    <xf numFmtId="167" fontId="4" fillId="8" borderId="0" xfId="3" applyNumberFormat="1" applyFill="1" applyAlignment="1">
      <alignment horizontal="center"/>
    </xf>
    <xf numFmtId="0" fontId="4" fillId="8" borderId="0" xfId="3" applyFill="1" applyAlignment="1">
      <alignment horizontal="center"/>
    </xf>
    <xf numFmtId="0" fontId="8" fillId="2" borderId="0" xfId="0" applyFont="1" applyFill="1"/>
    <xf numFmtId="2" fontId="4" fillId="7" borderId="0" xfId="3" applyNumberFormat="1" applyAlignment="1">
      <alignment horizontal="center"/>
    </xf>
    <xf numFmtId="0" fontId="4" fillId="7" borderId="0" xfId="3"/>
    <xf numFmtId="0" fontId="4" fillId="7" borderId="0" xfId="3" applyAlignment="1">
      <alignment horizontal="left"/>
    </xf>
    <xf numFmtId="167" fontId="4" fillId="7" borderId="0" xfId="3" applyNumberFormat="1" applyAlignment="1">
      <alignment horizontal="center"/>
    </xf>
    <xf numFmtId="0" fontId="4" fillId="7" borderId="0" xfId="3" applyAlignment="1">
      <alignment horizontal="center"/>
    </xf>
    <xf numFmtId="2" fontId="4" fillId="8" borderId="7" xfId="3" applyNumberFormat="1" applyFill="1" applyBorder="1" applyAlignment="1">
      <alignment horizontal="center"/>
    </xf>
    <xf numFmtId="0" fontId="4" fillId="8" borderId="7" xfId="3" applyFill="1" applyBorder="1"/>
    <xf numFmtId="0" fontId="4" fillId="8" borderId="7" xfId="3" applyFill="1" applyBorder="1" applyAlignment="1">
      <alignment horizontal="left"/>
    </xf>
    <xf numFmtId="167" fontId="4" fillId="8" borderId="7" xfId="3" applyNumberFormat="1" applyFill="1" applyBorder="1" applyAlignment="1">
      <alignment horizontal="center"/>
    </xf>
    <xf numFmtId="0" fontId="4" fillId="8" borderId="7" xfId="3" applyFill="1" applyBorder="1" applyAlignment="1">
      <alignment horizontal="center"/>
    </xf>
    <xf numFmtId="2" fontId="4" fillId="8" borderId="0" xfId="2" applyNumberFormat="1"/>
    <xf numFmtId="2" fontId="4" fillId="7" borderId="0" xfId="3" applyNumberFormat="1"/>
    <xf numFmtId="3" fontId="4" fillId="7" borderId="7" xfId="2" applyFill="1" applyBorder="1"/>
    <xf numFmtId="167" fontId="4" fillId="7" borderId="7" xfId="2" applyNumberFormat="1" applyFill="1" applyBorder="1" applyAlignment="1">
      <alignment horizontal="center"/>
    </xf>
    <xf numFmtId="3" fontId="4" fillId="7" borderId="7" xfId="2" applyFill="1" applyBorder="1" applyAlignment="1">
      <alignment horizontal="center"/>
    </xf>
    <xf numFmtId="165" fontId="4" fillId="7" borderId="0" xfId="3" applyNumberFormat="1" applyAlignment="1">
      <alignment horizontal="center"/>
    </xf>
    <xf numFmtId="0" fontId="8" fillId="5" borderId="0" xfId="0" applyFont="1" applyFill="1" applyAlignment="1">
      <alignment horizontal="right"/>
    </xf>
    <xf numFmtId="167" fontId="4" fillId="2" borderId="0" xfId="2" applyNumberFormat="1" applyFill="1" applyAlignment="1">
      <alignment horizontal="center"/>
    </xf>
    <xf numFmtId="167" fontId="4" fillId="7" borderId="0" xfId="2" applyNumberFormat="1" applyFill="1" applyAlignment="1">
      <alignment horizontal="center"/>
    </xf>
    <xf numFmtId="0" fontId="8" fillId="5" borderId="6" xfId="0" applyFont="1" applyFill="1" applyBorder="1"/>
    <xf numFmtId="0" fontId="8" fillId="10" borderId="7" xfId="0" applyFont="1" applyFill="1" applyBorder="1"/>
    <xf numFmtId="167" fontId="8" fillId="10" borderId="7" xfId="0" applyNumberFormat="1" applyFont="1" applyFill="1" applyBorder="1" applyAlignment="1">
      <alignment horizontal="center"/>
    </xf>
    <xf numFmtId="167" fontId="8" fillId="10" borderId="8" xfId="0" applyNumberFormat="1" applyFont="1" applyFill="1" applyBorder="1" applyAlignment="1">
      <alignment horizontal="center"/>
    </xf>
    <xf numFmtId="167" fontId="4" fillId="2" borderId="0" xfId="0" applyNumberFormat="1" applyFont="1" applyFill="1"/>
    <xf numFmtId="1" fontId="4" fillId="2" borderId="0" xfId="0" applyNumberFormat="1" applyFont="1" applyFill="1"/>
    <xf numFmtId="1" fontId="20" fillId="2" borderId="10" xfId="0" applyNumberFormat="1" applyFont="1" applyFill="1" applyBorder="1" applyAlignment="1">
      <alignment horizontal="center"/>
    </xf>
    <xf numFmtId="167" fontId="20" fillId="2" borderId="10" xfId="0" applyNumberFormat="1" applyFont="1" applyFill="1" applyBorder="1" applyAlignment="1">
      <alignment horizontal="center"/>
    </xf>
    <xf numFmtId="167" fontId="20" fillId="2" borderId="11" xfId="0" applyNumberFormat="1" applyFont="1" applyFill="1" applyBorder="1" applyAlignment="1">
      <alignment horizontal="center"/>
    </xf>
    <xf numFmtId="49" fontId="16" fillId="3" borderId="6" xfId="0" applyNumberFormat="1" applyFont="1" applyFill="1" applyBorder="1"/>
    <xf numFmtId="49" fontId="16" fillId="3" borderId="7" xfId="0" applyNumberFormat="1" applyFont="1" applyFill="1" applyBorder="1" applyAlignment="1">
      <alignment horizontal="center"/>
    </xf>
    <xf numFmtId="49" fontId="16" fillId="3" borderId="8" xfId="0" applyNumberFormat="1" applyFont="1" applyFill="1" applyBorder="1" applyAlignment="1">
      <alignment horizontal="center"/>
    </xf>
    <xf numFmtId="49" fontId="16" fillId="4" borderId="9" xfId="0" applyNumberFormat="1" applyFont="1" applyFill="1" applyBorder="1" applyAlignment="1">
      <alignment horizontal="center"/>
    </xf>
    <xf numFmtId="49" fontId="16" fillId="3" borderId="10" xfId="0" applyNumberFormat="1" applyFont="1" applyFill="1" applyBorder="1" applyAlignment="1">
      <alignment horizontal="center"/>
    </xf>
    <xf numFmtId="1" fontId="16" fillId="3" borderId="10" xfId="0" applyNumberFormat="1" applyFont="1" applyFill="1" applyBorder="1" applyAlignment="1">
      <alignment horizontal="center"/>
    </xf>
    <xf numFmtId="167" fontId="16" fillId="3" borderId="10" xfId="0" applyNumberFormat="1" applyFont="1" applyFill="1" applyBorder="1" applyAlignment="1">
      <alignment horizontal="center"/>
    </xf>
    <xf numFmtId="167" fontId="16" fillId="4" borderId="11" xfId="0" applyNumberFormat="1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  <xf numFmtId="0" fontId="20" fillId="5" borderId="0" xfId="0" applyFont="1" applyFill="1" applyAlignment="1">
      <alignment horizontal="center"/>
    </xf>
    <xf numFmtId="0" fontId="20" fillId="7" borderId="0" xfId="0" applyFont="1" applyFill="1" applyAlignment="1">
      <alignment horizontal="center"/>
    </xf>
    <xf numFmtId="167" fontId="20" fillId="2" borderId="2" xfId="0" applyNumberFormat="1" applyFont="1" applyFill="1" applyBorder="1" applyAlignment="1">
      <alignment horizontal="center"/>
    </xf>
    <xf numFmtId="167" fontId="20" fillId="7" borderId="2" xfId="0" applyNumberFormat="1" applyFont="1" applyFill="1" applyBorder="1" applyAlignment="1">
      <alignment horizontal="center"/>
    </xf>
    <xf numFmtId="1" fontId="20" fillId="7" borderId="2" xfId="0" applyNumberFormat="1" applyFont="1" applyFill="1" applyBorder="1" applyAlignment="1">
      <alignment horizontal="center"/>
    </xf>
    <xf numFmtId="167" fontId="20" fillId="2" borderId="3" xfId="0" applyNumberFormat="1" applyFont="1" applyFill="1" applyBorder="1" applyAlignment="1">
      <alignment horizontal="center"/>
    </xf>
    <xf numFmtId="0" fontId="21" fillId="2" borderId="4" xfId="0" applyFont="1" applyFill="1" applyBorder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167" fontId="20" fillId="2" borderId="0" xfId="0" applyNumberFormat="1" applyFont="1" applyFill="1" applyAlignment="1">
      <alignment horizontal="center"/>
    </xf>
    <xf numFmtId="167" fontId="20" fillId="2" borderId="0" xfId="0" applyNumberFormat="1" applyFont="1" applyFill="1" applyAlignment="1">
      <alignment horizontal="left"/>
    </xf>
    <xf numFmtId="1" fontId="20" fillId="2" borderId="0" xfId="0" applyNumberFormat="1" applyFont="1" applyFill="1" applyAlignment="1">
      <alignment horizontal="left"/>
    </xf>
    <xf numFmtId="167" fontId="20" fillId="2" borderId="5" xfId="0" applyNumberFormat="1" applyFont="1" applyFill="1" applyBorder="1" applyAlignment="1">
      <alignment horizontal="left"/>
    </xf>
    <xf numFmtId="167" fontId="20" fillId="11" borderId="7" xfId="0" applyNumberFormat="1" applyFont="1" applyFill="1" applyBorder="1" applyAlignment="1">
      <alignment horizontal="center"/>
    </xf>
    <xf numFmtId="167" fontId="20" fillId="6" borderId="7" xfId="0" applyNumberFormat="1" applyFont="1" applyFill="1" applyBorder="1" applyAlignment="1">
      <alignment horizontal="left"/>
    </xf>
    <xf numFmtId="1" fontId="20" fillId="6" borderId="7" xfId="0" applyNumberFormat="1" applyFont="1" applyFill="1" applyBorder="1" applyAlignment="1">
      <alignment horizontal="left"/>
    </xf>
    <xf numFmtId="167" fontId="20" fillId="11" borderId="8" xfId="0" applyNumberFormat="1" applyFont="1" applyFill="1" applyBorder="1" applyAlignment="1">
      <alignment horizontal="left"/>
    </xf>
    <xf numFmtId="0" fontId="20" fillId="2" borderId="4" xfId="0" applyFont="1" applyFill="1" applyBorder="1"/>
    <xf numFmtId="0" fontId="20" fillId="2" borderId="0" xfId="0" applyFont="1" applyFill="1"/>
    <xf numFmtId="0" fontId="17" fillId="2" borderId="0" xfId="0" applyFont="1" applyFill="1" applyAlignment="1">
      <alignment horizontal="center"/>
    </xf>
    <xf numFmtId="167" fontId="17" fillId="2" borderId="0" xfId="0" applyNumberFormat="1" applyFont="1" applyFill="1" applyAlignment="1">
      <alignment horizontal="center"/>
    </xf>
    <xf numFmtId="167" fontId="17" fillId="2" borderId="0" xfId="0" applyNumberFormat="1" applyFont="1" applyFill="1" applyAlignment="1">
      <alignment horizontal="left"/>
    </xf>
    <xf numFmtId="1" fontId="17" fillId="2" borderId="0" xfId="0" applyNumberFormat="1" applyFont="1" applyFill="1" applyAlignment="1">
      <alignment horizontal="left"/>
    </xf>
    <xf numFmtId="167" fontId="17" fillId="2" borderId="5" xfId="0" applyNumberFormat="1" applyFont="1" applyFill="1" applyBorder="1" applyAlignment="1">
      <alignment horizontal="left"/>
    </xf>
    <xf numFmtId="0" fontId="17" fillId="2" borderId="4" xfId="0" applyFont="1" applyFill="1" applyBorder="1"/>
    <xf numFmtId="0" fontId="17" fillId="9" borderId="0" xfId="0" applyFont="1" applyFill="1" applyAlignment="1">
      <alignment horizontal="center"/>
    </xf>
    <xf numFmtId="167" fontId="17" fillId="9" borderId="0" xfId="0" applyNumberFormat="1" applyFont="1" applyFill="1" applyAlignment="1">
      <alignment horizontal="center"/>
    </xf>
    <xf numFmtId="167" fontId="17" fillId="9" borderId="0" xfId="0" applyNumberFormat="1" applyFont="1" applyFill="1" applyAlignment="1">
      <alignment horizontal="left"/>
    </xf>
    <xf numFmtId="1" fontId="17" fillId="9" borderId="0" xfId="0" applyNumberFormat="1" applyFont="1" applyFill="1" applyAlignment="1">
      <alignment horizontal="left"/>
    </xf>
    <xf numFmtId="167" fontId="17" fillId="9" borderId="5" xfId="0" applyNumberFormat="1" applyFont="1" applyFill="1" applyBorder="1" applyAlignment="1">
      <alignment horizontal="left"/>
    </xf>
    <xf numFmtId="3" fontId="17" fillId="2" borderId="0" xfId="0" applyNumberFormat="1" applyFont="1" applyFill="1" applyAlignment="1">
      <alignment horizontal="center"/>
    </xf>
    <xf numFmtId="167" fontId="17" fillId="7" borderId="0" xfId="0" applyNumberFormat="1" applyFont="1" applyFill="1" applyAlignment="1">
      <alignment horizontal="center"/>
    </xf>
    <xf numFmtId="3" fontId="17" fillId="9" borderId="0" xfId="0" applyNumberFormat="1" applyFont="1" applyFill="1" applyAlignment="1">
      <alignment horizontal="center"/>
    </xf>
    <xf numFmtId="0" fontId="17" fillId="2" borderId="0" xfId="0" applyFont="1" applyFill="1"/>
    <xf numFmtId="0" fontId="20" fillId="2" borderId="9" xfId="0" applyFont="1" applyFill="1" applyBorder="1"/>
    <xf numFmtId="3" fontId="20" fillId="2" borderId="10" xfId="0" applyNumberFormat="1" applyFont="1" applyFill="1" applyBorder="1" applyAlignment="1">
      <alignment horizontal="center"/>
    </xf>
    <xf numFmtId="167" fontId="20" fillId="2" borderId="10" xfId="0" applyNumberFormat="1" applyFont="1" applyFill="1" applyBorder="1" applyAlignment="1">
      <alignment horizontal="left"/>
    </xf>
    <xf numFmtId="1" fontId="20" fillId="2" borderId="10" xfId="0" applyNumberFormat="1" applyFont="1" applyFill="1" applyBorder="1" applyAlignment="1">
      <alignment horizontal="left"/>
    </xf>
    <xf numFmtId="167" fontId="20" fillId="2" borderId="11" xfId="0" applyNumberFormat="1" applyFont="1" applyFill="1" applyBorder="1" applyAlignment="1">
      <alignment horizontal="left"/>
    </xf>
    <xf numFmtId="0" fontId="17" fillId="9" borderId="0" xfId="0" applyFont="1" applyFill="1" applyAlignment="1">
      <alignment horizontal="left"/>
    </xf>
    <xf numFmtId="3" fontId="20" fillId="2" borderId="0" xfId="0" applyNumberFormat="1" applyFont="1" applyFill="1" applyAlignment="1">
      <alignment horizontal="center"/>
    </xf>
    <xf numFmtId="0" fontId="17" fillId="12" borderId="0" xfId="0" applyFont="1" applyFill="1" applyAlignment="1">
      <alignment horizontal="center"/>
    </xf>
    <xf numFmtId="3" fontId="17" fillId="12" borderId="0" xfId="0" applyNumberFormat="1" applyFont="1" applyFill="1" applyAlignment="1">
      <alignment horizontal="center"/>
    </xf>
    <xf numFmtId="167" fontId="17" fillId="12" borderId="0" xfId="0" applyNumberFormat="1" applyFont="1" applyFill="1" applyAlignment="1">
      <alignment horizontal="center"/>
    </xf>
    <xf numFmtId="167" fontId="17" fillId="12" borderId="0" xfId="0" applyNumberFormat="1" applyFont="1" applyFill="1" applyAlignment="1">
      <alignment horizontal="left"/>
    </xf>
    <xf numFmtId="1" fontId="17" fillId="12" borderId="0" xfId="0" applyNumberFormat="1" applyFont="1" applyFill="1" applyAlignment="1">
      <alignment horizontal="left"/>
    </xf>
    <xf numFmtId="167" fontId="17" fillId="12" borderId="5" xfId="0" applyNumberFormat="1" applyFont="1" applyFill="1" applyBorder="1" applyAlignment="1">
      <alignment horizontal="left"/>
    </xf>
    <xf numFmtId="0" fontId="21" fillId="2" borderId="0" xfId="0" applyFont="1" applyFill="1" applyAlignment="1">
      <alignment horizontal="left"/>
    </xf>
    <xf numFmtId="167" fontId="21" fillId="2" borderId="0" xfId="0" applyNumberFormat="1" applyFont="1" applyFill="1" applyAlignment="1">
      <alignment horizontal="center"/>
    </xf>
    <xf numFmtId="167" fontId="21" fillId="2" borderId="0" xfId="0" applyNumberFormat="1" applyFont="1" applyFill="1" applyAlignment="1">
      <alignment horizontal="left"/>
    </xf>
    <xf numFmtId="1" fontId="21" fillId="2" borderId="0" xfId="0" applyNumberFormat="1" applyFont="1" applyFill="1" applyAlignment="1">
      <alignment horizontal="left"/>
    </xf>
    <xf numFmtId="167" fontId="21" fillId="2" borderId="5" xfId="0" applyNumberFormat="1" applyFont="1" applyFill="1" applyBorder="1" applyAlignment="1">
      <alignment horizontal="left"/>
    </xf>
    <xf numFmtId="0" fontId="22" fillId="11" borderId="6" xfId="0" applyFont="1" applyFill="1" applyBorder="1" applyAlignment="1">
      <alignment horizontal="left"/>
    </xf>
    <xf numFmtId="0" fontId="22" fillId="11" borderId="7" xfId="0" applyFont="1" applyFill="1" applyBorder="1" applyAlignment="1">
      <alignment horizontal="left"/>
    </xf>
    <xf numFmtId="167" fontId="22" fillId="11" borderId="7" xfId="0" applyNumberFormat="1" applyFont="1" applyFill="1" applyBorder="1" applyAlignment="1">
      <alignment horizontal="center"/>
    </xf>
    <xf numFmtId="167" fontId="22" fillId="11" borderId="7" xfId="0" applyNumberFormat="1" applyFont="1" applyFill="1" applyBorder="1" applyAlignment="1">
      <alignment horizontal="left"/>
    </xf>
    <xf numFmtId="1" fontId="22" fillId="11" borderId="7" xfId="0" applyNumberFormat="1" applyFont="1" applyFill="1" applyBorder="1" applyAlignment="1">
      <alignment horizontal="left"/>
    </xf>
    <xf numFmtId="167" fontId="22" fillId="11" borderId="8" xfId="0" applyNumberFormat="1" applyFont="1" applyFill="1" applyBorder="1" applyAlignment="1">
      <alignment horizontal="left"/>
    </xf>
    <xf numFmtId="0" fontId="22" fillId="2" borderId="1" xfId="0" applyFont="1" applyFill="1" applyBorder="1"/>
    <xf numFmtId="0" fontId="22" fillId="9" borderId="2" xfId="0" applyFont="1" applyFill="1" applyBorder="1"/>
    <xf numFmtId="0" fontId="22" fillId="9" borderId="2" xfId="0" applyFont="1" applyFill="1" applyBorder="1" applyAlignment="1">
      <alignment horizontal="center"/>
    </xf>
    <xf numFmtId="167" fontId="22" fillId="9" borderId="2" xfId="0" applyNumberFormat="1" applyFont="1" applyFill="1" applyBorder="1" applyAlignment="1">
      <alignment horizontal="center"/>
    </xf>
    <xf numFmtId="167" fontId="22" fillId="9" borderId="2" xfId="0" applyNumberFormat="1" applyFont="1" applyFill="1" applyBorder="1" applyAlignment="1">
      <alignment horizontal="left"/>
    </xf>
    <xf numFmtId="167" fontId="22" fillId="9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2" fillId="2" borderId="0" xfId="0" applyFont="1" applyFill="1"/>
    <xf numFmtId="0" fontId="22" fillId="2" borderId="0" xfId="0" applyFont="1" applyFill="1" applyAlignment="1">
      <alignment horizontal="center"/>
    </xf>
    <xf numFmtId="167" fontId="22" fillId="2" borderId="0" xfId="0" applyNumberFormat="1" applyFont="1" applyFill="1" applyAlignment="1">
      <alignment horizontal="center"/>
    </xf>
    <xf numFmtId="167" fontId="22" fillId="2" borderId="0" xfId="0" applyNumberFormat="1" applyFont="1" applyFill="1" applyAlignment="1">
      <alignment horizontal="left"/>
    </xf>
    <xf numFmtId="167" fontId="22" fillId="2" borderId="5" xfId="0" applyNumberFormat="1" applyFont="1" applyFill="1" applyBorder="1" applyAlignment="1">
      <alignment horizontal="left"/>
    </xf>
    <xf numFmtId="0" fontId="22" fillId="2" borderId="6" xfId="0" applyFont="1" applyFill="1" applyBorder="1"/>
    <xf numFmtId="0" fontId="22" fillId="9" borderId="7" xfId="0" applyFont="1" applyFill="1" applyBorder="1"/>
    <xf numFmtId="0" fontId="22" fillId="9" borderId="7" xfId="0" applyFont="1" applyFill="1" applyBorder="1" applyAlignment="1">
      <alignment horizontal="center"/>
    </xf>
    <xf numFmtId="167" fontId="22" fillId="9" borderId="7" xfId="0" applyNumberFormat="1" applyFont="1" applyFill="1" applyBorder="1" applyAlignment="1">
      <alignment horizontal="center"/>
    </xf>
    <xf numFmtId="167" fontId="22" fillId="9" borderId="7" xfId="0" applyNumberFormat="1" applyFont="1" applyFill="1" applyBorder="1" applyAlignment="1">
      <alignment horizontal="left"/>
    </xf>
    <xf numFmtId="167" fontId="22" fillId="9" borderId="8" xfId="0" applyNumberFormat="1" applyFont="1" applyFill="1" applyBorder="1" applyAlignment="1">
      <alignment horizontal="left"/>
    </xf>
    <xf numFmtId="0" fontId="25" fillId="0" borderId="0" xfId="0" applyFont="1"/>
    <xf numFmtId="49" fontId="26" fillId="3" borderId="12" xfId="0" applyNumberFormat="1" applyFont="1" applyFill="1" applyBorder="1" applyAlignment="1">
      <alignment horizontal="center"/>
    </xf>
    <xf numFmtId="1" fontId="26" fillId="3" borderId="7" xfId="0" applyNumberFormat="1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26" fillId="3" borderId="7" xfId="0" applyNumberFormat="1" applyFont="1" applyFill="1" applyBorder="1" applyAlignment="1">
      <alignment horizontal="center"/>
    </xf>
    <xf numFmtId="167" fontId="26" fillId="3" borderId="7" xfId="0" applyNumberFormat="1" applyFont="1" applyFill="1" applyBorder="1" applyAlignment="1">
      <alignment horizontal="center"/>
    </xf>
    <xf numFmtId="167" fontId="26" fillId="4" borderId="8" xfId="0" applyNumberFormat="1" applyFont="1" applyFill="1" applyBorder="1" applyAlignment="1">
      <alignment horizontal="center"/>
    </xf>
    <xf numFmtId="167" fontId="11" fillId="11" borderId="7" xfId="0" applyNumberFormat="1" applyFont="1" applyFill="1" applyBorder="1" applyAlignment="1">
      <alignment horizontal="center"/>
    </xf>
    <xf numFmtId="1" fontId="11" fillId="11" borderId="7" xfId="0" applyNumberFormat="1" applyFont="1" applyFill="1" applyBorder="1" applyAlignment="1">
      <alignment horizontal="center"/>
    </xf>
    <xf numFmtId="167" fontId="11" fillId="11" borderId="8" xfId="0" applyNumberFormat="1" applyFont="1" applyFill="1" applyBorder="1" applyAlignment="1">
      <alignment horizontal="center"/>
    </xf>
    <xf numFmtId="1" fontId="25" fillId="0" borderId="0" xfId="0" applyNumberFormat="1" applyFont="1"/>
    <xf numFmtId="167" fontId="25" fillId="0" borderId="0" xfId="0" applyNumberFormat="1" applyFont="1"/>
    <xf numFmtId="167" fontId="25" fillId="0" borderId="5" xfId="0" applyNumberFormat="1" applyFont="1" applyBorder="1"/>
    <xf numFmtId="164" fontId="25" fillId="0" borderId="0" xfId="0" applyNumberFormat="1" applyFont="1"/>
    <xf numFmtId="165" fontId="25" fillId="0" borderId="0" xfId="0" applyNumberFormat="1" applyFont="1"/>
    <xf numFmtId="0" fontId="25" fillId="0" borderId="4" xfId="0" applyFont="1" applyBorder="1"/>
    <xf numFmtId="1" fontId="25" fillId="13" borderId="0" xfId="0" applyNumberFormat="1" applyFont="1" applyFill="1"/>
    <xf numFmtId="0" fontId="25" fillId="13" borderId="0" xfId="0" applyFont="1" applyFill="1"/>
    <xf numFmtId="167" fontId="25" fillId="13" borderId="0" xfId="0" applyNumberFormat="1" applyFont="1" applyFill="1"/>
    <xf numFmtId="167" fontId="25" fillId="13" borderId="5" xfId="0" applyNumberFormat="1" applyFont="1" applyFill="1" applyBorder="1"/>
    <xf numFmtId="0" fontId="27" fillId="0" borderId="9" xfId="0" applyFont="1" applyBorder="1"/>
    <xf numFmtId="0" fontId="25" fillId="0" borderId="10" xfId="0" applyFont="1" applyBorder="1"/>
    <xf numFmtId="0" fontId="27" fillId="0" borderId="10" xfId="0" applyFont="1" applyBorder="1"/>
    <xf numFmtId="167" fontId="27" fillId="0" borderId="10" xfId="0" applyNumberFormat="1" applyFont="1" applyBorder="1"/>
    <xf numFmtId="167" fontId="27" fillId="0" borderId="11" xfId="0" applyNumberFormat="1" applyFont="1" applyBorder="1"/>
    <xf numFmtId="167" fontId="27" fillId="0" borderId="0" xfId="0" applyNumberFormat="1" applyFont="1"/>
    <xf numFmtId="0" fontId="25" fillId="0" borderId="5" xfId="0" applyFont="1" applyBorder="1"/>
    <xf numFmtId="1" fontId="11" fillId="11" borderId="7" xfId="0" applyNumberFormat="1" applyFont="1" applyFill="1" applyBorder="1" applyAlignment="1">
      <alignment horizontal="left"/>
    </xf>
    <xf numFmtId="167" fontId="25" fillId="0" borderId="10" xfId="0" applyNumberFormat="1" applyFont="1" applyBorder="1"/>
    <xf numFmtId="167" fontId="25" fillId="2" borderId="0" xfId="0" applyNumberFormat="1" applyFont="1" applyFill="1"/>
    <xf numFmtId="8" fontId="25" fillId="13" borderId="0" xfId="0" applyNumberFormat="1" applyFont="1" applyFill="1"/>
    <xf numFmtId="0" fontId="25" fillId="13" borderId="5" xfId="0" applyFont="1" applyFill="1" applyBorder="1"/>
    <xf numFmtId="0" fontId="25" fillId="2" borderId="0" xfId="0" applyFont="1" applyFill="1"/>
    <xf numFmtId="1" fontId="28" fillId="0" borderId="0" xfId="0" applyNumberFormat="1" applyFont="1"/>
    <xf numFmtId="0" fontId="27" fillId="0" borderId="0" xfId="0" applyFont="1"/>
    <xf numFmtId="167" fontId="27" fillId="0" borderId="5" xfId="0" applyNumberFormat="1" applyFont="1" applyBorder="1"/>
    <xf numFmtId="1" fontId="25" fillId="2" borderId="0" xfId="0" applyNumberFormat="1" applyFont="1" applyFill="1"/>
    <xf numFmtId="167" fontId="27" fillId="13" borderId="0" xfId="0" applyNumberFormat="1" applyFont="1" applyFill="1"/>
    <xf numFmtId="167" fontId="27" fillId="13" borderId="5" xfId="0" applyNumberFormat="1" applyFont="1" applyFill="1" applyBorder="1"/>
    <xf numFmtId="1" fontId="27" fillId="0" borderId="9" xfId="0" applyNumberFormat="1" applyFont="1" applyBorder="1"/>
    <xf numFmtId="1" fontId="25" fillId="0" borderId="10" xfId="0" applyNumberFormat="1" applyFont="1" applyBorder="1"/>
    <xf numFmtId="1" fontId="27" fillId="0" borderId="0" xfId="0" applyNumberFormat="1" applyFont="1"/>
    <xf numFmtId="0" fontId="25" fillId="2" borderId="4" xfId="0" applyFont="1" applyFill="1" applyBorder="1"/>
    <xf numFmtId="0" fontId="11" fillId="9" borderId="4" xfId="0" applyFont="1" applyFill="1" applyBorder="1"/>
    <xf numFmtId="1" fontId="11" fillId="9" borderId="0" xfId="0" applyNumberFormat="1" applyFont="1" applyFill="1"/>
    <xf numFmtId="0" fontId="11" fillId="9" borderId="0" xfId="0" applyFont="1" applyFill="1"/>
    <xf numFmtId="167" fontId="11" fillId="9" borderId="0" xfId="0" applyNumberFormat="1" applyFont="1" applyFill="1" applyAlignment="1">
      <alignment horizontal="center"/>
    </xf>
    <xf numFmtId="167" fontId="11" fillId="9" borderId="3" xfId="0" applyNumberFormat="1" applyFont="1" applyFill="1" applyBorder="1" applyAlignment="1">
      <alignment horizontal="center"/>
    </xf>
    <xf numFmtId="0" fontId="11" fillId="2" borderId="4" xfId="0" applyFont="1" applyFill="1" applyBorder="1"/>
    <xf numFmtId="1" fontId="11" fillId="2" borderId="0" xfId="0" applyNumberFormat="1" applyFont="1" applyFill="1"/>
    <xf numFmtId="0" fontId="11" fillId="2" borderId="0" xfId="0" applyFont="1" applyFill="1"/>
    <xf numFmtId="167" fontId="11" fillId="2" borderId="0" xfId="0" applyNumberFormat="1" applyFont="1" applyFill="1" applyAlignment="1">
      <alignment horizontal="center"/>
    </xf>
    <xf numFmtId="167" fontId="11" fillId="2" borderId="5" xfId="0" applyNumberFormat="1" applyFont="1" applyFill="1" applyBorder="1" applyAlignment="1">
      <alignment horizontal="center"/>
    </xf>
    <xf numFmtId="0" fontId="11" fillId="9" borderId="6" xfId="0" applyFont="1" applyFill="1" applyBorder="1"/>
    <xf numFmtId="1" fontId="11" fillId="9" borderId="7" xfId="0" applyNumberFormat="1" applyFont="1" applyFill="1" applyBorder="1"/>
    <xf numFmtId="0" fontId="11" fillId="9" borderId="7" xfId="0" applyFont="1" applyFill="1" applyBorder="1"/>
    <xf numFmtId="167" fontId="11" fillId="9" borderId="7" xfId="0" applyNumberFormat="1" applyFont="1" applyFill="1" applyBorder="1" applyAlignment="1">
      <alignment horizontal="center"/>
    </xf>
    <xf numFmtId="167" fontId="11" fillId="9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/>
    <xf numFmtId="49" fontId="26" fillId="4" borderId="9" xfId="0" applyNumberFormat="1" applyFont="1" applyFill="1" applyBorder="1" applyAlignment="1">
      <alignment horizontal="center"/>
    </xf>
    <xf numFmtId="49" fontId="26" fillId="3" borderId="10" xfId="0" applyNumberFormat="1" applyFont="1" applyFill="1" applyBorder="1" applyAlignment="1">
      <alignment horizontal="center"/>
    </xf>
    <xf numFmtId="1" fontId="26" fillId="3" borderId="10" xfId="0" applyNumberFormat="1" applyFont="1" applyFill="1" applyBorder="1" applyAlignment="1">
      <alignment horizontal="center"/>
    </xf>
    <xf numFmtId="167" fontId="26" fillId="3" borderId="10" xfId="0" applyNumberFormat="1" applyFont="1" applyFill="1" applyBorder="1" applyAlignment="1">
      <alignment horizontal="center"/>
    </xf>
    <xf numFmtId="167" fontId="26" fillId="4" borderId="11" xfId="0" applyNumberFormat="1" applyFont="1" applyFill="1" applyBorder="1" applyAlignment="1">
      <alignment horizontal="center"/>
    </xf>
    <xf numFmtId="0" fontId="11" fillId="7" borderId="0" xfId="0" applyFont="1" applyFill="1" applyAlignment="1">
      <alignment horizontal="center"/>
    </xf>
    <xf numFmtId="167" fontId="11" fillId="2" borderId="2" xfId="0" applyNumberFormat="1" applyFont="1" applyFill="1" applyBorder="1" applyAlignment="1">
      <alignment horizontal="center"/>
    </xf>
    <xf numFmtId="167" fontId="11" fillId="7" borderId="2" xfId="0" applyNumberFormat="1" applyFont="1" applyFill="1" applyBorder="1" applyAlignment="1">
      <alignment horizontal="center"/>
    </xf>
    <xf numFmtId="1" fontId="11" fillId="7" borderId="2" xfId="0" applyNumberFormat="1" applyFont="1" applyFill="1" applyBorder="1" applyAlignment="1">
      <alignment horizontal="center"/>
    </xf>
    <xf numFmtId="167" fontId="11" fillId="2" borderId="3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1" fontId="11" fillId="2" borderId="0" xfId="0" applyNumberFormat="1" applyFont="1" applyFill="1" applyAlignment="1">
      <alignment horizontal="center"/>
    </xf>
    <xf numFmtId="0" fontId="28" fillId="9" borderId="0" xfId="0" applyFont="1" applyFill="1" applyAlignment="1">
      <alignment horizontal="left"/>
    </xf>
    <xf numFmtId="167" fontId="28" fillId="9" borderId="0" xfId="0" applyNumberFormat="1" applyFont="1" applyFill="1" applyAlignment="1">
      <alignment horizontal="center"/>
    </xf>
    <xf numFmtId="1" fontId="28" fillId="9" borderId="0" xfId="0" applyNumberFormat="1" applyFont="1" applyFill="1" applyAlignment="1">
      <alignment horizontal="center"/>
    </xf>
    <xf numFmtId="167" fontId="28" fillId="9" borderId="5" xfId="0" applyNumberFormat="1" applyFont="1" applyFill="1" applyBorder="1" applyAlignment="1">
      <alignment horizontal="center"/>
    </xf>
    <xf numFmtId="167" fontId="11" fillId="6" borderId="7" xfId="0" applyNumberFormat="1" applyFont="1" applyFill="1" applyBorder="1" applyAlignment="1">
      <alignment horizontal="center"/>
    </xf>
    <xf numFmtId="1" fontId="11" fillId="6" borderId="7" xfId="0" applyNumberFormat="1" applyFont="1" applyFill="1" applyBorder="1" applyAlignment="1">
      <alignment horizontal="center"/>
    </xf>
    <xf numFmtId="0" fontId="28" fillId="2" borderId="0" xfId="0" applyFont="1" applyFill="1"/>
    <xf numFmtId="167" fontId="28" fillId="2" borderId="0" xfId="0" applyNumberFormat="1" applyFont="1" applyFill="1" applyAlignment="1">
      <alignment horizontal="center"/>
    </xf>
    <xf numFmtId="1" fontId="28" fillId="2" borderId="0" xfId="0" applyNumberFormat="1" applyFont="1" applyFill="1" applyAlignment="1">
      <alignment horizontal="center"/>
    </xf>
    <xf numFmtId="167" fontId="28" fillId="2" borderId="5" xfId="0" applyNumberFormat="1" applyFont="1" applyFill="1" applyBorder="1" applyAlignment="1">
      <alignment horizontal="center"/>
    </xf>
    <xf numFmtId="0" fontId="28" fillId="2" borderId="4" xfId="0" applyFont="1" applyFill="1" applyBorder="1"/>
    <xf numFmtId="49" fontId="29" fillId="9" borderId="0" xfId="0" applyNumberFormat="1" applyFont="1" applyFill="1"/>
    <xf numFmtId="0" fontId="29" fillId="9" borderId="0" xfId="0" applyFont="1" applyFill="1" applyAlignment="1">
      <alignment horizontal="left"/>
    </xf>
    <xf numFmtId="44" fontId="29" fillId="9" borderId="0" xfId="1" applyFont="1" applyFill="1"/>
    <xf numFmtId="0" fontId="29" fillId="9" borderId="0" xfId="0" applyFont="1" applyFill="1" applyAlignment="1">
      <alignment horizontal="center"/>
    </xf>
    <xf numFmtId="167" fontId="4" fillId="9" borderId="0" xfId="0" applyNumberFormat="1" applyFont="1" applyFill="1" applyAlignment="1">
      <alignment horizontal="center"/>
    </xf>
    <xf numFmtId="49" fontId="29" fillId="2" borderId="0" xfId="0" applyNumberFormat="1" applyFont="1" applyFill="1"/>
    <xf numFmtId="0" fontId="29" fillId="2" borderId="0" xfId="0" applyFont="1" applyFill="1" applyAlignment="1">
      <alignment horizontal="left"/>
    </xf>
    <xf numFmtId="44" fontId="29" fillId="2" borderId="0" xfId="1" applyFont="1" applyFill="1"/>
    <xf numFmtId="0" fontId="29" fillId="2" borderId="0" xfId="0" applyFont="1" applyFill="1" applyAlignment="1">
      <alignment horizontal="center"/>
    </xf>
    <xf numFmtId="167" fontId="4" fillId="2" borderId="0" xfId="0" applyNumberFormat="1" applyFont="1" applyFill="1" applyAlignment="1">
      <alignment horizontal="center"/>
    </xf>
    <xf numFmtId="167" fontId="0" fillId="0" borderId="0" xfId="0" applyNumberFormat="1"/>
    <xf numFmtId="3" fontId="4" fillId="2" borderId="0" xfId="0" applyNumberFormat="1" applyFont="1" applyFill="1" applyAlignment="1">
      <alignment horizontal="left"/>
    </xf>
    <xf numFmtId="167" fontId="4" fillId="2" borderId="0" xfId="0" applyNumberFormat="1" applyFont="1" applyFill="1" applyAlignment="1">
      <alignment horizontal="left"/>
    </xf>
    <xf numFmtId="0" fontId="11" fillId="2" borderId="9" xfId="0" applyFont="1" applyFill="1" applyBorder="1"/>
    <xf numFmtId="3" fontId="8" fillId="2" borderId="10" xfId="0" applyNumberFormat="1" applyFont="1" applyFill="1" applyBorder="1" applyAlignment="1">
      <alignment horizontal="left"/>
    </xf>
    <xf numFmtId="167" fontId="8" fillId="2" borderId="10" xfId="0" applyNumberFormat="1" applyFont="1" applyFill="1" applyBorder="1" applyAlignment="1">
      <alignment horizontal="left"/>
    </xf>
    <xf numFmtId="167" fontId="11" fillId="2" borderId="10" xfId="0" applyNumberFormat="1" applyFont="1" applyFill="1" applyBorder="1" applyAlignment="1">
      <alignment horizontal="center"/>
    </xf>
    <xf numFmtId="1" fontId="11" fillId="2" borderId="10" xfId="0" applyNumberFormat="1" applyFont="1" applyFill="1" applyBorder="1" applyAlignment="1">
      <alignment horizontal="center"/>
    </xf>
    <xf numFmtId="167" fontId="11" fillId="2" borderId="1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167" fontId="8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0" fillId="2" borderId="4" xfId="0" applyFont="1" applyFill="1" applyBorder="1"/>
    <xf numFmtId="0" fontId="4" fillId="9" borderId="0" xfId="0" applyFont="1" applyFill="1" applyAlignment="1">
      <alignment horizontal="left"/>
    </xf>
    <xf numFmtId="167" fontId="4" fillId="9" borderId="0" xfId="0" applyNumberFormat="1" applyFont="1" applyFill="1" applyAlignment="1">
      <alignment horizontal="left"/>
    </xf>
    <xf numFmtId="44" fontId="4" fillId="9" borderId="0" xfId="1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44" fontId="4" fillId="2" borderId="0" xfId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0" fillId="2" borderId="0" xfId="0" applyFill="1"/>
    <xf numFmtId="0" fontId="8" fillId="2" borderId="10" xfId="0" applyFont="1" applyFill="1" applyBorder="1" applyAlignment="1">
      <alignment horizontal="left"/>
    </xf>
    <xf numFmtId="49" fontId="4" fillId="9" borderId="0" xfId="0" applyNumberFormat="1" applyFont="1" applyFill="1"/>
    <xf numFmtId="1" fontId="4" fillId="9" borderId="0" xfId="1" applyNumberFormat="1" applyFont="1" applyFill="1" applyAlignment="1">
      <alignment horizontal="center"/>
    </xf>
    <xf numFmtId="1" fontId="4" fillId="2" borderId="0" xfId="1" applyNumberFormat="1" applyFont="1" applyFill="1" applyAlignment="1">
      <alignment horizontal="center"/>
    </xf>
    <xf numFmtId="49" fontId="28" fillId="2" borderId="0" xfId="0" applyNumberFormat="1" applyFont="1" applyFill="1"/>
    <xf numFmtId="49" fontId="11" fillId="2" borderId="9" xfId="0" applyNumberFormat="1" applyFont="1" applyFill="1" applyBorder="1"/>
    <xf numFmtId="49" fontId="11" fillId="2" borderId="0" xfId="0" applyNumberFormat="1" applyFont="1" applyFill="1"/>
    <xf numFmtId="49" fontId="28" fillId="9" borderId="0" xfId="0" applyNumberFormat="1" applyFont="1" applyFill="1"/>
    <xf numFmtId="1" fontId="29" fillId="9" borderId="0" xfId="1" applyNumberFormat="1" applyFont="1" applyFill="1" applyAlignment="1">
      <alignment horizontal="center"/>
    </xf>
    <xf numFmtId="1" fontId="29" fillId="2" borderId="0" xfId="1" applyNumberFormat="1" applyFont="1" applyFill="1" applyAlignment="1">
      <alignment horizontal="center"/>
    </xf>
    <xf numFmtId="44" fontId="4" fillId="9" borderId="0" xfId="1" applyFont="1" applyFill="1"/>
    <xf numFmtId="0" fontId="11" fillId="2" borderId="10" xfId="0" applyFont="1" applyFill="1" applyBorder="1"/>
    <xf numFmtId="3" fontId="28" fillId="2" borderId="0" xfId="0" applyNumberFormat="1" applyFont="1" applyFill="1"/>
    <xf numFmtId="3" fontId="4" fillId="9" borderId="0" xfId="0" applyNumberFormat="1" applyFont="1" applyFill="1"/>
    <xf numFmtId="0" fontId="11" fillId="2" borderId="6" xfId="0" applyFont="1" applyFill="1" applyBorder="1"/>
    <xf numFmtId="0" fontId="8" fillId="2" borderId="4" xfId="0" applyFont="1" applyFill="1" applyBorder="1"/>
    <xf numFmtId="167" fontId="4" fillId="2" borderId="5" xfId="0" applyNumberFormat="1" applyFont="1" applyFill="1" applyBorder="1"/>
    <xf numFmtId="0" fontId="4" fillId="2" borderId="4" xfId="0" applyFont="1" applyFill="1" applyBorder="1"/>
    <xf numFmtId="3" fontId="4" fillId="9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9" fontId="8" fillId="2" borderId="9" xfId="0" applyNumberFormat="1" applyFont="1" applyFill="1" applyBorder="1"/>
    <xf numFmtId="3" fontId="4" fillId="2" borderId="10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49" fontId="8" fillId="2" borderId="0" xfId="0" applyNumberFormat="1" applyFont="1" applyFill="1"/>
    <xf numFmtId="167" fontId="8" fillId="2" borderId="0" xfId="0" applyNumberFormat="1" applyFont="1" applyFill="1" applyAlignment="1">
      <alignment horizontal="center"/>
    </xf>
    <xf numFmtId="167" fontId="8" fillId="2" borderId="5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9" xfId="0" applyFont="1" applyFill="1" applyBorder="1"/>
    <xf numFmtId="0" fontId="8" fillId="2" borderId="10" xfId="0" applyFont="1" applyFill="1" applyBorder="1"/>
    <xf numFmtId="1" fontId="8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vertical="center"/>
    </xf>
    <xf numFmtId="49" fontId="12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67" fontId="4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7" fontId="4" fillId="2" borderId="5" xfId="0" applyNumberFormat="1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>
      <alignment vertical="center"/>
    </xf>
    <xf numFmtId="0" fontId="4" fillId="2" borderId="4" xfId="0" applyFont="1" applyFill="1" applyBorder="1" applyAlignment="1">
      <alignment vertical="center"/>
    </xf>
    <xf numFmtId="49" fontId="8" fillId="2" borderId="9" xfId="0" applyNumberFormat="1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167" fontId="8" fillId="2" borderId="10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67" fontId="8" fillId="2" borderId="1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7" fontId="8" fillId="2" borderId="0" xfId="0" applyNumberFormat="1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167" fontId="8" fillId="2" borderId="5" xfId="0" applyNumberFormat="1" applyFont="1" applyFill="1" applyBorder="1" applyAlignment="1">
      <alignment horizontal="center" vertical="center"/>
    </xf>
    <xf numFmtId="0" fontId="28" fillId="0" borderId="4" xfId="0" applyFont="1" applyBorder="1"/>
    <xf numFmtId="0" fontId="8" fillId="2" borderId="4" xfId="5" applyFont="1" applyFill="1" applyBorder="1"/>
    <xf numFmtId="49" fontId="8" fillId="2" borderId="0" xfId="5" applyNumberFormat="1" applyFont="1" applyFill="1"/>
    <xf numFmtId="0" fontId="4" fillId="2" borderId="0" xfId="5" applyFont="1" applyFill="1" applyAlignment="1">
      <alignment horizontal="center"/>
    </xf>
    <xf numFmtId="167" fontId="4" fillId="2" borderId="0" xfId="5" applyNumberFormat="1" applyFont="1" applyFill="1" applyAlignment="1">
      <alignment horizontal="center"/>
    </xf>
    <xf numFmtId="1" fontId="4" fillId="2" borderId="0" xfId="5" applyNumberFormat="1" applyFont="1" applyFill="1" applyAlignment="1">
      <alignment horizontal="center"/>
    </xf>
    <xf numFmtId="167" fontId="4" fillId="2" borderId="5" xfId="5" applyNumberFormat="1" applyFont="1" applyFill="1" applyBorder="1" applyAlignment="1">
      <alignment horizontal="center"/>
    </xf>
    <xf numFmtId="0" fontId="4" fillId="2" borderId="4" xfId="5" applyFont="1" applyFill="1" applyBorder="1"/>
    <xf numFmtId="3" fontId="4" fillId="9" borderId="0" xfId="5" applyNumberFormat="1" applyFont="1" applyFill="1" applyAlignment="1">
      <alignment horizontal="center"/>
    </xf>
    <xf numFmtId="167" fontId="4" fillId="9" borderId="0" xfId="5" applyNumberFormat="1" applyFont="1" applyFill="1" applyAlignment="1">
      <alignment horizontal="center"/>
    </xf>
    <xf numFmtId="1" fontId="4" fillId="9" borderId="0" xfId="5" applyNumberFormat="1" applyFont="1" applyFill="1" applyAlignment="1">
      <alignment horizontal="center"/>
    </xf>
    <xf numFmtId="167" fontId="4" fillId="9" borderId="5" xfId="5" applyNumberFormat="1" applyFont="1" applyFill="1" applyBorder="1" applyAlignment="1">
      <alignment horizontal="center"/>
    </xf>
    <xf numFmtId="3" fontId="4" fillId="2" borderId="0" xfId="5" applyNumberFormat="1" applyFont="1" applyFill="1" applyAlignment="1">
      <alignment horizontal="center"/>
    </xf>
    <xf numFmtId="49" fontId="4" fillId="2" borderId="0" xfId="5" applyNumberFormat="1" applyFont="1" applyFill="1"/>
    <xf numFmtId="3" fontId="8" fillId="2" borderId="10" xfId="0" applyNumberFormat="1" applyFont="1" applyFill="1" applyBorder="1"/>
    <xf numFmtId="3" fontId="8" fillId="2" borderId="0" xfId="0" applyNumberFormat="1" applyFont="1" applyFill="1"/>
    <xf numFmtId="167" fontId="4" fillId="2" borderId="0" xfId="5" applyNumberFormat="1" applyFont="1" applyFill="1" applyAlignment="1">
      <alignment horizontal="center" vertical="center"/>
    </xf>
    <xf numFmtId="3" fontId="4" fillId="2" borderId="0" xfId="0" applyNumberFormat="1" applyFont="1" applyFill="1"/>
    <xf numFmtId="0" fontId="8" fillId="11" borderId="7" xfId="0" applyFont="1" applyFill="1" applyBorder="1" applyAlignment="1">
      <alignment horizontal="left"/>
    </xf>
    <xf numFmtId="167" fontId="8" fillId="11" borderId="7" xfId="0" applyNumberFormat="1" applyFont="1" applyFill="1" applyBorder="1" applyAlignment="1">
      <alignment horizontal="center"/>
    </xf>
    <xf numFmtId="1" fontId="8" fillId="11" borderId="7" xfId="0" applyNumberFormat="1" applyFont="1" applyFill="1" applyBorder="1" applyAlignment="1">
      <alignment horizontal="center"/>
    </xf>
    <xf numFmtId="167" fontId="8" fillId="11" borderId="8" xfId="0" applyNumberFormat="1" applyFont="1" applyFill="1" applyBorder="1" applyAlignment="1">
      <alignment horizontal="center"/>
    </xf>
    <xf numFmtId="0" fontId="8" fillId="9" borderId="0" xfId="0" applyFont="1" applyFill="1"/>
    <xf numFmtId="167" fontId="8" fillId="9" borderId="0" xfId="0" applyNumberFormat="1" applyFont="1" applyFill="1" applyAlignment="1">
      <alignment horizontal="center"/>
    </xf>
    <xf numFmtId="167" fontId="8" fillId="9" borderId="3" xfId="0" applyNumberFormat="1" applyFont="1" applyFill="1" applyBorder="1" applyAlignment="1">
      <alignment horizontal="center"/>
    </xf>
    <xf numFmtId="0" fontId="8" fillId="9" borderId="7" xfId="0" applyFont="1" applyFill="1" applyBorder="1"/>
    <xf numFmtId="167" fontId="8" fillId="9" borderId="7" xfId="0" applyNumberFormat="1" applyFont="1" applyFill="1" applyBorder="1" applyAlignment="1">
      <alignment horizontal="center"/>
    </xf>
    <xf numFmtId="167" fontId="8" fillId="9" borderId="8" xfId="0" applyNumberFormat="1" applyFont="1" applyFill="1" applyBorder="1" applyAlignment="1">
      <alignment horizontal="center"/>
    </xf>
    <xf numFmtId="1" fontId="31" fillId="15" borderId="13" xfId="0" applyNumberFormat="1" applyFont="1" applyFill="1" applyBorder="1"/>
    <xf numFmtId="49" fontId="31" fillId="15" borderId="14" xfId="0" applyNumberFormat="1" applyFont="1" applyFill="1" applyBorder="1" applyAlignment="1">
      <alignment horizontal="center"/>
    </xf>
    <xf numFmtId="49" fontId="31" fillId="15" borderId="15" xfId="0" applyNumberFormat="1" applyFont="1" applyFill="1" applyBorder="1" applyAlignment="1">
      <alignment horizontal="center"/>
    </xf>
    <xf numFmtId="49" fontId="31" fillId="15" borderId="16" xfId="0" applyNumberFormat="1" applyFont="1" applyFill="1" applyBorder="1" applyAlignment="1">
      <alignment horizontal="center"/>
    </xf>
    <xf numFmtId="49" fontId="31" fillId="15" borderId="17" xfId="0" applyNumberFormat="1" applyFont="1" applyFill="1" applyBorder="1" applyAlignment="1">
      <alignment horizontal="center"/>
    </xf>
    <xf numFmtId="49" fontId="31" fillId="15" borderId="18" xfId="0" applyNumberFormat="1" applyFont="1" applyFill="1" applyBorder="1" applyAlignment="1">
      <alignment horizontal="center"/>
    </xf>
    <xf numFmtId="1" fontId="32" fillId="5" borderId="19" xfId="0" applyNumberFormat="1" applyFont="1" applyFill="1" applyBorder="1" applyAlignment="1">
      <alignment horizontal="center"/>
    </xf>
    <xf numFmtId="1" fontId="32" fillId="5" borderId="20" xfId="0" applyNumberFormat="1" applyFont="1" applyFill="1" applyBorder="1" applyAlignment="1">
      <alignment horizontal="center"/>
    </xf>
    <xf numFmtId="168" fontId="32" fillId="5" borderId="20" xfId="0" applyNumberFormat="1" applyFont="1" applyFill="1" applyBorder="1" applyAlignment="1">
      <alignment horizontal="center"/>
    </xf>
    <xf numFmtId="168" fontId="32" fillId="5" borderId="21" xfId="0" applyNumberFormat="1" applyFont="1" applyFill="1" applyBorder="1" applyAlignment="1">
      <alignment horizontal="center"/>
    </xf>
    <xf numFmtId="168" fontId="32" fillId="16" borderId="14" xfId="0" applyNumberFormat="1" applyFont="1" applyFill="1" applyBorder="1" applyAlignment="1">
      <alignment horizontal="center"/>
    </xf>
    <xf numFmtId="1" fontId="32" fillId="16" borderId="14" xfId="0" applyNumberFormat="1" applyFont="1" applyFill="1" applyBorder="1" applyAlignment="1">
      <alignment horizontal="center"/>
    </xf>
    <xf numFmtId="168" fontId="32" fillId="16" borderId="15" xfId="0" applyNumberFormat="1" applyFont="1" applyFill="1" applyBorder="1" applyAlignment="1">
      <alignment horizontal="center"/>
    </xf>
    <xf numFmtId="49" fontId="32" fillId="5" borderId="19" xfId="0" applyNumberFormat="1" applyFont="1" applyFill="1" applyBorder="1" applyAlignment="1">
      <alignment horizontal="left"/>
    </xf>
    <xf numFmtId="1" fontId="32" fillId="5" borderId="20" xfId="0" applyNumberFormat="1" applyFont="1" applyFill="1" applyBorder="1" applyAlignment="1">
      <alignment horizontal="left"/>
    </xf>
    <xf numFmtId="49" fontId="33" fillId="5" borderId="25" xfId="0" applyNumberFormat="1" applyFont="1" applyFill="1" applyBorder="1"/>
    <xf numFmtId="1" fontId="32" fillId="5" borderId="0" xfId="0" applyNumberFormat="1" applyFont="1" applyFill="1"/>
    <xf numFmtId="1" fontId="34" fillId="5" borderId="0" xfId="0" applyNumberFormat="1" applyFont="1" applyFill="1"/>
    <xf numFmtId="168" fontId="34" fillId="5" borderId="0" xfId="0" applyNumberFormat="1" applyFont="1" applyFill="1" applyAlignment="1">
      <alignment horizontal="center"/>
    </xf>
    <xf numFmtId="1" fontId="34" fillId="5" borderId="0" xfId="0" applyNumberFormat="1" applyFont="1" applyFill="1" applyAlignment="1">
      <alignment horizontal="center"/>
    </xf>
    <xf numFmtId="168" fontId="34" fillId="5" borderId="26" xfId="0" applyNumberFormat="1" applyFont="1" applyFill="1" applyBorder="1" applyAlignment="1">
      <alignment horizontal="center"/>
    </xf>
    <xf numFmtId="1" fontId="32" fillId="5" borderId="25" xfId="0" applyNumberFormat="1" applyFont="1" applyFill="1" applyBorder="1"/>
    <xf numFmtId="0" fontId="34" fillId="17" borderId="0" xfId="0" applyFont="1" applyFill="1" applyAlignment="1">
      <alignment horizontal="center"/>
    </xf>
    <xf numFmtId="49" fontId="34" fillId="17" borderId="0" xfId="0" applyNumberFormat="1" applyFont="1" applyFill="1"/>
    <xf numFmtId="49" fontId="34" fillId="17" borderId="0" xfId="0" applyNumberFormat="1" applyFont="1" applyFill="1" applyAlignment="1">
      <alignment horizontal="center"/>
    </xf>
    <xf numFmtId="168" fontId="34" fillId="17" borderId="0" xfId="0" applyNumberFormat="1" applyFont="1" applyFill="1" applyAlignment="1">
      <alignment horizontal="center"/>
    </xf>
    <xf numFmtId="1" fontId="34" fillId="17" borderId="0" xfId="0" applyNumberFormat="1" applyFont="1" applyFill="1" applyAlignment="1">
      <alignment horizontal="center"/>
    </xf>
    <xf numFmtId="1" fontId="34" fillId="5" borderId="14" xfId="0" applyNumberFormat="1" applyFont="1" applyFill="1" applyBorder="1" applyAlignment="1">
      <alignment horizontal="center"/>
    </xf>
    <xf numFmtId="1" fontId="34" fillId="5" borderId="14" xfId="0" applyNumberFormat="1" applyFont="1" applyFill="1" applyBorder="1"/>
    <xf numFmtId="168" fontId="34" fillId="5" borderId="14" xfId="0" applyNumberFormat="1" applyFont="1" applyFill="1" applyBorder="1" applyAlignment="1">
      <alignment horizontal="center"/>
    </xf>
    <xf numFmtId="1" fontId="34" fillId="5" borderId="27" xfId="0" applyNumberFormat="1" applyFont="1" applyFill="1" applyBorder="1"/>
    <xf numFmtId="49" fontId="32" fillId="5" borderId="16" xfId="0" applyNumberFormat="1" applyFont="1" applyFill="1" applyBorder="1"/>
    <xf numFmtId="1" fontId="32" fillId="5" borderId="17" xfId="0" applyNumberFormat="1" applyFont="1" applyFill="1" applyBorder="1"/>
    <xf numFmtId="168" fontId="32" fillId="5" borderId="17" xfId="0" applyNumberFormat="1" applyFont="1" applyFill="1" applyBorder="1" applyAlignment="1">
      <alignment horizontal="center"/>
    </xf>
    <xf numFmtId="1" fontId="32" fillId="5" borderId="17" xfId="0" applyNumberFormat="1" applyFont="1" applyFill="1" applyBorder="1" applyAlignment="1">
      <alignment horizontal="center"/>
    </xf>
    <xf numFmtId="1" fontId="34" fillId="5" borderId="25" xfId="0" applyNumberFormat="1" applyFont="1" applyFill="1" applyBorder="1"/>
    <xf numFmtId="1" fontId="32" fillId="5" borderId="20" xfId="0" applyNumberFormat="1" applyFont="1" applyFill="1" applyBorder="1"/>
    <xf numFmtId="2" fontId="34" fillId="5" borderId="14" xfId="0" applyNumberFormat="1" applyFont="1" applyFill="1" applyBorder="1" applyAlignment="1">
      <alignment horizontal="center"/>
    </xf>
    <xf numFmtId="49" fontId="32" fillId="5" borderId="25" xfId="0" applyNumberFormat="1" applyFont="1" applyFill="1" applyBorder="1" applyAlignment="1">
      <alignment horizontal="left"/>
    </xf>
    <xf numFmtId="49" fontId="32" fillId="5" borderId="0" xfId="0" applyNumberFormat="1" applyFont="1" applyFill="1"/>
    <xf numFmtId="168" fontId="32" fillId="5" borderId="0" xfId="0" applyNumberFormat="1" applyFont="1" applyFill="1" applyAlignment="1">
      <alignment horizontal="center"/>
    </xf>
    <xf numFmtId="1" fontId="32" fillId="5" borderId="0" xfId="0" applyNumberFormat="1" applyFont="1" applyFill="1" applyAlignment="1">
      <alignment horizontal="center"/>
    </xf>
    <xf numFmtId="49" fontId="32" fillId="5" borderId="19" xfId="0" applyNumberFormat="1" applyFont="1" applyFill="1" applyBorder="1"/>
    <xf numFmtId="1" fontId="34" fillId="5" borderId="20" xfId="0" applyNumberFormat="1" applyFont="1" applyFill="1" applyBorder="1"/>
    <xf numFmtId="168" fontId="34" fillId="5" borderId="20" xfId="0" applyNumberFormat="1" applyFont="1" applyFill="1" applyBorder="1" applyAlignment="1">
      <alignment horizontal="center"/>
    </xf>
    <xf numFmtId="1" fontId="34" fillId="5" borderId="20" xfId="0" applyNumberFormat="1" applyFont="1" applyFill="1" applyBorder="1" applyAlignment="1">
      <alignment horizontal="center"/>
    </xf>
    <xf numFmtId="1" fontId="35" fillId="5" borderId="25" xfId="0" applyNumberFormat="1" applyFont="1" applyFill="1" applyBorder="1"/>
    <xf numFmtId="49" fontId="34" fillId="17" borderId="0" xfId="0" applyNumberFormat="1" applyFont="1" applyFill="1" applyAlignment="1">
      <alignment horizontal="left"/>
    </xf>
    <xf numFmtId="3" fontId="34" fillId="5" borderId="14" xfId="0" applyNumberFormat="1" applyFont="1" applyFill="1" applyBorder="1" applyAlignment="1">
      <alignment horizontal="center"/>
    </xf>
    <xf numFmtId="49" fontId="32" fillId="5" borderId="25" xfId="0" applyNumberFormat="1" applyFont="1" applyFill="1" applyBorder="1"/>
    <xf numFmtId="49" fontId="34" fillId="5" borderId="0" xfId="0" applyNumberFormat="1" applyFont="1" applyFill="1" applyAlignment="1">
      <alignment horizontal="center"/>
    </xf>
    <xf numFmtId="49" fontId="34" fillId="5" borderId="0" xfId="0" applyNumberFormat="1" applyFont="1" applyFill="1"/>
    <xf numFmtId="1" fontId="34" fillId="17" borderId="14" xfId="0" applyNumberFormat="1" applyFont="1" applyFill="1" applyBorder="1" applyAlignment="1">
      <alignment horizontal="center"/>
    </xf>
    <xf numFmtId="1" fontId="34" fillId="17" borderId="14" xfId="0" applyNumberFormat="1" applyFont="1" applyFill="1" applyBorder="1"/>
    <xf numFmtId="168" fontId="34" fillId="17" borderId="14" xfId="0" applyNumberFormat="1" applyFont="1" applyFill="1" applyBorder="1" applyAlignment="1">
      <alignment horizontal="center"/>
    </xf>
    <xf numFmtId="49" fontId="34" fillId="5" borderId="25" xfId="0" applyNumberFormat="1" applyFont="1" applyFill="1" applyBorder="1"/>
    <xf numFmtId="0" fontId="34" fillId="5" borderId="0" xfId="0" applyFont="1" applyFill="1" applyAlignment="1">
      <alignment horizontal="center"/>
    </xf>
    <xf numFmtId="1" fontId="36" fillId="5" borderId="25" xfId="0" applyNumberFormat="1" applyFont="1" applyFill="1" applyBorder="1"/>
    <xf numFmtId="1" fontId="32" fillId="5" borderId="27" xfId="0" applyNumberFormat="1" applyFont="1" applyFill="1" applyBorder="1"/>
    <xf numFmtId="2" fontId="34" fillId="17" borderId="0" xfId="0" applyNumberFormat="1" applyFont="1" applyFill="1" applyAlignment="1">
      <alignment horizontal="center"/>
    </xf>
    <xf numFmtId="2" fontId="34" fillId="5" borderId="0" xfId="0" applyNumberFormat="1" applyFont="1" applyFill="1" applyAlignment="1">
      <alignment horizontal="center"/>
    </xf>
    <xf numFmtId="2" fontId="34" fillId="17" borderId="14" xfId="0" applyNumberFormat="1" applyFont="1" applyFill="1" applyBorder="1" applyAlignment="1">
      <alignment horizontal="center"/>
    </xf>
    <xf numFmtId="2" fontId="34" fillId="5" borderId="17" xfId="0" applyNumberFormat="1" applyFont="1" applyFill="1" applyBorder="1" applyAlignment="1">
      <alignment horizontal="center"/>
    </xf>
    <xf numFmtId="1" fontId="34" fillId="5" borderId="17" xfId="0" applyNumberFormat="1" applyFont="1" applyFill="1" applyBorder="1"/>
    <xf numFmtId="168" fontId="34" fillId="5" borderId="17" xfId="0" applyNumberFormat="1" applyFont="1" applyFill="1" applyBorder="1" applyAlignment="1">
      <alignment horizontal="center"/>
    </xf>
    <xf numFmtId="1" fontId="34" fillId="5" borderId="17" xfId="0" applyNumberFormat="1" applyFont="1" applyFill="1" applyBorder="1" applyAlignment="1">
      <alignment horizontal="center"/>
    </xf>
    <xf numFmtId="1" fontId="32" fillId="5" borderId="28" xfId="0" applyNumberFormat="1" applyFont="1" applyFill="1" applyBorder="1"/>
    <xf numFmtId="1" fontId="32" fillId="5" borderId="19" xfId="0" applyNumberFormat="1" applyFont="1" applyFill="1" applyBorder="1"/>
    <xf numFmtId="49" fontId="32" fillId="17" borderId="20" xfId="0" applyNumberFormat="1" applyFont="1" applyFill="1" applyBorder="1"/>
    <xf numFmtId="1" fontId="32" fillId="17" borderId="20" xfId="0" applyNumberFormat="1" applyFont="1" applyFill="1" applyBorder="1"/>
    <xf numFmtId="168" fontId="32" fillId="17" borderId="20" xfId="0" applyNumberFormat="1" applyFont="1" applyFill="1" applyBorder="1" applyAlignment="1">
      <alignment horizontal="center"/>
    </xf>
    <xf numFmtId="1" fontId="32" fillId="5" borderId="13" xfId="0" applyNumberFormat="1" applyFont="1" applyFill="1" applyBorder="1"/>
    <xf numFmtId="49" fontId="32" fillId="17" borderId="14" xfId="0" applyNumberFormat="1" applyFont="1" applyFill="1" applyBorder="1"/>
    <xf numFmtId="1" fontId="32" fillId="17" borderId="14" xfId="0" applyNumberFormat="1" applyFont="1" applyFill="1" applyBorder="1"/>
    <xf numFmtId="168" fontId="32" fillId="17" borderId="14" xfId="0" applyNumberFormat="1" applyFont="1" applyFill="1" applyBorder="1" applyAlignment="1">
      <alignment horizontal="center"/>
    </xf>
    <xf numFmtId="44" fontId="34" fillId="5" borderId="0" xfId="0" applyNumberFormat="1" applyFont="1" applyFill="1" applyAlignment="1">
      <alignment horizontal="center"/>
    </xf>
    <xf numFmtId="167" fontId="34" fillId="17" borderId="0" xfId="0" applyNumberFormat="1" applyFont="1" applyFill="1" applyAlignment="1">
      <alignment horizontal="center"/>
    </xf>
    <xf numFmtId="167" fontId="34" fillId="17" borderId="26" xfId="0" applyNumberFormat="1" applyFont="1" applyFill="1" applyBorder="1" applyAlignment="1">
      <alignment horizontal="center"/>
    </xf>
    <xf numFmtId="167" fontId="34" fillId="5" borderId="14" xfId="0" applyNumberFormat="1" applyFont="1" applyFill="1" applyBorder="1" applyAlignment="1">
      <alignment horizontal="center"/>
    </xf>
    <xf numFmtId="167" fontId="34" fillId="5" borderId="15" xfId="0" applyNumberFormat="1" applyFont="1" applyFill="1" applyBorder="1" applyAlignment="1">
      <alignment horizontal="center"/>
    </xf>
    <xf numFmtId="167" fontId="32" fillId="5" borderId="17" xfId="0" applyNumberFormat="1" applyFont="1" applyFill="1" applyBorder="1" applyAlignment="1">
      <alignment horizontal="center"/>
    </xf>
    <xf numFmtId="167" fontId="32" fillId="5" borderId="18" xfId="0" applyNumberFormat="1" applyFont="1" applyFill="1" applyBorder="1" applyAlignment="1">
      <alignment horizontal="center"/>
    </xf>
    <xf numFmtId="167" fontId="32" fillId="5" borderId="20" xfId="0" applyNumberFormat="1" applyFont="1" applyFill="1" applyBorder="1" applyAlignment="1">
      <alignment horizontal="center"/>
    </xf>
    <xf numFmtId="167" fontId="32" fillId="5" borderId="21" xfId="0" applyNumberFormat="1" applyFont="1" applyFill="1" applyBorder="1" applyAlignment="1">
      <alignment horizontal="center"/>
    </xf>
    <xf numFmtId="167" fontId="34" fillId="5" borderId="0" xfId="0" applyNumberFormat="1" applyFont="1" applyFill="1" applyAlignment="1">
      <alignment horizontal="center"/>
    </xf>
    <xf numFmtId="167" fontId="34" fillId="5" borderId="26" xfId="0" applyNumberFormat="1" applyFont="1" applyFill="1" applyBorder="1" applyAlignment="1">
      <alignment horizontal="center"/>
    </xf>
    <xf numFmtId="167" fontId="32" fillId="5" borderId="0" xfId="0" applyNumberFormat="1" applyFont="1" applyFill="1" applyAlignment="1">
      <alignment horizontal="center"/>
    </xf>
    <xf numFmtId="167" fontId="32" fillId="5" borderId="26" xfId="0" applyNumberFormat="1" applyFont="1" applyFill="1" applyBorder="1" applyAlignment="1">
      <alignment horizontal="center"/>
    </xf>
    <xf numFmtId="167" fontId="32" fillId="16" borderId="14" xfId="0" applyNumberFormat="1" applyFont="1" applyFill="1" applyBorder="1" applyAlignment="1">
      <alignment horizontal="center"/>
    </xf>
    <xf numFmtId="167" fontId="32" fillId="16" borderId="15" xfId="0" applyNumberFormat="1" applyFont="1" applyFill="1" applyBorder="1" applyAlignment="1">
      <alignment horizontal="center"/>
    </xf>
    <xf numFmtId="167" fontId="34" fillId="5" borderId="20" xfId="0" applyNumberFormat="1" applyFont="1" applyFill="1" applyBorder="1" applyAlignment="1">
      <alignment horizontal="center"/>
    </xf>
    <xf numFmtId="167" fontId="34" fillId="5" borderId="21" xfId="0" applyNumberFormat="1" applyFont="1" applyFill="1" applyBorder="1" applyAlignment="1">
      <alignment horizontal="center"/>
    </xf>
    <xf numFmtId="167" fontId="34" fillId="17" borderId="14" xfId="0" applyNumberFormat="1" applyFont="1" applyFill="1" applyBorder="1" applyAlignment="1">
      <alignment horizontal="center"/>
    </xf>
    <xf numFmtId="167" fontId="34" fillId="17" borderId="15" xfId="0" applyNumberFormat="1" applyFont="1" applyFill="1" applyBorder="1" applyAlignment="1">
      <alignment horizontal="center"/>
    </xf>
    <xf numFmtId="167" fontId="34" fillId="5" borderId="17" xfId="0" applyNumberFormat="1" applyFont="1" applyFill="1" applyBorder="1" applyAlignment="1">
      <alignment horizontal="center"/>
    </xf>
    <xf numFmtId="167" fontId="34" fillId="5" borderId="18" xfId="0" applyNumberFormat="1" applyFont="1" applyFill="1" applyBorder="1" applyAlignment="1">
      <alignment horizontal="center"/>
    </xf>
    <xf numFmtId="167" fontId="32" fillId="17" borderId="20" xfId="0" applyNumberFormat="1" applyFont="1" applyFill="1" applyBorder="1" applyAlignment="1">
      <alignment horizontal="center"/>
    </xf>
    <xf numFmtId="167" fontId="32" fillId="17" borderId="21" xfId="0" applyNumberFormat="1" applyFont="1" applyFill="1" applyBorder="1" applyAlignment="1">
      <alignment horizontal="center"/>
    </xf>
    <xf numFmtId="167" fontId="32" fillId="17" borderId="14" xfId="0" applyNumberFormat="1" applyFont="1" applyFill="1" applyBorder="1" applyAlignment="1">
      <alignment horizontal="center"/>
    </xf>
    <xf numFmtId="167" fontId="32" fillId="17" borderId="15" xfId="0" applyNumberFormat="1" applyFont="1" applyFill="1" applyBorder="1" applyAlignment="1">
      <alignment horizontal="center"/>
    </xf>
    <xf numFmtId="167" fontId="34" fillId="18" borderId="0" xfId="0" applyNumberFormat="1" applyFont="1" applyFill="1" applyAlignment="1">
      <alignment horizontal="center"/>
    </xf>
    <xf numFmtId="1" fontId="32" fillId="17" borderId="20" xfId="0" applyNumberFormat="1" applyFont="1" applyFill="1" applyBorder="1" applyAlignment="1">
      <alignment horizontal="center"/>
    </xf>
    <xf numFmtId="1" fontId="32" fillId="17" borderId="14" xfId="0" applyNumberFormat="1" applyFont="1" applyFill="1" applyBorder="1" applyAlignment="1">
      <alignment horizontal="center"/>
    </xf>
    <xf numFmtId="49" fontId="26" fillId="3" borderId="6" xfId="4" applyNumberFormat="1" applyFont="1" applyFill="1" applyBorder="1"/>
    <xf numFmtId="49" fontId="26" fillId="3" borderId="7" xfId="4" applyNumberFormat="1" applyFont="1" applyFill="1" applyBorder="1" applyAlignment="1">
      <alignment horizontal="center"/>
    </xf>
    <xf numFmtId="49" fontId="26" fillId="3" borderId="8" xfId="4" applyNumberFormat="1" applyFont="1" applyFill="1" applyBorder="1" applyAlignment="1">
      <alignment horizontal="center"/>
    </xf>
    <xf numFmtId="49" fontId="26" fillId="4" borderId="9" xfId="4" applyNumberFormat="1" applyFont="1" applyFill="1" applyBorder="1" applyAlignment="1">
      <alignment horizontal="center"/>
    </xf>
    <xf numFmtId="49" fontId="26" fillId="3" borderId="10" xfId="4" applyNumberFormat="1" applyFont="1" applyFill="1" applyBorder="1" applyAlignment="1">
      <alignment horizontal="center"/>
    </xf>
    <xf numFmtId="1" fontId="26" fillId="3" borderId="10" xfId="4" applyNumberFormat="1" applyFont="1" applyFill="1" applyBorder="1" applyAlignment="1">
      <alignment horizontal="center"/>
    </xf>
    <xf numFmtId="167" fontId="26" fillId="3" borderId="10" xfId="4" applyNumberFormat="1" applyFont="1" applyFill="1" applyBorder="1" applyAlignment="1">
      <alignment horizontal="center"/>
    </xf>
    <xf numFmtId="167" fontId="26" fillId="4" borderId="11" xfId="4" applyNumberFormat="1" applyFont="1" applyFill="1" applyBorder="1" applyAlignment="1">
      <alignment horizontal="center"/>
    </xf>
    <xf numFmtId="0" fontId="11" fillId="5" borderId="4" xfId="4" applyFont="1" applyFill="1" applyBorder="1" applyAlignment="1">
      <alignment horizontal="center"/>
    </xf>
    <xf numFmtId="0" fontId="11" fillId="5" borderId="0" xfId="4" applyFont="1" applyFill="1" applyAlignment="1">
      <alignment horizontal="center"/>
    </xf>
    <xf numFmtId="0" fontId="11" fillId="7" borderId="0" xfId="4" applyFont="1" applyFill="1" applyAlignment="1">
      <alignment horizontal="center"/>
    </xf>
    <xf numFmtId="167" fontId="11" fillId="2" borderId="2" xfId="4" applyNumberFormat="1" applyFont="1" applyFill="1" applyBorder="1" applyAlignment="1">
      <alignment horizontal="center"/>
    </xf>
    <xf numFmtId="167" fontId="11" fillId="7" borderId="2" xfId="4" applyNumberFormat="1" applyFont="1" applyFill="1" applyBorder="1" applyAlignment="1">
      <alignment horizontal="center"/>
    </xf>
    <xf numFmtId="1" fontId="11" fillId="7" borderId="2" xfId="4" applyNumberFormat="1" applyFont="1" applyFill="1" applyBorder="1" applyAlignment="1">
      <alignment horizontal="center"/>
    </xf>
    <xf numFmtId="167" fontId="11" fillId="2" borderId="3" xfId="4" applyNumberFormat="1" applyFont="1" applyFill="1" applyBorder="1" applyAlignment="1">
      <alignment horizontal="center"/>
    </xf>
    <xf numFmtId="167" fontId="11" fillId="11" borderId="7" xfId="4" applyNumberFormat="1" applyFont="1" applyFill="1" applyBorder="1" applyAlignment="1">
      <alignment horizontal="center"/>
    </xf>
    <xf numFmtId="1" fontId="11" fillId="11" borderId="7" xfId="4" applyNumberFormat="1" applyFont="1" applyFill="1" applyBorder="1" applyAlignment="1">
      <alignment horizontal="center"/>
    </xf>
    <xf numFmtId="167" fontId="11" fillId="11" borderId="8" xfId="4" applyNumberFormat="1" applyFont="1" applyFill="1" applyBorder="1" applyAlignment="1">
      <alignment horizontal="center"/>
    </xf>
    <xf numFmtId="0" fontId="11" fillId="2" borderId="4" xfId="4" applyFont="1" applyFill="1" applyBorder="1"/>
    <xf numFmtId="0" fontId="11" fillId="2" borderId="0" xfId="4" applyFont="1" applyFill="1"/>
    <xf numFmtId="0" fontId="2" fillId="2" borderId="0" xfId="4" applyFont="1" applyFill="1"/>
    <xf numFmtId="0" fontId="2" fillId="2" borderId="3" xfId="4" applyFont="1" applyFill="1" applyBorder="1"/>
    <xf numFmtId="167" fontId="11" fillId="2" borderId="0" xfId="4" applyNumberFormat="1" applyFont="1" applyFill="1" applyAlignment="1">
      <alignment horizontal="center"/>
    </xf>
    <xf numFmtId="1" fontId="11" fillId="2" borderId="0" xfId="4" applyNumberFormat="1" applyFont="1" applyFill="1" applyAlignment="1">
      <alignment horizontal="center"/>
    </xf>
    <xf numFmtId="167" fontId="11" fillId="2" borderId="5" xfId="4" applyNumberFormat="1" applyFont="1" applyFill="1" applyBorder="1" applyAlignment="1">
      <alignment horizontal="center"/>
    </xf>
    <xf numFmtId="167" fontId="11" fillId="6" borderId="7" xfId="4" applyNumberFormat="1" applyFont="1" applyFill="1" applyBorder="1" applyAlignment="1">
      <alignment horizontal="center"/>
    </xf>
    <xf numFmtId="1" fontId="11" fillId="6" borderId="7" xfId="4" applyNumberFormat="1" applyFont="1" applyFill="1" applyBorder="1" applyAlignment="1">
      <alignment horizontal="center"/>
    </xf>
    <xf numFmtId="0" fontId="28" fillId="2" borderId="4" xfId="4" applyFont="1" applyFill="1" applyBorder="1"/>
    <xf numFmtId="0" fontId="28" fillId="2" borderId="0" xfId="4" applyFont="1" applyFill="1"/>
    <xf numFmtId="167" fontId="28" fillId="2" borderId="0" xfId="4" applyNumberFormat="1" applyFont="1" applyFill="1" applyAlignment="1">
      <alignment horizontal="center"/>
    </xf>
    <xf numFmtId="1" fontId="28" fillId="2" borderId="0" xfId="4" applyNumberFormat="1" applyFont="1" applyFill="1" applyAlignment="1">
      <alignment horizontal="center"/>
    </xf>
    <xf numFmtId="167" fontId="28" fillId="2" borderId="5" xfId="4" applyNumberFormat="1" applyFont="1" applyFill="1" applyBorder="1" applyAlignment="1">
      <alignment horizontal="center"/>
    </xf>
    <xf numFmtId="0" fontId="2" fillId="0" borderId="0" xfId="4" applyFont="1"/>
    <xf numFmtId="49" fontId="28" fillId="9" borderId="0" xfId="4" applyNumberFormat="1" applyFont="1" applyFill="1"/>
    <xf numFmtId="3" fontId="28" fillId="9" borderId="0" xfId="4" applyNumberFormat="1" applyFont="1" applyFill="1"/>
    <xf numFmtId="167" fontId="28" fillId="9" borderId="0" xfId="4" applyNumberFormat="1" applyFont="1" applyFill="1" applyAlignment="1">
      <alignment horizontal="center"/>
    </xf>
    <xf numFmtId="1" fontId="28" fillId="9" borderId="0" xfId="4" applyNumberFormat="1" applyFont="1" applyFill="1" applyAlignment="1">
      <alignment horizontal="center"/>
    </xf>
    <xf numFmtId="167" fontId="28" fillId="9" borderId="5" xfId="4" applyNumberFormat="1" applyFont="1" applyFill="1" applyBorder="1" applyAlignment="1">
      <alignment horizontal="center"/>
    </xf>
    <xf numFmtId="49" fontId="28" fillId="2" borderId="0" xfId="4" applyNumberFormat="1" applyFont="1" applyFill="1"/>
    <xf numFmtId="0" fontId="28" fillId="9" borderId="0" xfId="4" applyFont="1" applyFill="1"/>
    <xf numFmtId="0" fontId="11" fillId="2" borderId="9" xfId="4" applyFont="1" applyFill="1" applyBorder="1"/>
    <xf numFmtId="0" fontId="11" fillId="2" borderId="10" xfId="4" applyFont="1" applyFill="1" applyBorder="1"/>
    <xf numFmtId="167" fontId="11" fillId="2" borderId="10" xfId="4" applyNumberFormat="1" applyFont="1" applyFill="1" applyBorder="1" applyAlignment="1">
      <alignment horizontal="center"/>
    </xf>
    <xf numFmtId="1" fontId="11" fillId="2" borderId="10" xfId="4" applyNumberFormat="1" applyFont="1" applyFill="1" applyBorder="1" applyAlignment="1">
      <alignment horizontal="center"/>
    </xf>
    <xf numFmtId="167" fontId="11" fillId="2" borderId="11" xfId="4" applyNumberFormat="1" applyFont="1" applyFill="1" applyBorder="1" applyAlignment="1">
      <alignment horizontal="center"/>
    </xf>
    <xf numFmtId="167" fontId="28" fillId="2" borderId="8" xfId="4" applyNumberFormat="1" applyFont="1" applyFill="1" applyBorder="1" applyAlignment="1">
      <alignment horizontal="center"/>
    </xf>
    <xf numFmtId="3" fontId="28" fillId="2" borderId="0" xfId="4" applyNumberFormat="1" applyFont="1" applyFill="1"/>
    <xf numFmtId="167" fontId="28" fillId="0" borderId="0" xfId="4" applyNumberFormat="1" applyFont="1" applyAlignment="1">
      <alignment horizontal="center"/>
    </xf>
    <xf numFmtId="0" fontId="11" fillId="9" borderId="0" xfId="4" applyFont="1" applyFill="1"/>
    <xf numFmtId="167" fontId="11" fillId="9" borderId="0" xfId="4" applyNumberFormat="1" applyFont="1" applyFill="1" applyAlignment="1">
      <alignment horizontal="center"/>
    </xf>
    <xf numFmtId="167" fontId="11" fillId="9" borderId="3" xfId="4" applyNumberFormat="1" applyFont="1" applyFill="1" applyBorder="1" applyAlignment="1">
      <alignment horizontal="center"/>
    </xf>
    <xf numFmtId="0" fontId="11" fillId="2" borderId="6" xfId="4" applyFont="1" applyFill="1" applyBorder="1"/>
    <xf numFmtId="0" fontId="11" fillId="9" borderId="7" xfId="4" applyFont="1" applyFill="1" applyBorder="1"/>
    <xf numFmtId="167" fontId="11" fillId="9" borderId="7" xfId="4" applyNumberFormat="1" applyFont="1" applyFill="1" applyBorder="1" applyAlignment="1">
      <alignment horizontal="center"/>
    </xf>
    <xf numFmtId="167" fontId="11" fillId="9" borderId="8" xfId="4" applyNumberFormat="1" applyFont="1" applyFill="1" applyBorder="1" applyAlignment="1">
      <alignment horizontal="center"/>
    </xf>
    <xf numFmtId="49" fontId="39" fillId="3" borderId="6" xfId="8" applyNumberFormat="1" applyFont="1" applyFill="1" applyBorder="1"/>
    <xf numFmtId="49" fontId="39" fillId="3" borderId="7" xfId="8" applyNumberFormat="1" applyFont="1" applyFill="1" applyBorder="1" applyAlignment="1">
      <alignment horizontal="center"/>
    </xf>
    <xf numFmtId="49" fontId="39" fillId="3" borderId="8" xfId="8" applyNumberFormat="1" applyFont="1" applyFill="1" applyBorder="1" applyAlignment="1">
      <alignment horizontal="center"/>
    </xf>
    <xf numFmtId="49" fontId="39" fillId="3" borderId="10" xfId="8" applyNumberFormat="1" applyFont="1" applyFill="1" applyBorder="1" applyAlignment="1">
      <alignment horizontal="center"/>
    </xf>
    <xf numFmtId="1" fontId="39" fillId="3" borderId="10" xfId="8" applyNumberFormat="1" applyFont="1" applyFill="1" applyBorder="1" applyAlignment="1">
      <alignment horizontal="center"/>
    </xf>
    <xf numFmtId="167" fontId="39" fillId="3" borderId="10" xfId="8" applyNumberFormat="1" applyFont="1" applyFill="1" applyBorder="1" applyAlignment="1">
      <alignment horizontal="center"/>
    </xf>
    <xf numFmtId="167" fontId="39" fillId="3" borderId="11" xfId="8" applyNumberFormat="1" applyFont="1" applyFill="1" applyBorder="1" applyAlignment="1">
      <alignment horizontal="center"/>
    </xf>
    <xf numFmtId="0" fontId="8" fillId="5" borderId="4" xfId="8" applyFont="1" applyFill="1" applyBorder="1" applyAlignment="1">
      <alignment horizontal="center"/>
    </xf>
    <xf numFmtId="0" fontId="8" fillId="5" borderId="0" xfId="8" applyFont="1" applyFill="1" applyAlignment="1">
      <alignment horizontal="center"/>
    </xf>
    <xf numFmtId="167" fontId="8" fillId="5" borderId="0" xfId="8" applyNumberFormat="1" applyFont="1" applyFill="1" applyAlignment="1">
      <alignment horizontal="center"/>
    </xf>
    <xf numFmtId="1" fontId="8" fillId="5" borderId="0" xfId="8" applyNumberFormat="1" applyFont="1" applyFill="1" applyAlignment="1">
      <alignment horizontal="center"/>
    </xf>
    <xf numFmtId="167" fontId="8" fillId="5" borderId="5" xfId="8" applyNumberFormat="1" applyFont="1" applyFill="1" applyBorder="1" applyAlignment="1">
      <alignment horizontal="center"/>
    </xf>
    <xf numFmtId="167" fontId="8" fillId="6" borderId="7" xfId="8" applyNumberFormat="1" applyFont="1" applyFill="1" applyBorder="1" applyAlignment="1">
      <alignment horizontal="center"/>
    </xf>
    <xf numFmtId="1" fontId="8" fillId="6" borderId="7" xfId="8" applyNumberFormat="1" applyFont="1" applyFill="1" applyBorder="1" applyAlignment="1">
      <alignment horizontal="center"/>
    </xf>
    <xf numFmtId="167" fontId="8" fillId="6" borderId="8" xfId="8" applyNumberFormat="1" applyFont="1" applyFill="1" applyBorder="1" applyAlignment="1">
      <alignment horizontal="center"/>
    </xf>
    <xf numFmtId="0" fontId="8" fillId="5" borderId="4" xfId="8" applyFont="1" applyFill="1" applyBorder="1"/>
    <xf numFmtId="0" fontId="8" fillId="5" borderId="0" xfId="8" applyFont="1" applyFill="1"/>
    <xf numFmtId="0" fontId="40" fillId="5" borderId="4" xfId="8" applyFont="1" applyFill="1" applyBorder="1"/>
    <xf numFmtId="0" fontId="40" fillId="5" borderId="0" xfId="8" applyFont="1" applyFill="1"/>
    <xf numFmtId="167" fontId="40" fillId="5" borderId="0" xfId="8" applyNumberFormat="1" applyFont="1" applyFill="1" applyAlignment="1">
      <alignment horizontal="center"/>
    </xf>
    <xf numFmtId="1" fontId="40" fillId="5" borderId="0" xfId="8" applyNumberFormat="1" applyFont="1" applyFill="1" applyAlignment="1">
      <alignment horizontal="center"/>
    </xf>
    <xf numFmtId="167" fontId="40" fillId="5" borderId="5" xfId="8" applyNumberFormat="1" applyFont="1" applyFill="1" applyBorder="1" applyAlignment="1">
      <alignment horizontal="center"/>
    </xf>
    <xf numFmtId="0" fontId="11" fillId="0" borderId="0" xfId="8" applyFont="1" applyFill="1"/>
    <xf numFmtId="0" fontId="28" fillId="0" borderId="0" xfId="8" applyFont="1" applyFill="1"/>
    <xf numFmtId="167" fontId="28" fillId="0" borderId="0" xfId="8" applyNumberFormat="1" applyFont="1" applyFill="1" applyAlignment="1">
      <alignment horizontal="center"/>
    </xf>
    <xf numFmtId="1" fontId="28" fillId="0" borderId="0" xfId="8" applyNumberFormat="1" applyFont="1" applyFill="1" applyAlignment="1">
      <alignment horizontal="center"/>
    </xf>
    <xf numFmtId="167" fontId="28" fillId="0" borderId="5" xfId="8" applyNumberFormat="1" applyFont="1" applyFill="1" applyBorder="1" applyAlignment="1">
      <alignment horizontal="center"/>
    </xf>
    <xf numFmtId="0" fontId="28" fillId="5" borderId="4" xfId="8" applyFont="1" applyFill="1" applyBorder="1"/>
    <xf numFmtId="0" fontId="4" fillId="0" borderId="0" xfId="8" applyFont="1" applyFill="1"/>
    <xf numFmtId="3" fontId="4" fillId="0" borderId="0" xfId="8" applyNumberFormat="1" applyFont="1" applyFill="1"/>
    <xf numFmtId="167" fontId="4" fillId="0" borderId="0" xfId="8" applyNumberFormat="1" applyFont="1" applyFill="1" applyAlignment="1">
      <alignment horizontal="center"/>
    </xf>
    <xf numFmtId="1" fontId="4" fillId="0" borderId="0" xfId="8" applyNumberFormat="1" applyFont="1" applyFill="1" applyAlignment="1">
      <alignment horizontal="center"/>
    </xf>
    <xf numFmtId="167" fontId="4" fillId="0" borderId="5" xfId="8" applyNumberFormat="1" applyFont="1" applyFill="1" applyBorder="1" applyAlignment="1">
      <alignment horizontal="center"/>
    </xf>
    <xf numFmtId="0" fontId="4" fillId="5" borderId="4" xfId="8" applyFont="1" applyFill="1" applyBorder="1"/>
    <xf numFmtId="0" fontId="4" fillId="2" borderId="4" xfId="8" applyFont="1" applyFill="1" applyBorder="1"/>
    <xf numFmtId="0" fontId="8" fillId="0" borderId="9" xfId="8" applyFont="1" applyFill="1" applyBorder="1"/>
    <xf numFmtId="0" fontId="8" fillId="0" borderId="10" xfId="8" applyFont="1" applyFill="1" applyBorder="1"/>
    <xf numFmtId="167" fontId="8" fillId="0" borderId="10" xfId="8" applyNumberFormat="1" applyFont="1" applyFill="1" applyBorder="1" applyAlignment="1">
      <alignment horizontal="center"/>
    </xf>
    <xf numFmtId="1" fontId="8" fillId="0" borderId="10" xfId="8" applyNumberFormat="1" applyFont="1" applyFill="1" applyBorder="1" applyAlignment="1">
      <alignment horizontal="center"/>
    </xf>
    <xf numFmtId="167" fontId="8" fillId="0" borderId="11" xfId="8" applyNumberFormat="1" applyFont="1" applyFill="1" applyBorder="1" applyAlignment="1">
      <alignment horizontal="center"/>
    </xf>
    <xf numFmtId="0" fontId="8" fillId="0" borderId="0" xfId="8" applyFont="1" applyFill="1"/>
    <xf numFmtId="167" fontId="8" fillId="0" borderId="0" xfId="8" applyNumberFormat="1" applyFont="1" applyFill="1" applyAlignment="1">
      <alignment horizontal="center"/>
    </xf>
    <xf numFmtId="1" fontId="8" fillId="0" borderId="0" xfId="8" applyNumberFormat="1" applyFont="1" applyFill="1" applyAlignment="1">
      <alignment horizontal="center"/>
    </xf>
    <xf numFmtId="167" fontId="8" fillId="0" borderId="5" xfId="8" applyNumberFormat="1" applyFont="1" applyFill="1" applyBorder="1" applyAlignment="1">
      <alignment horizontal="center"/>
    </xf>
    <xf numFmtId="0" fontId="4" fillId="0" borderId="0" xfId="8" applyFont="1" applyFill="1" applyAlignment="1">
      <alignment horizontal="left"/>
    </xf>
    <xf numFmtId="3" fontId="4" fillId="0" borderId="0" xfId="8" applyNumberFormat="1" applyFont="1" applyFill="1" applyAlignment="1">
      <alignment horizontal="left"/>
    </xf>
    <xf numFmtId="0" fontId="41" fillId="0" borderId="0" xfId="0" applyFont="1" applyAlignment="1">
      <alignment horizontal="center"/>
    </xf>
    <xf numFmtId="164" fontId="41" fillId="0" borderId="0" xfId="0" applyNumberFormat="1" applyFont="1" applyAlignment="1">
      <alignment horizontal="center"/>
    </xf>
    <xf numFmtId="165" fontId="41" fillId="0" borderId="0" xfId="0" applyNumberFormat="1" applyFont="1" applyAlignment="1">
      <alignment horizontal="center"/>
    </xf>
    <xf numFmtId="16" fontId="8" fillId="0" borderId="0" xfId="8" applyNumberFormat="1" applyFont="1" applyFill="1"/>
    <xf numFmtId="3" fontId="4" fillId="0" borderId="0" xfId="8" applyNumberFormat="1" applyFont="1" applyFill="1" applyAlignment="1">
      <alignment horizontal="center"/>
    </xf>
    <xf numFmtId="0" fontId="8" fillId="2" borderId="9" xfId="8" applyFont="1" applyFill="1" applyBorder="1"/>
    <xf numFmtId="3" fontId="8" fillId="2" borderId="10" xfId="8" applyNumberFormat="1" applyFont="1" applyFill="1" applyBorder="1" applyAlignment="1">
      <alignment horizontal="center"/>
    </xf>
    <xf numFmtId="167" fontId="8" fillId="2" borderId="10" xfId="8" applyNumberFormat="1" applyFont="1" applyFill="1" applyBorder="1" applyAlignment="1">
      <alignment horizontal="center"/>
    </xf>
    <xf numFmtId="1" fontId="8" fillId="2" borderId="10" xfId="8" applyNumberFormat="1" applyFont="1" applyFill="1" applyBorder="1" applyAlignment="1">
      <alignment horizontal="center"/>
    </xf>
    <xf numFmtId="167" fontId="8" fillId="2" borderId="11" xfId="8" applyNumberFormat="1" applyFont="1" applyFill="1" applyBorder="1" applyAlignment="1">
      <alignment horizontal="center"/>
    </xf>
    <xf numFmtId="0" fontId="8" fillId="2" borderId="0" xfId="8" applyFont="1" applyFill="1"/>
    <xf numFmtId="0" fontId="8" fillId="2" borderId="0" xfId="8" applyFont="1" applyFill="1" applyAlignment="1">
      <alignment horizontal="center"/>
    </xf>
    <xf numFmtId="167" fontId="8" fillId="2" borderId="0" xfId="8" applyNumberFormat="1" applyFont="1" applyFill="1" applyAlignment="1">
      <alignment horizontal="center"/>
    </xf>
    <xf numFmtId="1" fontId="8" fillId="2" borderId="0" xfId="8" applyNumberFormat="1" applyFont="1" applyFill="1" applyAlignment="1">
      <alignment horizontal="center"/>
    </xf>
    <xf numFmtId="167" fontId="8" fillId="2" borderId="5" xfId="8" applyNumberFormat="1" applyFont="1" applyFill="1" applyBorder="1" applyAlignment="1">
      <alignment horizontal="center"/>
    </xf>
    <xf numFmtId="0" fontId="42" fillId="5" borderId="0" xfId="8" applyFont="1" applyFill="1"/>
    <xf numFmtId="0" fontId="15" fillId="21" borderId="0" xfId="8"/>
    <xf numFmtId="0" fontId="43" fillId="6" borderId="6" xfId="8" applyFont="1" applyFill="1" applyBorder="1" applyAlignment="1">
      <alignment horizontal="left"/>
    </xf>
    <xf numFmtId="0" fontId="43" fillId="6" borderId="7" xfId="8" applyFont="1" applyFill="1" applyBorder="1" applyAlignment="1">
      <alignment horizontal="left"/>
    </xf>
    <xf numFmtId="167" fontId="43" fillId="6" borderId="7" xfId="8" applyNumberFormat="1" applyFont="1" applyFill="1" applyBorder="1" applyAlignment="1">
      <alignment horizontal="center"/>
    </xf>
    <xf numFmtId="1" fontId="43" fillId="6" borderId="7" xfId="8" applyNumberFormat="1" applyFont="1" applyFill="1" applyBorder="1" applyAlignment="1">
      <alignment horizontal="center"/>
    </xf>
    <xf numFmtId="167" fontId="43" fillId="6" borderId="8" xfId="8" applyNumberFormat="1" applyFont="1" applyFill="1" applyBorder="1" applyAlignment="1">
      <alignment horizontal="center"/>
    </xf>
    <xf numFmtId="0" fontId="43" fillId="5" borderId="4" xfId="8" applyFont="1" applyFill="1" applyBorder="1"/>
    <xf numFmtId="0" fontId="43" fillId="10" borderId="0" xfId="8" applyFont="1" applyFill="1"/>
    <xf numFmtId="167" fontId="43" fillId="10" borderId="0" xfId="8" applyNumberFormat="1" applyFont="1" applyFill="1" applyAlignment="1">
      <alignment horizontal="center"/>
    </xf>
    <xf numFmtId="167" fontId="43" fillId="10" borderId="5" xfId="8" applyNumberFormat="1" applyFont="1" applyFill="1" applyBorder="1" applyAlignment="1">
      <alignment horizontal="center"/>
    </xf>
    <xf numFmtId="0" fontId="43" fillId="5" borderId="0" xfId="8" applyFont="1" applyFill="1"/>
    <xf numFmtId="167" fontId="43" fillId="5" borderId="0" xfId="8" applyNumberFormat="1" applyFont="1" applyFill="1" applyAlignment="1">
      <alignment horizontal="center"/>
    </xf>
    <xf numFmtId="167" fontId="43" fillId="5" borderId="5" xfId="8" applyNumberFormat="1" applyFont="1" applyFill="1" applyBorder="1" applyAlignment="1">
      <alignment horizontal="center"/>
    </xf>
    <xf numFmtId="0" fontId="43" fillId="5" borderId="6" xfId="8" applyFont="1" applyFill="1" applyBorder="1"/>
    <xf numFmtId="0" fontId="43" fillId="10" borderId="7" xfId="8" applyFont="1" applyFill="1" applyBorder="1"/>
    <xf numFmtId="167" fontId="43" fillId="10" borderId="7" xfId="8" applyNumberFormat="1" applyFont="1" applyFill="1" applyBorder="1" applyAlignment="1">
      <alignment horizontal="center"/>
    </xf>
    <xf numFmtId="167" fontId="43" fillId="10" borderId="8" xfId="8" applyNumberFormat="1" applyFont="1" applyFill="1" applyBorder="1" applyAlignment="1">
      <alignment horizontal="center"/>
    </xf>
    <xf numFmtId="167" fontId="11" fillId="5" borderId="0" xfId="4" applyNumberFormat="1" applyFont="1" applyFill="1" applyAlignment="1">
      <alignment horizontal="center"/>
    </xf>
    <xf numFmtId="1" fontId="11" fillId="5" borderId="0" xfId="4" applyNumberFormat="1" applyFont="1" applyFill="1" applyAlignment="1">
      <alignment horizontal="center"/>
    </xf>
    <xf numFmtId="167" fontId="11" fillId="5" borderId="5" xfId="4" applyNumberFormat="1" applyFont="1" applyFill="1" applyBorder="1" applyAlignment="1">
      <alignment horizontal="center"/>
    </xf>
    <xf numFmtId="167" fontId="11" fillId="6" borderId="8" xfId="4" applyNumberFormat="1" applyFont="1" applyFill="1" applyBorder="1" applyAlignment="1">
      <alignment horizontal="center"/>
    </xf>
    <xf numFmtId="0" fontId="11" fillId="5" borderId="4" xfId="4" applyFont="1" applyFill="1" applyBorder="1"/>
    <xf numFmtId="0" fontId="11" fillId="5" borderId="0" xfId="4" applyFont="1" applyFill="1"/>
    <xf numFmtId="0" fontId="28" fillId="5" borderId="0" xfId="4" applyFont="1" applyFill="1"/>
    <xf numFmtId="167" fontId="28" fillId="5" borderId="0" xfId="4" applyNumberFormat="1" applyFont="1" applyFill="1" applyAlignment="1">
      <alignment horizontal="center"/>
    </xf>
    <xf numFmtId="1" fontId="28" fillId="5" borderId="0" xfId="4" applyNumberFormat="1" applyFont="1" applyFill="1" applyAlignment="1">
      <alignment horizontal="center"/>
    </xf>
    <xf numFmtId="167" fontId="28" fillId="5" borderId="5" xfId="4" applyNumberFormat="1" applyFont="1" applyFill="1" applyBorder="1" applyAlignment="1">
      <alignment horizontal="center"/>
    </xf>
    <xf numFmtId="0" fontId="28" fillId="5" borderId="4" xfId="4" applyFont="1" applyFill="1" applyBorder="1"/>
    <xf numFmtId="3" fontId="28" fillId="5" borderId="0" xfId="4" applyNumberFormat="1" applyFont="1" applyFill="1" applyAlignment="1">
      <alignment horizontal="center"/>
    </xf>
    <xf numFmtId="0" fontId="28" fillId="10" borderId="0" xfId="4" applyFont="1" applyFill="1"/>
    <xf numFmtId="3" fontId="28" fillId="10" borderId="0" xfId="4" applyNumberFormat="1" applyFont="1" applyFill="1" applyAlignment="1">
      <alignment horizontal="center"/>
    </xf>
    <xf numFmtId="167" fontId="28" fillId="10" borderId="0" xfId="4" applyNumberFormat="1" applyFont="1" applyFill="1" applyAlignment="1">
      <alignment horizontal="center"/>
    </xf>
    <xf numFmtId="1" fontId="28" fillId="10" borderId="0" xfId="4" applyNumberFormat="1" applyFont="1" applyFill="1" applyAlignment="1">
      <alignment horizontal="center"/>
    </xf>
    <xf numFmtId="167" fontId="28" fillId="8" borderId="0" xfId="4" applyNumberFormat="1" applyFont="1" applyFill="1" applyAlignment="1">
      <alignment horizontal="center"/>
    </xf>
    <xf numFmtId="167" fontId="28" fillId="10" borderId="5" xfId="4" applyNumberFormat="1" applyFont="1" applyFill="1" applyBorder="1" applyAlignment="1">
      <alignment horizontal="center"/>
    </xf>
    <xf numFmtId="0" fontId="28" fillId="5" borderId="0" xfId="4" applyFont="1" applyFill="1" applyAlignment="1">
      <alignment horizontal="center"/>
    </xf>
    <xf numFmtId="0" fontId="28" fillId="10" borderId="0" xfId="4" applyFont="1" applyFill="1" applyAlignment="1">
      <alignment horizontal="center"/>
    </xf>
    <xf numFmtId="0" fontId="28" fillId="7" borderId="0" xfId="4" applyFont="1" applyFill="1"/>
    <xf numFmtId="0" fontId="28" fillId="7" borderId="0" xfId="4" applyFont="1" applyFill="1" applyAlignment="1">
      <alignment horizontal="center"/>
    </xf>
    <xf numFmtId="167" fontId="28" fillId="7" borderId="0" xfId="4" applyNumberFormat="1" applyFont="1" applyFill="1" applyAlignment="1">
      <alignment horizontal="center"/>
    </xf>
    <xf numFmtId="1" fontId="28" fillId="7" borderId="0" xfId="4" applyNumberFormat="1" applyFont="1" applyFill="1" applyAlignment="1">
      <alignment horizontal="center"/>
    </xf>
    <xf numFmtId="167" fontId="28" fillId="7" borderId="5" xfId="4" applyNumberFormat="1" applyFont="1" applyFill="1" applyBorder="1" applyAlignment="1">
      <alignment horizontal="center"/>
    </xf>
    <xf numFmtId="0" fontId="28" fillId="8" borderId="0" xfId="4" applyFont="1" applyFill="1"/>
    <xf numFmtId="0" fontId="28" fillId="8" borderId="0" xfId="4" applyFont="1" applyFill="1" applyAlignment="1">
      <alignment horizontal="center"/>
    </xf>
    <xf numFmtId="1" fontId="28" fillId="8" borderId="0" xfId="4" applyNumberFormat="1" applyFont="1" applyFill="1" applyAlignment="1">
      <alignment horizontal="center"/>
    </xf>
    <xf numFmtId="167" fontId="28" fillId="8" borderId="5" xfId="4" applyNumberFormat="1" applyFont="1" applyFill="1" applyBorder="1" applyAlignment="1">
      <alignment horizontal="center"/>
    </xf>
    <xf numFmtId="3" fontId="28" fillId="5" borderId="0" xfId="4" applyNumberFormat="1" applyFont="1" applyFill="1"/>
    <xf numFmtId="0" fontId="11" fillId="5" borderId="9" xfId="4" applyFont="1" applyFill="1" applyBorder="1"/>
    <xf numFmtId="0" fontId="11" fillId="5" borderId="10" xfId="4" applyFont="1" applyFill="1" applyBorder="1"/>
    <xf numFmtId="167" fontId="11" fillId="5" borderId="10" xfId="4" applyNumberFormat="1" applyFont="1" applyFill="1" applyBorder="1" applyAlignment="1">
      <alignment horizontal="center"/>
    </xf>
    <xf numFmtId="1" fontId="11" fillId="5" borderId="10" xfId="4" applyNumberFormat="1" applyFont="1" applyFill="1" applyBorder="1" applyAlignment="1">
      <alignment horizontal="center"/>
    </xf>
    <xf numFmtId="167" fontId="11" fillId="5" borderId="11" xfId="4" applyNumberFormat="1" applyFont="1" applyFill="1" applyBorder="1" applyAlignment="1">
      <alignment horizontal="center"/>
    </xf>
    <xf numFmtId="0" fontId="45" fillId="5" borderId="0" xfId="4" applyFont="1" applyFill="1"/>
    <xf numFmtId="0" fontId="30" fillId="5" borderId="4" xfId="4" applyFont="1" applyFill="1" applyBorder="1"/>
    <xf numFmtId="0" fontId="4" fillId="5" borderId="0" xfId="4" applyFont="1" applyFill="1"/>
    <xf numFmtId="0" fontId="11" fillId="7" borderId="0" xfId="4" applyFont="1" applyFill="1"/>
    <xf numFmtId="167" fontId="11" fillId="7" borderId="0" xfId="4" applyNumberFormat="1" applyFont="1" applyFill="1" applyAlignment="1">
      <alignment horizontal="center"/>
    </xf>
    <xf numFmtId="1" fontId="11" fillId="7" borderId="0" xfId="4" applyNumberFormat="1" applyFont="1" applyFill="1" applyAlignment="1">
      <alignment horizontal="center"/>
    </xf>
    <xf numFmtId="0" fontId="11" fillId="10" borderId="0" xfId="4" applyFont="1" applyFill="1"/>
    <xf numFmtId="167" fontId="11" fillId="10" borderId="0" xfId="4" applyNumberFormat="1" applyFont="1" applyFill="1" applyAlignment="1">
      <alignment horizontal="center"/>
    </xf>
    <xf numFmtId="167" fontId="11" fillId="10" borderId="5" xfId="4" applyNumberFormat="1" applyFont="1" applyFill="1" applyBorder="1" applyAlignment="1">
      <alignment horizontal="center"/>
    </xf>
    <xf numFmtId="0" fontId="11" fillId="5" borderId="6" xfId="4" applyFont="1" applyFill="1" applyBorder="1"/>
    <xf numFmtId="0" fontId="11" fillId="10" borderId="7" xfId="4" applyFont="1" applyFill="1" applyBorder="1"/>
    <xf numFmtId="167" fontId="11" fillId="10" borderId="7" xfId="4" applyNumberFormat="1" applyFont="1" applyFill="1" applyBorder="1" applyAlignment="1">
      <alignment horizontal="center"/>
    </xf>
    <xf numFmtId="167" fontId="11" fillId="10" borderId="8" xfId="4" applyNumberFormat="1" applyFont="1" applyFill="1" applyBorder="1" applyAlignment="1">
      <alignment horizontal="center"/>
    </xf>
    <xf numFmtId="0" fontId="28" fillId="9" borderId="0" xfId="0" applyFont="1" applyFill="1"/>
    <xf numFmtId="3" fontId="28" fillId="9" borderId="0" xfId="0" applyNumberFormat="1" applyFont="1" applyFill="1"/>
    <xf numFmtId="3" fontId="11" fillId="2" borderId="10" xfId="0" applyNumberFormat="1" applyFont="1" applyFill="1" applyBorder="1"/>
    <xf numFmtId="3" fontId="11" fillId="2" borderId="0" xfId="0" applyNumberFormat="1" applyFont="1" applyFill="1"/>
    <xf numFmtId="0" fontId="28" fillId="2" borderId="0" xfId="0" applyFont="1" applyFill="1" applyAlignment="1">
      <alignment horizontal="left"/>
    </xf>
    <xf numFmtId="167" fontId="28" fillId="9" borderId="0" xfId="0" applyNumberFormat="1" applyFont="1" applyFill="1" applyAlignment="1">
      <alignment horizontal="left"/>
    </xf>
    <xf numFmtId="0" fontId="11" fillId="2" borderId="2" xfId="0" applyFont="1" applyFill="1" applyBorder="1"/>
    <xf numFmtId="1" fontId="11" fillId="2" borderId="2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7" xfId="0" applyFont="1" applyFill="1" applyBorder="1"/>
    <xf numFmtId="167" fontId="11" fillId="2" borderId="7" xfId="0" applyNumberFormat="1" applyFont="1" applyFill="1" applyBorder="1" applyAlignment="1">
      <alignment horizontal="center"/>
    </xf>
    <xf numFmtId="1" fontId="11" fillId="2" borderId="7" xfId="0" applyNumberFormat="1" applyFont="1" applyFill="1" applyBorder="1" applyAlignment="1">
      <alignment horizontal="center"/>
    </xf>
    <xf numFmtId="167" fontId="11" fillId="2" borderId="8" xfId="0" applyNumberFormat="1" applyFont="1" applyFill="1" applyBorder="1" applyAlignment="1">
      <alignment horizontal="center"/>
    </xf>
    <xf numFmtId="49" fontId="26" fillId="3" borderId="7" xfId="4" applyNumberFormat="1" applyFont="1" applyFill="1" applyBorder="1" applyAlignment="1">
      <alignment horizontal="center" vertical="center"/>
    </xf>
    <xf numFmtId="49" fontId="26" fillId="4" borderId="9" xfId="4" applyNumberFormat="1" applyFont="1" applyFill="1" applyBorder="1" applyAlignment="1">
      <alignment horizontal="center" wrapText="1"/>
    </xf>
    <xf numFmtId="0" fontId="28" fillId="5" borderId="0" xfId="4" applyFont="1" applyFill="1" applyAlignment="1">
      <alignment horizontal="center" vertical="center"/>
    </xf>
    <xf numFmtId="167" fontId="11" fillId="2" borderId="2" xfId="4" applyNumberFormat="1" applyFont="1" applyFill="1" applyBorder="1" applyAlignment="1">
      <alignment horizontal="center" wrapText="1"/>
    </xf>
    <xf numFmtId="167" fontId="11" fillId="11" borderId="7" xfId="4" applyNumberFormat="1" applyFont="1" applyFill="1" applyBorder="1" applyAlignment="1">
      <alignment horizontal="center" wrapText="1"/>
    </xf>
    <xf numFmtId="0" fontId="28" fillId="2" borderId="0" xfId="4" applyFont="1" applyFill="1" applyAlignment="1">
      <alignment vertical="center"/>
    </xf>
    <xf numFmtId="167" fontId="28" fillId="2" borderId="0" xfId="4" applyNumberFormat="1" applyFont="1" applyFill="1"/>
    <xf numFmtId="1" fontId="28" fillId="2" borderId="0" xfId="4" applyNumberFormat="1" applyFont="1" applyFill="1"/>
    <xf numFmtId="167" fontId="28" fillId="2" borderId="5" xfId="4" applyNumberFormat="1" applyFont="1" applyFill="1" applyBorder="1"/>
    <xf numFmtId="0" fontId="28" fillId="12" borderId="4" xfId="4" applyFont="1" applyFill="1" applyBorder="1"/>
    <xf numFmtId="0" fontId="25" fillId="22" borderId="0" xfId="4" applyFont="1" applyFill="1" applyAlignment="1">
      <alignment horizontal="center" vertical="center"/>
    </xf>
    <xf numFmtId="3" fontId="28" fillId="22" borderId="0" xfId="4" applyNumberFormat="1" applyFont="1" applyFill="1" applyAlignment="1">
      <alignment horizontal="center"/>
    </xf>
    <xf numFmtId="167" fontId="28" fillId="22" borderId="0" xfId="4" applyNumberFormat="1" applyFont="1" applyFill="1" applyAlignment="1">
      <alignment horizontal="center"/>
    </xf>
    <xf numFmtId="1" fontId="28" fillId="22" borderId="0" xfId="4" applyNumberFormat="1" applyFont="1" applyFill="1" applyAlignment="1">
      <alignment horizontal="center"/>
    </xf>
    <xf numFmtId="167" fontId="28" fillId="22" borderId="5" xfId="4" applyNumberFormat="1" applyFont="1" applyFill="1" applyBorder="1" applyAlignment="1">
      <alignment horizontal="center"/>
    </xf>
    <xf numFmtId="3" fontId="28" fillId="12" borderId="0" xfId="4" applyNumberFormat="1" applyFont="1" applyFill="1" applyAlignment="1">
      <alignment horizontal="center"/>
    </xf>
    <xf numFmtId="167" fontId="28" fillId="12" borderId="0" xfId="4" applyNumberFormat="1" applyFont="1" applyFill="1" applyAlignment="1">
      <alignment horizontal="center"/>
    </xf>
    <xf numFmtId="1" fontId="28" fillId="12" borderId="0" xfId="4" applyNumberFormat="1" applyFont="1" applyFill="1" applyAlignment="1">
      <alignment horizontal="center"/>
    </xf>
    <xf numFmtId="167" fontId="28" fillId="12" borderId="5" xfId="4" applyNumberFormat="1" applyFont="1" applyFill="1" applyBorder="1" applyAlignment="1">
      <alignment horizontal="center"/>
    </xf>
    <xf numFmtId="3" fontId="28" fillId="23" borderId="0" xfId="4" applyNumberFormat="1" applyFont="1" applyFill="1" applyAlignment="1">
      <alignment horizontal="center"/>
    </xf>
    <xf numFmtId="167" fontId="28" fillId="23" borderId="5" xfId="4" applyNumberFormat="1" applyFont="1" applyFill="1" applyBorder="1" applyAlignment="1">
      <alignment horizontal="center"/>
    </xf>
    <xf numFmtId="49" fontId="25" fillId="12" borderId="0" xfId="4" applyNumberFormat="1" applyFont="1" applyFill="1" applyAlignment="1">
      <alignment horizontal="center" vertical="center"/>
    </xf>
    <xf numFmtId="49" fontId="11" fillId="19" borderId="30" xfId="6" applyNumberFormat="1" applyFont="1" applyBorder="1" applyAlignment="1">
      <alignment vertical="center"/>
    </xf>
    <xf numFmtId="3" fontId="11" fillId="19" borderId="31" xfId="6" applyNumberFormat="1" applyFont="1" applyBorder="1"/>
    <xf numFmtId="167" fontId="11" fillId="19" borderId="32" xfId="6" applyNumberFormat="1" applyFont="1" applyBorder="1" applyAlignment="1">
      <alignment horizontal="center"/>
    </xf>
    <xf numFmtId="1" fontId="11" fillId="19" borderId="32" xfId="6" applyNumberFormat="1" applyFont="1" applyBorder="1" applyAlignment="1">
      <alignment horizontal="center"/>
    </xf>
    <xf numFmtId="167" fontId="11" fillId="19" borderId="33" xfId="6" applyNumberFormat="1" applyFont="1" applyBorder="1" applyAlignment="1">
      <alignment horizontal="center"/>
    </xf>
    <xf numFmtId="49" fontId="28" fillId="2" borderId="2" xfId="4" applyNumberFormat="1" applyFont="1" applyFill="1" applyBorder="1" applyAlignment="1">
      <alignment vertical="center"/>
    </xf>
    <xf numFmtId="3" fontId="28" fillId="2" borderId="2" xfId="4" applyNumberFormat="1" applyFont="1" applyFill="1" applyBorder="1"/>
    <xf numFmtId="167" fontId="28" fillId="2" borderId="2" xfId="4" applyNumberFormat="1" applyFont="1" applyFill="1" applyBorder="1" applyAlignment="1">
      <alignment horizontal="center"/>
    </xf>
    <xf numFmtId="1" fontId="28" fillId="2" borderId="2" xfId="4" applyNumberFormat="1" applyFont="1" applyFill="1" applyBorder="1" applyAlignment="1">
      <alignment horizontal="center"/>
    </xf>
    <xf numFmtId="49" fontId="28" fillId="2" borderId="0" xfId="4" applyNumberFormat="1" applyFont="1" applyFill="1" applyAlignment="1">
      <alignment vertical="center"/>
    </xf>
    <xf numFmtId="0" fontId="11" fillId="12" borderId="4" xfId="4" applyFont="1" applyFill="1" applyBorder="1"/>
    <xf numFmtId="0" fontId="25" fillId="22" borderId="0" xfId="4" applyFont="1" applyFill="1" applyAlignment="1">
      <alignment horizontal="center"/>
    </xf>
    <xf numFmtId="167" fontId="25" fillId="22" borderId="0" xfId="4" applyNumberFormat="1" applyFont="1" applyFill="1" applyAlignment="1">
      <alignment horizontal="center"/>
    </xf>
    <xf numFmtId="1" fontId="25" fillId="22" borderId="0" xfId="4" applyNumberFormat="1" applyFont="1" applyFill="1" applyAlignment="1">
      <alignment horizontal="center"/>
    </xf>
    <xf numFmtId="167" fontId="25" fillId="22" borderId="5" xfId="4" applyNumberFormat="1" applyFont="1" applyFill="1" applyBorder="1"/>
    <xf numFmtId="167" fontId="25" fillId="23" borderId="5" xfId="4" applyNumberFormat="1" applyFont="1" applyFill="1" applyBorder="1"/>
    <xf numFmtId="49" fontId="25" fillId="2" borderId="0" xfId="4" applyNumberFormat="1" applyFont="1" applyFill="1" applyAlignment="1">
      <alignment horizontal="center" vertical="center"/>
    </xf>
    <xf numFmtId="0" fontId="25" fillId="2" borderId="0" xfId="4" applyFont="1" applyFill="1" applyAlignment="1">
      <alignment horizontal="center"/>
    </xf>
    <xf numFmtId="167" fontId="25" fillId="2" borderId="0" xfId="4" applyNumberFormat="1" applyFont="1" applyFill="1" applyAlignment="1">
      <alignment horizontal="center"/>
    </xf>
    <xf numFmtId="1" fontId="25" fillId="2" borderId="0" xfId="4" applyNumberFormat="1" applyFont="1" applyFill="1" applyAlignment="1">
      <alignment horizontal="center"/>
    </xf>
    <xf numFmtId="167" fontId="25" fillId="2" borderId="0" xfId="4" applyNumberFormat="1" applyFont="1" applyFill="1"/>
    <xf numFmtId="167" fontId="25" fillId="2" borderId="5" xfId="4" applyNumberFormat="1" applyFont="1" applyFill="1" applyBorder="1"/>
    <xf numFmtId="49" fontId="11" fillId="19" borderId="31" xfId="6" applyNumberFormat="1" applyFont="1" applyBorder="1" applyAlignment="1">
      <alignment vertical="center"/>
    </xf>
    <xf numFmtId="3" fontId="11" fillId="19" borderId="32" xfId="6" applyNumberFormat="1" applyFont="1" applyBorder="1"/>
    <xf numFmtId="167" fontId="25" fillId="23" borderId="5" xfId="4" applyNumberFormat="1" applyFont="1" applyFill="1" applyBorder="1" applyAlignment="1">
      <alignment horizontal="center" vertical="center"/>
    </xf>
    <xf numFmtId="0" fontId="28" fillId="12" borderId="0" xfId="4" applyFont="1" applyFill="1" applyAlignment="1">
      <alignment horizontal="center"/>
    </xf>
    <xf numFmtId="167" fontId="25" fillId="12" borderId="0" xfId="4" applyNumberFormat="1" applyFont="1" applyFill="1" applyAlignment="1">
      <alignment horizontal="center"/>
    </xf>
    <xf numFmtId="167" fontId="28" fillId="12" borderId="5" xfId="4" applyNumberFormat="1" applyFont="1" applyFill="1" applyBorder="1" applyAlignment="1">
      <alignment horizontal="center" vertical="center"/>
    </xf>
    <xf numFmtId="3" fontId="28" fillId="2" borderId="0" xfId="4" applyNumberFormat="1" applyFont="1" applyFill="1" applyAlignment="1">
      <alignment horizontal="center"/>
    </xf>
    <xf numFmtId="49" fontId="11" fillId="19" borderId="9" xfId="6" applyNumberFormat="1" applyFont="1" applyBorder="1" applyAlignment="1">
      <alignment vertical="center"/>
    </xf>
    <xf numFmtId="3" fontId="11" fillId="19" borderId="34" xfId="6" applyNumberFormat="1" applyFont="1" applyBorder="1"/>
    <xf numFmtId="167" fontId="11" fillId="19" borderId="35" xfId="6" applyNumberFormat="1" applyFont="1" applyBorder="1" applyAlignment="1">
      <alignment horizontal="center"/>
    </xf>
    <xf numFmtId="0" fontId="46" fillId="2" borderId="4" xfId="4" applyFont="1" applyFill="1" applyBorder="1"/>
    <xf numFmtId="49" fontId="28" fillId="24" borderId="0" xfId="4" applyNumberFormat="1" applyFont="1" applyFill="1" applyAlignment="1">
      <alignment vertical="center"/>
    </xf>
    <xf numFmtId="0" fontId="28" fillId="24" borderId="0" xfId="4" applyFont="1" applyFill="1"/>
    <xf numFmtId="167" fontId="28" fillId="24" borderId="0" xfId="4" applyNumberFormat="1" applyFont="1" applyFill="1"/>
    <xf numFmtId="1" fontId="28" fillId="24" borderId="0" xfId="4" applyNumberFormat="1" applyFont="1" applyFill="1"/>
    <xf numFmtId="167" fontId="28" fillId="24" borderId="0" xfId="4" applyNumberFormat="1" applyFont="1" applyFill="1" applyAlignment="1">
      <alignment horizontal="center"/>
    </xf>
    <xf numFmtId="167" fontId="28" fillId="24" borderId="5" xfId="4" applyNumberFormat="1" applyFont="1" applyFill="1" applyBorder="1" applyAlignment="1">
      <alignment horizontal="center"/>
    </xf>
    <xf numFmtId="0" fontId="28" fillId="24" borderId="25" xfId="4" applyFont="1" applyFill="1" applyBorder="1" applyAlignment="1">
      <alignment horizontal="left" indent="2"/>
    </xf>
    <xf numFmtId="3" fontId="28" fillId="25" borderId="0" xfId="4" applyNumberFormat="1" applyFont="1" applyFill="1" applyAlignment="1">
      <alignment horizontal="center"/>
    </xf>
    <xf numFmtId="167" fontId="28" fillId="25" borderId="0" xfId="4" applyNumberFormat="1" applyFont="1" applyFill="1" applyAlignment="1">
      <alignment horizontal="center"/>
    </xf>
    <xf numFmtId="1" fontId="28" fillId="25" borderId="0" xfId="4" applyNumberFormat="1" applyFont="1" applyFill="1" applyAlignment="1">
      <alignment horizontal="center"/>
    </xf>
    <xf numFmtId="167" fontId="28" fillId="26" borderId="5" xfId="4" applyNumberFormat="1" applyFont="1" applyFill="1" applyBorder="1" applyAlignment="1">
      <alignment horizontal="center"/>
    </xf>
    <xf numFmtId="167" fontId="28" fillId="27" borderId="0" xfId="9" applyNumberFormat="1" applyFont="1" applyFill="1" applyAlignment="1">
      <alignment horizontal="center"/>
    </xf>
    <xf numFmtId="167" fontId="28" fillId="28" borderId="0" xfId="9" applyNumberFormat="1" applyFont="1" applyFill="1" applyAlignment="1">
      <alignment horizontal="center"/>
    </xf>
    <xf numFmtId="167" fontId="28" fillId="28" borderId="5" xfId="4" applyNumberFormat="1" applyFont="1" applyFill="1" applyBorder="1" applyAlignment="1">
      <alignment horizontal="center"/>
    </xf>
    <xf numFmtId="49" fontId="28" fillId="27" borderId="0" xfId="4" applyNumberFormat="1" applyFont="1" applyFill="1" applyAlignment="1">
      <alignment horizontal="center" vertical="center"/>
    </xf>
    <xf numFmtId="167" fontId="25" fillId="28" borderId="0" xfId="4" applyNumberFormat="1" applyFont="1" applyFill="1" applyAlignment="1">
      <alignment horizontal="center"/>
    </xf>
    <xf numFmtId="167" fontId="25" fillId="28" borderId="5" xfId="4" applyNumberFormat="1" applyFont="1" applyFill="1" applyBorder="1" applyAlignment="1">
      <alignment horizontal="center"/>
    </xf>
    <xf numFmtId="49" fontId="11" fillId="24" borderId="16" xfId="4" applyNumberFormat="1" applyFont="1" applyFill="1" applyBorder="1" applyAlignment="1">
      <alignment horizontal="left" vertical="center"/>
    </xf>
    <xf numFmtId="3" fontId="28" fillId="24" borderId="17" xfId="4" applyNumberFormat="1" applyFont="1" applyFill="1" applyBorder="1"/>
    <xf numFmtId="167" fontId="28" fillId="24" borderId="17" xfId="4" applyNumberFormat="1" applyFont="1" applyFill="1" applyBorder="1" applyAlignment="1">
      <alignment horizontal="center"/>
    </xf>
    <xf numFmtId="1" fontId="28" fillId="24" borderId="17" xfId="4" applyNumberFormat="1" applyFont="1" applyFill="1" applyBorder="1" applyAlignment="1">
      <alignment horizontal="center"/>
    </xf>
    <xf numFmtId="167" fontId="11" fillId="24" borderId="17" xfId="4" applyNumberFormat="1" applyFont="1" applyFill="1" applyBorder="1" applyAlignment="1">
      <alignment horizontal="center"/>
    </xf>
    <xf numFmtId="167" fontId="11" fillId="24" borderId="36" xfId="4" applyNumberFormat="1" applyFont="1" applyFill="1" applyBorder="1" applyAlignment="1">
      <alignment horizontal="center"/>
    </xf>
    <xf numFmtId="0" fontId="28" fillId="24" borderId="0" xfId="4" applyFont="1" applyFill="1" applyAlignment="1">
      <alignment horizontal="left" indent="2"/>
    </xf>
    <xf numFmtId="49" fontId="28" fillId="24" borderId="0" xfId="4" applyNumberFormat="1" applyFont="1" applyFill="1" applyAlignment="1">
      <alignment horizontal="left" vertical="center"/>
    </xf>
    <xf numFmtId="3" fontId="28" fillId="24" borderId="0" xfId="4" applyNumberFormat="1" applyFont="1" applyFill="1"/>
    <xf numFmtId="1" fontId="28" fillId="24" borderId="0" xfId="4" applyNumberFormat="1" applyFont="1" applyFill="1" applyAlignment="1">
      <alignment horizontal="center"/>
    </xf>
    <xf numFmtId="167" fontId="11" fillId="24" borderId="0" xfId="4" applyNumberFormat="1" applyFont="1" applyFill="1" applyAlignment="1">
      <alignment horizontal="center"/>
    </xf>
    <xf numFmtId="167" fontId="11" fillId="24" borderId="5" xfId="4" applyNumberFormat="1" applyFont="1" applyFill="1" applyBorder="1" applyAlignment="1">
      <alignment horizontal="center"/>
    </xf>
    <xf numFmtId="3" fontId="28" fillId="25" borderId="0" xfId="4" applyNumberFormat="1" applyFont="1" applyFill="1" applyAlignment="1">
      <alignment horizontal="center" vertical="center" wrapText="1"/>
    </xf>
    <xf numFmtId="0" fontId="25" fillId="23" borderId="0" xfId="4" applyFont="1" applyFill="1" applyAlignment="1">
      <alignment horizontal="center" wrapText="1"/>
    </xf>
    <xf numFmtId="3" fontId="28" fillId="27" borderId="0" xfId="4" applyNumberFormat="1" applyFont="1" applyFill="1" applyAlignment="1">
      <alignment horizontal="center" vertical="center" wrapText="1"/>
    </xf>
    <xf numFmtId="0" fontId="25" fillId="2" borderId="0" xfId="4" applyFont="1" applyFill="1" applyAlignment="1">
      <alignment horizontal="center" wrapText="1"/>
    </xf>
    <xf numFmtId="167" fontId="28" fillId="27" borderId="0" xfId="4" applyNumberFormat="1" applyFont="1" applyFill="1" applyAlignment="1">
      <alignment horizontal="center"/>
    </xf>
    <xf numFmtId="1" fontId="28" fillId="27" borderId="0" xfId="4" applyNumberFormat="1" applyFont="1" applyFill="1" applyAlignment="1">
      <alignment horizontal="center"/>
    </xf>
    <xf numFmtId="167" fontId="28" fillId="27" borderId="5" xfId="4" applyNumberFormat="1" applyFont="1" applyFill="1" applyBorder="1" applyAlignment="1">
      <alignment horizontal="center"/>
    </xf>
    <xf numFmtId="49" fontId="11" fillId="24" borderId="9" xfId="4" applyNumberFormat="1" applyFont="1" applyFill="1" applyBorder="1" applyAlignment="1">
      <alignment horizontal="left" vertical="center"/>
    </xf>
    <xf numFmtId="3" fontId="28" fillId="24" borderId="10" xfId="4" applyNumberFormat="1" applyFont="1" applyFill="1" applyBorder="1"/>
    <xf numFmtId="167" fontId="28" fillId="24" borderId="10" xfId="4" applyNumberFormat="1" applyFont="1" applyFill="1" applyBorder="1" applyAlignment="1">
      <alignment horizontal="center"/>
    </xf>
    <xf numFmtId="1" fontId="28" fillId="24" borderId="10" xfId="4" applyNumberFormat="1" applyFont="1" applyFill="1" applyBorder="1" applyAlignment="1">
      <alignment horizontal="center"/>
    </xf>
    <xf numFmtId="167" fontId="11" fillId="24" borderId="10" xfId="4" applyNumberFormat="1" applyFont="1" applyFill="1" applyBorder="1" applyAlignment="1">
      <alignment horizontal="center"/>
    </xf>
    <xf numFmtId="167" fontId="11" fillId="24" borderId="11" xfId="4" applyNumberFormat="1" applyFont="1" applyFill="1" applyBorder="1" applyAlignment="1">
      <alignment horizontal="center"/>
    </xf>
    <xf numFmtId="167" fontId="28" fillId="26" borderId="0" xfId="4" applyNumberFormat="1" applyFont="1" applyFill="1" applyAlignment="1">
      <alignment horizontal="center"/>
    </xf>
    <xf numFmtId="167" fontId="28" fillId="25" borderId="5" xfId="4" applyNumberFormat="1" applyFont="1" applyFill="1" applyBorder="1" applyAlignment="1">
      <alignment horizontal="center"/>
    </xf>
    <xf numFmtId="3" fontId="28" fillId="28" borderId="0" xfId="4" applyNumberFormat="1" applyFont="1" applyFill="1" applyAlignment="1">
      <alignment horizontal="center"/>
    </xf>
    <xf numFmtId="167" fontId="28" fillId="28" borderId="0" xfId="4" applyNumberFormat="1" applyFont="1" applyFill="1" applyAlignment="1">
      <alignment horizontal="center"/>
    </xf>
    <xf numFmtId="1" fontId="28" fillId="28" borderId="0" xfId="4" applyNumberFormat="1" applyFont="1" applyFill="1" applyAlignment="1">
      <alignment horizontal="center"/>
    </xf>
    <xf numFmtId="0" fontId="11" fillId="24" borderId="25" xfId="4" applyFont="1" applyFill="1" applyBorder="1" applyAlignment="1">
      <alignment horizontal="left" indent="2"/>
    </xf>
    <xf numFmtId="0" fontId="11" fillId="24" borderId="0" xfId="4" applyFont="1" applyFill="1" applyAlignment="1">
      <alignment horizontal="left" indent="2"/>
    </xf>
    <xf numFmtId="0" fontId="28" fillId="28" borderId="0" xfId="4" applyFont="1" applyFill="1" applyAlignment="1">
      <alignment horizontal="center"/>
    </xf>
    <xf numFmtId="3" fontId="28" fillId="27" borderId="0" xfId="4" applyNumberFormat="1" applyFont="1" applyFill="1" applyAlignment="1">
      <alignment horizontal="center"/>
    </xf>
    <xf numFmtId="0" fontId="28" fillId="24" borderId="25" xfId="4" applyFont="1" applyFill="1" applyBorder="1"/>
    <xf numFmtId="3" fontId="28" fillId="26" borderId="0" xfId="4" applyNumberFormat="1" applyFont="1" applyFill="1" applyAlignment="1">
      <alignment horizontal="center"/>
    </xf>
    <xf numFmtId="1" fontId="28" fillId="26" borderId="0" xfId="4" applyNumberFormat="1" applyFont="1" applyFill="1" applyAlignment="1">
      <alignment horizontal="center"/>
    </xf>
    <xf numFmtId="3" fontId="28" fillId="24" borderId="0" xfId="4" applyNumberFormat="1" applyFont="1" applyFill="1" applyAlignment="1">
      <alignment horizontal="center"/>
    </xf>
    <xf numFmtId="49" fontId="28" fillId="28" borderId="0" xfId="4" applyNumberFormat="1" applyFont="1" applyFill="1" applyAlignment="1">
      <alignment horizontal="center" vertical="center"/>
    </xf>
    <xf numFmtId="0" fontId="11" fillId="24" borderId="25" xfId="4" applyFont="1" applyFill="1" applyBorder="1"/>
    <xf numFmtId="0" fontId="11" fillId="24" borderId="17" xfId="4" applyFont="1" applyFill="1" applyBorder="1"/>
    <xf numFmtId="1" fontId="11" fillId="24" borderId="17" xfId="4" applyNumberFormat="1" applyFont="1" applyFill="1" applyBorder="1" applyAlignment="1">
      <alignment horizontal="center"/>
    </xf>
    <xf numFmtId="49" fontId="27" fillId="20" borderId="16" xfId="7" applyNumberFormat="1" applyFont="1" applyBorder="1" applyAlignment="1">
      <alignment horizontal="left" vertical="center"/>
    </xf>
    <xf numFmtId="0" fontId="27" fillId="20" borderId="17" xfId="7" applyFont="1" applyBorder="1"/>
    <xf numFmtId="167" fontId="27" fillId="20" borderId="17" xfId="7" applyNumberFormat="1" applyFont="1" applyBorder="1" applyAlignment="1">
      <alignment horizontal="center"/>
    </xf>
    <xf numFmtId="1" fontId="27" fillId="20" borderId="17" xfId="7" applyNumberFormat="1" applyFont="1" applyBorder="1" applyAlignment="1">
      <alignment horizontal="center"/>
    </xf>
    <xf numFmtId="167" fontId="27" fillId="20" borderId="10" xfId="7" applyNumberFormat="1" applyFont="1" applyBorder="1" applyAlignment="1">
      <alignment horizontal="center"/>
    </xf>
    <xf numFmtId="167" fontId="27" fillId="20" borderId="36" xfId="7" applyNumberFormat="1" applyFont="1" applyBorder="1" applyAlignment="1">
      <alignment horizontal="center"/>
    </xf>
    <xf numFmtId="0" fontId="11" fillId="24" borderId="0" xfId="4" applyFont="1" applyFill="1"/>
    <xf numFmtId="1" fontId="11" fillId="24" borderId="0" xfId="4" applyNumberFormat="1" applyFont="1" applyFill="1" applyAlignment="1">
      <alignment horizontal="center"/>
    </xf>
    <xf numFmtId="167" fontId="25" fillId="22" borderId="0" xfId="4" applyNumberFormat="1" applyFont="1" applyFill="1" applyAlignment="1">
      <alignment horizontal="center" vertical="center" wrapText="1"/>
    </xf>
    <xf numFmtId="167" fontId="25" fillId="22" borderId="0" xfId="4" applyNumberFormat="1" applyFont="1" applyFill="1" applyAlignment="1">
      <alignment horizontal="center" vertical="center"/>
    </xf>
    <xf numFmtId="1" fontId="25" fillId="22" borderId="0" xfId="4" applyNumberFormat="1" applyFont="1" applyFill="1" applyAlignment="1">
      <alignment horizontal="center" vertical="center"/>
    </xf>
    <xf numFmtId="167" fontId="25" fillId="22" borderId="5" xfId="4" applyNumberFormat="1" applyFont="1" applyFill="1" applyBorder="1" applyAlignment="1">
      <alignment vertical="center"/>
    </xf>
    <xf numFmtId="167" fontId="25" fillId="23" borderId="5" xfId="4" applyNumberFormat="1" applyFont="1" applyFill="1" applyBorder="1" applyAlignment="1">
      <alignment vertical="center"/>
    </xf>
    <xf numFmtId="0" fontId="25" fillId="2" borderId="0" xfId="4" applyFont="1" applyFill="1" applyAlignment="1">
      <alignment horizontal="center" vertical="center"/>
    </xf>
    <xf numFmtId="167" fontId="25" fillId="2" borderId="0" xfId="4" applyNumberFormat="1" applyFont="1" applyFill="1" applyAlignment="1">
      <alignment horizontal="center" vertical="center" wrapText="1"/>
    </xf>
    <xf numFmtId="167" fontId="25" fillId="2" borderId="0" xfId="4" applyNumberFormat="1" applyFont="1" applyFill="1" applyAlignment="1">
      <alignment horizontal="center" vertical="center"/>
    </xf>
    <xf numFmtId="1" fontId="25" fillId="2" borderId="0" xfId="4" applyNumberFormat="1" applyFont="1" applyFill="1" applyAlignment="1">
      <alignment horizontal="center" vertical="center"/>
    </xf>
    <xf numFmtId="167" fontId="25" fillId="2" borderId="0" xfId="4" applyNumberFormat="1" applyFont="1" applyFill="1" applyAlignment="1">
      <alignment vertical="center"/>
    </xf>
    <xf numFmtId="167" fontId="25" fillId="2" borderId="5" xfId="4" applyNumberFormat="1" applyFont="1" applyFill="1" applyBorder="1" applyAlignment="1">
      <alignment vertical="center"/>
    </xf>
    <xf numFmtId="0" fontId="27" fillId="20" borderId="31" xfId="7" applyFont="1" applyBorder="1" applyAlignment="1">
      <alignment vertical="center"/>
    </xf>
    <xf numFmtId="3" fontId="27" fillId="20" borderId="32" xfId="7" applyNumberFormat="1" applyFont="1" applyBorder="1"/>
    <xf numFmtId="167" fontId="27" fillId="20" borderId="32" xfId="7" applyNumberFormat="1" applyFont="1" applyBorder="1" applyAlignment="1">
      <alignment horizontal="center"/>
    </xf>
    <xf numFmtId="1" fontId="27" fillId="20" borderId="32" xfId="7" applyNumberFormat="1" applyFont="1" applyBorder="1" applyAlignment="1">
      <alignment horizontal="center"/>
    </xf>
    <xf numFmtId="167" fontId="27" fillId="20" borderId="33" xfId="7" applyNumberFormat="1" applyFont="1" applyBorder="1" applyAlignment="1">
      <alignment horizontal="center"/>
    </xf>
    <xf numFmtId="0" fontId="28" fillId="0" borderId="4" xfId="4" applyFont="1" applyBorder="1"/>
    <xf numFmtId="0" fontId="27" fillId="0" borderId="0" xfId="7" applyFont="1" applyFill="1" applyAlignment="1">
      <alignment vertical="center"/>
    </xf>
    <xf numFmtId="3" fontId="27" fillId="0" borderId="0" xfId="7" applyNumberFormat="1" applyFont="1" applyFill="1"/>
    <xf numFmtId="167" fontId="27" fillId="0" borderId="0" xfId="7" applyNumberFormat="1" applyFont="1" applyFill="1" applyAlignment="1">
      <alignment horizontal="center"/>
    </xf>
    <xf numFmtId="1" fontId="27" fillId="0" borderId="0" xfId="7" applyNumberFormat="1" applyFont="1" applyFill="1" applyAlignment="1">
      <alignment horizontal="center"/>
    </xf>
    <xf numFmtId="167" fontId="27" fillId="0" borderId="5" xfId="7" applyNumberFormat="1" applyFont="1" applyFill="1" applyBorder="1" applyAlignment="1">
      <alignment horizontal="center"/>
    </xf>
    <xf numFmtId="0" fontId="28" fillId="2" borderId="2" xfId="4" applyFont="1" applyFill="1" applyBorder="1" applyAlignment="1">
      <alignment vertical="center"/>
    </xf>
    <xf numFmtId="167" fontId="47" fillId="29" borderId="11" xfId="11" applyNumberFormat="1" applyFont="1" applyFill="1" applyBorder="1"/>
    <xf numFmtId="167" fontId="29" fillId="2" borderId="0" xfId="4" applyNumberFormat="1" applyFont="1" applyFill="1"/>
    <xf numFmtId="0" fontId="29" fillId="2" borderId="5" xfId="4" applyFont="1" applyFill="1" applyBorder="1"/>
    <xf numFmtId="0" fontId="11" fillId="11" borderId="9" xfId="4" applyFont="1" applyFill="1" applyBorder="1" applyAlignment="1">
      <alignment horizontal="left"/>
    </xf>
    <xf numFmtId="0" fontId="28" fillId="11" borderId="10" xfId="4" applyFont="1" applyFill="1" applyBorder="1" applyAlignment="1">
      <alignment horizontal="left" vertical="center"/>
    </xf>
    <xf numFmtId="0" fontId="11" fillId="11" borderId="10" xfId="4" applyFont="1" applyFill="1" applyBorder="1" applyAlignment="1">
      <alignment horizontal="left"/>
    </xf>
    <xf numFmtId="167" fontId="11" fillId="11" borderId="10" xfId="4" applyNumberFormat="1" applyFont="1" applyFill="1" applyBorder="1" applyAlignment="1">
      <alignment horizontal="center" wrapText="1"/>
    </xf>
    <xf numFmtId="167" fontId="11" fillId="6" borderId="10" xfId="4" applyNumberFormat="1" applyFont="1" applyFill="1" applyBorder="1" applyAlignment="1">
      <alignment horizontal="center"/>
    </xf>
    <xf numFmtId="1" fontId="11" fillId="6" borderId="10" xfId="4" applyNumberFormat="1" applyFont="1" applyFill="1" applyBorder="1" applyAlignment="1">
      <alignment horizontal="center"/>
    </xf>
    <xf numFmtId="167" fontId="11" fillId="11" borderId="11" xfId="4" applyNumberFormat="1" applyFont="1" applyFill="1" applyBorder="1" applyAlignment="1">
      <alignment horizontal="center"/>
    </xf>
    <xf numFmtId="3" fontId="11" fillId="2" borderId="0" xfId="4" applyNumberFormat="1" applyFont="1" applyFill="1" applyAlignment="1">
      <alignment horizontal="center"/>
    </xf>
    <xf numFmtId="167" fontId="11" fillId="2" borderId="0" xfId="4" applyNumberFormat="1" applyFont="1" applyFill="1" applyAlignment="1">
      <alignment horizontal="center" wrapText="1"/>
    </xf>
    <xf numFmtId="0" fontId="28" fillId="23" borderId="0" xfId="4" applyFont="1" applyFill="1" applyAlignment="1">
      <alignment horizontal="center" vertical="center"/>
    </xf>
    <xf numFmtId="167" fontId="28" fillId="23" borderId="0" xfId="4" applyNumberFormat="1" applyFont="1" applyFill="1" applyAlignment="1">
      <alignment horizontal="center" vertical="center"/>
    </xf>
    <xf numFmtId="1" fontId="28" fillId="23" borderId="0" xfId="4" applyNumberFormat="1" applyFont="1" applyFill="1" applyAlignment="1">
      <alignment horizontal="center" vertical="center"/>
    </xf>
    <xf numFmtId="167" fontId="28" fillId="23" borderId="5" xfId="4" applyNumberFormat="1" applyFont="1" applyFill="1" applyBorder="1" applyAlignment="1">
      <alignment horizontal="center" vertical="center"/>
    </xf>
    <xf numFmtId="49" fontId="28" fillId="12" borderId="0" xfId="4" applyNumberFormat="1" applyFont="1" applyFill="1" applyAlignment="1">
      <alignment vertical="center"/>
    </xf>
    <xf numFmtId="3" fontId="28" fillId="12" borderId="0" xfId="4" applyNumberFormat="1" applyFont="1" applyFill="1"/>
    <xf numFmtId="0" fontId="27" fillId="2" borderId="9" xfId="4" applyFont="1" applyFill="1" applyBorder="1" applyAlignment="1">
      <alignment vertical="center"/>
    </xf>
    <xf numFmtId="0" fontId="46" fillId="12" borderId="4" xfId="4" applyFont="1" applyFill="1" applyBorder="1"/>
    <xf numFmtId="0" fontId="28" fillId="12" borderId="0" xfId="4" applyFont="1" applyFill="1" applyAlignment="1">
      <alignment vertical="center"/>
    </xf>
    <xf numFmtId="0" fontId="28" fillId="12" borderId="0" xfId="4" applyFont="1" applyFill="1"/>
    <xf numFmtId="49" fontId="27" fillId="2" borderId="9" xfId="4" applyNumberFormat="1" applyFont="1" applyFill="1" applyBorder="1" applyAlignment="1">
      <alignment vertical="center"/>
    </xf>
    <xf numFmtId="0" fontId="28" fillId="2" borderId="10" xfId="4" applyFont="1" applyFill="1" applyBorder="1"/>
    <xf numFmtId="167" fontId="28" fillId="2" borderId="10" xfId="4" applyNumberFormat="1" applyFont="1" applyFill="1" applyBorder="1" applyAlignment="1">
      <alignment horizontal="center"/>
    </xf>
    <xf numFmtId="1" fontId="28" fillId="2" borderId="10" xfId="4" applyNumberFormat="1" applyFont="1" applyFill="1" applyBorder="1" applyAlignment="1">
      <alignment horizontal="center"/>
    </xf>
    <xf numFmtId="0" fontId="25" fillId="2" borderId="0" xfId="4" applyFont="1" applyFill="1" applyAlignment="1">
      <alignment vertical="center"/>
    </xf>
    <xf numFmtId="0" fontId="25" fillId="2" borderId="0" xfId="4" applyFont="1" applyFill="1"/>
    <xf numFmtId="2" fontId="25" fillId="2" borderId="0" xfId="4" applyNumberFormat="1" applyFont="1" applyFill="1"/>
    <xf numFmtId="0" fontId="25" fillId="2" borderId="5" xfId="4" applyFont="1" applyFill="1" applyBorder="1"/>
    <xf numFmtId="0" fontId="25" fillId="12" borderId="4" xfId="4" applyFont="1" applyFill="1" applyBorder="1"/>
    <xf numFmtId="0" fontId="25" fillId="23" borderId="0" xfId="4" applyFont="1" applyFill="1" applyAlignment="1">
      <alignment horizontal="center" vertical="center"/>
    </xf>
    <xf numFmtId="167" fontId="25" fillId="23" borderId="0" xfId="4" applyNumberFormat="1" applyFont="1" applyFill="1" applyAlignment="1">
      <alignment horizontal="center" vertical="center"/>
    </xf>
    <xf numFmtId="167" fontId="25" fillId="23" borderId="5" xfId="9" applyNumberFormat="1" applyFont="1" applyFill="1" applyBorder="1" applyAlignment="1">
      <alignment vertical="center"/>
    </xf>
    <xf numFmtId="0" fontId="25" fillId="12" borderId="0" xfId="4" applyFont="1" applyFill="1" applyAlignment="1">
      <alignment horizontal="center"/>
    </xf>
    <xf numFmtId="167" fontId="25" fillId="12" borderId="5" xfId="9" applyNumberFormat="1" applyFont="1" applyFill="1" applyBorder="1"/>
    <xf numFmtId="166" fontId="25" fillId="2" borderId="0" xfId="9" applyFont="1" applyFill="1"/>
    <xf numFmtId="166" fontId="25" fillId="2" borderId="5" xfId="9" applyFont="1" applyFill="1" applyBorder="1"/>
    <xf numFmtId="0" fontId="25" fillId="2" borderId="4" xfId="4" applyFont="1" applyFill="1" applyBorder="1"/>
    <xf numFmtId="0" fontId="25" fillId="2" borderId="10" xfId="4" applyFont="1" applyFill="1" applyBorder="1"/>
    <xf numFmtId="0" fontId="25" fillId="2" borderId="10" xfId="4" applyFont="1" applyFill="1" applyBorder="1" applyAlignment="1">
      <alignment horizontal="center"/>
    </xf>
    <xf numFmtId="2" fontId="25" fillId="2" borderId="10" xfId="4" applyNumberFormat="1" applyFont="1" applyFill="1" applyBorder="1"/>
    <xf numFmtId="167" fontId="25" fillId="2" borderId="10" xfId="4" applyNumberFormat="1" applyFont="1" applyFill="1" applyBorder="1"/>
    <xf numFmtId="167" fontId="27" fillId="2" borderId="10" xfId="4" applyNumberFormat="1" applyFont="1" applyFill="1" applyBorder="1" applyAlignment="1">
      <alignment horizontal="center"/>
    </xf>
    <xf numFmtId="167" fontId="25" fillId="2" borderId="10" xfId="9" applyNumberFormat="1" applyFont="1" applyFill="1" applyBorder="1"/>
    <xf numFmtId="167" fontId="27" fillId="2" borderId="0" xfId="4" applyNumberFormat="1" applyFont="1" applyFill="1" applyAlignment="1">
      <alignment horizontal="center"/>
    </xf>
    <xf numFmtId="0" fontId="29" fillId="12" borderId="0" xfId="4" applyFont="1" applyFill="1"/>
    <xf numFmtId="0" fontId="27" fillId="2" borderId="0" xfId="4" applyFont="1" applyFill="1" applyAlignment="1">
      <alignment vertical="center"/>
    </xf>
    <xf numFmtId="167" fontId="11" fillId="23" borderId="5" xfId="4" applyNumberFormat="1" applyFont="1" applyFill="1" applyBorder="1" applyAlignment="1">
      <alignment horizontal="center" vertical="center"/>
    </xf>
    <xf numFmtId="0" fontId="29" fillId="0" borderId="0" xfId="4" applyFont="1"/>
    <xf numFmtId="0" fontId="11" fillId="2" borderId="34" xfId="4" applyFont="1" applyFill="1" applyBorder="1" applyAlignment="1">
      <alignment vertical="center"/>
    </xf>
    <xf numFmtId="3" fontId="28" fillId="23" borderId="0" xfId="4" applyNumberFormat="1" applyFont="1" applyFill="1" applyAlignment="1">
      <alignment horizontal="center" vertical="center"/>
    </xf>
    <xf numFmtId="0" fontId="27" fillId="20" borderId="9" xfId="7" applyFont="1" applyBorder="1" applyAlignment="1">
      <alignment vertical="center"/>
    </xf>
    <xf numFmtId="3" fontId="27" fillId="20" borderId="10" xfId="7" applyNumberFormat="1" applyFont="1" applyBorder="1" applyAlignment="1">
      <alignment horizontal="center"/>
    </xf>
    <xf numFmtId="167" fontId="27" fillId="20" borderId="10" xfId="7" applyNumberFormat="1" applyFont="1" applyBorder="1" applyAlignment="1">
      <alignment horizontal="center" wrapText="1"/>
    </xf>
    <xf numFmtId="1" fontId="27" fillId="20" borderId="10" xfId="7" applyNumberFormat="1" applyFont="1" applyBorder="1" applyAlignment="1">
      <alignment horizontal="center"/>
    </xf>
    <xf numFmtId="167" fontId="27" fillId="20" borderId="11" xfId="7" applyNumberFormat="1" applyFont="1" applyBorder="1" applyAlignment="1">
      <alignment horizontal="center"/>
    </xf>
    <xf numFmtId="0" fontId="29" fillId="2" borderId="0" xfId="4" applyFont="1" applyFill="1" applyAlignment="1">
      <alignment vertical="center"/>
    </xf>
    <xf numFmtId="0" fontId="29" fillId="2" borderId="0" xfId="4" applyFont="1" applyFill="1"/>
    <xf numFmtId="3" fontId="28" fillId="2" borderId="0" xfId="4" applyNumberFormat="1" applyFont="1" applyFill="1" applyAlignment="1">
      <alignment horizontal="center" vertical="center"/>
    </xf>
    <xf numFmtId="3" fontId="27" fillId="20" borderId="10" xfId="7" applyNumberFormat="1" applyFont="1" applyBorder="1"/>
    <xf numFmtId="3" fontId="11" fillId="12" borderId="0" xfId="4" applyNumberFormat="1" applyFont="1" applyFill="1" applyAlignment="1">
      <alignment horizontal="center"/>
    </xf>
    <xf numFmtId="167" fontId="11" fillId="12" borderId="0" xfId="4" applyNumberFormat="1" applyFont="1" applyFill="1" applyAlignment="1">
      <alignment horizontal="center" wrapText="1"/>
    </xf>
    <xf numFmtId="167" fontId="11" fillId="12" borderId="0" xfId="4" applyNumberFormat="1" applyFont="1" applyFill="1" applyAlignment="1">
      <alignment horizontal="center"/>
    </xf>
    <xf numFmtId="1" fontId="11" fillId="12" borderId="0" xfId="4" applyNumberFormat="1" applyFont="1" applyFill="1" applyAlignment="1">
      <alignment horizontal="center"/>
    </xf>
    <xf numFmtId="167" fontId="11" fillId="12" borderId="5" xfId="4" applyNumberFormat="1" applyFont="1" applyFill="1" applyBorder="1" applyAlignment="1">
      <alignment horizontal="center"/>
    </xf>
    <xf numFmtId="3" fontId="25" fillId="12" borderId="0" xfId="4" applyNumberFormat="1" applyFont="1" applyFill="1" applyAlignment="1">
      <alignment horizontal="center"/>
    </xf>
    <xf numFmtId="3" fontId="25" fillId="23" borderId="0" xfId="4" applyNumberFormat="1" applyFont="1" applyFill="1" applyAlignment="1">
      <alignment horizontal="center" vertical="center"/>
    </xf>
    <xf numFmtId="0" fontId="28" fillId="12" borderId="0" xfId="4" applyFont="1" applyFill="1" applyAlignment="1">
      <alignment horizontal="center" vertical="center"/>
    </xf>
    <xf numFmtId="0" fontId="27" fillId="12" borderId="9" xfId="4" applyFont="1" applyFill="1" applyBorder="1" applyAlignment="1">
      <alignment vertical="center"/>
    </xf>
    <xf numFmtId="3" fontId="11" fillId="12" borderId="10" xfId="4" applyNumberFormat="1" applyFont="1" applyFill="1" applyBorder="1"/>
    <xf numFmtId="167" fontId="11" fillId="12" borderId="10" xfId="4" applyNumberFormat="1" applyFont="1" applyFill="1" applyBorder="1" applyAlignment="1">
      <alignment horizontal="center"/>
    </xf>
    <xf numFmtId="1" fontId="11" fillId="12" borderId="10" xfId="4" applyNumberFormat="1" applyFont="1" applyFill="1" applyBorder="1" applyAlignment="1">
      <alignment horizontal="center"/>
    </xf>
    <xf numFmtId="167" fontId="11" fillId="12" borderId="11" xfId="4" applyNumberFormat="1" applyFont="1" applyFill="1" applyBorder="1" applyAlignment="1">
      <alignment horizontal="center"/>
    </xf>
    <xf numFmtId="3" fontId="11" fillId="12" borderId="0" xfId="4" applyNumberFormat="1" applyFont="1" applyFill="1"/>
    <xf numFmtId="0" fontId="30" fillId="12" borderId="4" xfId="4" applyFont="1" applyFill="1" applyBorder="1"/>
    <xf numFmtId="0" fontId="11" fillId="12" borderId="10" xfId="4" applyFont="1" applyFill="1" applyBorder="1"/>
    <xf numFmtId="0" fontId="11" fillId="12" borderId="0" xfId="4" applyFont="1" applyFill="1"/>
    <xf numFmtId="0" fontId="28" fillId="12" borderId="5" xfId="4" applyFont="1" applyFill="1" applyBorder="1"/>
    <xf numFmtId="0" fontId="46" fillId="12" borderId="4" xfId="4" applyFont="1" applyFill="1" applyBorder="1" applyAlignment="1">
      <alignment horizontal="left"/>
    </xf>
    <xf numFmtId="0" fontId="48" fillId="12" borderId="0" xfId="4" applyFont="1" applyFill="1" applyAlignment="1">
      <alignment horizontal="left" vertical="center"/>
    </xf>
    <xf numFmtId="0" fontId="46" fillId="12" borderId="0" xfId="4" applyFont="1" applyFill="1" applyAlignment="1">
      <alignment horizontal="left"/>
    </xf>
    <xf numFmtId="0" fontId="46" fillId="12" borderId="5" xfId="4" applyFont="1" applyFill="1" applyBorder="1" applyAlignment="1">
      <alignment horizontal="left"/>
    </xf>
    <xf numFmtId="167" fontId="28" fillId="2" borderId="0" xfId="4" applyNumberFormat="1" applyFont="1" applyFill="1" applyAlignment="1">
      <alignment horizontal="center" vertical="center"/>
    </xf>
    <xf numFmtId="169" fontId="28" fillId="12" borderId="0" xfId="4" applyNumberFormat="1" applyFont="1" applyFill="1" applyAlignment="1">
      <alignment horizontal="center" vertical="center"/>
    </xf>
    <xf numFmtId="0" fontId="11" fillId="12" borderId="2" xfId="4" applyFont="1" applyFill="1" applyBorder="1"/>
    <xf numFmtId="167" fontId="11" fillId="12" borderId="2" xfId="4" applyNumberFormat="1" applyFont="1" applyFill="1" applyBorder="1" applyAlignment="1">
      <alignment horizontal="center"/>
    </xf>
    <xf numFmtId="1" fontId="11" fillId="12" borderId="2" xfId="4" applyNumberFormat="1" applyFont="1" applyFill="1" applyBorder="1" applyAlignment="1">
      <alignment horizontal="center"/>
    </xf>
    <xf numFmtId="167" fontId="11" fillId="12" borderId="3" xfId="4" applyNumberFormat="1" applyFont="1" applyFill="1" applyBorder="1" applyAlignment="1">
      <alignment horizontal="center"/>
    </xf>
    <xf numFmtId="8" fontId="28" fillId="12" borderId="0" xfId="4" applyNumberFormat="1" applyFont="1" applyFill="1" applyAlignment="1">
      <alignment horizontal="center"/>
    </xf>
    <xf numFmtId="0" fontId="28" fillId="24" borderId="0" xfId="4" applyFont="1" applyFill="1" applyAlignment="1">
      <alignment vertical="center"/>
    </xf>
    <xf numFmtId="0" fontId="30" fillId="12" borderId="25" xfId="4" applyFont="1" applyFill="1" applyBorder="1" applyAlignment="1">
      <alignment horizontal="left" indent="2"/>
    </xf>
    <xf numFmtId="0" fontId="28" fillId="2" borderId="0" xfId="4" applyFont="1" applyFill="1" applyAlignment="1">
      <alignment horizontal="center" vertical="center"/>
    </xf>
    <xf numFmtId="0" fontId="27" fillId="24" borderId="16" xfId="4" applyFont="1" applyFill="1" applyBorder="1" applyAlignment="1">
      <alignment horizontal="left" vertical="center"/>
    </xf>
    <xf numFmtId="0" fontId="11" fillId="24" borderId="0" xfId="4" applyFont="1" applyFill="1" applyAlignment="1">
      <alignment horizontal="left" vertical="center"/>
    </xf>
    <xf numFmtId="0" fontId="28" fillId="12" borderId="25" xfId="4" applyFont="1" applyFill="1" applyBorder="1" applyAlignment="1">
      <alignment horizontal="left" indent="2"/>
    </xf>
    <xf numFmtId="0" fontId="27" fillId="24" borderId="0" xfId="4" applyFont="1" applyFill="1" applyAlignment="1">
      <alignment horizontal="left" vertical="center"/>
    </xf>
    <xf numFmtId="167" fontId="11" fillId="24" borderId="37" xfId="4" applyNumberFormat="1" applyFont="1" applyFill="1" applyBorder="1" applyAlignment="1">
      <alignment horizontal="center"/>
    </xf>
    <xf numFmtId="167" fontId="28" fillId="24" borderId="37" xfId="4" applyNumberFormat="1" applyFont="1" applyFill="1" applyBorder="1" applyAlignment="1">
      <alignment horizontal="center"/>
    </xf>
    <xf numFmtId="0" fontId="46" fillId="2" borderId="0" xfId="4" applyFont="1" applyFill="1"/>
    <xf numFmtId="0" fontId="28" fillId="27" borderId="0" xfId="4" applyFont="1" applyFill="1"/>
    <xf numFmtId="0" fontId="28" fillId="25" borderId="0" xfId="4" applyFont="1" applyFill="1" applyAlignment="1">
      <alignment horizontal="center" vertical="center"/>
    </xf>
    <xf numFmtId="167" fontId="28" fillId="25" borderId="0" xfId="4" applyNumberFormat="1" applyFont="1" applyFill="1" applyAlignment="1">
      <alignment horizontal="center" vertical="center"/>
    </xf>
    <xf numFmtId="1" fontId="28" fillId="25" borderId="0" xfId="4" applyNumberFormat="1" applyFont="1" applyFill="1" applyAlignment="1">
      <alignment horizontal="center" vertical="center"/>
    </xf>
    <xf numFmtId="167" fontId="28" fillId="26" borderId="5" xfId="4" applyNumberFormat="1" applyFont="1" applyFill="1" applyBorder="1" applyAlignment="1">
      <alignment horizontal="center" vertical="center"/>
    </xf>
    <xf numFmtId="0" fontId="11" fillId="2" borderId="9" xfId="4" applyFont="1" applyFill="1" applyBorder="1" applyAlignment="1">
      <alignment horizontal="left" vertical="center"/>
    </xf>
    <xf numFmtId="0" fontId="28" fillId="27" borderId="10" xfId="4" applyFont="1" applyFill="1" applyBorder="1"/>
    <xf numFmtId="167" fontId="28" fillId="27" borderId="10" xfId="4" applyNumberFormat="1" applyFont="1" applyFill="1" applyBorder="1" applyAlignment="1">
      <alignment horizontal="center"/>
    </xf>
    <xf numFmtId="1" fontId="28" fillId="27" borderId="10" xfId="4" applyNumberFormat="1" applyFont="1" applyFill="1" applyBorder="1" applyAlignment="1">
      <alignment horizontal="center"/>
    </xf>
    <xf numFmtId="167" fontId="11" fillId="27" borderId="10" xfId="4" applyNumberFormat="1" applyFont="1" applyFill="1" applyBorder="1" applyAlignment="1">
      <alignment horizontal="center"/>
    </xf>
    <xf numFmtId="167" fontId="11" fillId="28" borderId="11" xfId="4" applyNumberFormat="1" applyFont="1" applyFill="1" applyBorder="1" applyAlignment="1">
      <alignment horizontal="center"/>
    </xf>
    <xf numFmtId="167" fontId="28" fillId="28" borderId="11" xfId="4" applyNumberFormat="1" applyFont="1" applyFill="1" applyBorder="1" applyAlignment="1">
      <alignment horizontal="center"/>
    </xf>
    <xf numFmtId="0" fontId="11" fillId="2" borderId="0" xfId="4" applyFont="1" applyFill="1" applyAlignment="1">
      <alignment vertical="center"/>
    </xf>
    <xf numFmtId="167" fontId="28" fillId="23" borderId="0" xfId="4" applyNumberFormat="1" applyFont="1" applyFill="1" applyAlignment="1">
      <alignment horizontal="center" vertical="center" wrapText="1"/>
    </xf>
    <xf numFmtId="167" fontId="28" fillId="12" borderId="0" xfId="4" applyNumberFormat="1" applyFont="1" applyFill="1" applyAlignment="1">
      <alignment horizontal="center" wrapText="1"/>
    </xf>
    <xf numFmtId="0" fontId="29" fillId="2" borderId="2" xfId="4" applyFont="1" applyFill="1" applyBorder="1" applyAlignment="1">
      <alignment vertical="center"/>
    </xf>
    <xf numFmtId="0" fontId="29" fillId="2" borderId="2" xfId="4" applyFont="1" applyFill="1" applyBorder="1"/>
    <xf numFmtId="0" fontId="29" fillId="2" borderId="3" xfId="4" applyFont="1" applyFill="1" applyBorder="1"/>
    <xf numFmtId="0" fontId="11" fillId="2" borderId="9" xfId="4" applyFont="1" applyFill="1" applyBorder="1" applyAlignment="1">
      <alignment vertical="center"/>
    </xf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28" fillId="2" borderId="0" xfId="4" applyFont="1" applyFill="1" applyAlignment="1">
      <alignment horizontal="center"/>
    </xf>
    <xf numFmtId="0" fontId="30" fillId="2" borderId="4" xfId="4" applyFont="1" applyFill="1" applyBorder="1"/>
    <xf numFmtId="167" fontId="28" fillId="2" borderId="0" xfId="4" applyNumberFormat="1" applyFont="1" applyFill="1" applyAlignment="1">
      <alignment horizontal="center" wrapText="1"/>
    </xf>
    <xf numFmtId="49" fontId="11" fillId="2" borderId="9" xfId="4" applyNumberFormat="1" applyFont="1" applyFill="1" applyBorder="1" applyAlignment="1">
      <alignment vertical="center"/>
    </xf>
    <xf numFmtId="3" fontId="28" fillId="2" borderId="10" xfId="4" applyNumberFormat="1" applyFont="1" applyFill="1" applyBorder="1" applyAlignment="1">
      <alignment horizontal="center"/>
    </xf>
    <xf numFmtId="167" fontId="28" fillId="2" borderId="11" xfId="4" applyNumberFormat="1" applyFont="1" applyFill="1" applyBorder="1" applyAlignment="1">
      <alignment horizontal="center"/>
    </xf>
    <xf numFmtId="0" fontId="25" fillId="12" borderId="0" xfId="4" applyFont="1" applyFill="1"/>
    <xf numFmtId="167" fontId="28" fillId="12" borderId="0" xfId="4" applyNumberFormat="1" applyFont="1" applyFill="1" applyAlignment="1">
      <alignment horizontal="center" vertical="center"/>
    </xf>
    <xf numFmtId="0" fontId="29" fillId="12" borderId="0" xfId="4" applyFont="1" applyFill="1" applyAlignment="1">
      <alignment vertical="center"/>
    </xf>
    <xf numFmtId="0" fontId="29" fillId="12" borderId="0" xfId="4" applyFont="1" applyFill="1" applyAlignment="1">
      <alignment horizontal="center" vertical="center"/>
    </xf>
    <xf numFmtId="8" fontId="29" fillId="12" borderId="0" xfId="4" applyNumberFormat="1" applyFont="1" applyFill="1" applyAlignment="1">
      <alignment horizontal="center" vertical="center"/>
    </xf>
    <xf numFmtId="1" fontId="28" fillId="12" borderId="0" xfId="4" applyNumberFormat="1" applyFont="1" applyFill="1" applyAlignment="1">
      <alignment horizontal="center" vertical="center"/>
    </xf>
    <xf numFmtId="0" fontId="29" fillId="12" borderId="0" xfId="4" applyFont="1" applyFill="1" applyAlignment="1">
      <alignment horizontal="center"/>
    </xf>
    <xf numFmtId="1" fontId="28" fillId="2" borderId="0" xfId="4" applyNumberFormat="1" applyFont="1" applyFill="1" applyAlignment="1">
      <alignment horizontal="center" vertical="center"/>
    </xf>
    <xf numFmtId="3" fontId="11" fillId="2" borderId="10" xfId="4" applyNumberFormat="1" applyFont="1" applyFill="1" applyBorder="1"/>
    <xf numFmtId="3" fontId="11" fillId="2" borderId="0" xfId="4" applyNumberFormat="1" applyFont="1" applyFill="1"/>
    <xf numFmtId="167" fontId="28" fillId="2" borderId="5" xfId="4" applyNumberFormat="1" applyFont="1" applyFill="1" applyBorder="1" applyAlignment="1">
      <alignment horizontal="center" vertical="center"/>
    </xf>
    <xf numFmtId="1" fontId="27" fillId="20" borderId="11" xfId="7" applyNumberFormat="1" applyFont="1" applyBorder="1" applyAlignment="1">
      <alignment horizontal="center"/>
    </xf>
    <xf numFmtId="0" fontId="8" fillId="2" borderId="4" xfId="4" applyFont="1" applyFill="1" applyBorder="1"/>
    <xf numFmtId="0" fontId="4" fillId="2" borderId="0" xfId="4" applyFont="1" applyFill="1" applyAlignment="1">
      <alignment vertical="center"/>
    </xf>
    <xf numFmtId="0" fontId="4" fillId="2" borderId="0" xfId="4" applyFont="1" applyFill="1" applyAlignment="1">
      <alignment horizontal="center"/>
    </xf>
    <xf numFmtId="167" fontId="4" fillId="2" borderId="0" xfId="4" applyNumberFormat="1" applyFont="1" applyFill="1" applyAlignment="1">
      <alignment wrapText="1"/>
    </xf>
    <xf numFmtId="167" fontId="4" fillId="2" borderId="0" xfId="4" applyNumberFormat="1" applyFont="1" applyFill="1"/>
    <xf numFmtId="1" fontId="4" fillId="2" borderId="0" xfId="4" applyNumberFormat="1" applyFont="1" applyFill="1"/>
    <xf numFmtId="167" fontId="4" fillId="2" borderId="5" xfId="4" applyNumberFormat="1" applyFont="1" applyFill="1" applyBorder="1"/>
    <xf numFmtId="167" fontId="47" fillId="29" borderId="0" xfId="11" applyNumberFormat="1" applyFont="1" applyFill="1"/>
    <xf numFmtId="44" fontId="47" fillId="29" borderId="0" xfId="11" applyFont="1" applyFill="1"/>
    <xf numFmtId="0" fontId="28" fillId="11" borderId="7" xfId="4" applyFont="1" applyFill="1" applyBorder="1" applyAlignment="1">
      <alignment horizontal="left" vertical="center"/>
    </xf>
    <xf numFmtId="0" fontId="11" fillId="11" borderId="7" xfId="4" applyFont="1" applyFill="1" applyBorder="1" applyAlignment="1">
      <alignment horizontal="center"/>
    </xf>
    <xf numFmtId="0" fontId="28" fillId="9" borderId="0" xfId="4" applyFont="1" applyFill="1" applyAlignment="1">
      <alignment vertical="center"/>
    </xf>
    <xf numFmtId="0" fontId="11" fillId="9" borderId="0" xfId="4" applyFont="1" applyFill="1" applyAlignment="1">
      <alignment horizontal="center"/>
    </xf>
    <xf numFmtId="167" fontId="11" fillId="9" borderId="0" xfId="4" applyNumberFormat="1" applyFont="1" applyFill="1" applyAlignment="1">
      <alignment horizontal="center" wrapText="1"/>
    </xf>
    <xf numFmtId="167" fontId="11" fillId="9" borderId="5" xfId="4" applyNumberFormat="1" applyFont="1" applyFill="1" applyBorder="1" applyAlignment="1">
      <alignment horizontal="center"/>
    </xf>
    <xf numFmtId="0" fontId="28" fillId="9" borderId="7" xfId="4" applyFont="1" applyFill="1" applyBorder="1" applyAlignment="1">
      <alignment vertical="center"/>
    </xf>
    <xf numFmtId="0" fontId="11" fillId="9" borderId="7" xfId="4" applyFont="1" applyFill="1" applyBorder="1" applyAlignment="1">
      <alignment horizontal="center"/>
    </xf>
    <xf numFmtId="167" fontId="11" fillId="9" borderId="7" xfId="4" applyNumberFormat="1" applyFont="1" applyFill="1" applyBorder="1" applyAlignment="1">
      <alignment horizontal="center" wrapText="1"/>
    </xf>
    <xf numFmtId="49" fontId="26" fillId="3" borderId="6" xfId="8" applyNumberFormat="1" applyFont="1" applyFill="1" applyBorder="1"/>
    <xf numFmtId="49" fontId="26" fillId="3" borderId="7" xfId="8" applyNumberFormat="1" applyFont="1" applyFill="1" applyBorder="1" applyAlignment="1">
      <alignment horizontal="center"/>
    </xf>
    <xf numFmtId="49" fontId="26" fillId="3" borderId="8" xfId="8" applyNumberFormat="1" applyFont="1" applyFill="1" applyBorder="1" applyAlignment="1">
      <alignment horizontal="center"/>
    </xf>
    <xf numFmtId="49" fontId="26" fillId="4" borderId="9" xfId="8" applyNumberFormat="1" applyFont="1" applyFill="1" applyBorder="1" applyAlignment="1">
      <alignment horizontal="center"/>
    </xf>
    <xf numFmtId="49" fontId="26" fillId="3" borderId="10" xfId="8" applyNumberFormat="1" applyFont="1" applyFill="1" applyBorder="1" applyAlignment="1">
      <alignment horizontal="center"/>
    </xf>
    <xf numFmtId="1" fontId="26" fillId="3" borderId="10" xfId="8" applyNumberFormat="1" applyFont="1" applyFill="1" applyBorder="1" applyAlignment="1">
      <alignment horizontal="center"/>
    </xf>
    <xf numFmtId="167" fontId="26" fillId="3" borderId="10" xfId="8" applyNumberFormat="1" applyFont="1" applyFill="1" applyBorder="1" applyAlignment="1">
      <alignment horizontal="center"/>
    </xf>
    <xf numFmtId="167" fontId="26" fillId="4" borderId="11" xfId="8" applyNumberFormat="1" applyFont="1" applyFill="1" applyBorder="1" applyAlignment="1">
      <alignment horizontal="center"/>
    </xf>
    <xf numFmtId="0" fontId="11" fillId="5" borderId="4" xfId="8" applyFont="1" applyFill="1" applyBorder="1" applyAlignment="1">
      <alignment horizontal="center"/>
    </xf>
    <xf numFmtId="0" fontId="11" fillId="5" borderId="0" xfId="8" applyFont="1" applyFill="1" applyAlignment="1">
      <alignment horizontal="center"/>
    </xf>
    <xf numFmtId="0" fontId="11" fillId="7" borderId="0" xfId="8" applyFont="1" applyFill="1" applyAlignment="1">
      <alignment horizontal="center"/>
    </xf>
    <xf numFmtId="167" fontId="11" fillId="2" borderId="2" xfId="8" applyNumberFormat="1" applyFont="1" applyFill="1" applyBorder="1" applyAlignment="1">
      <alignment horizontal="center"/>
    </xf>
    <xf numFmtId="167" fontId="11" fillId="7" borderId="2" xfId="8" applyNumberFormat="1" applyFont="1" applyFill="1" applyBorder="1" applyAlignment="1">
      <alignment horizontal="center"/>
    </xf>
    <xf numFmtId="1" fontId="11" fillId="7" borderId="2" xfId="8" applyNumberFormat="1" applyFont="1" applyFill="1" applyBorder="1" applyAlignment="1">
      <alignment horizontal="center"/>
    </xf>
    <xf numFmtId="167" fontId="11" fillId="2" borderId="3" xfId="8" applyNumberFormat="1" applyFont="1" applyFill="1" applyBorder="1" applyAlignment="1">
      <alignment horizontal="center"/>
    </xf>
    <xf numFmtId="167" fontId="11" fillId="11" borderId="7" xfId="8" applyNumberFormat="1" applyFont="1" applyFill="1" applyBorder="1" applyAlignment="1">
      <alignment horizontal="center"/>
    </xf>
    <xf numFmtId="1" fontId="11" fillId="11" borderId="7" xfId="8" applyNumberFormat="1" applyFont="1" applyFill="1" applyBorder="1" applyAlignment="1">
      <alignment horizontal="center"/>
    </xf>
    <xf numFmtId="167" fontId="11" fillId="11" borderId="8" xfId="8" applyNumberFormat="1" applyFont="1" applyFill="1" applyBorder="1" applyAlignment="1">
      <alignment horizontal="center"/>
    </xf>
    <xf numFmtId="0" fontId="11" fillId="2" borderId="4" xfId="8" applyFont="1" applyFill="1" applyBorder="1"/>
    <xf numFmtId="0" fontId="11" fillId="2" borderId="0" xfId="8" applyFont="1" applyFill="1"/>
    <xf numFmtId="167" fontId="11" fillId="2" borderId="0" xfId="8" applyNumberFormat="1" applyFont="1" applyFill="1" applyAlignment="1">
      <alignment horizontal="center"/>
    </xf>
    <xf numFmtId="1" fontId="11" fillId="2" borderId="0" xfId="8" applyNumberFormat="1" applyFont="1" applyFill="1" applyAlignment="1">
      <alignment horizontal="center"/>
    </xf>
    <xf numFmtId="167" fontId="11" fillId="2" borderId="5" xfId="8" applyNumberFormat="1" applyFont="1" applyFill="1" applyBorder="1" applyAlignment="1">
      <alignment horizontal="center"/>
    </xf>
    <xf numFmtId="167" fontId="11" fillId="6" borderId="7" xfId="8" applyNumberFormat="1" applyFont="1" applyFill="1" applyBorder="1" applyAlignment="1">
      <alignment horizontal="center"/>
    </xf>
    <xf numFmtId="1" fontId="11" fillId="6" borderId="7" xfId="8" applyNumberFormat="1" applyFont="1" applyFill="1" applyBorder="1" applyAlignment="1">
      <alignment horizontal="center"/>
    </xf>
    <xf numFmtId="0" fontId="28" fillId="2" borderId="0" xfId="8" applyFont="1" applyFill="1"/>
    <xf numFmtId="167" fontId="28" fillId="2" borderId="0" xfId="8" applyNumberFormat="1" applyFont="1" applyFill="1" applyAlignment="1">
      <alignment horizontal="center"/>
    </xf>
    <xf numFmtId="1" fontId="28" fillId="2" borderId="0" xfId="8" applyNumberFormat="1" applyFont="1" applyFill="1" applyAlignment="1">
      <alignment horizontal="center"/>
    </xf>
    <xf numFmtId="167" fontId="28" fillId="2" borderId="5" xfId="8" applyNumberFormat="1" applyFont="1" applyFill="1" applyBorder="1" applyAlignment="1">
      <alignment horizontal="center"/>
    </xf>
    <xf numFmtId="0" fontId="28" fillId="2" borderId="4" xfId="8" applyFont="1" applyFill="1" applyBorder="1"/>
    <xf numFmtId="3" fontId="28" fillId="9" borderId="0" xfId="8" applyNumberFormat="1" applyFont="1" applyFill="1"/>
    <xf numFmtId="167" fontId="28" fillId="9" borderId="0" xfId="8" applyNumberFormat="1" applyFont="1" applyFill="1" applyAlignment="1">
      <alignment horizontal="center"/>
    </xf>
    <xf numFmtId="1" fontId="28" fillId="9" borderId="0" xfId="8" applyNumberFormat="1" applyFont="1" applyFill="1" applyAlignment="1">
      <alignment horizontal="center"/>
    </xf>
    <xf numFmtId="167" fontId="28" fillId="9" borderId="5" xfId="8" applyNumberFormat="1" applyFont="1" applyFill="1" applyBorder="1" applyAlignment="1">
      <alignment horizontal="center"/>
    </xf>
    <xf numFmtId="0" fontId="25" fillId="21" borderId="0" xfId="8" applyFont="1"/>
    <xf numFmtId="0" fontId="25" fillId="21" borderId="0" xfId="8" applyFont="1" applyAlignment="1">
      <alignment horizontal="center"/>
    </xf>
    <xf numFmtId="8" fontId="25" fillId="21" borderId="0" xfId="8" applyNumberFormat="1" applyFont="1" applyAlignment="1">
      <alignment horizontal="center"/>
    </xf>
    <xf numFmtId="8" fontId="25" fillId="21" borderId="0" xfId="12" applyNumberFormat="1" applyFont="1" applyFill="1" applyAlignment="1">
      <alignment horizontal="center"/>
    </xf>
    <xf numFmtId="0" fontId="25" fillId="9" borderId="0" xfId="8" applyFont="1" applyFill="1"/>
    <xf numFmtId="0" fontId="28" fillId="0" borderId="4" xfId="8" applyFont="1" applyFill="1" applyBorder="1"/>
    <xf numFmtId="0" fontId="25" fillId="2" borderId="0" xfId="8" applyFont="1" applyFill="1"/>
    <xf numFmtId="167" fontId="28" fillId="2" borderId="5" xfId="12" applyNumberFormat="1" applyFont="1" applyFill="1" applyBorder="1" applyAlignment="1">
      <alignment horizontal="center"/>
    </xf>
    <xf numFmtId="0" fontId="11" fillId="2" borderId="9" xfId="8" applyFont="1" applyFill="1" applyBorder="1"/>
    <xf numFmtId="3" fontId="11" fillId="2" borderId="10" xfId="8" applyNumberFormat="1" applyFont="1" applyFill="1" applyBorder="1"/>
    <xf numFmtId="167" fontId="11" fillId="2" borderId="10" xfId="8" applyNumberFormat="1" applyFont="1" applyFill="1" applyBorder="1" applyAlignment="1">
      <alignment horizontal="center"/>
    </xf>
    <xf numFmtId="1" fontId="11" fillId="2" borderId="10" xfId="8" applyNumberFormat="1" applyFont="1" applyFill="1" applyBorder="1" applyAlignment="1">
      <alignment horizontal="center"/>
    </xf>
    <xf numFmtId="167" fontId="11" fillId="2" borderId="11" xfId="8" applyNumberFormat="1" applyFont="1" applyFill="1" applyBorder="1" applyAlignment="1">
      <alignment horizontal="center"/>
    </xf>
    <xf numFmtId="0" fontId="30" fillId="0" borderId="4" xfId="8" applyFont="1" applyFill="1" applyBorder="1"/>
    <xf numFmtId="3" fontId="28" fillId="0" borderId="0" xfId="8" applyNumberFormat="1" applyFont="1" applyFill="1"/>
    <xf numFmtId="0" fontId="30" fillId="2" borderId="4" xfId="8" applyFont="1" applyFill="1" applyBorder="1"/>
    <xf numFmtId="0" fontId="28" fillId="9" borderId="0" xfId="8" applyFont="1" applyFill="1"/>
    <xf numFmtId="3" fontId="28" fillId="2" borderId="0" xfId="8" applyNumberFormat="1" applyFont="1" applyFill="1"/>
    <xf numFmtId="0" fontId="11" fillId="2" borderId="10" xfId="8" applyFont="1" applyFill="1" applyBorder="1"/>
    <xf numFmtId="0" fontId="11" fillId="0" borderId="4" xfId="8" applyFont="1" applyFill="1" applyBorder="1"/>
    <xf numFmtId="167" fontId="11" fillId="0" borderId="0" xfId="8" applyNumberFormat="1" applyFont="1" applyFill="1" applyAlignment="1">
      <alignment horizontal="center"/>
    </xf>
    <xf numFmtId="167" fontId="11" fillId="0" borderId="5" xfId="8" applyNumberFormat="1" applyFont="1" applyFill="1" applyBorder="1" applyAlignment="1">
      <alignment horizontal="center"/>
    </xf>
    <xf numFmtId="44" fontId="15" fillId="0" borderId="0" xfId="12"/>
    <xf numFmtId="0" fontId="11" fillId="9" borderId="0" xfId="8" applyFont="1" applyFill="1"/>
    <xf numFmtId="167" fontId="11" fillId="9" borderId="0" xfId="8" applyNumberFormat="1" applyFont="1" applyFill="1" applyAlignment="1">
      <alignment horizontal="center"/>
    </xf>
    <xf numFmtId="167" fontId="11" fillId="9" borderId="3" xfId="8" applyNumberFormat="1" applyFont="1" applyFill="1" applyBorder="1" applyAlignment="1">
      <alignment horizontal="center"/>
    </xf>
    <xf numFmtId="0" fontId="11" fillId="2" borderId="6" xfId="8" applyFont="1" applyFill="1" applyBorder="1"/>
    <xf numFmtId="0" fontId="11" fillId="9" borderId="7" xfId="8" applyFont="1" applyFill="1" applyBorder="1"/>
    <xf numFmtId="167" fontId="11" fillId="9" borderId="7" xfId="8" applyNumberFormat="1" applyFont="1" applyFill="1" applyBorder="1" applyAlignment="1">
      <alignment horizontal="center"/>
    </xf>
    <xf numFmtId="167" fontId="11" fillId="9" borderId="8" xfId="8" applyNumberFormat="1" applyFont="1" applyFill="1" applyBorder="1" applyAlignment="1">
      <alignment horizontal="center"/>
    </xf>
    <xf numFmtId="167" fontId="11" fillId="9" borderId="8" xfId="13" applyNumberFormat="1" applyFont="1" applyFill="1" applyBorder="1" applyAlignment="1">
      <alignment horizontal="center"/>
    </xf>
    <xf numFmtId="167" fontId="11" fillId="9" borderId="7" xfId="13" applyNumberFormat="1" applyFont="1" applyFill="1" applyBorder="1" applyAlignment="1">
      <alignment horizontal="center"/>
    </xf>
    <xf numFmtId="0" fontId="11" fillId="9" borderId="7" xfId="13" applyFont="1" applyFill="1" applyBorder="1"/>
    <xf numFmtId="0" fontId="11" fillId="2" borderId="6" xfId="13" applyFont="1" applyFill="1" applyBorder="1"/>
    <xf numFmtId="167" fontId="11" fillId="2" borderId="5" xfId="13" applyNumberFormat="1" applyFont="1" applyFill="1" applyBorder="1" applyAlignment="1">
      <alignment horizontal="center"/>
    </xf>
    <xf numFmtId="167" fontId="11" fillId="2" borderId="0" xfId="13" applyNumberFormat="1" applyFont="1" applyFill="1" applyAlignment="1">
      <alignment horizontal="center"/>
    </xf>
    <xf numFmtId="0" fontId="11" fillId="2" borderId="0" xfId="13" applyFont="1" applyFill="1"/>
    <xf numFmtId="0" fontId="11" fillId="2" borderId="4" xfId="13" applyFont="1" applyFill="1" applyBorder="1"/>
    <xf numFmtId="167" fontId="11" fillId="9" borderId="3" xfId="13" applyNumberFormat="1" applyFont="1" applyFill="1" applyBorder="1" applyAlignment="1">
      <alignment horizontal="center"/>
    </xf>
    <xf numFmtId="167" fontId="11" fillId="9" borderId="0" xfId="13" applyNumberFormat="1" applyFont="1" applyFill="1" applyAlignment="1">
      <alignment horizontal="center"/>
    </xf>
    <xf numFmtId="0" fontId="11" fillId="9" borderId="0" xfId="13" applyFont="1" applyFill="1"/>
    <xf numFmtId="167" fontId="11" fillId="11" borderId="8" xfId="13" applyNumberFormat="1" applyFont="1" applyFill="1" applyBorder="1" applyAlignment="1">
      <alignment horizontal="center"/>
    </xf>
    <xf numFmtId="167" fontId="11" fillId="11" borderId="7" xfId="13" applyNumberFormat="1" applyFont="1" applyFill="1" applyBorder="1" applyAlignment="1">
      <alignment horizontal="center"/>
    </xf>
    <xf numFmtId="1" fontId="11" fillId="11" borderId="7" xfId="13" applyNumberFormat="1" applyFont="1" applyFill="1" applyBorder="1" applyAlignment="1">
      <alignment horizontal="center"/>
    </xf>
    <xf numFmtId="1" fontId="11" fillId="2" borderId="0" xfId="13" applyNumberFormat="1" applyFont="1" applyFill="1" applyAlignment="1">
      <alignment horizontal="center"/>
    </xf>
    <xf numFmtId="0" fontId="28" fillId="2" borderId="0" xfId="13" applyFont="1" applyFill="1"/>
    <xf numFmtId="0" fontId="28" fillId="2" borderId="4" xfId="13" applyFont="1" applyFill="1" applyBorder="1"/>
    <xf numFmtId="167" fontId="28" fillId="2" borderId="5" xfId="13" applyNumberFormat="1" applyFont="1" applyFill="1" applyBorder="1" applyAlignment="1">
      <alignment horizontal="center"/>
    </xf>
    <xf numFmtId="167" fontId="28" fillId="2" borderId="0" xfId="13" applyNumberFormat="1" applyFont="1" applyFill="1" applyAlignment="1">
      <alignment horizontal="center"/>
    </xf>
    <xf numFmtId="1" fontId="28" fillId="2" borderId="0" xfId="13" applyNumberFormat="1" applyFont="1" applyFill="1" applyAlignment="1">
      <alignment horizontal="center"/>
    </xf>
    <xf numFmtId="3" fontId="28" fillId="2" borderId="0" xfId="13" applyNumberFormat="1" applyFont="1" applyFill="1"/>
    <xf numFmtId="167" fontId="11" fillId="2" borderId="11" xfId="13" applyNumberFormat="1" applyFont="1" applyFill="1" applyBorder="1" applyAlignment="1">
      <alignment horizontal="center"/>
    </xf>
    <xf numFmtId="167" fontId="11" fillId="2" borderId="10" xfId="13" applyNumberFormat="1" applyFont="1" applyFill="1" applyBorder="1" applyAlignment="1">
      <alignment horizontal="center"/>
    </xf>
    <xf numFmtId="1" fontId="11" fillId="2" borderId="10" xfId="13" applyNumberFormat="1" applyFont="1" applyFill="1" applyBorder="1" applyAlignment="1">
      <alignment horizontal="center"/>
    </xf>
    <xf numFmtId="0" fontId="11" fillId="2" borderId="10" xfId="13" applyFont="1" applyFill="1" applyBorder="1"/>
    <xf numFmtId="0" fontId="11" fillId="2" borderId="9" xfId="13" applyFont="1" applyFill="1" applyBorder="1"/>
    <xf numFmtId="167" fontId="28" fillId="9" borderId="5" xfId="13" applyNumberFormat="1" applyFont="1" applyFill="1" applyBorder="1" applyAlignment="1">
      <alignment horizontal="center"/>
    </xf>
    <xf numFmtId="167" fontId="28" fillId="9" borderId="0" xfId="13" applyNumberFormat="1" applyFont="1" applyFill="1" applyAlignment="1">
      <alignment horizontal="center"/>
    </xf>
    <xf numFmtId="1" fontId="28" fillId="9" borderId="0" xfId="13" applyNumberFormat="1" applyFont="1" applyFill="1" applyAlignment="1">
      <alignment horizontal="center"/>
    </xf>
    <xf numFmtId="167" fontId="4" fillId="9" borderId="0" xfId="13" applyNumberFormat="1" applyFont="1" applyFill="1" applyAlignment="1">
      <alignment horizontal="center"/>
    </xf>
    <xf numFmtId="167" fontId="28" fillId="9" borderId="0" xfId="13" applyNumberFormat="1" applyFont="1" applyFill="1" applyAlignment="1">
      <alignment horizontal="center" wrapText="1"/>
    </xf>
    <xf numFmtId="0" fontId="28" fillId="9" borderId="0" xfId="13" applyFont="1" applyFill="1"/>
    <xf numFmtId="0" fontId="28" fillId="9" borderId="0" xfId="13" applyFont="1" applyFill="1" applyAlignment="1">
      <alignment horizontal="left"/>
    </xf>
    <xf numFmtId="167" fontId="28" fillId="2" borderId="0" xfId="13" applyNumberFormat="1" applyFont="1" applyFill="1" applyAlignment="1">
      <alignment horizontal="center" vertical="center"/>
    </xf>
    <xf numFmtId="1" fontId="28" fillId="2" borderId="0" xfId="13" applyNumberFormat="1" applyFont="1" applyFill="1" applyAlignment="1">
      <alignment horizontal="center" vertical="center"/>
    </xf>
    <xf numFmtId="0" fontId="28" fillId="2" borderId="0" xfId="13" applyFont="1" applyFill="1" applyAlignment="1">
      <alignment vertical="center"/>
    </xf>
    <xf numFmtId="0" fontId="11" fillId="2" borderId="0" xfId="13" applyFont="1" applyFill="1" applyAlignment="1">
      <alignment vertical="center"/>
    </xf>
    <xf numFmtId="167" fontId="28" fillId="9" borderId="0" xfId="13" applyNumberFormat="1" applyFont="1" applyFill="1" applyAlignment="1">
      <alignment horizontal="center" vertical="center"/>
    </xf>
    <xf numFmtId="1" fontId="28" fillId="9" borderId="0" xfId="13" applyNumberFormat="1" applyFont="1" applyFill="1" applyAlignment="1">
      <alignment horizontal="center" vertical="center"/>
    </xf>
    <xf numFmtId="167" fontId="28" fillId="9" borderId="0" xfId="13" applyNumberFormat="1" applyFont="1" applyFill="1" applyAlignment="1">
      <alignment horizontal="center" vertical="center" wrapText="1"/>
    </xf>
    <xf numFmtId="0" fontId="28" fillId="9" borderId="0" xfId="13" applyFont="1" applyFill="1" applyAlignment="1">
      <alignment vertical="center"/>
    </xf>
    <xf numFmtId="0" fontId="28" fillId="9" borderId="0" xfId="13" applyFont="1" applyFill="1" applyAlignment="1">
      <alignment horizontal="left" vertical="center"/>
    </xf>
    <xf numFmtId="3" fontId="28" fillId="9" borderId="0" xfId="13" applyNumberFormat="1" applyFont="1" applyFill="1"/>
    <xf numFmtId="0" fontId="30" fillId="2" borderId="4" xfId="13" applyFont="1" applyFill="1" applyBorder="1"/>
    <xf numFmtId="167" fontId="11" fillId="6" borderId="7" xfId="13" applyNumberFormat="1" applyFont="1" applyFill="1" applyBorder="1" applyAlignment="1">
      <alignment horizontal="center"/>
    </xf>
    <xf numFmtId="1" fontId="11" fillId="6" borderId="7" xfId="13" applyNumberFormat="1" applyFont="1" applyFill="1" applyBorder="1" applyAlignment="1">
      <alignment horizontal="center"/>
    </xf>
    <xf numFmtId="167" fontId="8" fillId="5" borderId="5" xfId="13" applyNumberFormat="1" applyFont="1" applyFill="1" applyBorder="1" applyAlignment="1">
      <alignment horizontal="center"/>
    </xf>
    <xf numFmtId="167" fontId="8" fillId="5" borderId="0" xfId="13" applyNumberFormat="1" applyFont="1" applyFill="1" applyAlignment="1">
      <alignment horizontal="center"/>
    </xf>
    <xf numFmtId="1" fontId="8" fillId="5" borderId="0" xfId="13" applyNumberFormat="1" applyFont="1" applyFill="1" applyAlignment="1">
      <alignment horizontal="center"/>
    </xf>
    <xf numFmtId="0" fontId="40" fillId="5" borderId="0" xfId="13" applyFont="1" applyFill="1"/>
    <xf numFmtId="0" fontId="40" fillId="5" borderId="4" xfId="13" applyFont="1" applyFill="1" applyBorder="1"/>
    <xf numFmtId="167" fontId="40" fillId="5" borderId="5" xfId="13" applyNumberFormat="1" applyFont="1" applyFill="1" applyBorder="1" applyAlignment="1">
      <alignment horizontal="center"/>
    </xf>
    <xf numFmtId="167" fontId="40" fillId="5" borderId="0" xfId="13" applyNumberFormat="1" applyFont="1" applyFill="1" applyAlignment="1">
      <alignment horizontal="center"/>
    </xf>
    <xf numFmtId="1" fontId="40" fillId="5" borderId="0" xfId="13" applyNumberFormat="1" applyFont="1" applyFill="1" applyAlignment="1">
      <alignment horizontal="center"/>
    </xf>
    <xf numFmtId="0" fontId="8" fillId="5" borderId="0" xfId="13" applyFont="1" applyFill="1"/>
    <xf numFmtId="0" fontId="8" fillId="5" borderId="4" xfId="13" applyFont="1" applyFill="1" applyBorder="1"/>
    <xf numFmtId="167" fontId="11" fillId="2" borderId="3" xfId="13" applyNumberFormat="1" applyFont="1" applyFill="1" applyBorder="1" applyAlignment="1">
      <alignment horizontal="center"/>
    </xf>
    <xf numFmtId="167" fontId="11" fillId="7" borderId="2" xfId="13" applyNumberFormat="1" applyFont="1" applyFill="1" applyBorder="1" applyAlignment="1">
      <alignment horizontal="center"/>
    </xf>
    <xf numFmtId="1" fontId="11" fillId="7" borderId="2" xfId="13" applyNumberFormat="1" applyFont="1" applyFill="1" applyBorder="1" applyAlignment="1">
      <alignment horizontal="center"/>
    </xf>
    <xf numFmtId="167" fontId="11" fillId="2" borderId="2" xfId="13" applyNumberFormat="1" applyFont="1" applyFill="1" applyBorder="1" applyAlignment="1">
      <alignment horizontal="center"/>
    </xf>
    <xf numFmtId="0" fontId="11" fillId="7" borderId="0" xfId="13" applyFont="1" applyFill="1" applyAlignment="1">
      <alignment horizontal="center"/>
    </xf>
    <xf numFmtId="0" fontId="11" fillId="5" borderId="0" xfId="13" applyFont="1" applyFill="1" applyAlignment="1">
      <alignment horizontal="center"/>
    </xf>
    <xf numFmtId="0" fontId="11" fillId="5" borderId="4" xfId="13" applyFont="1" applyFill="1" applyBorder="1" applyAlignment="1">
      <alignment horizontal="center"/>
    </xf>
    <xf numFmtId="167" fontId="26" fillId="4" borderId="11" xfId="13" applyNumberFormat="1" applyFont="1" applyFill="1" applyBorder="1" applyAlignment="1">
      <alignment horizontal="center"/>
    </xf>
    <xf numFmtId="167" fontId="26" fillId="3" borderId="10" xfId="13" applyNumberFormat="1" applyFont="1" applyFill="1" applyBorder="1" applyAlignment="1">
      <alignment horizontal="center"/>
    </xf>
    <xf numFmtId="1" fontId="26" fillId="3" borderId="10" xfId="13" applyNumberFormat="1" applyFont="1" applyFill="1" applyBorder="1" applyAlignment="1">
      <alignment horizontal="center"/>
    </xf>
    <xf numFmtId="49" fontId="26" fillId="3" borderId="10" xfId="13" applyNumberFormat="1" applyFont="1" applyFill="1" applyBorder="1" applyAlignment="1">
      <alignment horizontal="center"/>
    </xf>
    <xf numFmtId="49" fontId="26" fillId="4" borderId="9" xfId="13" applyNumberFormat="1" applyFont="1" applyFill="1" applyBorder="1" applyAlignment="1">
      <alignment horizontal="center"/>
    </xf>
    <xf numFmtId="49" fontId="26" fillId="3" borderId="8" xfId="13" applyNumberFormat="1" applyFont="1" applyFill="1" applyBorder="1" applyAlignment="1">
      <alignment horizontal="center"/>
    </xf>
    <xf numFmtId="49" fontId="26" fillId="3" borderId="7" xfId="13" applyNumberFormat="1" applyFont="1" applyFill="1" applyBorder="1" applyAlignment="1">
      <alignment horizontal="center"/>
    </xf>
    <xf numFmtId="49" fontId="26" fillId="3" borderId="6" xfId="13" applyNumberFormat="1" applyFont="1" applyFill="1" applyBorder="1"/>
    <xf numFmtId="0" fontId="2" fillId="21" borderId="8" xfId="13" applyFont="1" applyBorder="1"/>
    <xf numFmtId="0" fontId="2" fillId="21" borderId="7" xfId="13" applyFont="1" applyBorder="1"/>
    <xf numFmtId="0" fontId="2" fillId="21" borderId="0" xfId="13" applyFont="1"/>
    <xf numFmtId="0" fontId="38" fillId="21" borderId="0" xfId="13" applyFont="1" applyAlignment="1">
      <alignment vertical="center"/>
    </xf>
    <xf numFmtId="0" fontId="1" fillId="21" borderId="0" xfId="13"/>
    <xf numFmtId="167" fontId="11" fillId="5" borderId="0" xfId="13" applyNumberFormat="1" applyFont="1" applyFill="1" applyAlignment="1">
      <alignment horizontal="center"/>
    </xf>
    <xf numFmtId="1" fontId="11" fillId="5" borderId="0" xfId="13" applyNumberFormat="1" applyFont="1" applyFill="1" applyAlignment="1">
      <alignment horizontal="center"/>
    </xf>
    <xf numFmtId="167" fontId="11" fillId="5" borderId="5" xfId="13" applyNumberFormat="1" applyFont="1" applyFill="1" applyBorder="1" applyAlignment="1">
      <alignment horizontal="center"/>
    </xf>
    <xf numFmtId="167" fontId="11" fillId="6" borderId="8" xfId="13" applyNumberFormat="1" applyFont="1" applyFill="1" applyBorder="1" applyAlignment="1">
      <alignment horizontal="center"/>
    </xf>
    <xf numFmtId="0" fontId="11" fillId="5" borderId="4" xfId="13" applyFont="1" applyFill="1" applyBorder="1"/>
    <xf numFmtId="0" fontId="11" fillId="5" borderId="0" xfId="13" applyFont="1" applyFill="1"/>
    <xf numFmtId="0" fontId="8" fillId="2" borderId="4" xfId="13" applyFont="1" applyFill="1" applyBorder="1"/>
    <xf numFmtId="0" fontId="8" fillId="2" borderId="0" xfId="13" applyFont="1" applyFill="1" applyAlignment="1">
      <alignment horizontal="center"/>
    </xf>
    <xf numFmtId="0" fontId="4" fillId="2" borderId="0" xfId="13" applyFont="1" applyFill="1" applyAlignment="1">
      <alignment horizontal="center"/>
    </xf>
    <xf numFmtId="167" fontId="4" fillId="2" borderId="0" xfId="13" applyNumberFormat="1" applyFont="1" applyFill="1" applyAlignment="1">
      <alignment horizontal="center"/>
    </xf>
    <xf numFmtId="1" fontId="4" fillId="2" borderId="0" xfId="13" applyNumberFormat="1" applyFont="1" applyFill="1" applyAlignment="1">
      <alignment horizontal="center"/>
    </xf>
    <xf numFmtId="167" fontId="4" fillId="2" borderId="5" xfId="13" applyNumberFormat="1" applyFont="1" applyFill="1" applyBorder="1" applyAlignment="1">
      <alignment horizontal="center"/>
    </xf>
    <xf numFmtId="0" fontId="4" fillId="2" borderId="4" xfId="13" applyFont="1" applyFill="1" applyBorder="1"/>
    <xf numFmtId="0" fontId="4" fillId="9" borderId="0" xfId="13" applyFont="1" applyFill="1" applyAlignment="1">
      <alignment horizontal="center"/>
    </xf>
    <xf numFmtId="3" fontId="4" fillId="9" borderId="0" xfId="13" applyNumberFormat="1" applyFont="1" applyFill="1" applyAlignment="1">
      <alignment horizontal="center"/>
    </xf>
    <xf numFmtId="1" fontId="4" fillId="9" borderId="0" xfId="13" applyNumberFormat="1" applyFont="1" applyFill="1" applyAlignment="1">
      <alignment horizontal="center"/>
    </xf>
    <xf numFmtId="167" fontId="4" fillId="9" borderId="5" xfId="13" applyNumberFormat="1" applyFont="1" applyFill="1" applyBorder="1" applyAlignment="1">
      <alignment horizontal="center"/>
    </xf>
    <xf numFmtId="3" fontId="4" fillId="2" borderId="0" xfId="13" applyNumberFormat="1" applyFont="1" applyFill="1" applyAlignment="1">
      <alignment horizontal="center"/>
    </xf>
    <xf numFmtId="0" fontId="8" fillId="2" borderId="9" xfId="13" applyFont="1" applyFill="1" applyBorder="1" applyAlignment="1">
      <alignment horizontal="left"/>
    </xf>
    <xf numFmtId="3" fontId="8" fillId="2" borderId="10" xfId="13" applyNumberFormat="1" applyFont="1" applyFill="1" applyBorder="1" applyAlignment="1">
      <alignment horizontal="center"/>
    </xf>
    <xf numFmtId="167" fontId="8" fillId="2" borderId="10" xfId="13" applyNumberFormat="1" applyFont="1" applyFill="1" applyBorder="1" applyAlignment="1">
      <alignment horizontal="center"/>
    </xf>
    <xf numFmtId="1" fontId="8" fillId="2" borderId="10" xfId="13" applyNumberFormat="1" applyFont="1" applyFill="1" applyBorder="1" applyAlignment="1">
      <alignment horizontal="center"/>
    </xf>
    <xf numFmtId="167" fontId="8" fillId="2" borderId="11" xfId="13" applyNumberFormat="1" applyFont="1" applyFill="1" applyBorder="1" applyAlignment="1">
      <alignment horizontal="center"/>
    </xf>
    <xf numFmtId="167" fontId="8" fillId="2" borderId="0" xfId="13" applyNumberFormat="1" applyFont="1" applyFill="1" applyAlignment="1">
      <alignment horizontal="center"/>
    </xf>
    <xf numFmtId="1" fontId="8" fillId="2" borderId="0" xfId="13" applyNumberFormat="1" applyFont="1" applyFill="1" applyAlignment="1">
      <alignment horizontal="center"/>
    </xf>
    <xf numFmtId="167" fontId="8" fillId="2" borderId="5" xfId="13" applyNumberFormat="1" applyFont="1" applyFill="1" applyBorder="1" applyAlignment="1">
      <alignment horizontal="center"/>
    </xf>
    <xf numFmtId="0" fontId="28" fillId="5" borderId="4" xfId="13" applyFont="1" applyFill="1" applyBorder="1"/>
    <xf numFmtId="0" fontId="28" fillId="5" borderId="0" xfId="13" applyFont="1" applyFill="1"/>
    <xf numFmtId="3" fontId="28" fillId="5" borderId="0" xfId="13" applyNumberFormat="1" applyFont="1" applyFill="1"/>
    <xf numFmtId="167" fontId="28" fillId="5" borderId="0" xfId="13" applyNumberFormat="1" applyFont="1" applyFill="1" applyAlignment="1">
      <alignment horizontal="center"/>
    </xf>
    <xf numFmtId="1" fontId="28" fillId="5" borderId="0" xfId="13" applyNumberFormat="1" applyFont="1" applyFill="1" applyAlignment="1">
      <alignment horizontal="center"/>
    </xf>
    <xf numFmtId="167" fontId="28" fillId="5" borderId="5" xfId="13" applyNumberFormat="1" applyFont="1" applyFill="1" applyBorder="1" applyAlignment="1">
      <alignment horizontal="center"/>
    </xf>
    <xf numFmtId="0" fontId="11" fillId="10" borderId="0" xfId="13" applyFont="1" applyFill="1"/>
    <xf numFmtId="167" fontId="11" fillId="10" borderId="0" xfId="13" applyNumberFormat="1" applyFont="1" applyFill="1" applyAlignment="1">
      <alignment horizontal="center"/>
    </xf>
    <xf numFmtId="167" fontId="11" fillId="10" borderId="5" xfId="13" applyNumberFormat="1" applyFont="1" applyFill="1" applyBorder="1" applyAlignment="1">
      <alignment horizontal="center"/>
    </xf>
    <xf numFmtId="0" fontId="11" fillId="5" borderId="6" xfId="13" applyFont="1" applyFill="1" applyBorder="1"/>
    <xf numFmtId="0" fontId="11" fillId="10" borderId="7" xfId="13" applyFont="1" applyFill="1" applyBorder="1"/>
    <xf numFmtId="167" fontId="11" fillId="10" borderId="7" xfId="13" applyNumberFormat="1" applyFont="1" applyFill="1" applyBorder="1" applyAlignment="1">
      <alignment horizontal="center"/>
    </xf>
    <xf numFmtId="167" fontId="11" fillId="10" borderId="8" xfId="13" applyNumberFormat="1" applyFont="1" applyFill="1" applyBorder="1" applyAlignment="1">
      <alignment horizontal="center"/>
    </xf>
    <xf numFmtId="167" fontId="11" fillId="2" borderId="5" xfId="1" applyNumberFormat="1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left" vertical="center"/>
    </xf>
    <xf numFmtId="44" fontId="11" fillId="11" borderId="8" xfId="1" applyFont="1" applyFill="1" applyBorder="1" applyAlignment="1">
      <alignment horizontal="left" vertical="center"/>
    </xf>
    <xf numFmtId="44" fontId="28" fillId="2" borderId="5" xfId="1" applyFont="1" applyFill="1" applyBorder="1" applyAlignment="1">
      <alignment horizontal="left" vertical="center"/>
    </xf>
    <xf numFmtId="0" fontId="28" fillId="9" borderId="0" xfId="0" applyFont="1" applyFill="1" applyAlignment="1">
      <alignment horizontal="center"/>
    </xf>
    <xf numFmtId="6" fontId="28" fillId="9" borderId="0" xfId="0" applyNumberFormat="1" applyFont="1" applyFill="1"/>
    <xf numFmtId="44" fontId="28" fillId="9" borderId="0" xfId="1" applyFont="1" applyFill="1"/>
    <xf numFmtId="167" fontId="28" fillId="9" borderId="5" xfId="1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6" fontId="28" fillId="2" borderId="0" xfId="0" applyNumberFormat="1" applyFont="1" applyFill="1"/>
    <xf numFmtId="44" fontId="28" fillId="0" borderId="0" xfId="1" applyFont="1" applyAlignment="1">
      <alignment horizontal="center"/>
    </xf>
    <xf numFmtId="167" fontId="28" fillId="0" borderId="5" xfId="1" applyNumberFormat="1" applyFont="1" applyBorder="1" applyAlignment="1">
      <alignment horizontal="center" vertical="center"/>
    </xf>
    <xf numFmtId="167" fontId="28" fillId="9" borderId="8" xfId="1" applyNumberFormat="1" applyFont="1" applyFill="1" applyBorder="1" applyAlignment="1">
      <alignment horizontal="center" vertical="center"/>
    </xf>
    <xf numFmtId="167" fontId="11" fillId="2" borderId="11" xfId="1" applyNumberFormat="1" applyFont="1" applyFill="1" applyBorder="1" applyAlignment="1">
      <alignment horizontal="center" vertical="center"/>
    </xf>
    <xf numFmtId="44" fontId="28" fillId="9" borderId="0" xfId="1" applyFont="1" applyFill="1" applyAlignment="1">
      <alignment horizontal="center"/>
    </xf>
    <xf numFmtId="167" fontId="28" fillId="2" borderId="8" xfId="1" applyNumberFormat="1" applyFont="1" applyFill="1" applyBorder="1" applyAlignment="1">
      <alignment horizontal="center" vertical="center"/>
    </xf>
    <xf numFmtId="167" fontId="11" fillId="2" borderId="8" xfId="1" applyNumberFormat="1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wrapText="1"/>
    </xf>
    <xf numFmtId="49" fontId="28" fillId="0" borderId="0" xfId="0" applyNumberFormat="1" applyFo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6" fontId="28" fillId="0" borderId="0" xfId="0" applyNumberFormat="1" applyFont="1"/>
    <xf numFmtId="167" fontId="28" fillId="0" borderId="0" xfId="0" applyNumberFormat="1" applyFont="1" applyAlignment="1">
      <alignment horizontal="center"/>
    </xf>
    <xf numFmtId="44" fontId="11" fillId="9" borderId="3" xfId="1" applyFont="1" applyFill="1" applyBorder="1" applyAlignment="1">
      <alignment horizontal="left" vertical="center"/>
    </xf>
    <xf numFmtId="44" fontId="11" fillId="9" borderId="8" xfId="1" applyFont="1" applyFill="1" applyBorder="1" applyAlignment="1">
      <alignment horizontal="left" vertical="center"/>
    </xf>
    <xf numFmtId="49" fontId="9" fillId="4" borderId="34" xfId="0" applyNumberFormat="1" applyFont="1" applyFill="1" applyBorder="1" applyAlignment="1">
      <alignment horizontal="center"/>
    </xf>
    <xf numFmtId="49" fontId="9" fillId="3" borderId="34" xfId="0" applyNumberFormat="1" applyFont="1" applyFill="1" applyBorder="1" applyAlignment="1">
      <alignment horizontal="center"/>
    </xf>
    <xf numFmtId="49" fontId="9" fillId="4" borderId="11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167" fontId="8" fillId="2" borderId="2" xfId="0" applyNumberFormat="1" applyFont="1" applyFill="1" applyBorder="1" applyAlignment="1">
      <alignment horizontal="center"/>
    </xf>
    <xf numFmtId="167" fontId="8" fillId="7" borderId="3" xfId="0" applyNumberFormat="1" applyFont="1" applyFill="1" applyBorder="1" applyAlignment="1">
      <alignment horizontal="center"/>
    </xf>
    <xf numFmtId="167" fontId="8" fillId="2" borderId="9" xfId="0" applyNumberFormat="1" applyFont="1" applyFill="1" applyBorder="1" applyAlignment="1">
      <alignment horizontal="center"/>
    </xf>
    <xf numFmtId="167" fontId="8" fillId="7" borderId="11" xfId="0" applyNumberFormat="1" applyFont="1" applyFill="1" applyBorder="1" applyAlignment="1">
      <alignment horizontal="center"/>
    </xf>
    <xf numFmtId="167" fontId="9" fillId="4" borderId="7" xfId="0" applyNumberFormat="1" applyFont="1" applyFill="1" applyBorder="1" applyAlignment="1">
      <alignment horizontal="center"/>
    </xf>
    <xf numFmtId="167" fontId="9" fillId="4" borderId="10" xfId="0" applyNumberFormat="1" applyFont="1" applyFill="1" applyBorder="1" applyAlignment="1">
      <alignment horizontal="center"/>
    </xf>
    <xf numFmtId="0" fontId="8" fillId="11" borderId="9" xfId="0" applyFont="1" applyFill="1" applyBorder="1"/>
    <xf numFmtId="0" fontId="4" fillId="11" borderId="10" xfId="0" applyFont="1" applyFill="1" applyBorder="1"/>
    <xf numFmtId="167" fontId="4" fillId="11" borderId="10" xfId="0" applyNumberFormat="1" applyFont="1" applyFill="1" applyBorder="1"/>
    <xf numFmtId="167" fontId="4" fillId="11" borderId="7" xfId="0" applyNumberFormat="1" applyFont="1" applyFill="1" applyBorder="1"/>
    <xf numFmtId="167" fontId="4" fillId="11" borderId="8" xfId="0" applyNumberFormat="1" applyFont="1" applyFill="1" applyBorder="1"/>
    <xf numFmtId="0" fontId="4" fillId="9" borderId="0" xfId="0" applyFont="1" applyFill="1"/>
    <xf numFmtId="167" fontId="4" fillId="10" borderId="5" xfId="13" applyNumberFormat="1" applyFont="1" applyFill="1" applyBorder="1" applyAlignment="1">
      <alignment horizontal="center"/>
    </xf>
    <xf numFmtId="167" fontId="4" fillId="11" borderId="10" xfId="0" applyNumberFormat="1" applyFont="1" applyFill="1" applyBorder="1" applyAlignment="1">
      <alignment horizontal="center"/>
    </xf>
    <xf numFmtId="167" fontId="4" fillId="11" borderId="8" xfId="0" applyNumberFormat="1" applyFont="1" applyFill="1" applyBorder="1" applyAlignment="1">
      <alignment horizontal="center"/>
    </xf>
    <xf numFmtId="3" fontId="4" fillId="2" borderId="0" xfId="14" applyNumberFormat="1" applyFont="1" applyFill="1"/>
    <xf numFmtId="3" fontId="4" fillId="9" borderId="0" xfId="14" applyNumberFormat="1" applyFont="1" applyFill="1"/>
    <xf numFmtId="0" fontId="40" fillId="2" borderId="4" xfId="0" applyFont="1" applyFill="1" applyBorder="1"/>
    <xf numFmtId="0" fontId="40" fillId="11" borderId="9" xfId="0" applyFont="1" applyFill="1" applyBorder="1"/>
    <xf numFmtId="0" fontId="40" fillId="2" borderId="0" xfId="0" applyFont="1" applyFill="1"/>
    <xf numFmtId="167" fontId="8" fillId="2" borderId="3" xfId="0" applyNumberFormat="1" applyFont="1" applyFill="1" applyBorder="1" applyAlignment="1">
      <alignment horizontal="center"/>
    </xf>
    <xf numFmtId="167" fontId="9" fillId="3" borderId="7" xfId="0" applyNumberFormat="1" applyFont="1" applyFill="1" applyBorder="1" applyAlignment="1">
      <alignment horizontal="center"/>
    </xf>
    <xf numFmtId="167" fontId="9" fillId="3" borderId="11" xfId="0" applyNumberFormat="1" applyFont="1" applyFill="1" applyBorder="1" applyAlignment="1">
      <alignment horizontal="center"/>
    </xf>
    <xf numFmtId="0" fontId="8" fillId="11" borderId="4" xfId="0" applyFont="1" applyFill="1" applyBorder="1"/>
    <xf numFmtId="0" fontId="4" fillId="11" borderId="0" xfId="0" applyFont="1" applyFill="1"/>
    <xf numFmtId="167" fontId="4" fillId="11" borderId="0" xfId="0" applyNumberFormat="1" applyFont="1" applyFill="1" applyAlignment="1">
      <alignment horizontal="center"/>
    </xf>
    <xf numFmtId="0" fontId="0" fillId="11" borderId="5" xfId="0" applyFill="1" applyBorder="1"/>
    <xf numFmtId="167" fontId="4" fillId="2" borderId="11" xfId="0" applyNumberFormat="1" applyFont="1" applyFill="1" applyBorder="1" applyAlignment="1">
      <alignment horizontal="center"/>
    </xf>
    <xf numFmtId="0" fontId="0" fillId="11" borderId="10" xfId="0" applyFill="1" applyBorder="1"/>
    <xf numFmtId="0" fontId="12" fillId="2" borderId="4" xfId="0" applyFont="1" applyFill="1" applyBorder="1"/>
    <xf numFmtId="0" fontId="0" fillId="11" borderId="8" xfId="0" applyFill="1" applyBorder="1"/>
    <xf numFmtId="0" fontId="0" fillId="11" borderId="11" xfId="0" applyFill="1" applyBorder="1"/>
    <xf numFmtId="167" fontId="4" fillId="11" borderId="11" xfId="0" applyNumberFormat="1" applyFont="1" applyFill="1" applyBorder="1" applyAlignment="1">
      <alignment horizontal="center"/>
    </xf>
    <xf numFmtId="3" fontId="4" fillId="2" borderId="10" xfId="0" applyNumberFormat="1" applyFont="1" applyFill="1" applyBorder="1"/>
    <xf numFmtId="0" fontId="42" fillId="2" borderId="38" xfId="0" applyFont="1" applyFill="1" applyBorder="1"/>
    <xf numFmtId="167" fontId="40" fillId="11" borderId="11" xfId="0" applyNumberFormat="1" applyFont="1" applyFill="1" applyBorder="1" applyAlignment="1">
      <alignment horizontal="center"/>
    </xf>
    <xf numFmtId="0" fontId="42" fillId="2" borderId="4" xfId="0" applyFont="1" applyFill="1" applyBorder="1"/>
    <xf numFmtId="167" fontId="40" fillId="2" borderId="0" xfId="0" applyNumberFormat="1" applyFont="1" applyFill="1" applyAlignment="1">
      <alignment horizontal="center"/>
    </xf>
    <xf numFmtId="167" fontId="52" fillId="4" borderId="7" xfId="0" applyNumberFormat="1" applyFont="1" applyFill="1" applyBorder="1" applyAlignment="1">
      <alignment horizontal="center"/>
    </xf>
    <xf numFmtId="167" fontId="52" fillId="4" borderId="8" xfId="0" applyNumberFormat="1" applyFont="1" applyFill="1" applyBorder="1" applyAlignment="1">
      <alignment horizontal="center"/>
    </xf>
    <xf numFmtId="0" fontId="53" fillId="0" borderId="4" xfId="0" applyFont="1" applyBorder="1"/>
    <xf numFmtId="0" fontId="43" fillId="9" borderId="0" xfId="0" applyFont="1" applyFill="1"/>
    <xf numFmtId="167" fontId="53" fillId="9" borderId="5" xfId="0" applyNumberFormat="1" applyFont="1" applyFill="1" applyBorder="1" applyAlignment="1">
      <alignment horizontal="center"/>
    </xf>
    <xf numFmtId="0" fontId="53" fillId="2" borderId="4" xfId="0" applyFont="1" applyFill="1" applyBorder="1"/>
    <xf numFmtId="0" fontId="43" fillId="2" borderId="0" xfId="0" applyFont="1" applyFill="1"/>
    <xf numFmtId="167" fontId="53" fillId="2" borderId="5" xfId="0" applyNumberFormat="1" applyFont="1" applyFill="1" applyBorder="1" applyAlignment="1">
      <alignment horizontal="center"/>
    </xf>
    <xf numFmtId="0" fontId="53" fillId="0" borderId="6" xfId="0" applyFont="1" applyBorder="1"/>
    <xf numFmtId="0" fontId="43" fillId="9" borderId="7" xfId="0" applyFont="1" applyFill="1" applyBorder="1"/>
    <xf numFmtId="167" fontId="53" fillId="9" borderId="8" xfId="0" applyNumberFormat="1" applyFont="1" applyFill="1" applyBorder="1" applyAlignment="1">
      <alignment horizontal="center"/>
    </xf>
    <xf numFmtId="49" fontId="9" fillId="3" borderId="6" xfId="13" applyNumberFormat="1" applyFont="1" applyFill="1" applyBorder="1"/>
    <xf numFmtId="49" fontId="9" fillId="3" borderId="7" xfId="13" applyNumberFormat="1" applyFont="1" applyFill="1" applyBorder="1" applyAlignment="1">
      <alignment horizontal="center"/>
    </xf>
    <xf numFmtId="49" fontId="9" fillId="3" borderId="8" xfId="13" applyNumberFormat="1" applyFont="1" applyFill="1" applyBorder="1" applyAlignment="1">
      <alignment horizontal="center"/>
    </xf>
    <xf numFmtId="49" fontId="9" fillId="4" borderId="9" xfId="13" applyNumberFormat="1" applyFont="1" applyFill="1" applyBorder="1" applyAlignment="1">
      <alignment horizontal="center"/>
    </xf>
    <xf numFmtId="49" fontId="9" fillId="3" borderId="10" xfId="13" applyNumberFormat="1" applyFont="1" applyFill="1" applyBorder="1" applyAlignment="1">
      <alignment horizontal="center"/>
    </xf>
    <xf numFmtId="1" fontId="9" fillId="3" borderId="10" xfId="13" applyNumberFormat="1" applyFont="1" applyFill="1" applyBorder="1" applyAlignment="1">
      <alignment horizontal="center"/>
    </xf>
    <xf numFmtId="167" fontId="9" fillId="3" borderId="10" xfId="13" applyNumberFormat="1" applyFont="1" applyFill="1" applyBorder="1" applyAlignment="1">
      <alignment horizontal="center"/>
    </xf>
    <xf numFmtId="167" fontId="9" fillId="3" borderId="7" xfId="13" applyNumberFormat="1" applyFont="1" applyFill="1" applyBorder="1" applyAlignment="1">
      <alignment horizontal="center"/>
    </xf>
    <xf numFmtId="167" fontId="9" fillId="3" borderId="8" xfId="13" applyNumberFormat="1" applyFont="1" applyFill="1" applyBorder="1" applyAlignment="1">
      <alignment horizontal="center"/>
    </xf>
    <xf numFmtId="0" fontId="8" fillId="5" borderId="4" xfId="13" applyFont="1" applyFill="1" applyBorder="1" applyAlignment="1">
      <alignment horizontal="center"/>
    </xf>
    <xf numFmtId="0" fontId="8" fillId="5" borderId="0" xfId="13" applyFont="1" applyFill="1" applyAlignment="1">
      <alignment horizontal="center"/>
    </xf>
    <xf numFmtId="167" fontId="8" fillId="5" borderId="2" xfId="13" applyNumberFormat="1" applyFont="1" applyFill="1" applyBorder="1" applyAlignment="1">
      <alignment horizontal="center"/>
    </xf>
    <xf numFmtId="1" fontId="8" fillId="5" borderId="2" xfId="13" applyNumberFormat="1" applyFont="1" applyFill="1" applyBorder="1" applyAlignment="1">
      <alignment horizontal="center"/>
    </xf>
    <xf numFmtId="167" fontId="8" fillId="6" borderId="7" xfId="13" applyNumberFormat="1" applyFont="1" applyFill="1" applyBorder="1" applyAlignment="1">
      <alignment horizontal="center"/>
    </xf>
    <xf numFmtId="1" fontId="8" fillId="6" borderId="7" xfId="13" applyNumberFormat="1" applyFont="1" applyFill="1" applyBorder="1" applyAlignment="1">
      <alignment horizontal="center"/>
    </xf>
    <xf numFmtId="167" fontId="8" fillId="6" borderId="8" xfId="13" applyNumberFormat="1" applyFont="1" applyFill="1" applyBorder="1" applyAlignment="1">
      <alignment horizontal="center"/>
    </xf>
    <xf numFmtId="0" fontId="4" fillId="5" borderId="0" xfId="13" applyFont="1" applyFill="1" applyAlignment="1">
      <alignment horizontal="center"/>
    </xf>
    <xf numFmtId="167" fontId="4" fillId="5" borderId="0" xfId="13" applyNumberFormat="1" applyFont="1" applyFill="1" applyAlignment="1">
      <alignment horizontal="center"/>
    </xf>
    <xf numFmtId="1" fontId="4" fillId="5" borderId="0" xfId="13" applyNumberFormat="1" applyFont="1" applyFill="1" applyAlignment="1">
      <alignment horizontal="center"/>
    </xf>
    <xf numFmtId="167" fontId="4" fillId="5" borderId="5" xfId="13" applyNumberFormat="1" applyFont="1" applyFill="1" applyBorder="1" applyAlignment="1">
      <alignment horizontal="center"/>
    </xf>
    <xf numFmtId="0" fontId="4" fillId="10" borderId="0" xfId="13" applyFont="1" applyFill="1" applyAlignment="1">
      <alignment horizontal="center"/>
    </xf>
    <xf numFmtId="167" fontId="4" fillId="10" borderId="0" xfId="13" applyNumberFormat="1" applyFont="1" applyFill="1" applyAlignment="1">
      <alignment horizontal="left"/>
    </xf>
    <xf numFmtId="167" fontId="4" fillId="10" borderId="0" xfId="13" applyNumberFormat="1" applyFont="1" applyFill="1" applyAlignment="1">
      <alignment horizontal="center"/>
    </xf>
    <xf numFmtId="1" fontId="4" fillId="10" borderId="0" xfId="13" applyNumberFormat="1" applyFont="1" applyFill="1" applyAlignment="1">
      <alignment horizontal="center"/>
    </xf>
    <xf numFmtId="0" fontId="8" fillId="7" borderId="4" xfId="13" applyFont="1" applyFill="1" applyBorder="1"/>
    <xf numFmtId="0" fontId="8" fillId="7" borderId="0" xfId="13" applyFont="1" applyFill="1"/>
    <xf numFmtId="3" fontId="4" fillId="7" borderId="0" xfId="13" applyNumberFormat="1" applyFont="1" applyFill="1" applyAlignment="1">
      <alignment horizontal="center"/>
    </xf>
    <xf numFmtId="167" fontId="4" fillId="7" borderId="0" xfId="13" applyNumberFormat="1" applyFont="1" applyFill="1" applyAlignment="1">
      <alignment horizontal="left"/>
    </xf>
    <xf numFmtId="167" fontId="4" fillId="7" borderId="0" xfId="13" applyNumberFormat="1" applyFont="1" applyFill="1" applyAlignment="1">
      <alignment horizontal="center"/>
    </xf>
    <xf numFmtId="1" fontId="4" fillId="7" borderId="0" xfId="13" applyNumberFormat="1" applyFont="1" applyFill="1" applyAlignment="1">
      <alignment horizontal="center"/>
    </xf>
    <xf numFmtId="167" fontId="4" fillId="7" borderId="5" xfId="13" applyNumberFormat="1" applyFont="1" applyFill="1" applyBorder="1" applyAlignment="1">
      <alignment horizontal="center"/>
    </xf>
    <xf numFmtId="3" fontId="4" fillId="10" borderId="0" xfId="13" applyNumberFormat="1" applyFont="1" applyFill="1" applyAlignment="1">
      <alignment horizontal="center"/>
    </xf>
    <xf numFmtId="0" fontId="4" fillId="7" borderId="0" xfId="13" applyFont="1" applyFill="1" applyAlignment="1">
      <alignment horizontal="center"/>
    </xf>
    <xf numFmtId="3" fontId="4" fillId="5" borderId="0" xfId="13" applyNumberFormat="1" applyFont="1" applyFill="1" applyAlignment="1">
      <alignment horizontal="center"/>
    </xf>
    <xf numFmtId="167" fontId="4" fillId="5" borderId="0" xfId="13" applyNumberFormat="1" applyFont="1" applyFill="1" applyAlignment="1">
      <alignment horizontal="left"/>
    </xf>
    <xf numFmtId="0" fontId="8" fillId="5" borderId="9" xfId="13" applyFont="1" applyFill="1" applyBorder="1" applyAlignment="1">
      <alignment horizontal="left"/>
    </xf>
    <xf numFmtId="0" fontId="8" fillId="5" borderId="10" xfId="13" applyFont="1" applyFill="1" applyBorder="1" applyAlignment="1">
      <alignment horizontal="left"/>
    </xf>
    <xf numFmtId="167" fontId="4" fillId="5" borderId="10" xfId="13" applyNumberFormat="1" applyFont="1" applyFill="1" applyBorder="1" applyAlignment="1">
      <alignment horizontal="left"/>
    </xf>
    <xf numFmtId="167" fontId="4" fillId="5" borderId="10" xfId="13" applyNumberFormat="1" applyFont="1" applyFill="1" applyBorder="1" applyAlignment="1">
      <alignment horizontal="center"/>
    </xf>
    <xf numFmtId="1" fontId="4" fillId="5" borderId="10" xfId="13" applyNumberFormat="1" applyFont="1" applyFill="1" applyBorder="1" applyAlignment="1">
      <alignment horizontal="center"/>
    </xf>
    <xf numFmtId="167" fontId="8" fillId="5" borderId="10" xfId="13" applyNumberFormat="1" applyFont="1" applyFill="1" applyBorder="1" applyAlignment="1">
      <alignment horizontal="center"/>
    </xf>
    <xf numFmtId="167" fontId="8" fillId="5" borderId="11" xfId="13" applyNumberFormat="1" applyFont="1" applyFill="1" applyBorder="1" applyAlignment="1">
      <alignment horizontal="center"/>
    </xf>
    <xf numFmtId="167" fontId="8" fillId="5" borderId="0" xfId="13" applyNumberFormat="1" applyFont="1" applyFill="1" applyAlignment="1">
      <alignment horizontal="left"/>
    </xf>
    <xf numFmtId="2" fontId="4" fillId="10" borderId="0" xfId="13" applyNumberFormat="1" applyFont="1" applyFill="1" applyAlignment="1">
      <alignment horizontal="center"/>
    </xf>
    <xf numFmtId="0" fontId="1" fillId="2" borderId="0" xfId="13" applyFill="1"/>
    <xf numFmtId="0" fontId="1" fillId="2" borderId="5" xfId="13" applyFill="1" applyBorder="1"/>
    <xf numFmtId="167" fontId="8" fillId="5" borderId="10" xfId="13" applyNumberFormat="1" applyFont="1" applyFill="1" applyBorder="1" applyAlignment="1">
      <alignment horizontal="left"/>
    </xf>
    <xf numFmtId="1" fontId="8" fillId="5" borderId="10" xfId="13" applyNumberFormat="1" applyFont="1" applyFill="1" applyBorder="1" applyAlignment="1">
      <alignment horizontal="center"/>
    </xf>
    <xf numFmtId="0" fontId="40" fillId="5" borderId="0" xfId="13" applyFont="1" applyFill="1" applyAlignment="1">
      <alignment horizontal="center"/>
    </xf>
    <xf numFmtId="167" fontId="40" fillId="5" borderId="0" xfId="13" applyNumberFormat="1" applyFont="1" applyFill="1" applyAlignment="1">
      <alignment horizontal="left"/>
    </xf>
    <xf numFmtId="167" fontId="8" fillId="6" borderId="7" xfId="13" applyNumberFormat="1" applyFont="1" applyFill="1" applyBorder="1" applyAlignment="1">
      <alignment horizontal="left"/>
    </xf>
    <xf numFmtId="2" fontId="4" fillId="7" borderId="0" xfId="13" applyNumberFormat="1" applyFont="1" applyFill="1" applyAlignment="1">
      <alignment horizontal="center"/>
    </xf>
    <xf numFmtId="167" fontId="4" fillId="2" borderId="0" xfId="13" applyNumberFormat="1" applyFont="1" applyFill="1" applyAlignment="1">
      <alignment horizontal="left"/>
    </xf>
    <xf numFmtId="167" fontId="4" fillId="8" borderId="0" xfId="13" applyNumberFormat="1" applyFont="1" applyFill="1" applyAlignment="1">
      <alignment horizontal="left"/>
    </xf>
    <xf numFmtId="167" fontId="4" fillId="8" borderId="0" xfId="13" applyNumberFormat="1" applyFont="1" applyFill="1" applyAlignment="1">
      <alignment horizontal="center"/>
    </xf>
    <xf numFmtId="1" fontId="4" fillId="8" borderId="0" xfId="13" applyNumberFormat="1" applyFont="1" applyFill="1" applyAlignment="1">
      <alignment horizontal="center"/>
    </xf>
    <xf numFmtId="49" fontId="4" fillId="2" borderId="0" xfId="13" applyNumberFormat="1" applyFont="1" applyFill="1" applyAlignment="1">
      <alignment horizontal="center"/>
    </xf>
    <xf numFmtId="0" fontId="4" fillId="8" borderId="0" xfId="13" applyFont="1" applyFill="1" applyAlignment="1">
      <alignment horizontal="center"/>
    </xf>
    <xf numFmtId="167" fontId="4" fillId="8" borderId="5" xfId="13" applyNumberFormat="1" applyFont="1" applyFill="1" applyBorder="1" applyAlignment="1">
      <alignment horizontal="center"/>
    </xf>
    <xf numFmtId="0" fontId="8" fillId="0" borderId="4" xfId="13" applyFont="1" applyFill="1" applyBorder="1"/>
    <xf numFmtId="0" fontId="55" fillId="5" borderId="4" xfId="13" applyFont="1" applyFill="1" applyBorder="1"/>
    <xf numFmtId="170" fontId="4" fillId="10" borderId="0" xfId="13" applyNumberFormat="1" applyFont="1" applyFill="1" applyAlignment="1">
      <alignment horizontal="center"/>
    </xf>
    <xf numFmtId="171" fontId="4" fillId="5" borderId="0" xfId="13" applyNumberFormat="1" applyFont="1" applyFill="1" applyAlignment="1">
      <alignment horizontal="center"/>
    </xf>
    <xf numFmtId="167" fontId="4" fillId="7" borderId="10" xfId="13" applyNumberFormat="1" applyFont="1" applyFill="1" applyBorder="1" applyAlignment="1">
      <alignment horizontal="center"/>
    </xf>
    <xf numFmtId="0" fontId="8" fillId="5" borderId="4" xfId="13" applyFont="1" applyFill="1" applyBorder="1" applyAlignment="1">
      <alignment horizontal="left"/>
    </xf>
    <xf numFmtId="0" fontId="4" fillId="5" borderId="0" xfId="13" applyFont="1" applyFill="1" applyAlignment="1">
      <alignment horizontal="left"/>
    </xf>
    <xf numFmtId="0" fontId="8" fillId="5" borderId="0" xfId="13" applyFont="1" applyFill="1" applyAlignment="1">
      <alignment horizontal="left"/>
    </xf>
    <xf numFmtId="0" fontId="40" fillId="5" borderId="4" xfId="13" applyFont="1" applyFill="1" applyBorder="1" applyAlignment="1">
      <alignment horizontal="left"/>
    </xf>
    <xf numFmtId="0" fontId="42" fillId="5" borderId="0" xfId="13" applyFont="1" applyFill="1" applyAlignment="1">
      <alignment horizontal="left"/>
    </xf>
    <xf numFmtId="0" fontId="40" fillId="5" borderId="0" xfId="13" applyFont="1" applyFill="1" applyAlignment="1">
      <alignment horizontal="left"/>
    </xf>
    <xf numFmtId="167" fontId="43" fillId="6" borderId="7" xfId="13" applyNumberFormat="1" applyFont="1" applyFill="1" applyBorder="1" applyAlignment="1">
      <alignment horizontal="center"/>
    </xf>
    <xf numFmtId="1" fontId="43" fillId="6" borderId="7" xfId="13" applyNumberFormat="1" applyFont="1" applyFill="1" applyBorder="1" applyAlignment="1">
      <alignment horizontal="center"/>
    </xf>
    <xf numFmtId="167" fontId="43" fillId="6" borderId="0" xfId="13" applyNumberFormat="1" applyFont="1" applyFill="1" applyAlignment="1">
      <alignment horizontal="center"/>
    </xf>
    <xf numFmtId="167" fontId="43" fillId="6" borderId="5" xfId="13" applyNumberFormat="1" applyFont="1" applyFill="1" applyBorder="1" applyAlignment="1">
      <alignment horizontal="center"/>
    </xf>
    <xf numFmtId="0" fontId="43" fillId="5" borderId="4" xfId="13" applyFont="1" applyFill="1" applyBorder="1" applyAlignment="1">
      <alignment horizontal="left"/>
    </xf>
    <xf numFmtId="0" fontId="43" fillId="10" borderId="0" xfId="13" applyFont="1" applyFill="1" applyAlignment="1">
      <alignment horizontal="left"/>
    </xf>
    <xf numFmtId="167" fontId="43" fillId="10" borderId="0" xfId="13" applyNumberFormat="1" applyFont="1" applyFill="1" applyAlignment="1">
      <alignment horizontal="center"/>
    </xf>
    <xf numFmtId="167" fontId="43" fillId="10" borderId="2" xfId="13" applyNumberFormat="1" applyFont="1" applyFill="1" applyBorder="1" applyAlignment="1">
      <alignment horizontal="center"/>
    </xf>
    <xf numFmtId="167" fontId="43" fillId="10" borderId="3" xfId="13" applyNumberFormat="1" applyFont="1" applyFill="1" applyBorder="1" applyAlignment="1">
      <alignment horizontal="center"/>
    </xf>
    <xf numFmtId="0" fontId="43" fillId="5" borderId="0" xfId="13" applyFont="1" applyFill="1" applyAlignment="1">
      <alignment horizontal="left"/>
    </xf>
    <xf numFmtId="167" fontId="43" fillId="5" borderId="0" xfId="13" applyNumberFormat="1" applyFont="1" applyFill="1" applyAlignment="1">
      <alignment horizontal="center"/>
    </xf>
    <xf numFmtId="167" fontId="43" fillId="5" borderId="5" xfId="13" applyNumberFormat="1" applyFont="1" applyFill="1" applyBorder="1" applyAlignment="1">
      <alignment horizontal="center"/>
    </xf>
    <xf numFmtId="0" fontId="43" fillId="5" borderId="6" xfId="13" applyFont="1" applyFill="1" applyBorder="1" applyAlignment="1">
      <alignment horizontal="left"/>
    </xf>
    <xf numFmtId="0" fontId="43" fillId="10" borderId="7" xfId="13" applyFont="1" applyFill="1" applyBorder="1" applyAlignment="1">
      <alignment horizontal="left"/>
    </xf>
    <xf numFmtId="167" fontId="43" fillId="10" borderId="7" xfId="13" applyNumberFormat="1" applyFont="1" applyFill="1" applyBorder="1" applyAlignment="1">
      <alignment horizontal="center"/>
    </xf>
    <xf numFmtId="167" fontId="43" fillId="10" borderId="8" xfId="13" applyNumberFormat="1" applyFont="1" applyFill="1" applyBorder="1" applyAlignment="1">
      <alignment horizontal="center"/>
    </xf>
    <xf numFmtId="0" fontId="1" fillId="21" borderId="0" xfId="13" applyAlignment="1">
      <alignment horizontal="center"/>
    </xf>
    <xf numFmtId="44" fontId="56" fillId="9" borderId="0" xfId="17" applyFont="1" applyFill="1"/>
    <xf numFmtId="44" fontId="56" fillId="2" borderId="0" xfId="17" applyFont="1" applyFill="1"/>
    <xf numFmtId="44" fontId="56" fillId="9" borderId="7" xfId="17" applyFont="1" applyFill="1" applyBorder="1"/>
    <xf numFmtId="4" fontId="17" fillId="9" borderId="0" xfId="0" applyNumberFormat="1" applyFont="1" applyFill="1" applyAlignment="1">
      <alignment horizontal="center"/>
    </xf>
    <xf numFmtId="167" fontId="53" fillId="9" borderId="0" xfId="0" applyNumberFormat="1" applyFont="1" applyFill="1" applyAlignment="1">
      <alignment horizontal="center"/>
    </xf>
    <xf numFmtId="167" fontId="53" fillId="2" borderId="0" xfId="0" applyNumberFormat="1" applyFont="1" applyFill="1" applyAlignment="1">
      <alignment horizontal="center"/>
    </xf>
    <xf numFmtId="167" fontId="53" fillId="9" borderId="7" xfId="0" applyNumberFormat="1" applyFont="1" applyFill="1" applyBorder="1" applyAlignment="1">
      <alignment horizontal="center"/>
    </xf>
    <xf numFmtId="167" fontId="4" fillId="9" borderId="5" xfId="0" applyNumberFormat="1" applyFont="1" applyFill="1" applyBorder="1" applyAlignment="1">
      <alignment horizontal="center"/>
    </xf>
    <xf numFmtId="167" fontId="4" fillId="2" borderId="8" xfId="0" applyNumberFormat="1" applyFont="1" applyFill="1" applyBorder="1" applyAlignment="1">
      <alignment horizontal="center"/>
    </xf>
    <xf numFmtId="167" fontId="4" fillId="2" borderId="10" xfId="0" applyNumberFormat="1" applyFont="1" applyFill="1" applyBorder="1" applyAlignment="1">
      <alignment horizontal="center"/>
    </xf>
    <xf numFmtId="167" fontId="4" fillId="2" borderId="5" xfId="0" applyNumberFormat="1" applyFont="1" applyFill="1" applyBorder="1" applyAlignment="1">
      <alignment horizontal="center"/>
    </xf>
    <xf numFmtId="167" fontId="8" fillId="11" borderId="10" xfId="0" applyNumberFormat="1" applyFont="1" applyFill="1" applyBorder="1" applyAlignment="1">
      <alignment horizontal="center"/>
    </xf>
    <xf numFmtId="167" fontId="8" fillId="11" borderId="11" xfId="0" applyNumberFormat="1" applyFont="1" applyFill="1" applyBorder="1" applyAlignment="1">
      <alignment horizontal="center"/>
    </xf>
    <xf numFmtId="167" fontId="40" fillId="11" borderId="10" xfId="0" applyNumberFormat="1" applyFont="1" applyFill="1" applyBorder="1" applyAlignment="1">
      <alignment horizontal="center"/>
    </xf>
    <xf numFmtId="49" fontId="31" fillId="3" borderId="6" xfId="13" applyNumberFormat="1" applyFont="1" applyFill="1" applyBorder="1"/>
    <xf numFmtId="49" fontId="31" fillId="3" borderId="7" xfId="13" applyNumberFormat="1" applyFont="1" applyFill="1" applyBorder="1" applyAlignment="1">
      <alignment horizontal="center"/>
    </xf>
    <xf numFmtId="49" fontId="31" fillId="3" borderId="8" xfId="13" applyNumberFormat="1" applyFont="1" applyFill="1" applyBorder="1" applyAlignment="1">
      <alignment horizontal="center"/>
    </xf>
    <xf numFmtId="49" fontId="31" fillId="3" borderId="10" xfId="13" applyNumberFormat="1" applyFont="1" applyFill="1" applyBorder="1" applyAlignment="1">
      <alignment horizontal="center"/>
    </xf>
    <xf numFmtId="1" fontId="31" fillId="3" borderId="10" xfId="13" applyNumberFormat="1" applyFont="1" applyFill="1" applyBorder="1" applyAlignment="1">
      <alignment horizontal="center"/>
    </xf>
    <xf numFmtId="167" fontId="31" fillId="3" borderId="10" xfId="13" applyNumberFormat="1" applyFont="1" applyFill="1" applyBorder="1" applyAlignment="1">
      <alignment horizontal="center"/>
    </xf>
    <xf numFmtId="167" fontId="31" fillId="3" borderId="11" xfId="13" applyNumberFormat="1" applyFont="1" applyFill="1" applyBorder="1" applyAlignment="1">
      <alignment horizontal="center"/>
    </xf>
    <xf numFmtId="49" fontId="31" fillId="3" borderId="6" xfId="4" applyNumberFormat="1" applyFont="1" applyFill="1" applyBorder="1"/>
    <xf numFmtId="49" fontId="31" fillId="3" borderId="7" xfId="4" applyNumberFormat="1" applyFont="1" applyFill="1" applyBorder="1" applyAlignment="1">
      <alignment horizontal="center"/>
    </xf>
    <xf numFmtId="49" fontId="31" fillId="3" borderId="8" xfId="4" applyNumberFormat="1" applyFont="1" applyFill="1" applyBorder="1" applyAlignment="1">
      <alignment horizontal="center"/>
    </xf>
    <xf numFmtId="49" fontId="31" fillId="3" borderId="10" xfId="4" applyNumberFormat="1" applyFont="1" applyFill="1" applyBorder="1" applyAlignment="1">
      <alignment horizontal="center"/>
    </xf>
    <xf numFmtId="1" fontId="31" fillId="3" borderId="10" xfId="4" applyNumberFormat="1" applyFont="1" applyFill="1" applyBorder="1" applyAlignment="1">
      <alignment horizontal="center"/>
    </xf>
    <xf numFmtId="167" fontId="31" fillId="3" borderId="10" xfId="4" applyNumberFormat="1" applyFont="1" applyFill="1" applyBorder="1" applyAlignment="1">
      <alignment horizontal="center"/>
    </xf>
    <xf numFmtId="167" fontId="31" fillId="3" borderId="11" xfId="4" applyNumberFormat="1" applyFont="1" applyFill="1" applyBorder="1" applyAlignment="1">
      <alignment horizontal="center"/>
    </xf>
    <xf numFmtId="0" fontId="34" fillId="2" borderId="0" xfId="4" applyFont="1" applyFill="1" applyAlignment="1">
      <alignment horizontal="center"/>
    </xf>
    <xf numFmtId="167" fontId="34" fillId="2" borderId="0" xfId="9" applyNumberFormat="1" applyFont="1" applyFill="1" applyAlignment="1">
      <alignment horizontal="center"/>
    </xf>
    <xf numFmtId="167" fontId="61" fillId="9" borderId="0" xfId="0" applyNumberFormat="1" applyFont="1" applyFill="1" applyAlignment="1">
      <alignment horizontal="center"/>
    </xf>
    <xf numFmtId="167" fontId="17" fillId="14" borderId="5" xfId="0" applyNumberFormat="1" applyFont="1" applyFill="1" applyBorder="1" applyAlignment="1">
      <alignment horizontal="left"/>
    </xf>
    <xf numFmtId="0" fontId="17" fillId="14" borderId="0" xfId="0" applyFont="1" applyFill="1" applyAlignment="1">
      <alignment horizontal="center"/>
    </xf>
    <xf numFmtId="3" fontId="17" fillId="14" borderId="0" xfId="0" applyNumberFormat="1" applyFont="1" applyFill="1" applyAlignment="1">
      <alignment horizontal="center"/>
    </xf>
    <xf numFmtId="167" fontId="17" fillId="14" borderId="0" xfId="0" applyNumberFormat="1" applyFont="1" applyFill="1" applyAlignment="1">
      <alignment horizontal="center"/>
    </xf>
    <xf numFmtId="167" fontId="17" fillId="14" borderId="0" xfId="0" applyNumberFormat="1" applyFont="1" applyFill="1" applyAlignment="1">
      <alignment horizontal="left"/>
    </xf>
    <xf numFmtId="1" fontId="17" fillId="14" borderId="0" xfId="0" applyNumberFormat="1" applyFont="1" applyFill="1" applyAlignment="1">
      <alignment horizontal="left"/>
    </xf>
    <xf numFmtId="0" fontId="17" fillId="34" borderId="0" xfId="0" applyFont="1" applyFill="1" applyAlignment="1">
      <alignment horizontal="center"/>
    </xf>
    <xf numFmtId="3" fontId="17" fillId="34" borderId="0" xfId="0" applyNumberFormat="1" applyFont="1" applyFill="1" applyAlignment="1">
      <alignment horizontal="center"/>
    </xf>
    <xf numFmtId="167" fontId="17" fillId="34" borderId="0" xfId="0" applyNumberFormat="1" applyFont="1" applyFill="1" applyAlignment="1">
      <alignment horizontal="center"/>
    </xf>
    <xf numFmtId="167" fontId="17" fillId="34" borderId="0" xfId="0" applyNumberFormat="1" applyFont="1" applyFill="1" applyAlignment="1">
      <alignment horizontal="left"/>
    </xf>
    <xf numFmtId="1" fontId="17" fillId="34" borderId="0" xfId="0" applyNumberFormat="1" applyFont="1" applyFill="1" applyAlignment="1">
      <alignment horizontal="left"/>
    </xf>
    <xf numFmtId="167" fontId="17" fillId="34" borderId="5" xfId="0" applyNumberFormat="1" applyFont="1" applyFill="1" applyBorder="1" applyAlignment="1">
      <alignment horizontal="left"/>
    </xf>
    <xf numFmtId="0" fontId="28" fillId="14" borderId="0" xfId="8" applyFont="1" applyFill="1"/>
    <xf numFmtId="3" fontId="28" fillId="14" borderId="0" xfId="8" applyNumberFormat="1" applyFont="1" applyFill="1"/>
    <xf numFmtId="167" fontId="28" fillId="14" borderId="0" xfId="8" applyNumberFormat="1" applyFont="1" applyFill="1" applyAlignment="1">
      <alignment horizontal="center"/>
    </xf>
    <xf numFmtId="1" fontId="28" fillId="14" borderId="0" xfId="8" applyNumberFormat="1" applyFont="1" applyFill="1" applyAlignment="1">
      <alignment horizontal="center"/>
    </xf>
    <xf numFmtId="167" fontId="28" fillId="14" borderId="5" xfId="8" applyNumberFormat="1" applyFont="1" applyFill="1" applyBorder="1" applyAlignment="1">
      <alignment horizontal="center"/>
    </xf>
    <xf numFmtId="167" fontId="25" fillId="21" borderId="0" xfId="8" applyNumberFormat="1" applyFont="1"/>
    <xf numFmtId="0" fontId="4" fillId="5" borderId="0" xfId="0" applyFont="1" applyFill="1" applyAlignment="1">
      <alignment horizontal="right"/>
    </xf>
    <xf numFmtId="167" fontId="4" fillId="8" borderId="5" xfId="2" applyNumberFormat="1" applyBorder="1" applyAlignment="1">
      <alignment horizontal="center"/>
    </xf>
    <xf numFmtId="167" fontId="4" fillId="8" borderId="5" xfId="2" applyNumberFormat="1" applyBorder="1"/>
    <xf numFmtId="167" fontId="4" fillId="7" borderId="8" xfId="3" applyNumberFormat="1" applyBorder="1" applyAlignment="1">
      <alignment horizontal="center"/>
    </xf>
    <xf numFmtId="167" fontId="4" fillId="8" borderId="5" xfId="3" applyNumberFormat="1" applyFill="1" applyBorder="1" applyAlignment="1">
      <alignment horizontal="center"/>
    </xf>
    <xf numFmtId="167" fontId="4" fillId="7" borderId="5" xfId="3" applyNumberFormat="1" applyBorder="1" applyAlignment="1">
      <alignment horizontal="center"/>
    </xf>
    <xf numFmtId="167" fontId="4" fillId="8" borderId="8" xfId="3" applyNumberFormat="1" applyFill="1" applyBorder="1" applyAlignment="1">
      <alignment horizontal="center"/>
    </xf>
    <xf numFmtId="167" fontId="4" fillId="7" borderId="8" xfId="2" applyNumberFormat="1" applyFill="1" applyBorder="1"/>
    <xf numFmtId="167" fontId="4" fillId="7" borderId="8" xfId="3" applyNumberFormat="1" applyBorder="1"/>
    <xf numFmtId="165" fontId="29" fillId="2" borderId="5" xfId="4" applyNumberFormat="1" applyFont="1" applyFill="1" applyBorder="1"/>
    <xf numFmtId="165" fontId="25" fillId="23" borderId="5" xfId="9" applyNumberFormat="1" applyFont="1" applyFill="1" applyBorder="1" applyAlignment="1">
      <alignment vertical="center"/>
    </xf>
    <xf numFmtId="165" fontId="25" fillId="12" borderId="5" xfId="9" applyNumberFormat="1" applyFont="1" applyFill="1" applyBorder="1"/>
    <xf numFmtId="165" fontId="25" fillId="2" borderId="11" xfId="9" applyNumberFormat="1" applyFont="1" applyFill="1" applyBorder="1"/>
    <xf numFmtId="165" fontId="29" fillId="23" borderId="38" xfId="4" applyNumberFormat="1" applyFont="1" applyFill="1" applyBorder="1" applyAlignment="1">
      <alignment vertical="center"/>
    </xf>
    <xf numFmtId="165" fontId="29" fillId="12" borderId="38" xfId="4" applyNumberFormat="1" applyFont="1" applyFill="1" applyBorder="1"/>
    <xf numFmtId="165" fontId="47" fillId="29" borderId="5" xfId="10" applyNumberFormat="1" applyBorder="1" applyAlignment="1"/>
    <xf numFmtId="0" fontId="27" fillId="0" borderId="4" xfId="0" applyFont="1" applyBorder="1"/>
    <xf numFmtId="0" fontId="3" fillId="0" borderId="0" xfId="0" applyFont="1"/>
    <xf numFmtId="0" fontId="28" fillId="23" borderId="0" xfId="8" applyFont="1" applyFill="1"/>
    <xf numFmtId="0" fontId="25" fillId="23" borderId="0" xfId="8" applyFont="1" applyFill="1"/>
    <xf numFmtId="167" fontId="28" fillId="23" borderId="0" xfId="8" applyNumberFormat="1" applyFont="1" applyFill="1" applyAlignment="1">
      <alignment horizontal="center"/>
    </xf>
    <xf numFmtId="1" fontId="28" fillId="23" borderId="0" xfId="8" applyNumberFormat="1" applyFont="1" applyFill="1" applyAlignment="1">
      <alignment horizontal="center"/>
    </xf>
    <xf numFmtId="167" fontId="28" fillId="23" borderId="5" xfId="8" applyNumberFormat="1" applyFont="1" applyFill="1" applyBorder="1" applyAlignment="1">
      <alignment horizontal="center"/>
    </xf>
    <xf numFmtId="3" fontId="28" fillId="23" borderId="0" xfId="8" applyNumberFormat="1" applyFont="1" applyFill="1"/>
    <xf numFmtId="167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167" fontId="11" fillId="2" borderId="0" xfId="13" applyNumberFormat="1" applyFont="1" applyFill="1" applyAlignment="1">
      <alignment horizontal="center" wrapText="1"/>
    </xf>
    <xf numFmtId="0" fontId="11" fillId="9" borderId="9" xfId="0" applyFont="1" applyFill="1" applyBorder="1"/>
    <xf numFmtId="167" fontId="11" fillId="9" borderId="10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0" fontId="11" fillId="11" borderId="6" xfId="0" applyFont="1" applyFill="1" applyBorder="1" applyAlignment="1">
      <alignment horizontal="left"/>
    </xf>
    <xf numFmtId="0" fontId="11" fillId="11" borderId="7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9" fillId="4" borderId="6" xfId="0" applyFont="1" applyFill="1" applyBorder="1" applyAlignment="1">
      <alignment horizontal="left"/>
    </xf>
    <xf numFmtId="0" fontId="9" fillId="4" borderId="7" xfId="0" applyFont="1" applyFill="1" applyBorder="1" applyAlignment="1">
      <alignment horizontal="left"/>
    </xf>
    <xf numFmtId="0" fontId="52" fillId="4" borderId="6" xfId="0" applyFont="1" applyFill="1" applyBorder="1" applyAlignment="1">
      <alignment horizontal="left"/>
    </xf>
    <xf numFmtId="0" fontId="52" fillId="4" borderId="7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49" fontId="8" fillId="2" borderId="34" xfId="0" applyNumberFormat="1" applyFont="1" applyFill="1" applyBorder="1" applyAlignment="1">
      <alignment horizontal="center"/>
    </xf>
    <xf numFmtId="49" fontId="8" fillId="2" borderId="11" xfId="0" applyNumberFormat="1" applyFont="1" applyFill="1" applyBorder="1" applyAlignment="1">
      <alignment horizontal="center"/>
    </xf>
    <xf numFmtId="49" fontId="9" fillId="3" borderId="6" xfId="0" applyNumberFormat="1" applyFont="1" applyFill="1" applyBorder="1" applyAlignment="1">
      <alignment horizontal="center"/>
    </xf>
    <xf numFmtId="49" fontId="9" fillId="3" borderId="8" xfId="0" applyNumberFormat="1" applyFont="1" applyFill="1" applyBorder="1" applyAlignment="1">
      <alignment horizontal="center"/>
    </xf>
    <xf numFmtId="49" fontId="54" fillId="2" borderId="4" xfId="13" applyNumberFormat="1" applyFont="1" applyFill="1" applyBorder="1" applyAlignment="1">
      <alignment horizontal="left"/>
    </xf>
    <xf numFmtId="49" fontId="54" fillId="2" borderId="0" xfId="13" applyNumberFormat="1" applyFont="1" applyFill="1" applyAlignment="1">
      <alignment horizontal="left"/>
    </xf>
    <xf numFmtId="49" fontId="54" fillId="2" borderId="5" xfId="13" applyNumberFormat="1" applyFont="1" applyFill="1" applyBorder="1" applyAlignment="1">
      <alignment horizontal="left"/>
    </xf>
    <xf numFmtId="0" fontId="8" fillId="6" borderId="6" xfId="13" applyFont="1" applyFill="1" applyBorder="1" applyAlignment="1">
      <alignment horizontal="left"/>
    </xf>
    <xf numFmtId="0" fontId="8" fillId="6" borderId="7" xfId="13" applyFont="1" applyFill="1" applyBorder="1" applyAlignment="1">
      <alignment horizontal="left"/>
    </xf>
    <xf numFmtId="0" fontId="43" fillId="6" borderId="6" xfId="13" applyFont="1" applyFill="1" applyBorder="1" applyAlignment="1">
      <alignment horizontal="left"/>
    </xf>
    <xf numFmtId="0" fontId="43" fillId="6" borderId="7" xfId="13" applyFont="1" applyFill="1" applyBorder="1" applyAlignment="1">
      <alignment horizontal="left"/>
    </xf>
    <xf numFmtId="0" fontId="29" fillId="0" borderId="0" xfId="4" applyFont="1" applyAlignment="1">
      <alignment horizontal="center"/>
    </xf>
    <xf numFmtId="0" fontId="29" fillId="0" borderId="5" xfId="4" applyFont="1" applyBorder="1" applyAlignment="1">
      <alignment horizontal="center"/>
    </xf>
    <xf numFmtId="0" fontId="29" fillId="0" borderId="0" xfId="4" applyFont="1" applyAlignment="1">
      <alignment horizontal="center" wrapText="1"/>
    </xf>
    <xf numFmtId="0" fontId="29" fillId="0" borderId="5" xfId="4" applyFont="1" applyBorder="1" applyAlignment="1">
      <alignment horizontal="center" wrapText="1"/>
    </xf>
    <xf numFmtId="0" fontId="29" fillId="2" borderId="0" xfId="4" applyFont="1" applyFill="1" applyAlignment="1">
      <alignment horizontal="center"/>
    </xf>
    <xf numFmtId="0" fontId="29" fillId="2" borderId="5" xfId="4" applyFont="1" applyFill="1" applyBorder="1" applyAlignment="1">
      <alignment horizontal="center"/>
    </xf>
    <xf numFmtId="0" fontId="29" fillId="2" borderId="7" xfId="4" applyFont="1" applyFill="1" applyBorder="1" applyAlignment="1">
      <alignment horizontal="center"/>
    </xf>
    <xf numFmtId="0" fontId="47" fillId="29" borderId="0" xfId="10" applyBorder="1" applyAlignment="1">
      <alignment horizontal="left"/>
    </xf>
    <xf numFmtId="0" fontId="29" fillId="2" borderId="8" xfId="4" applyFont="1" applyFill="1" applyBorder="1" applyAlignment="1">
      <alignment horizontal="center"/>
    </xf>
    <xf numFmtId="0" fontId="27" fillId="0" borderId="1" xfId="4" applyFont="1" applyBorder="1" applyAlignment="1">
      <alignment horizontal="left"/>
    </xf>
    <xf numFmtId="0" fontId="11" fillId="11" borderId="6" xfId="4" applyFont="1" applyFill="1" applyBorder="1" applyAlignment="1">
      <alignment horizontal="left"/>
    </xf>
    <xf numFmtId="0" fontId="29" fillId="0" borderId="7" xfId="4" applyFont="1" applyBorder="1" applyAlignment="1">
      <alignment horizontal="center"/>
    </xf>
    <xf numFmtId="0" fontId="47" fillId="29" borderId="9" xfId="10" applyBorder="1" applyAlignment="1">
      <alignment horizontal="left"/>
    </xf>
    <xf numFmtId="0" fontId="47" fillId="29" borderId="10" xfId="10" applyBorder="1" applyAlignment="1">
      <alignment horizontal="left"/>
    </xf>
    <xf numFmtId="0" fontId="47" fillId="29" borderId="11" xfId="10" applyBorder="1" applyAlignment="1">
      <alignment horizontal="left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1" fillId="11" borderId="6" xfId="0" applyFont="1" applyFill="1" applyBorder="1" applyAlignment="1">
      <alignment horizontal="left"/>
    </xf>
    <xf numFmtId="0" fontId="11" fillId="11" borderId="7" xfId="0" applyFont="1" applyFill="1" applyBorder="1" applyAlignment="1">
      <alignment horizontal="left"/>
    </xf>
    <xf numFmtId="0" fontId="44" fillId="5" borderId="0" xfId="4" applyFont="1" applyFill="1" applyAlignment="1">
      <alignment horizontal="left" vertical="center"/>
    </xf>
    <xf numFmtId="0" fontId="11" fillId="6" borderId="6" xfId="4" applyFont="1" applyFill="1" applyBorder="1" applyAlignment="1">
      <alignment horizontal="left"/>
    </xf>
    <xf numFmtId="0" fontId="11" fillId="6" borderId="7" xfId="4" applyFont="1" applyFill="1" applyBorder="1" applyAlignment="1">
      <alignment horizontal="left"/>
    </xf>
    <xf numFmtId="0" fontId="38" fillId="2" borderId="0" xfId="4" applyFont="1" applyFill="1" applyAlignment="1">
      <alignment horizontal="left" vertical="center"/>
    </xf>
    <xf numFmtId="0" fontId="11" fillId="11" borderId="7" xfId="4" applyFont="1" applyFill="1" applyBorder="1" applyAlignment="1">
      <alignment horizontal="left"/>
    </xf>
    <xf numFmtId="0" fontId="44" fillId="5" borderId="0" xfId="13" applyFont="1" applyFill="1" applyAlignment="1">
      <alignment horizontal="left" vertical="center"/>
    </xf>
    <xf numFmtId="0" fontId="44" fillId="5" borderId="26" xfId="13" applyFont="1" applyFill="1" applyBorder="1" applyAlignment="1">
      <alignment horizontal="left" vertical="center"/>
    </xf>
    <xf numFmtId="0" fontId="11" fillId="6" borderId="6" xfId="13" applyFont="1" applyFill="1" applyBorder="1" applyAlignment="1">
      <alignment horizontal="left"/>
    </xf>
    <xf numFmtId="0" fontId="11" fillId="6" borderId="7" xfId="13" applyFont="1" applyFill="1" applyBorder="1" applyAlignment="1">
      <alignment horizontal="left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5" xfId="0" applyNumberFormat="1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/>
    </xf>
    <xf numFmtId="49" fontId="20" fillId="2" borderId="9" xfId="0" applyNumberFormat="1" applyFont="1" applyFill="1" applyBorder="1" applyAlignment="1">
      <alignment horizontal="center"/>
    </xf>
    <xf numFmtId="49" fontId="20" fillId="2" borderId="10" xfId="0" applyNumberFormat="1" applyFont="1" applyFill="1" applyBorder="1" applyAlignment="1">
      <alignment horizontal="center"/>
    </xf>
    <xf numFmtId="0" fontId="20" fillId="11" borderId="6" xfId="0" applyFont="1" applyFill="1" applyBorder="1" applyAlignment="1">
      <alignment horizontal="left"/>
    </xf>
    <xf numFmtId="0" fontId="20" fillId="11" borderId="7" xfId="0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/>
    </xf>
    <xf numFmtId="49" fontId="17" fillId="2" borderId="3" xfId="0" applyNumberFormat="1" applyFont="1" applyFill="1" applyBorder="1" applyAlignment="1">
      <alignment horizontal="center"/>
    </xf>
    <xf numFmtId="49" fontId="17" fillId="2" borderId="4" xfId="0" applyNumberFormat="1" applyFont="1" applyFill="1" applyBorder="1" applyAlignment="1">
      <alignment horizontal="center"/>
    </xf>
    <xf numFmtId="49" fontId="17" fillId="2" borderId="0" xfId="0" applyNumberFormat="1" applyFont="1" applyFill="1" applyAlignment="1">
      <alignment horizontal="center"/>
    </xf>
    <xf numFmtId="49" fontId="17" fillId="2" borderId="5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49" fontId="17" fillId="2" borderId="8" xfId="0" applyNumberFormat="1" applyFont="1" applyFill="1" applyBorder="1" applyAlignment="1">
      <alignment horizontal="center"/>
    </xf>
    <xf numFmtId="0" fontId="38" fillId="2" borderId="0" xfId="8" applyFont="1" applyFill="1" applyAlignment="1">
      <alignment horizontal="left" vertical="center"/>
    </xf>
    <xf numFmtId="0" fontId="8" fillId="6" borderId="6" xfId="8" applyFont="1" applyFill="1" applyBorder="1" applyAlignment="1">
      <alignment horizontal="left"/>
    </xf>
    <xf numFmtId="0" fontId="8" fillId="6" borderId="7" xfId="8" applyFont="1" applyFill="1" applyBorder="1" applyAlignment="1">
      <alignment horizontal="left"/>
    </xf>
    <xf numFmtId="0" fontId="0" fillId="0" borderId="0" xfId="0" applyAlignment="1">
      <alignment horizontal="center"/>
    </xf>
    <xf numFmtId="0" fontId="38" fillId="2" borderId="0" xfId="0" applyFont="1" applyFill="1" applyAlignment="1">
      <alignment horizontal="left" vertical="center"/>
    </xf>
    <xf numFmtId="49" fontId="32" fillId="16" borderId="22" xfId="0" applyNumberFormat="1" applyFont="1" applyFill="1" applyBorder="1" applyAlignment="1">
      <alignment horizontal="left"/>
    </xf>
    <xf numFmtId="1" fontId="32" fillId="16" borderId="23" xfId="0" applyNumberFormat="1" applyFont="1" applyFill="1" applyBorder="1" applyAlignment="1">
      <alignment horizontal="left"/>
    </xf>
    <xf numFmtId="1" fontId="32" fillId="16" borderId="24" xfId="0" applyNumberFormat="1" applyFont="1" applyFill="1" applyBorder="1" applyAlignment="1">
      <alignment horizontal="left"/>
    </xf>
    <xf numFmtId="49" fontId="32" fillId="16" borderId="13" xfId="0" applyNumberFormat="1" applyFont="1" applyFill="1" applyBorder="1" applyAlignment="1">
      <alignment horizontal="left"/>
    </xf>
    <xf numFmtId="1" fontId="32" fillId="16" borderId="14" xfId="0" applyNumberFormat="1" applyFont="1" applyFill="1" applyBorder="1" applyAlignment="1">
      <alignment horizontal="left"/>
    </xf>
    <xf numFmtId="49" fontId="8" fillId="2" borderId="2" xfId="0" applyNumberFormat="1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center"/>
    </xf>
    <xf numFmtId="0" fontId="8" fillId="6" borderId="6" xfId="0" applyFont="1" applyFill="1" applyBorder="1" applyAlignment="1">
      <alignment horizontal="left"/>
    </xf>
    <xf numFmtId="0" fontId="8" fillId="6" borderId="7" xfId="0" applyFont="1" applyFill="1" applyBorder="1" applyAlignment="1">
      <alignment horizontal="left"/>
    </xf>
    <xf numFmtId="0" fontId="38" fillId="2" borderId="5" xfId="0" applyFont="1" applyFill="1" applyBorder="1" applyAlignment="1">
      <alignment horizontal="left" vertical="center"/>
    </xf>
    <xf numFmtId="0" fontId="27" fillId="0" borderId="4" xfId="0" applyFont="1" applyBorder="1" applyAlignment="1"/>
    <xf numFmtId="0" fontId="3" fillId="0" borderId="0" xfId="0" applyFont="1" applyAlignment="1"/>
    <xf numFmtId="0" fontId="11" fillId="11" borderId="6" xfId="8" applyFont="1" applyFill="1" applyBorder="1" applyAlignment="1">
      <alignment horizontal="left"/>
    </xf>
    <xf numFmtId="0" fontId="11" fillId="11" borderId="7" xfId="8" applyFont="1" applyFill="1" applyBorder="1" applyAlignment="1">
      <alignment horizontal="left"/>
    </xf>
    <xf numFmtId="0" fontId="11" fillId="11" borderId="6" xfId="13" applyFont="1" applyFill="1" applyBorder="1" applyAlignment="1">
      <alignment horizontal="left"/>
    </xf>
    <xf numFmtId="0" fontId="11" fillId="11" borderId="7" xfId="13" applyFont="1" applyFill="1" applyBorder="1" applyAlignment="1">
      <alignment horizontal="left"/>
    </xf>
  </cellXfs>
  <cellStyles count="34">
    <cellStyle name="40% - Accent2" xfId="7" builtinId="35"/>
    <cellStyle name="Bad 2" xfId="18" xr:uid="{00000000-0005-0000-0000-00003F000000}"/>
    <cellStyle name="Comma 2" xfId="16" xr:uid="{00000000-0005-0000-0000-00003C000000}"/>
    <cellStyle name="Comma 3" xfId="19" xr:uid="{00000000-0005-0000-0000-000040000000}"/>
    <cellStyle name="Comma 4" xfId="30" xr:uid="{00000000-0005-0000-0000-00004B000000}"/>
    <cellStyle name="Currency" xfId="1" builtinId="4"/>
    <cellStyle name="Currency 2" xfId="9" xr:uid="{6F5D876B-D067-4922-9362-7D5E2533C319}"/>
    <cellStyle name="Currency 2 2" xfId="21" xr:uid="{00000000-0005-0000-0000-000042000000}"/>
    <cellStyle name="Currency 3" xfId="17" xr:uid="{00000000-0005-0000-0000-00003D000000}"/>
    <cellStyle name="Currency 3 2" xfId="22" xr:uid="{00000000-0005-0000-0000-000043000000}"/>
    <cellStyle name="Currency 3 3" xfId="32" xr:uid="{00000000-0005-0000-0000-00004D000000}"/>
    <cellStyle name="Currency 4" xfId="12" xr:uid="{B2B5225F-AC72-42CA-B0EE-EBD6B5603F02}"/>
    <cellStyle name="Currency 4 2" xfId="23" xr:uid="{00000000-0005-0000-0000-000044000000}"/>
    <cellStyle name="Currency 4 3" xfId="33" xr:uid="{00000000-0005-0000-0000-00004E000000}"/>
    <cellStyle name="Currency 5" xfId="11" xr:uid="{85490693-0CB0-4ABE-A640-D173D4258C51}"/>
    <cellStyle name="Currency 6" xfId="20" xr:uid="{00000000-0005-0000-0000-000041000000}"/>
    <cellStyle name="Currency 7" xfId="31" xr:uid="{00000000-0005-0000-0000-00004C000000}"/>
    <cellStyle name="Engsoc Style" xfId="2" xr:uid="{F0858590-7514-4E34-8C7C-B97D2478E270}"/>
    <cellStyle name="Engsoc Style 2" xfId="3" xr:uid="{F74A99D8-B063-4376-B7F0-6E1A7DBEF9CA}"/>
    <cellStyle name="Good 2" xfId="24" xr:uid="{00000000-0005-0000-0000-000045000000}"/>
    <cellStyle name="Hyperlink 2" xfId="14" xr:uid="{334C8B83-01A0-4EC5-9F02-87DEFA541821}"/>
    <cellStyle name="Input" xfId="6" builtinId="20"/>
    <cellStyle name="Neutral 2" xfId="25" xr:uid="{00000000-0005-0000-0000-000046000000}"/>
    <cellStyle name="Normal" xfId="0" builtinId="0"/>
    <cellStyle name="Normal 2" xfId="4" xr:uid="{00000000-0005-0000-0000-000031000000}"/>
    <cellStyle name="Normal 2 2" xfId="26" xr:uid="{00000000-0005-0000-0000-000047000000}"/>
    <cellStyle name="Normal 3" xfId="8" xr:uid="{1392F000-5952-46AA-9526-C819DB1341E9}"/>
    <cellStyle name="Normal 3 2" xfId="13" xr:uid="{626F2E1E-49EB-7445-85A9-9CEDCA5B8E29}"/>
    <cellStyle name="Normal 4" xfId="15" xr:uid="{00000000-0005-0000-0000-00003E000000}"/>
    <cellStyle name="Normal 4 2" xfId="27" xr:uid="{00000000-0005-0000-0000-000048000000}"/>
    <cellStyle name="Normal 6" xfId="5" xr:uid="{472C109C-DA05-4799-833F-CD9B4F8430FE}"/>
    <cellStyle name="Normal 6 2" xfId="28" xr:uid="{00000000-0005-0000-0000-000049000000}"/>
    <cellStyle name="Output 2" xfId="29" xr:uid="{00000000-0005-0000-0000-00004A000000}"/>
    <cellStyle name="Style 1" xfId="10" xr:uid="{F4803158-998F-48FD-8FFA-DD46A5C4F568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73213</xdr:colOff>
      <xdr:row>0</xdr:row>
      <xdr:rowOff>124012</xdr:rowOff>
    </xdr:from>
    <xdr:to>
      <xdr:col>1</xdr:col>
      <xdr:colOff>1552688</xdr:colOff>
      <xdr:row>3</xdr:row>
      <xdr:rowOff>427397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98267E-54AD-426D-8BD2-0681D004A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363" y="124012"/>
          <a:ext cx="1479475" cy="1760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1028700</xdr:colOff>
      <xdr:row>0</xdr:row>
      <xdr:rowOff>0</xdr:rowOff>
    </xdr:from>
    <xdr:to>
      <xdr:col>0</xdr:col>
      <xdr:colOff>2143125</xdr:colOff>
      <xdr:row>3</xdr:row>
      <xdr:rowOff>1067270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1EC93D6-A014-4F5C-AB9D-1D5BDC6718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" y="0"/>
          <a:ext cx="1111250" cy="16070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0</xdr:rowOff>
    </xdr:from>
    <xdr:to>
      <xdr:col>2</xdr:col>
      <xdr:colOff>949325</xdr:colOff>
      <xdr:row>3</xdr:row>
      <xdr:rowOff>330039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676DAA-647F-46D3-9452-768D667B3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0"/>
          <a:ext cx="1111250" cy="16101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577850</xdr:colOff>
      <xdr:row>0</xdr:row>
      <xdr:rowOff>66675</xdr:rowOff>
    </xdr:from>
    <xdr:to>
      <xdr:col>1</xdr:col>
      <xdr:colOff>0</xdr:colOff>
      <xdr:row>3</xdr:row>
      <xdr:rowOff>1130770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6D963B-03D6-40AB-80E5-0CBFFD6A8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850" y="66675"/>
          <a:ext cx="1117600" cy="16101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863600</xdr:colOff>
      <xdr:row>0</xdr:row>
      <xdr:rowOff>0</xdr:rowOff>
    </xdr:from>
    <xdr:to>
      <xdr:col>2</xdr:col>
      <xdr:colOff>1263650</xdr:colOff>
      <xdr:row>3</xdr:row>
      <xdr:rowOff>539750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C06761-87B5-46CF-9006-C0519FFB2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625" y="0"/>
          <a:ext cx="1365250" cy="19716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0</xdr:rowOff>
    </xdr:from>
    <xdr:to>
      <xdr:col>0</xdr:col>
      <xdr:colOff>1447800</xdr:colOff>
      <xdr:row>3</xdr:row>
      <xdr:rowOff>981545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D8175B-A254-43F4-B0F0-731C66587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1114425" cy="16101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</xdr:colOff>
      <xdr:row>0</xdr:row>
      <xdr:rowOff>104775</xdr:rowOff>
    </xdr:from>
    <xdr:to>
      <xdr:col>0</xdr:col>
      <xdr:colOff>1625600</xdr:colOff>
      <xdr:row>3</xdr:row>
      <xdr:rowOff>1168870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F434D-2D85-49C0-ABD1-0C8A65627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104775"/>
          <a:ext cx="1117600" cy="1610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lianReid\Downloads\Budget%202017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llianReid\Alma%20Mater%20Society%20of%20Queen's%20University%20Inc\EngSoc%20Finances%20-%20Documents\Operational%20Budget%202017-2018%20Actua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"/>
      <sheetName val="President"/>
      <sheetName val="Vice President Operations"/>
      <sheetName val="Vice President Student Affairs"/>
      <sheetName val="Academics"/>
      <sheetName val="Comm"/>
      <sheetName val="Community Outreach"/>
      <sheetName val="Conferences"/>
      <sheetName val="Design"/>
      <sheetName val="Events"/>
      <sheetName val="Finance"/>
      <sheetName val="First Year"/>
      <sheetName val="HR"/>
      <sheetName val="IA"/>
      <sheetName val="IT"/>
      <sheetName val="PD"/>
      <sheetName val="Services"/>
      <sheetName val="Drop down"/>
      <sheetName val="Pivot"/>
      <sheetName val="Frozen Pivot"/>
    </sheetNames>
    <sheetDataSet>
      <sheetData sheetId="0">
        <row r="10">
          <cell r="E10">
            <v>2100</v>
          </cell>
        </row>
      </sheetData>
      <sheetData sheetId="1">
        <row r="7">
          <cell r="H7">
            <v>2137.5</v>
          </cell>
        </row>
        <row r="9">
          <cell r="H9">
            <v>3821.5520000000001</v>
          </cell>
        </row>
        <row r="11">
          <cell r="H11">
            <v>700</v>
          </cell>
        </row>
        <row r="13">
          <cell r="H13">
            <v>38417.399999999994</v>
          </cell>
        </row>
        <row r="15">
          <cell r="H15">
            <v>8000</v>
          </cell>
        </row>
        <row r="19">
          <cell r="H19">
            <v>4999.5</v>
          </cell>
        </row>
        <row r="20">
          <cell r="H20">
            <v>6937.375</v>
          </cell>
        </row>
        <row r="28">
          <cell r="H28">
            <v>16758.804</v>
          </cell>
        </row>
        <row r="30">
          <cell r="H30">
            <v>35622.798000000003</v>
          </cell>
        </row>
        <row r="32">
          <cell r="H32">
            <v>15061.439999999999</v>
          </cell>
        </row>
        <row r="34">
          <cell r="H34">
            <v>3102.12</v>
          </cell>
        </row>
        <row r="36">
          <cell r="H36">
            <v>3166.68</v>
          </cell>
        </row>
        <row r="38">
          <cell r="H38">
            <v>720</v>
          </cell>
        </row>
        <row r="51">
          <cell r="H51">
            <v>2277.864</v>
          </cell>
        </row>
        <row r="57">
          <cell r="H57">
            <v>350</v>
          </cell>
        </row>
        <row r="59">
          <cell r="H59">
            <v>700</v>
          </cell>
        </row>
        <row r="61">
          <cell r="H61">
            <v>14084.61</v>
          </cell>
        </row>
        <row r="63">
          <cell r="H63">
            <v>10000</v>
          </cell>
        </row>
        <row r="69">
          <cell r="H69">
            <v>715</v>
          </cell>
        </row>
        <row r="70">
          <cell r="H70">
            <v>400</v>
          </cell>
        </row>
        <row r="71">
          <cell r="H71">
            <v>1920</v>
          </cell>
        </row>
        <row r="72">
          <cell r="H72">
            <v>11760</v>
          </cell>
        </row>
        <row r="73">
          <cell r="H73">
            <v>11760</v>
          </cell>
        </row>
        <row r="74">
          <cell r="H74">
            <v>11760</v>
          </cell>
        </row>
        <row r="76">
          <cell r="H76">
            <v>1709.5199999999998</v>
          </cell>
        </row>
        <row r="78">
          <cell r="H78">
            <v>3081.9120000000003</v>
          </cell>
        </row>
        <row r="80">
          <cell r="H80">
            <v>6420.93</v>
          </cell>
        </row>
        <row r="81">
          <cell r="H81">
            <v>6420.93</v>
          </cell>
        </row>
        <row r="82">
          <cell r="H82">
            <v>6420.93</v>
          </cell>
        </row>
        <row r="83">
          <cell r="H83">
            <v>2205</v>
          </cell>
        </row>
        <row r="117">
          <cell r="H117">
            <v>500</v>
          </cell>
        </row>
        <row r="121">
          <cell r="H121">
            <v>500</v>
          </cell>
        </row>
        <row r="123">
          <cell r="H123">
            <v>1355.9999999999998</v>
          </cell>
        </row>
        <row r="125">
          <cell r="H125">
            <v>1500</v>
          </cell>
        </row>
        <row r="127">
          <cell r="H127">
            <v>1000</v>
          </cell>
        </row>
        <row r="129">
          <cell r="H129">
            <v>750</v>
          </cell>
        </row>
        <row r="131">
          <cell r="H131">
            <v>1000</v>
          </cell>
        </row>
        <row r="132">
          <cell r="H132">
            <v>350</v>
          </cell>
        </row>
        <row r="133">
          <cell r="H133">
            <v>700</v>
          </cell>
        </row>
        <row r="135">
          <cell r="H135">
            <v>3187.41</v>
          </cell>
        </row>
      </sheetData>
      <sheetData sheetId="2"/>
      <sheetData sheetId="3"/>
      <sheetData sheetId="4">
        <row r="6">
          <cell r="H6">
            <v>0</v>
          </cell>
        </row>
      </sheetData>
      <sheetData sheetId="5"/>
      <sheetData sheetId="6">
        <row r="6">
          <cell r="H6">
            <v>0</v>
          </cell>
        </row>
      </sheetData>
      <sheetData sheetId="7"/>
      <sheetData sheetId="8">
        <row r="68">
          <cell r="H68">
            <v>12193.279999999999</v>
          </cell>
        </row>
      </sheetData>
      <sheetData sheetId="9">
        <row r="6">
          <cell r="H6">
            <v>0</v>
          </cell>
        </row>
      </sheetData>
      <sheetData sheetId="10"/>
      <sheetData sheetId="11">
        <row r="6">
          <cell r="H6">
            <v>0</v>
          </cell>
        </row>
      </sheetData>
      <sheetData sheetId="12"/>
      <sheetData sheetId="13">
        <row r="6">
          <cell r="H6">
            <v>0</v>
          </cell>
        </row>
      </sheetData>
      <sheetData sheetId="14">
        <row r="6">
          <cell r="H6">
            <v>0</v>
          </cell>
        </row>
      </sheetData>
      <sheetData sheetId="15">
        <row r="52">
          <cell r="H52">
            <v>0</v>
          </cell>
        </row>
      </sheetData>
      <sheetData sheetId="16"/>
      <sheetData sheetId="17">
        <row r="6">
          <cell r="H6">
            <v>0</v>
          </cell>
        </row>
      </sheetData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"/>
      <sheetName val="President"/>
      <sheetName val="Vice President Operations"/>
      <sheetName val="Vice President Student Affairs"/>
      <sheetName val="Academics"/>
      <sheetName val="Comm "/>
      <sheetName val="Community Outreach"/>
      <sheetName val="Conferences"/>
      <sheetName val="Design"/>
      <sheetName val="Leah's expenses"/>
      <sheetName val="Events"/>
      <sheetName val="Finance"/>
      <sheetName val="First Year"/>
      <sheetName val="FYC"/>
      <sheetName val="HR"/>
      <sheetName val=" IA"/>
      <sheetName val="IT"/>
      <sheetName val="PD"/>
      <sheetName val="Drop down"/>
      <sheetName val="Services "/>
      <sheetName val="Frozen Pivot"/>
      <sheetName val="piv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19">
          <cell r="B519">
            <v>0</v>
          </cell>
        </row>
      </sheetData>
      <sheetData sheetId="2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idney Picco" id="{51EC3AA4-3CC6-4A99-9975-D9AA461C65C9}" userId="Sidney Picco" providerId="None"/>
  <person displayName="Behshid Behrouzi" id="{F24EFC4A-EB48-4BD9-8B4B-A36887A1876B}" userId="S::vpops@engsoc.queensu.ca::4b682013-d9bf-427e-9f57-20067d9b96d2" providerId="AD"/>
  <person displayName="Emma Prairie" id="{934F5517-4566-4F1A-BD8D-A783F3D7F4D5}" userId="S::firstyear@engsoc.queensu.ca::13a2cd62-a8f4-42f5-874a-9370f1144cb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7" dT="2019-05-03T19:36:49.32" personId="{F24EFC4A-EB48-4BD9-8B4B-A36887A1876B}" id="{C145A0FC-349F-48BF-BA1E-431F8CAB9F83}">
    <text xml:space="preserve">Not including the TR student interest fees as these are spent under discretion of the management team, Ops and DoS. 40% due  in January 19 was calculated but needs to be double checked with BMO Feb/Mar Deposits
</text>
  </threadedComment>
  <threadedComment ref="I81" dT="2019-05-03T19:52:55.55" personId="{F24EFC4A-EB48-4BD9-8B4B-A36887A1876B}" id="{C9270E12-D891-4FE5-B4DF-50CA875E0A55}">
    <text xml:space="preserve">Still being approved
</text>
  </threadedComment>
  <threadedComment ref="I89" dT="2019-05-03T20:41:17.00" personId="{F24EFC4A-EB48-4BD9-8B4B-A36887A1876B}" id="{7E988878-7298-4961-A29F-94DCDBF06797}">
    <text xml:space="preserve">$8000 estimated for February-May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3" dT="2019-03-03T18:21:29.81" personId="{51EC3AA4-3CC6-4A99-9975-D9AA461C65C9}" id="{88680B9F-4DDB-4562-A9B0-57932D838CEF}">
    <text>We only are projected to run 3 caucuses instead of 4.</text>
  </threadedComment>
  <threadedComment ref="J14" dT="2019-03-03T18:21:54.48" personId="{51EC3AA4-3CC6-4A99-9975-D9AA461C65C9}" id="{CE2960AD-B4D7-4FF6-882E-8071BA06C4FE}">
    <text>We will only run 1 feedback booth</text>
  </threadedComment>
  <threadedComment ref="I16" dT="2019-03-03T18:23:13.61" personId="{51EC3AA4-3CC6-4A99-9975-D9AA461C65C9}" id="{01FBFD16-98BD-4E15-A696-F375D4CBE9C7}">
    <text>We will only likely have 3 manuals ready to go, so I will only need 3 binders</text>
  </threadedComment>
  <threadedComment ref="J18" dT="2019-03-03T18:24:18.32" personId="{51EC3AA4-3CC6-4A99-9975-D9AA461C65C9}" id="{B9835372-5625-4FE2-A161-9259A1D076FA}">
    <text>We've only currently run 2 feedback booths, but will likely run one more which I have accounted for</text>
  </threadedComment>
  <threadedComment ref="J19" dT="2019-03-03T18:24:58.01" personId="{51EC3AA4-3CC6-4A99-9975-D9AA461C65C9}" id="{AF4FA4F5-428C-4128-A169-3BD1CC47615C}">
    <text>Will not be confirmed until the appreciation dinner actually happens</text>
  </threadedComment>
  <threadedComment ref="I30" dT="2019-03-03T18:25:58.49" personId="{51EC3AA4-3CC6-4A99-9975-D9AA461C65C9}" id="{9C2BBC17-D242-4F44-B023-E9F7626BD331}">
    <text>Event hasn't happened yet but will likely happen in March</text>
  </threadedComment>
  <threadedComment ref="J32" dT="2019-03-03T18:26:28.69" personId="{51EC3AA4-3CC6-4A99-9975-D9AA461C65C9}" id="{45D534DD-3F1D-4557-BE0D-7C73DFE713F2}">
    <text>Hasn't occured yet but will likely happen in March</text>
  </threadedComment>
  <threadedComment ref="J39" dT="2019-03-03T18:26:53.07" personId="{51EC3AA4-3CC6-4A99-9975-D9AA461C65C9}" id="{0A212F70-5AB9-42A5-B5E0-E4DB0B4837FA}">
    <text>Hasn't happened yet but will likely happen in March or April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K63" dT="2019-03-03T23:13:14.79" personId="{934F5517-4566-4F1A-BD8D-A783F3D7F4D5}" id="{6B2E153C-407E-47A7-A5BE-081DA2F4618D}">
    <text xml:space="preserve">Tea Room should have expensed this. I can follow up if they didn't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Relationship Id="rId4" Type="http://schemas.microsoft.com/office/2017/10/relationships/threadedComment" Target="../threadedComments/threadedComment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1DDF-B9CB-46C8-85D0-EB477DAA1307}">
  <dimension ref="A1:H122"/>
  <sheetViews>
    <sheetView zoomScale="80" zoomScaleNormal="80" zoomScalePageLayoutView="85" workbookViewId="0">
      <selection activeCell="F125" sqref="F125"/>
    </sheetView>
  </sheetViews>
  <sheetFormatPr defaultColWidth="12.265625" defaultRowHeight="14.25" x14ac:dyDescent="0.45"/>
  <cols>
    <col min="2" max="2" width="44.3984375" bestFit="1" customWidth="1"/>
    <col min="3" max="3" width="37.265625" customWidth="1"/>
    <col min="4" max="4" width="33.265625" customWidth="1"/>
    <col min="5" max="5" width="18.73046875" bestFit="1" customWidth="1"/>
    <col min="6" max="6" width="52" customWidth="1"/>
    <col min="8" max="8" width="22.3984375" customWidth="1"/>
  </cols>
  <sheetData>
    <row r="1" spans="1:6" ht="38.25" customHeight="1" x14ac:dyDescent="0.45">
      <c r="A1" s="1424"/>
      <c r="B1" s="1425"/>
      <c r="C1" s="1428" t="s">
        <v>0</v>
      </c>
      <c r="D1" s="1429"/>
      <c r="E1" s="1429"/>
      <c r="F1" s="1430"/>
    </row>
    <row r="2" spans="1:6" ht="38.25" customHeight="1" x14ac:dyDescent="0.45">
      <c r="A2" s="1424"/>
      <c r="B2" s="1425"/>
      <c r="C2" s="1431"/>
      <c r="D2" s="1432"/>
      <c r="E2" s="1432"/>
      <c r="F2" s="1433"/>
    </row>
    <row r="3" spans="1:6" ht="38.25" customHeight="1" x14ac:dyDescent="0.45">
      <c r="A3" s="1424"/>
      <c r="B3" s="1425"/>
      <c r="C3" s="1431"/>
      <c r="D3" s="1432"/>
      <c r="E3" s="1432"/>
      <c r="F3" s="1433"/>
    </row>
    <row r="4" spans="1:6" ht="38.25" customHeight="1" x14ac:dyDescent="0.45">
      <c r="A4" s="1426"/>
      <c r="B4" s="1427"/>
      <c r="C4" s="1434"/>
      <c r="D4" s="1435"/>
      <c r="E4" s="1435"/>
      <c r="F4" s="1436"/>
    </row>
    <row r="5" spans="1:6" ht="18.75" x14ac:dyDescent="0.7">
      <c r="A5" s="1437"/>
      <c r="B5" s="1438"/>
      <c r="C5" s="1439" t="s">
        <v>1</v>
      </c>
      <c r="D5" s="1439"/>
      <c r="E5" s="1440" t="s">
        <v>2</v>
      </c>
      <c r="F5" s="1439"/>
    </row>
    <row r="6" spans="1:6" ht="18.75" x14ac:dyDescent="0.7">
      <c r="A6" s="1441" t="s">
        <v>3</v>
      </c>
      <c r="B6" s="1442"/>
      <c r="C6" s="1193" t="s">
        <v>4</v>
      </c>
      <c r="D6" s="1194" t="s">
        <v>5</v>
      </c>
      <c r="E6" s="1195" t="s">
        <v>4</v>
      </c>
      <c r="F6" s="1194" t="s">
        <v>6</v>
      </c>
    </row>
    <row r="7" spans="1:6" ht="18.75" x14ac:dyDescent="0.7">
      <c r="A7" s="1196"/>
      <c r="B7" s="1197"/>
      <c r="C7" s="1198"/>
      <c r="D7" s="1199"/>
      <c r="E7" s="1200"/>
      <c r="F7" s="1201"/>
    </row>
    <row r="8" spans="1:6" ht="18.75" x14ac:dyDescent="0.7">
      <c r="A8" s="1420" t="s">
        <v>7</v>
      </c>
      <c r="B8" s="1421"/>
      <c r="C8" s="1202"/>
      <c r="D8" s="1202"/>
      <c r="E8" s="1203"/>
      <c r="F8" s="19"/>
    </row>
    <row r="9" spans="1:6" ht="18.75" x14ac:dyDescent="0.7">
      <c r="A9" s="1204" t="s">
        <v>8</v>
      </c>
      <c r="B9" s="1205"/>
      <c r="C9" s="1206"/>
      <c r="D9" s="1206"/>
      <c r="E9" s="1207"/>
      <c r="F9" s="1208"/>
    </row>
    <row r="10" spans="1:6" ht="18.75" x14ac:dyDescent="0.7">
      <c r="A10" s="324"/>
      <c r="B10" s="1209" t="s">
        <v>9</v>
      </c>
      <c r="C10" s="283">
        <f>[1]General!H7</f>
        <v>2137.5</v>
      </c>
      <c r="D10" s="1341"/>
      <c r="E10" s="283">
        <v>0</v>
      </c>
      <c r="F10" s="1341"/>
    </row>
    <row r="11" spans="1:6" ht="18.75" x14ac:dyDescent="0.7">
      <c r="A11" s="326"/>
      <c r="B11" s="378" t="s">
        <v>10</v>
      </c>
      <c r="C11" s="288">
        <f>[1]General!H9</f>
        <v>3821.5520000000001</v>
      </c>
      <c r="D11" s="1344"/>
      <c r="E11" s="288">
        <v>3821.5520000000001</v>
      </c>
      <c r="F11" s="1344">
        <v>2069.83</v>
      </c>
    </row>
    <row r="12" spans="1:6" ht="18.75" x14ac:dyDescent="0.7">
      <c r="A12" s="326"/>
      <c r="B12" s="322" t="s">
        <v>11</v>
      </c>
      <c r="C12" s="283">
        <f>[1]General!H11</f>
        <v>700</v>
      </c>
      <c r="D12" s="1341"/>
      <c r="E12" s="283">
        <v>700</v>
      </c>
      <c r="F12" s="1341"/>
    </row>
    <row r="13" spans="1:6" ht="18.75" x14ac:dyDescent="0.7">
      <c r="A13" s="326"/>
      <c r="B13" s="378" t="s">
        <v>12</v>
      </c>
      <c r="C13" s="288">
        <f>[1]General!H13</f>
        <v>38417.399999999994</v>
      </c>
      <c r="D13" s="1344"/>
      <c r="E13" s="288">
        <v>38417.399999999994</v>
      </c>
      <c r="F13" s="1344">
        <v>25931.99</v>
      </c>
    </row>
    <row r="14" spans="1:6" ht="18.75" x14ac:dyDescent="0.7">
      <c r="A14" s="326"/>
      <c r="B14" s="322" t="s">
        <v>13</v>
      </c>
      <c r="C14" s="283">
        <f>[1]General!H15</f>
        <v>8000</v>
      </c>
      <c r="D14" s="1341"/>
      <c r="E14" s="283">
        <v>8000</v>
      </c>
      <c r="F14" s="1341">
        <v>10299.950000000001</v>
      </c>
    </row>
    <row r="15" spans="1:6" ht="18.75" x14ac:dyDescent="0.7">
      <c r="A15" s="326"/>
      <c r="B15" s="378" t="s">
        <v>14</v>
      </c>
      <c r="C15" s="288">
        <v>198400</v>
      </c>
      <c r="D15" s="1344"/>
      <c r="E15" s="288">
        <v>184410</v>
      </c>
      <c r="F15" s="1344">
        <v>99560.81</v>
      </c>
    </row>
    <row r="16" spans="1:6" ht="18.75" x14ac:dyDescent="0.7">
      <c r="A16" s="326"/>
      <c r="B16" s="322" t="s">
        <v>15</v>
      </c>
      <c r="C16" s="283">
        <f>[1]General!H19+[1]General!H20</f>
        <v>11936.875</v>
      </c>
      <c r="D16" s="1341"/>
      <c r="E16" s="283">
        <v>10749.25</v>
      </c>
      <c r="F16" s="1341">
        <v>15331.68</v>
      </c>
    </row>
    <row r="17" spans="1:8" ht="18.75" x14ac:dyDescent="0.7">
      <c r="A17" s="326"/>
      <c r="B17" s="378" t="s">
        <v>16</v>
      </c>
      <c r="C17" s="288">
        <v>5068.54</v>
      </c>
      <c r="D17" s="1344"/>
      <c r="E17" s="288">
        <v>22165.82</v>
      </c>
      <c r="F17" s="1344">
        <v>22165.82</v>
      </c>
    </row>
    <row r="18" spans="1:8" ht="18.75" x14ac:dyDescent="0.7">
      <c r="A18" s="326"/>
      <c r="B18" s="378"/>
      <c r="C18" s="288"/>
      <c r="D18" s="1342"/>
      <c r="E18" s="288"/>
      <c r="F18" s="1342"/>
    </row>
    <row r="19" spans="1:8" ht="18.75" x14ac:dyDescent="0.7">
      <c r="A19" s="324"/>
      <c r="B19" s="1204" t="s">
        <v>17</v>
      </c>
      <c r="C19" s="1345">
        <v>268608.32699999999</v>
      </c>
      <c r="D19" s="1346"/>
      <c r="E19" s="1345">
        <v>268264.022</v>
      </c>
      <c r="F19" s="1346">
        <v>175360.08000000002</v>
      </c>
    </row>
    <row r="20" spans="1:8" ht="18.75" x14ac:dyDescent="0.7">
      <c r="A20" s="324"/>
      <c r="B20" s="81"/>
      <c r="C20" s="333"/>
      <c r="D20" s="333"/>
      <c r="E20" s="333"/>
      <c r="F20" s="11"/>
    </row>
    <row r="21" spans="1:8" ht="18.75" x14ac:dyDescent="0.7">
      <c r="A21" s="1204" t="s">
        <v>18</v>
      </c>
      <c r="B21" s="1205"/>
      <c r="C21" s="1211"/>
      <c r="D21" s="1211"/>
      <c r="E21" s="1211"/>
      <c r="F21" s="1212"/>
    </row>
    <row r="22" spans="1:8" ht="18.75" x14ac:dyDescent="0.7">
      <c r="A22" s="326"/>
      <c r="B22" s="1213" t="s">
        <v>19</v>
      </c>
      <c r="C22" s="288">
        <f>President!E9</f>
        <v>1200</v>
      </c>
      <c r="D22" s="1344"/>
      <c r="E22" s="288">
        <v>0</v>
      </c>
      <c r="F22" s="1344">
        <v>0</v>
      </c>
    </row>
    <row r="23" spans="1:8" ht="18.75" x14ac:dyDescent="0.7">
      <c r="A23" s="326"/>
      <c r="B23" s="1213" t="s">
        <v>20</v>
      </c>
      <c r="C23" s="288">
        <v>12203.59</v>
      </c>
      <c r="D23" s="1344"/>
      <c r="E23" s="288">
        <v>0</v>
      </c>
      <c r="F23" s="1344">
        <v>0</v>
      </c>
    </row>
    <row r="24" spans="1:8" ht="19.149999999999999" x14ac:dyDescent="0.7">
      <c r="A24" s="326"/>
      <c r="B24" s="1213" t="s">
        <v>21</v>
      </c>
      <c r="C24" s="288">
        <f>'[1]Vice President Student Affairs'!H6</f>
        <v>0</v>
      </c>
      <c r="D24" s="1344"/>
      <c r="E24" s="288">
        <v>0</v>
      </c>
      <c r="F24" s="1344">
        <v>0</v>
      </c>
      <c r="H24" s="1334"/>
    </row>
    <row r="25" spans="1:8" ht="19.149999999999999" x14ac:dyDescent="0.7">
      <c r="A25" s="326"/>
      <c r="B25" s="1213" t="s">
        <v>22</v>
      </c>
      <c r="C25" s="1337">
        <v>0</v>
      </c>
      <c r="D25" s="1344"/>
      <c r="E25" s="288">
        <v>0</v>
      </c>
      <c r="F25" s="1344">
        <v>0</v>
      </c>
      <c r="H25" s="1335"/>
    </row>
    <row r="26" spans="1:8" ht="19.149999999999999" x14ac:dyDescent="0.7">
      <c r="A26" s="326"/>
      <c r="B26" s="1213" t="s">
        <v>23</v>
      </c>
      <c r="C26" s="288">
        <f>[1]Comm!H6</f>
        <v>0</v>
      </c>
      <c r="D26" s="1344"/>
      <c r="E26" s="288">
        <v>0</v>
      </c>
      <c r="F26" s="1344">
        <v>0</v>
      </c>
      <c r="H26" s="1336"/>
    </row>
    <row r="27" spans="1:8" ht="18.75" x14ac:dyDescent="0.7">
      <c r="A27" s="326"/>
      <c r="B27" s="1213" t="s">
        <v>24</v>
      </c>
      <c r="C27" s="288">
        <v>226</v>
      </c>
      <c r="D27" s="1344"/>
      <c r="E27" s="288">
        <v>0</v>
      </c>
      <c r="F27" s="1344">
        <v>641.20000000000005</v>
      </c>
    </row>
    <row r="28" spans="1:8" ht="18.75" x14ac:dyDescent="0.7">
      <c r="A28" s="326"/>
      <c r="B28" s="1213" t="s">
        <v>25</v>
      </c>
      <c r="C28" s="288">
        <v>0</v>
      </c>
      <c r="D28" s="1344"/>
      <c r="E28" s="288">
        <v>0</v>
      </c>
      <c r="F28" s="1344">
        <v>0</v>
      </c>
    </row>
    <row r="29" spans="1:8" ht="18.75" x14ac:dyDescent="0.7">
      <c r="A29" s="326"/>
      <c r="B29" s="1213" t="s">
        <v>26</v>
      </c>
      <c r="C29" s="288">
        <f>[1]Design!H6</f>
        <v>0</v>
      </c>
      <c r="D29" s="1344"/>
      <c r="E29" s="288">
        <v>0</v>
      </c>
      <c r="F29" s="1344">
        <v>0</v>
      </c>
    </row>
    <row r="30" spans="1:8" ht="18.75" x14ac:dyDescent="0.7">
      <c r="A30" s="326"/>
      <c r="B30" s="1213" t="s">
        <v>27</v>
      </c>
      <c r="C30" s="288">
        <v>11866.625</v>
      </c>
      <c r="D30" s="1344"/>
      <c r="E30" s="288">
        <v>21055.395</v>
      </c>
      <c r="F30" s="1344">
        <v>8014.78</v>
      </c>
    </row>
    <row r="31" spans="1:8" ht="18.75" x14ac:dyDescent="0.7">
      <c r="A31" s="326"/>
      <c r="B31" s="1213" t="s">
        <v>28</v>
      </c>
      <c r="C31" s="288">
        <v>4859</v>
      </c>
      <c r="D31" s="1344"/>
      <c r="E31" s="288">
        <v>5084.9999999999991</v>
      </c>
      <c r="F31" s="1344">
        <v>2842.78</v>
      </c>
    </row>
    <row r="32" spans="1:8" ht="18.75" x14ac:dyDescent="0.7">
      <c r="A32" s="326"/>
      <c r="B32" s="1213" t="s">
        <v>29</v>
      </c>
      <c r="C32" s="288">
        <f>[1]Finance!H6</f>
        <v>0</v>
      </c>
      <c r="D32" s="1344"/>
      <c r="E32" s="288">
        <v>0</v>
      </c>
      <c r="F32" s="1344">
        <v>0</v>
      </c>
    </row>
    <row r="33" spans="1:6" ht="18.75" x14ac:dyDescent="0.7">
      <c r="A33" s="326"/>
      <c r="B33" s="1214" t="s">
        <v>30</v>
      </c>
      <c r="C33" s="283">
        <f>[1]HR!H6</f>
        <v>0</v>
      </c>
      <c r="D33" s="1341"/>
      <c r="E33" s="283">
        <v>0</v>
      </c>
      <c r="F33" s="1341">
        <v>0</v>
      </c>
    </row>
    <row r="34" spans="1:6" ht="18.75" x14ac:dyDescent="0.7">
      <c r="A34" s="326"/>
      <c r="B34" s="1213" t="s">
        <v>31</v>
      </c>
      <c r="C34" s="288">
        <f>[1]IT!H52</f>
        <v>0</v>
      </c>
      <c r="D34" s="1344"/>
      <c r="E34" s="288">
        <v>0</v>
      </c>
      <c r="F34" s="1344">
        <v>0</v>
      </c>
    </row>
    <row r="35" spans="1:6" ht="18.75" x14ac:dyDescent="0.7">
      <c r="A35" s="326"/>
      <c r="B35" s="1214" t="s">
        <v>32</v>
      </c>
      <c r="C35" s="283">
        <f>[1]IA!H6</f>
        <v>0</v>
      </c>
      <c r="D35" s="1341"/>
      <c r="E35" s="283">
        <v>0</v>
      </c>
      <c r="F35" s="1341">
        <v>0</v>
      </c>
    </row>
    <row r="36" spans="1:6" ht="18.75" x14ac:dyDescent="0.7">
      <c r="A36" s="326"/>
      <c r="B36" s="1213" t="s">
        <v>33</v>
      </c>
      <c r="C36" s="288">
        <v>10000</v>
      </c>
      <c r="D36" s="1344"/>
      <c r="E36" s="288">
        <v>16350</v>
      </c>
      <c r="F36" s="1344">
        <v>3086.54</v>
      </c>
    </row>
    <row r="37" spans="1:6" ht="18.75" x14ac:dyDescent="0.7">
      <c r="A37" s="326"/>
      <c r="B37" s="1213" t="s">
        <v>34</v>
      </c>
      <c r="C37" s="288">
        <f>[1]Services!H6</f>
        <v>0</v>
      </c>
      <c r="D37" s="1344"/>
      <c r="E37" s="288">
        <v>0</v>
      </c>
      <c r="F37" s="1344">
        <v>0</v>
      </c>
    </row>
    <row r="38" spans="1:6" ht="18.75" x14ac:dyDescent="0.7">
      <c r="A38" s="326"/>
      <c r="B38" s="378"/>
      <c r="C38" s="288"/>
      <c r="D38" s="1344"/>
      <c r="E38" s="288"/>
      <c r="F38" s="1344"/>
    </row>
    <row r="39" spans="1:6" ht="18.75" x14ac:dyDescent="0.7">
      <c r="A39" s="324"/>
      <c r="B39" s="1204" t="s">
        <v>35</v>
      </c>
      <c r="C39" s="1345">
        <f>SUM(C22:C38)</f>
        <v>40355.214999999997</v>
      </c>
      <c r="D39" s="1346"/>
      <c r="E39" s="1345">
        <v>42490.395000000004</v>
      </c>
      <c r="F39" s="1346">
        <v>14585.3</v>
      </c>
    </row>
    <row r="40" spans="1:6" ht="18.75" x14ac:dyDescent="0.7">
      <c r="A40" s="324"/>
      <c r="B40" s="81"/>
      <c r="C40" s="333"/>
      <c r="D40" s="333"/>
      <c r="E40" s="333"/>
      <c r="F40" s="11"/>
    </row>
    <row r="41" spans="1:6" ht="18.75" x14ac:dyDescent="0.7">
      <c r="A41" s="1204" t="s">
        <v>36</v>
      </c>
      <c r="B41" s="1205"/>
      <c r="C41" s="1211"/>
      <c r="D41" s="1211"/>
      <c r="E41" s="1211"/>
      <c r="F41" s="1212"/>
    </row>
    <row r="42" spans="1:6" ht="18.75" x14ac:dyDescent="0.7">
      <c r="A42" s="326"/>
      <c r="B42" s="378" t="s">
        <v>37</v>
      </c>
      <c r="C42" s="288">
        <f>[1]General!H28</f>
        <v>16758.804</v>
      </c>
      <c r="D42" s="1344"/>
      <c r="E42" s="288">
        <v>16758.804</v>
      </c>
      <c r="F42" s="1344">
        <v>7829.84</v>
      </c>
    </row>
    <row r="43" spans="1:6" ht="18.75" x14ac:dyDescent="0.7">
      <c r="A43" s="326"/>
      <c r="B43" s="378" t="s">
        <v>38</v>
      </c>
      <c r="C43" s="288">
        <f>[1]General!H30</f>
        <v>35622.798000000003</v>
      </c>
      <c r="D43" s="1344"/>
      <c r="E43" s="288">
        <v>35622.798000000003</v>
      </c>
      <c r="F43" s="1344">
        <v>17125.169999999998</v>
      </c>
    </row>
    <row r="44" spans="1:6" ht="18.75" x14ac:dyDescent="0.7">
      <c r="A44" s="326"/>
      <c r="B44" s="378" t="s">
        <v>39</v>
      </c>
      <c r="C44" s="288">
        <f>[1]General!H32</f>
        <v>15061.439999999999</v>
      </c>
      <c r="D44" s="1344"/>
      <c r="E44" s="288">
        <v>15061.439999999999</v>
      </c>
      <c r="F44" s="1344">
        <v>8774.2199999999993</v>
      </c>
    </row>
    <row r="45" spans="1:6" ht="18.75" x14ac:dyDescent="0.7">
      <c r="A45" s="326"/>
      <c r="B45" s="378" t="s">
        <v>40</v>
      </c>
      <c r="C45" s="288">
        <f>[1]General!H34</f>
        <v>3102.12</v>
      </c>
      <c r="D45" s="1344"/>
      <c r="E45" s="288">
        <v>3102.12</v>
      </c>
      <c r="F45" s="1344">
        <v>1278.76</v>
      </c>
    </row>
    <row r="46" spans="1:6" ht="18.75" x14ac:dyDescent="0.7">
      <c r="A46" s="326"/>
      <c r="B46" s="378" t="s">
        <v>41</v>
      </c>
      <c r="C46" s="288">
        <f>[1]General!H36</f>
        <v>3166.68</v>
      </c>
      <c r="D46" s="1344"/>
      <c r="E46" s="288">
        <v>3166.68</v>
      </c>
      <c r="F46" s="1344">
        <v>1729.79</v>
      </c>
    </row>
    <row r="47" spans="1:6" ht="18.75" x14ac:dyDescent="0.7">
      <c r="A47" s="326"/>
      <c r="B47" s="378" t="s">
        <v>42</v>
      </c>
      <c r="C47" s="288">
        <f>[1]General!H38</f>
        <v>720</v>
      </c>
      <c r="D47" s="1344"/>
      <c r="E47" s="288">
        <v>720</v>
      </c>
      <c r="F47" s="1344">
        <v>5800.92</v>
      </c>
    </row>
    <row r="48" spans="1:6" ht="18.75" x14ac:dyDescent="0.7">
      <c r="A48" s="326"/>
      <c r="B48" s="378" t="s">
        <v>43</v>
      </c>
      <c r="C48" s="288"/>
      <c r="D48" s="1344"/>
      <c r="E48" s="288">
        <v>2859.96</v>
      </c>
      <c r="F48" s="1344">
        <v>0</v>
      </c>
    </row>
    <row r="49" spans="1:6" ht="18.75" x14ac:dyDescent="0.7">
      <c r="A49" s="326"/>
      <c r="B49" s="378" t="s">
        <v>44</v>
      </c>
      <c r="C49" s="288"/>
      <c r="D49" s="1344"/>
      <c r="E49" s="288">
        <v>1800</v>
      </c>
      <c r="F49" s="1344">
        <v>775</v>
      </c>
    </row>
    <row r="50" spans="1:6" ht="18.75" x14ac:dyDescent="0.7">
      <c r="A50" s="326"/>
      <c r="B50" s="378"/>
      <c r="C50" s="288"/>
      <c r="D50" s="1344"/>
      <c r="E50" s="288"/>
      <c r="F50" s="1344"/>
    </row>
    <row r="51" spans="1:6" ht="18.75" x14ac:dyDescent="0.7">
      <c r="A51" s="324"/>
      <c r="B51" s="1204" t="s">
        <v>45</v>
      </c>
      <c r="C51" s="1345">
        <v>79091.801999999996</v>
      </c>
      <c r="D51" s="1346"/>
      <c r="E51" s="1345">
        <v>79091.801999999996</v>
      </c>
      <c r="F51" s="1346">
        <v>43313.7</v>
      </c>
    </row>
    <row r="52" spans="1:6" ht="18.75" x14ac:dyDescent="0.7">
      <c r="A52" s="324"/>
      <c r="B52" s="81"/>
      <c r="C52" s="333"/>
      <c r="D52" s="333"/>
      <c r="E52" s="333"/>
      <c r="F52" s="333"/>
    </row>
    <row r="53" spans="1:6" ht="19.5" x14ac:dyDescent="0.7">
      <c r="A53" s="1215"/>
      <c r="B53" s="1216" t="s">
        <v>46</v>
      </c>
      <c r="C53" s="1345">
        <f>C39+C19+C51</f>
        <v>388055.34400000004</v>
      </c>
      <c r="D53" s="1346"/>
      <c r="E53" s="1345">
        <v>389846.21900000004</v>
      </c>
      <c r="F53" s="1346">
        <v>233259.08000000002</v>
      </c>
    </row>
    <row r="54" spans="1:6" ht="19.5" x14ac:dyDescent="0.7">
      <c r="A54" s="1215"/>
      <c r="B54" s="1217"/>
      <c r="C54" s="333"/>
      <c r="D54" s="333"/>
      <c r="E54" s="333"/>
      <c r="F54" s="1218"/>
    </row>
    <row r="55" spans="1:6" ht="18.75" x14ac:dyDescent="0.7">
      <c r="A55" s="1420" t="s">
        <v>47</v>
      </c>
      <c r="B55" s="1421"/>
      <c r="C55" s="1202"/>
      <c r="D55" s="1219"/>
      <c r="E55" s="1202"/>
      <c r="F55" s="1220"/>
    </row>
    <row r="56" spans="1:6" ht="18.75" x14ac:dyDescent="0.7">
      <c r="A56" s="1221" t="s">
        <v>48</v>
      </c>
      <c r="B56" s="1222"/>
      <c r="C56" s="1223"/>
      <c r="D56" s="1223"/>
      <c r="E56" s="1223"/>
      <c r="F56" s="1224"/>
    </row>
    <row r="57" spans="1:6" ht="18.75" x14ac:dyDescent="0.7">
      <c r="A57" s="326"/>
      <c r="B57" s="378" t="s">
        <v>49</v>
      </c>
      <c r="C57" s="288">
        <f>[1]General!H51</f>
        <v>2277.864</v>
      </c>
      <c r="D57" s="1344"/>
      <c r="E57" s="288">
        <v>2277.864</v>
      </c>
      <c r="F57" s="1344">
        <v>0</v>
      </c>
    </row>
    <row r="58" spans="1:6" ht="18.75" x14ac:dyDescent="0.7">
      <c r="A58" s="326"/>
      <c r="B58" s="378" t="s">
        <v>50</v>
      </c>
      <c r="C58" s="288">
        <v>4000</v>
      </c>
      <c r="D58" s="1344"/>
      <c r="E58" s="288">
        <v>9495.36</v>
      </c>
      <c r="F58" s="1344">
        <v>4516.29</v>
      </c>
    </row>
    <row r="59" spans="1:6" ht="18.75" x14ac:dyDescent="0.7">
      <c r="A59" s="326"/>
      <c r="B59" s="378" t="s">
        <v>11</v>
      </c>
      <c r="C59" s="288">
        <f>[1]General!H57</f>
        <v>350</v>
      </c>
      <c r="D59" s="1344"/>
      <c r="E59" s="288">
        <v>350</v>
      </c>
      <c r="F59" s="1344">
        <v>214.59</v>
      </c>
    </row>
    <row r="60" spans="1:6" ht="18.75" x14ac:dyDescent="0.7">
      <c r="A60" s="326"/>
      <c r="B60" s="378" t="s">
        <v>51</v>
      </c>
      <c r="C60" s="288">
        <f>[1]General!H59</f>
        <v>700</v>
      </c>
      <c r="D60" s="1344"/>
      <c r="E60" s="288">
        <v>700</v>
      </c>
      <c r="F60" s="1344">
        <v>1545.11</v>
      </c>
    </row>
    <row r="61" spans="1:6" ht="18.75" x14ac:dyDescent="0.7">
      <c r="A61" s="326"/>
      <c r="B61" s="378" t="s">
        <v>52</v>
      </c>
      <c r="C61" s="288">
        <f>[1]General!H61</f>
        <v>14084.61</v>
      </c>
      <c r="D61" s="1344"/>
      <c r="E61" s="288">
        <v>14000</v>
      </c>
      <c r="F61" s="1344">
        <v>0</v>
      </c>
    </row>
    <row r="62" spans="1:6" ht="18.75" x14ac:dyDescent="0.7">
      <c r="A62" s="326"/>
      <c r="B62" s="378" t="s">
        <v>53</v>
      </c>
      <c r="C62" s="288">
        <f>[1]General!H63</f>
        <v>10000</v>
      </c>
      <c r="D62" s="1344"/>
      <c r="E62" s="288">
        <v>10000</v>
      </c>
      <c r="F62" s="1344">
        <v>9994.2999999999993</v>
      </c>
    </row>
    <row r="63" spans="1:6" ht="18.75" x14ac:dyDescent="0.7">
      <c r="A63" s="326"/>
      <c r="B63" s="378"/>
      <c r="C63" s="288"/>
      <c r="D63" s="1342"/>
      <c r="E63" s="288"/>
      <c r="F63" s="1342"/>
    </row>
    <row r="64" spans="1:6" ht="18.75" x14ac:dyDescent="0.7">
      <c r="A64" s="324"/>
      <c r="B64" s="1204" t="s">
        <v>54</v>
      </c>
      <c r="C64" s="1345">
        <f>SUM(C57:C62)</f>
        <v>31412.474000000002</v>
      </c>
      <c r="D64" s="1346"/>
      <c r="E64" s="1345">
        <v>36823.224000000002</v>
      </c>
      <c r="F64" s="1346">
        <v>16270.289999999999</v>
      </c>
    </row>
    <row r="65" spans="1:6" ht="18.75" x14ac:dyDescent="0.7">
      <c r="A65" s="324"/>
      <c r="B65" s="81"/>
      <c r="C65" s="333"/>
      <c r="D65" s="333"/>
      <c r="E65" s="333"/>
      <c r="F65" s="1225"/>
    </row>
    <row r="66" spans="1:6" ht="18.75" x14ac:dyDescent="0.7">
      <c r="A66" s="1204" t="s">
        <v>55</v>
      </c>
      <c r="B66" s="1205"/>
      <c r="C66" s="1211"/>
      <c r="D66" s="1211"/>
      <c r="E66" s="1211"/>
      <c r="F66" s="1226"/>
    </row>
    <row r="67" spans="1:6" ht="18.75" x14ac:dyDescent="0.7">
      <c r="A67" s="1227"/>
      <c r="B67" s="1213" t="s">
        <v>19</v>
      </c>
      <c r="C67" s="288">
        <f>President!H74</f>
        <v>24269.809499999999</v>
      </c>
      <c r="D67" s="1344"/>
      <c r="E67" s="288">
        <v>21030.036</v>
      </c>
      <c r="F67" s="1344">
        <v>18532.45</v>
      </c>
    </row>
    <row r="68" spans="1:6" ht="18.75" x14ac:dyDescent="0.7">
      <c r="A68" s="1227"/>
      <c r="B68" s="1213" t="s">
        <v>20</v>
      </c>
      <c r="C68" s="288">
        <f>'Vice President Operations'!H23</f>
        <v>2516.4899999999998</v>
      </c>
      <c r="D68" s="1344"/>
      <c r="E68" s="288">
        <v>2519.9</v>
      </c>
      <c r="F68" s="1344">
        <v>4267.67</v>
      </c>
    </row>
    <row r="69" spans="1:6" ht="18.75" x14ac:dyDescent="0.7">
      <c r="A69" s="1227"/>
      <c r="B69" s="1213" t="s">
        <v>21</v>
      </c>
      <c r="C69" s="288">
        <f>VPSA!H38</f>
        <v>3084.92</v>
      </c>
      <c r="D69" s="1344"/>
      <c r="E69" s="288">
        <v>2924.8693999999996</v>
      </c>
      <c r="F69" s="1344">
        <v>2424.3100000000004</v>
      </c>
    </row>
    <row r="70" spans="1:6" ht="18.75" x14ac:dyDescent="0.7">
      <c r="A70" s="1227"/>
      <c r="B70" s="1213" t="s">
        <v>22</v>
      </c>
      <c r="C70" s="288">
        <f>Academics!H48</f>
        <v>4569.0758999999998</v>
      </c>
      <c r="D70" s="1344"/>
      <c r="E70" s="288">
        <v>1694.8304999999998</v>
      </c>
      <c r="F70" s="1344">
        <v>250.53</v>
      </c>
    </row>
    <row r="71" spans="1:6" ht="18.75" x14ac:dyDescent="0.7">
      <c r="A71" s="1227"/>
      <c r="B71" s="1213" t="s">
        <v>23</v>
      </c>
      <c r="C71" s="288">
        <f>Communications!H54</f>
        <v>11109.029999999999</v>
      </c>
      <c r="D71" s="1344"/>
      <c r="E71" s="288">
        <v>3564.7883999999999</v>
      </c>
      <c r="F71" s="1344">
        <v>1640.56</v>
      </c>
    </row>
    <row r="72" spans="1:6" ht="18.75" x14ac:dyDescent="0.7">
      <c r="A72" s="1227"/>
      <c r="B72" s="1213" t="s">
        <v>56</v>
      </c>
      <c r="C72" s="288">
        <f>'External Relations'!H149</f>
        <v>10073.949999999999</v>
      </c>
      <c r="D72" s="1344"/>
      <c r="E72" s="288">
        <v>10073.949999999999</v>
      </c>
      <c r="F72" s="1344">
        <v>2725.55</v>
      </c>
    </row>
    <row r="73" spans="1:6" ht="18.75" x14ac:dyDescent="0.7">
      <c r="A73" s="1227"/>
      <c r="B73" s="1213" t="s">
        <v>25</v>
      </c>
      <c r="C73" s="288">
        <f>[1]Conferences!H68</f>
        <v>12193.279999999999</v>
      </c>
      <c r="D73" s="1344"/>
      <c r="E73" s="288">
        <v>12193.279999999999</v>
      </c>
      <c r="F73" s="1344">
        <v>2399.59</v>
      </c>
    </row>
    <row r="74" spans="1:6" ht="18.75" x14ac:dyDescent="0.7">
      <c r="A74" s="1227"/>
      <c r="B74" s="1213" t="s">
        <v>26</v>
      </c>
      <c r="C74" s="288">
        <f>Design!H69</f>
        <v>12368.211599999999</v>
      </c>
      <c r="D74" s="1344"/>
      <c r="E74" s="288">
        <v>3401.2660999999994</v>
      </c>
      <c r="F74" s="1344">
        <v>3002.5400000000004</v>
      </c>
    </row>
    <row r="75" spans="1:6" ht="18.75" x14ac:dyDescent="0.7">
      <c r="A75" s="1227"/>
      <c r="B75" s="1213" t="s">
        <v>27</v>
      </c>
      <c r="C75" s="288">
        <f>Events!H361</f>
        <v>23627.22</v>
      </c>
      <c r="D75" s="1344"/>
      <c r="E75" s="288">
        <v>22978.024550000002</v>
      </c>
      <c r="F75" s="1344">
        <v>12485.189999999999</v>
      </c>
    </row>
    <row r="76" spans="1:6" ht="18.75" x14ac:dyDescent="0.7">
      <c r="A76" s="1227"/>
      <c r="B76" s="1213" t="s">
        <v>28</v>
      </c>
      <c r="C76" s="288">
        <f>'First Year'!H110</f>
        <v>14506.318499999998</v>
      </c>
      <c r="D76" s="1344"/>
      <c r="E76" s="288">
        <v>16053.785699999999</v>
      </c>
      <c r="F76" s="1344">
        <v>10116.079999999998</v>
      </c>
    </row>
    <row r="77" spans="1:6" ht="18.75" x14ac:dyDescent="0.7">
      <c r="A77" s="1227"/>
      <c r="B77" s="1213" t="s">
        <v>29</v>
      </c>
      <c r="C77" s="288">
        <f>Finance!H30</f>
        <v>1288.1999999999998</v>
      </c>
      <c r="D77" s="1344"/>
      <c r="E77" s="288">
        <v>406.8</v>
      </c>
      <c r="F77" s="1344">
        <v>67.5</v>
      </c>
    </row>
    <row r="78" spans="1:6" ht="18.75" x14ac:dyDescent="0.7">
      <c r="A78" s="1227"/>
      <c r="B78" s="1213" t="s">
        <v>30</v>
      </c>
      <c r="C78" s="288">
        <f>'Human Resources'!H66</f>
        <v>8678.8060000000005</v>
      </c>
      <c r="D78" s="1344"/>
      <c r="E78" s="288">
        <v>6957.22</v>
      </c>
      <c r="F78" s="1344">
        <v>4172.8099999999995</v>
      </c>
    </row>
    <row r="79" spans="1:6" ht="18.75" x14ac:dyDescent="0.7">
      <c r="A79" s="1227"/>
      <c r="B79" s="1213" t="s">
        <v>31</v>
      </c>
      <c r="C79" s="288">
        <f>IT!H57</f>
        <v>-17064.490000000002</v>
      </c>
      <c r="D79" s="1344"/>
      <c r="E79" s="288">
        <v>17480.168399999999</v>
      </c>
      <c r="F79" s="1344">
        <v>13888.710519480519</v>
      </c>
    </row>
    <row r="80" spans="1:6" ht="18.75" x14ac:dyDescent="0.7">
      <c r="A80" s="1227"/>
      <c r="B80" s="1213" t="s">
        <v>32</v>
      </c>
      <c r="C80" s="288">
        <f>'Internal Affairs'!H87</f>
        <v>21079.584999999999</v>
      </c>
      <c r="D80" s="1344"/>
      <c r="E80" s="288">
        <v>19771.045000000002</v>
      </c>
      <c r="F80" s="1344">
        <v>16311.754199999998</v>
      </c>
    </row>
    <row r="81" spans="1:6" ht="18.75" x14ac:dyDescent="0.7">
      <c r="A81" s="1227"/>
      <c r="B81" s="1213" t="s">
        <v>33</v>
      </c>
      <c r="C81" s="288">
        <f>'Professional Development'!H101</f>
        <v>17007.211899999998</v>
      </c>
      <c r="D81" s="1344"/>
      <c r="E81" s="288">
        <v>13666.553099999997</v>
      </c>
      <c r="F81" s="1344">
        <v>5771.91</v>
      </c>
    </row>
    <row r="82" spans="1:6" ht="18.75" x14ac:dyDescent="0.7">
      <c r="A82" s="326"/>
      <c r="B82" s="1213" t="s">
        <v>34</v>
      </c>
      <c r="C82" s="288">
        <f>Services!H27</f>
        <v>4978.2149999999992</v>
      </c>
      <c r="D82" s="1344"/>
      <c r="E82" s="288">
        <v>3794.3149999999996</v>
      </c>
      <c r="F82" s="1344">
        <v>2661.9</v>
      </c>
    </row>
    <row r="83" spans="1:6" ht="18.75" x14ac:dyDescent="0.7">
      <c r="A83" s="326"/>
      <c r="B83" s="27"/>
      <c r="C83" s="288"/>
      <c r="D83" s="1344"/>
      <c r="E83" s="288"/>
      <c r="F83" s="1344"/>
    </row>
    <row r="84" spans="1:6" ht="18.75" x14ac:dyDescent="0.7">
      <c r="A84" s="326"/>
      <c r="B84" s="1204" t="s">
        <v>57</v>
      </c>
      <c r="C84" s="1345">
        <f>SUM(C67:C83)</f>
        <v>154285.83339999997</v>
      </c>
      <c r="D84" s="1346"/>
      <c r="E84" s="1345">
        <v>158510.83215</v>
      </c>
      <c r="F84" s="1346">
        <v>100719.05471948051</v>
      </c>
    </row>
    <row r="85" spans="1:6" ht="18.75" x14ac:dyDescent="0.7">
      <c r="A85" s="326"/>
      <c r="B85" s="27"/>
      <c r="C85" s="288"/>
      <c r="D85" s="288"/>
      <c r="E85" s="288"/>
      <c r="F85" s="1225"/>
    </row>
    <row r="86" spans="1:6" ht="18.75" x14ac:dyDescent="0.7">
      <c r="A86" s="1204" t="s">
        <v>58</v>
      </c>
      <c r="B86" s="1205"/>
      <c r="C86" s="1211"/>
      <c r="D86" s="1211"/>
      <c r="E86" s="1211"/>
      <c r="F86" s="1228"/>
    </row>
    <row r="87" spans="1:6" ht="18.75" x14ac:dyDescent="0.7">
      <c r="A87" s="326"/>
      <c r="B87" s="378" t="s">
        <v>59</v>
      </c>
      <c r="C87" s="288">
        <f>SUM([1]General!H69:H74)</f>
        <v>38315</v>
      </c>
      <c r="D87" s="1344"/>
      <c r="E87" s="288">
        <v>38315</v>
      </c>
      <c r="F87" s="1344">
        <v>3035</v>
      </c>
    </row>
    <row r="88" spans="1:6" ht="18.75" x14ac:dyDescent="0.7">
      <c r="A88" s="326"/>
      <c r="B88" s="27" t="s">
        <v>60</v>
      </c>
      <c r="C88" s="288">
        <f>[1]General!H76</f>
        <v>1709.5199999999998</v>
      </c>
      <c r="D88" s="1344"/>
      <c r="E88" s="288">
        <v>854.75999999999988</v>
      </c>
      <c r="F88" s="1344">
        <v>109.19</v>
      </c>
    </row>
    <row r="89" spans="1:6" ht="18.75" x14ac:dyDescent="0.7">
      <c r="A89" s="326"/>
      <c r="B89" s="27" t="s">
        <v>61</v>
      </c>
      <c r="C89" s="288">
        <f>[1]General!H78</f>
        <v>3081.9120000000003</v>
      </c>
      <c r="D89" s="1344"/>
      <c r="E89" s="288">
        <v>1540.9560000000001</v>
      </c>
      <c r="F89" s="1344">
        <v>0</v>
      </c>
    </row>
    <row r="90" spans="1:6" ht="18.75" x14ac:dyDescent="0.7">
      <c r="A90" s="1227"/>
      <c r="B90" s="27" t="s">
        <v>62</v>
      </c>
      <c r="C90" s="288">
        <f>SUM([1]General!H80:H83)</f>
        <v>21467.79</v>
      </c>
      <c r="D90" s="1344"/>
      <c r="E90" s="288">
        <v>21467.79</v>
      </c>
      <c r="F90" s="1344">
        <v>0</v>
      </c>
    </row>
    <row r="91" spans="1:6" ht="18.75" x14ac:dyDescent="0.7">
      <c r="A91" s="326"/>
      <c r="B91" s="27"/>
      <c r="C91" s="288"/>
      <c r="D91" s="1344"/>
      <c r="E91" s="288"/>
      <c r="F91" s="1344"/>
    </row>
    <row r="92" spans="1:6" ht="18.75" x14ac:dyDescent="0.7">
      <c r="A92" s="326"/>
      <c r="B92" s="1204" t="s">
        <v>63</v>
      </c>
      <c r="C92" s="1345">
        <f>SUM(C87:C90)</f>
        <v>64574.222000000002</v>
      </c>
      <c r="D92" s="1346"/>
      <c r="E92" s="1345">
        <v>62178.506000000001</v>
      </c>
      <c r="F92" s="1346">
        <v>3144.19</v>
      </c>
    </row>
    <row r="93" spans="1:6" ht="18.75" x14ac:dyDescent="0.7">
      <c r="A93" s="326"/>
      <c r="B93" s="27"/>
      <c r="C93" s="288"/>
      <c r="D93" s="288"/>
      <c r="E93" s="288"/>
      <c r="F93" s="1225"/>
    </row>
    <row r="94" spans="1:6" ht="18.75" x14ac:dyDescent="0.7">
      <c r="A94" s="1204" t="s">
        <v>64</v>
      </c>
      <c r="B94" s="1205"/>
      <c r="C94" s="1211"/>
      <c r="D94" s="1211"/>
      <c r="E94" s="1211"/>
      <c r="F94" s="1229"/>
    </row>
    <row r="95" spans="1:6" ht="18.75" x14ac:dyDescent="0.7">
      <c r="A95" s="326"/>
      <c r="B95" s="378" t="s">
        <v>65</v>
      </c>
      <c r="C95" s="1344">
        <v>23819.33</v>
      </c>
      <c r="D95" s="1344"/>
      <c r="E95" s="288">
        <v>23840</v>
      </c>
      <c r="F95" s="1344">
        <v>23819.33</v>
      </c>
    </row>
    <row r="96" spans="1:6" ht="18.75" x14ac:dyDescent="0.7">
      <c r="A96" s="326" t="s">
        <v>66</v>
      </c>
      <c r="B96" s="27" t="s">
        <v>67</v>
      </c>
      <c r="C96" s="1344">
        <v>59857.004000000008</v>
      </c>
      <c r="D96" s="1344"/>
      <c r="E96" s="288">
        <v>59857.004000000008</v>
      </c>
      <c r="F96" s="1344">
        <v>59857.004000000008</v>
      </c>
    </row>
    <row r="97" spans="1:6" ht="18.75" x14ac:dyDescent="0.7">
      <c r="A97" s="326"/>
      <c r="B97" s="27" t="s">
        <v>68</v>
      </c>
      <c r="C97" s="1344">
        <v>976.31999999999994</v>
      </c>
      <c r="D97" s="1344"/>
      <c r="E97" s="288">
        <v>22232.639999999999</v>
      </c>
      <c r="F97" s="1344">
        <v>976.31999999999994</v>
      </c>
    </row>
    <row r="98" spans="1:6" ht="18.75" x14ac:dyDescent="0.7">
      <c r="A98" s="326"/>
      <c r="B98" s="27" t="s">
        <v>69</v>
      </c>
      <c r="C98" s="1344">
        <v>1841.4300000000003</v>
      </c>
      <c r="D98" s="1344"/>
      <c r="E98" s="288">
        <v>958.76400000000001</v>
      </c>
      <c r="F98" s="1344">
        <v>1841.4300000000003</v>
      </c>
    </row>
    <row r="99" spans="1:6" ht="18.75" x14ac:dyDescent="0.7">
      <c r="A99" s="324"/>
      <c r="B99" s="27" t="s">
        <v>70</v>
      </c>
      <c r="C99" s="1344">
        <v>5312.8099999999995</v>
      </c>
      <c r="D99" s="1344"/>
      <c r="E99" s="288">
        <v>5453.68</v>
      </c>
      <c r="F99" s="1344">
        <v>5312.8099999999995</v>
      </c>
    </row>
    <row r="100" spans="1:6" ht="18.75" x14ac:dyDescent="0.7">
      <c r="A100" s="324"/>
      <c r="B100" s="27" t="s">
        <v>71</v>
      </c>
      <c r="C100" s="1344">
        <v>4984.6500000000015</v>
      </c>
      <c r="D100" s="1344"/>
      <c r="E100" s="288">
        <v>3120</v>
      </c>
      <c r="F100" s="1344">
        <v>4984.6500000000015</v>
      </c>
    </row>
    <row r="101" spans="1:6" ht="18.75" x14ac:dyDescent="0.7">
      <c r="A101" s="326"/>
      <c r="B101" s="27"/>
      <c r="C101" s="1344"/>
      <c r="D101" s="1344"/>
      <c r="E101" s="288"/>
      <c r="F101" s="1344"/>
    </row>
    <row r="102" spans="1:6" ht="18.75" x14ac:dyDescent="0.7">
      <c r="A102" s="326"/>
      <c r="B102" s="1204" t="s">
        <v>72</v>
      </c>
      <c r="C102" s="1346">
        <v>96791.543999999994</v>
      </c>
      <c r="D102" s="1346"/>
      <c r="E102" s="1345">
        <v>115462.08800000002</v>
      </c>
      <c r="F102" s="1346">
        <v>96791.543999999994</v>
      </c>
    </row>
    <row r="103" spans="1:6" ht="18.75" x14ac:dyDescent="0.7">
      <c r="A103" s="326"/>
      <c r="B103" s="81"/>
      <c r="C103" s="333"/>
      <c r="D103" s="333"/>
      <c r="E103" s="333"/>
      <c r="F103" s="11"/>
    </row>
    <row r="104" spans="1:6" ht="18.75" x14ac:dyDescent="0.7">
      <c r="A104" s="1204" t="s">
        <v>73</v>
      </c>
      <c r="B104" s="1205"/>
      <c r="C104" s="1211"/>
      <c r="D104" s="1230"/>
      <c r="E104" s="1211"/>
      <c r="F104" s="1228"/>
    </row>
    <row r="105" spans="1:6" ht="18.75" x14ac:dyDescent="0.7">
      <c r="A105" s="324"/>
      <c r="B105" s="27" t="s">
        <v>74</v>
      </c>
      <c r="C105" s="288">
        <f>[1]General!H117</f>
        <v>500</v>
      </c>
      <c r="D105" s="1344"/>
      <c r="E105" s="288">
        <v>2000</v>
      </c>
      <c r="F105" s="1344">
        <v>922.03</v>
      </c>
    </row>
    <row r="106" spans="1:6" ht="18.75" x14ac:dyDescent="0.7">
      <c r="A106" s="324"/>
      <c r="B106" s="27" t="s">
        <v>75</v>
      </c>
      <c r="C106" s="1269">
        <v>425.1</v>
      </c>
      <c r="D106" s="1344"/>
      <c r="E106" s="288">
        <v>949.19999999999993</v>
      </c>
      <c r="F106" s="1344">
        <v>636.75</v>
      </c>
    </row>
    <row r="107" spans="1:6" ht="18.75" x14ac:dyDescent="0.7">
      <c r="A107" s="324"/>
      <c r="B107" s="27" t="s">
        <v>76</v>
      </c>
      <c r="C107" s="288">
        <f>[1]General!H121</f>
        <v>500</v>
      </c>
      <c r="D107" s="1344"/>
      <c r="E107" s="288">
        <v>500</v>
      </c>
      <c r="F107" s="1344">
        <v>273.32</v>
      </c>
    </row>
    <row r="108" spans="1:6" ht="18.75" x14ac:dyDescent="0.7">
      <c r="A108" s="324"/>
      <c r="B108" s="27" t="s">
        <v>77</v>
      </c>
      <c r="C108" s="288">
        <f>[1]General!H123</f>
        <v>1355.9999999999998</v>
      </c>
      <c r="D108" s="1344"/>
      <c r="E108" s="288">
        <v>1355.9999999999998</v>
      </c>
      <c r="F108" s="1344">
        <v>1640.27</v>
      </c>
    </row>
    <row r="109" spans="1:6" ht="18.75" x14ac:dyDescent="0.7">
      <c r="A109" s="324"/>
      <c r="B109" s="27" t="s">
        <v>78</v>
      </c>
      <c r="C109" s="288">
        <f>[1]General!H125</f>
        <v>1500</v>
      </c>
      <c r="D109" s="1344"/>
      <c r="E109" s="288">
        <v>1500</v>
      </c>
      <c r="F109" s="1344">
        <v>792.81</v>
      </c>
    </row>
    <row r="110" spans="1:6" ht="18.75" x14ac:dyDescent="0.7">
      <c r="A110" s="324"/>
      <c r="B110" s="27" t="s">
        <v>79</v>
      </c>
      <c r="C110" s="288">
        <f>[1]General!H127</f>
        <v>1000</v>
      </c>
      <c r="D110" s="1344"/>
      <c r="E110" s="288">
        <v>1000</v>
      </c>
      <c r="F110" s="1344">
        <v>5136.2299999999996</v>
      </c>
    </row>
    <row r="111" spans="1:6" ht="18.75" x14ac:dyDescent="0.7">
      <c r="A111" s="324"/>
      <c r="B111" s="27" t="s">
        <v>80</v>
      </c>
      <c r="C111" s="288">
        <f>[1]General!H129</f>
        <v>750</v>
      </c>
      <c r="D111" s="1344"/>
      <c r="E111" s="288">
        <v>750</v>
      </c>
      <c r="F111" s="1344">
        <v>2476.54</v>
      </c>
    </row>
    <row r="112" spans="1:6" ht="18.75" x14ac:dyDescent="0.7">
      <c r="A112" s="324"/>
      <c r="B112" s="27" t="s">
        <v>81</v>
      </c>
      <c r="C112" s="288">
        <f>[1]General!H131+[1]General!H132+[1]General!H133</f>
        <v>2050</v>
      </c>
      <c r="D112" s="1344"/>
      <c r="E112" s="288">
        <v>2050</v>
      </c>
      <c r="F112" s="1344"/>
    </row>
    <row r="113" spans="1:6" ht="18.75" x14ac:dyDescent="0.7">
      <c r="A113" s="324"/>
      <c r="B113" s="27" t="s">
        <v>82</v>
      </c>
      <c r="C113" s="288">
        <f>[1]General!H135</f>
        <v>3187.41</v>
      </c>
      <c r="D113" s="1344"/>
      <c r="E113" s="288">
        <v>15000</v>
      </c>
      <c r="F113" s="1344"/>
    </row>
    <row r="114" spans="1:6" ht="18.75" x14ac:dyDescent="0.7">
      <c r="A114" s="324"/>
      <c r="B114" s="27"/>
      <c r="C114" s="288"/>
      <c r="D114" s="1344"/>
      <c r="E114" s="288">
        <v>0</v>
      </c>
      <c r="F114" s="1344"/>
    </row>
    <row r="115" spans="1:6" ht="18.75" x14ac:dyDescent="0.7">
      <c r="A115" s="326"/>
      <c r="B115" s="1204" t="s">
        <v>83</v>
      </c>
      <c r="C115" s="1345">
        <f>SUM(C105:C113)</f>
        <v>11268.509999999998</v>
      </c>
      <c r="D115" s="1346"/>
      <c r="E115" s="288"/>
      <c r="F115" s="1344"/>
    </row>
    <row r="116" spans="1:6" ht="18.75" x14ac:dyDescent="0.7">
      <c r="A116" s="326"/>
      <c r="B116" s="1231"/>
      <c r="C116" s="1343"/>
      <c r="D116" s="1343"/>
      <c r="E116" s="1345">
        <v>25105.200000000001</v>
      </c>
      <c r="F116" s="1346">
        <v>11877.95</v>
      </c>
    </row>
    <row r="117" spans="1:6" ht="19.5" x14ac:dyDescent="0.7">
      <c r="A117" s="1232"/>
      <c r="B117" s="1216" t="s">
        <v>84</v>
      </c>
      <c r="C117" s="1347">
        <f>C115+C102+C92+C84+C64</f>
        <v>358332.58339999994</v>
      </c>
      <c r="D117" s="1233"/>
      <c r="E117" s="1343"/>
      <c r="F117" s="1343"/>
    </row>
    <row r="118" spans="1:6" ht="19.149999999999999" x14ac:dyDescent="0.65">
      <c r="A118" s="1234"/>
      <c r="B118" s="1217"/>
      <c r="C118" s="1235"/>
      <c r="D118" s="1235"/>
      <c r="E118" s="1347">
        <v>398079.85015000001</v>
      </c>
      <c r="F118" s="1347">
        <v>228803.02871948053</v>
      </c>
    </row>
    <row r="119" spans="1:6" ht="20.25" x14ac:dyDescent="0.7">
      <c r="A119" s="1422" t="s">
        <v>85</v>
      </c>
      <c r="B119" s="1423"/>
      <c r="C119" s="1236"/>
      <c r="D119" s="1236"/>
      <c r="E119" s="1236"/>
      <c r="F119" s="1237"/>
    </row>
    <row r="120" spans="1:6" ht="20.25" x14ac:dyDescent="0.7">
      <c r="A120" s="1238"/>
      <c r="B120" s="1239" t="s">
        <v>86</v>
      </c>
      <c r="C120" s="1338">
        <f>C53</f>
        <v>388055.34400000004</v>
      </c>
      <c r="D120" s="1240"/>
      <c r="E120" s="1338">
        <v>389846.21900000004</v>
      </c>
      <c r="F120" s="1338">
        <v>233259.08000000002</v>
      </c>
    </row>
    <row r="121" spans="1:6" ht="20.25" x14ac:dyDescent="0.7">
      <c r="A121" s="1241"/>
      <c r="B121" s="1242" t="s">
        <v>87</v>
      </c>
      <c r="C121" s="1339">
        <f>C117</f>
        <v>358332.58339999994</v>
      </c>
      <c r="D121" s="1243"/>
      <c r="E121" s="1339">
        <v>398079.85015000001</v>
      </c>
      <c r="F121" s="1339">
        <v>228803.02871948053</v>
      </c>
    </row>
    <row r="122" spans="1:6" ht="20.25" x14ac:dyDescent="0.7">
      <c r="A122" s="1244"/>
      <c r="B122" s="1245" t="s">
        <v>88</v>
      </c>
      <c r="C122" s="1340">
        <f>C120-C121</f>
        <v>29722.760600000096</v>
      </c>
      <c r="D122" s="1246"/>
      <c r="E122" s="1340">
        <v>-8233.631149999972</v>
      </c>
      <c r="F122" s="1340">
        <v>4456.0512805194885</v>
      </c>
    </row>
  </sheetData>
  <mergeCells count="9">
    <mergeCell ref="A8:B8"/>
    <mergeCell ref="A55:B55"/>
    <mergeCell ref="A119:B119"/>
    <mergeCell ref="A1:B4"/>
    <mergeCell ref="C1:F4"/>
    <mergeCell ref="A5:B5"/>
    <mergeCell ref="C5:D5"/>
    <mergeCell ref="E5:F5"/>
    <mergeCell ref="A6:B6"/>
  </mergeCells>
  <conditionalFormatting sqref="B57:D62 A120:F122 B67:D82 B87:D90 B42:D49 B95:D100 F22:F38 F95:F100 F105:F113 F87:F90 F67:F82 F57:F62 B22:D38 B105:D113">
    <cfRule type="expression" dxfId="3" priority="4">
      <formula>MOD(ROW(),2)=0</formula>
    </cfRule>
  </conditionalFormatting>
  <conditionalFormatting sqref="E57:E62 E67:E82 E87:E90 E105:E113 E42:E49 E95:E100 E22:E38">
    <cfRule type="expression" dxfId="2" priority="3">
      <formula>MOD(ROW(),2)=0</formula>
    </cfRule>
  </conditionalFormatting>
  <conditionalFormatting sqref="F42:F49">
    <cfRule type="expression" dxfId="1" priority="2">
      <formula>MOD(ROW(),2)=0</formula>
    </cfRule>
  </conditionalFormatting>
  <conditionalFormatting sqref="B10:F18">
    <cfRule type="expression" dxfId="0" priority="1">
      <formula>MOD(ROW(),2)=0</formula>
    </cfRule>
  </conditionalFormatting>
  <hyperlinks>
    <hyperlink ref="B22" location="'11-PRES'!A1" display="President" xr:uid="{D88B8286-185A-4420-BED9-4C67CB9E037C}"/>
    <hyperlink ref="B23" location="'12-VPOPS'!A1" display="VP Operations" xr:uid="{B72E6E69-BBB7-459C-889E-C5F8BF8C1CD1}"/>
    <hyperlink ref="B24" location="'13-VPSA'!A1" display="VP Student Affairs" xr:uid="{E185631E-F312-4F8E-B0ED-7F3B167D4643}"/>
    <hyperlink ref="B25" location="'14 - Academics'!A1" display="Director of Academics" xr:uid="{8A23355D-00A3-4B0E-83A0-8C8DC1F4DD42}"/>
    <hyperlink ref="B26" location="'15-Design'!A1" display="Director of Design" xr:uid="{8F83E7A9-1C9B-4CAA-9BF3-0BF03EA252C6}"/>
    <hyperlink ref="B28" location="'16-PD'!A1" display="Director of Professional Development" xr:uid="{F2F34796-6421-45C7-BC74-C54482130C2D}"/>
    <hyperlink ref="B31" location="'18-FY'!A1" display="Director of First Year" xr:uid="{427EB266-8034-4611-B076-8D9358F78D99}"/>
    <hyperlink ref="B32" location="'19-FINANCE'!A1" display="Director of Finance" xr:uid="{3D1F6AD6-C089-44E4-8518-E5BEDEB3198F}"/>
    <hyperlink ref="B37" location="'20-SERVICES'!A1" display="Director of Services" xr:uid="{67A44FEF-5438-4655-A542-F3B8621934CF}"/>
    <hyperlink ref="B67" location="'11-PRES'!A1" display="President" xr:uid="{B684D1CD-4918-431D-B175-407623D92B5E}"/>
    <hyperlink ref="B68" location="'12-VPOPS'!A1" display="VP Operations" xr:uid="{20E9A290-5B97-48AC-83C3-F5DD5A53F69C}"/>
    <hyperlink ref="B69" location="'13-VPSA'!A1" display="VP Student Affairs" xr:uid="{042E9756-E7E3-43D9-933B-3E0338A1C0F1}"/>
    <hyperlink ref="B70" location="'14 - Academics'!A1" display="Director of Academics" xr:uid="{5E5E3437-E6B3-4583-980F-A06A75B0A650}"/>
    <hyperlink ref="B71" location="'15-Design'!A1" display="Director of Design" xr:uid="{779D134F-13FF-4197-87C3-3350DF3B68A5}"/>
    <hyperlink ref="B73" location="'16-PD'!A1" display="Director of Professional Development" xr:uid="{BF77D9DB-6D2A-4A9D-AFCF-37713C6F89CA}"/>
    <hyperlink ref="B76" location="'18-FY'!A1" display="Director of First Year" xr:uid="{E545132C-DE5F-47F6-8661-9077C57804F6}"/>
    <hyperlink ref="B77" location="'19-FINANCE'!A1" display="Director of Finance" xr:uid="{D6C04073-B094-45C5-847F-9E008F07542A}"/>
    <hyperlink ref="B82" location="'20-SERVICES'!A1" display="Director of Services" xr:uid="{85D416BF-1994-4A19-A7B1-BA1AA9F6E534}"/>
  </hyperlink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F0F2D-97B5-479F-9273-754B5F713C54}">
  <dimension ref="A1:K70"/>
  <sheetViews>
    <sheetView topLeftCell="D31" zoomScale="70" zoomScaleNormal="70" workbookViewId="0">
      <selection activeCell="J43" sqref="J43"/>
    </sheetView>
  </sheetViews>
  <sheetFormatPr defaultColWidth="8.86328125" defaultRowHeight="14.25" x14ac:dyDescent="0.45"/>
  <cols>
    <col min="1" max="1" width="36.265625" bestFit="1" customWidth="1"/>
    <col min="2" max="2" width="52.265625" bestFit="1" customWidth="1"/>
    <col min="3" max="3" width="29.73046875" customWidth="1"/>
    <col min="4" max="4" width="68.59765625" customWidth="1"/>
    <col min="5" max="5" width="11" bestFit="1" customWidth="1"/>
    <col min="6" max="6" width="10" bestFit="1" customWidth="1"/>
    <col min="7" max="7" width="9.86328125" bestFit="1" customWidth="1"/>
    <col min="8" max="8" width="13.73046875" bestFit="1" customWidth="1"/>
    <col min="9" max="9" width="11.86328125" bestFit="1" customWidth="1"/>
    <col min="10" max="10" width="13.86328125" customWidth="1"/>
  </cols>
  <sheetData>
    <row r="1" spans="1:10" ht="25.5" x14ac:dyDescent="0.45">
      <c r="A1" s="1514" t="s">
        <v>948</v>
      </c>
      <c r="B1" s="1514"/>
      <c r="C1" s="1514"/>
      <c r="D1" s="1514"/>
      <c r="E1" s="1514"/>
      <c r="F1" s="1514"/>
      <c r="G1" s="1514"/>
      <c r="H1" s="1514"/>
      <c r="I1" s="1514"/>
      <c r="J1" s="1514"/>
    </row>
    <row r="2" spans="1:10" ht="16.5" x14ac:dyDescent="0.6">
      <c r="A2" s="254"/>
      <c r="B2" s="200" t="s">
        <v>90</v>
      </c>
      <c r="C2" s="198" t="s">
        <v>91</v>
      </c>
      <c r="D2" s="255" t="s">
        <v>92</v>
      </c>
      <c r="E2" s="256" t="s">
        <v>93</v>
      </c>
      <c r="F2" s="257" t="s">
        <v>94</v>
      </c>
      <c r="G2" s="258" t="s">
        <v>95</v>
      </c>
      <c r="H2" s="258" t="s">
        <v>96</v>
      </c>
      <c r="I2" s="258" t="s">
        <v>217</v>
      </c>
      <c r="J2" s="259" t="s">
        <v>218</v>
      </c>
    </row>
    <row r="3" spans="1:10" ht="16.5" x14ac:dyDescent="0.6">
      <c r="A3" s="22"/>
      <c r="B3" s="23"/>
      <c r="C3" s="260"/>
      <c r="D3" s="261"/>
      <c r="E3" s="262"/>
      <c r="F3" s="263"/>
      <c r="G3" s="262"/>
      <c r="H3" s="262"/>
      <c r="I3" s="262"/>
      <c r="J3" s="264"/>
    </row>
    <row r="4" spans="1:10" ht="16.5" x14ac:dyDescent="0.6">
      <c r="A4" s="1475" t="s">
        <v>7</v>
      </c>
      <c r="B4" s="1476"/>
      <c r="C4" s="1476"/>
      <c r="D4" s="203"/>
      <c r="E4" s="203"/>
      <c r="F4" s="204"/>
      <c r="G4" s="203"/>
      <c r="H4" s="203"/>
      <c r="I4" s="203"/>
      <c r="J4" s="205"/>
    </row>
    <row r="5" spans="1:10" ht="16.5" x14ac:dyDescent="0.6">
      <c r="A5" s="244"/>
      <c r="B5" s="246"/>
      <c r="C5" s="246"/>
      <c r="D5" s="247"/>
      <c r="E5" s="247"/>
      <c r="F5" s="267"/>
      <c r="G5" s="247"/>
      <c r="H5" s="247"/>
      <c r="I5" s="247"/>
      <c r="J5" s="248"/>
    </row>
    <row r="6" spans="1:10" ht="16.5" x14ac:dyDescent="0.6">
      <c r="A6" s="1475" t="s">
        <v>47</v>
      </c>
      <c r="B6" s="1476"/>
      <c r="C6" s="1476"/>
      <c r="D6" s="203"/>
      <c r="E6" s="272"/>
      <c r="F6" s="273"/>
      <c r="G6" s="272"/>
      <c r="H6" s="272"/>
      <c r="I6" s="272"/>
      <c r="J6" s="205"/>
    </row>
    <row r="7" spans="1:10" ht="16.5" x14ac:dyDescent="0.6">
      <c r="A7" s="244" t="s">
        <v>949</v>
      </c>
      <c r="B7" s="246"/>
      <c r="C7" s="274"/>
      <c r="D7" s="275"/>
      <c r="E7" s="275"/>
      <c r="F7" s="276"/>
      <c r="G7" s="275"/>
      <c r="H7" s="275"/>
      <c r="I7" s="275"/>
      <c r="J7" s="277"/>
    </row>
    <row r="8" spans="1:10" ht="16.5" x14ac:dyDescent="0.6">
      <c r="A8" s="278"/>
      <c r="B8" s="674" t="s">
        <v>950</v>
      </c>
      <c r="C8" s="674" t="s">
        <v>347</v>
      </c>
      <c r="D8" s="269" t="s">
        <v>951</v>
      </c>
      <c r="E8" s="269">
        <v>80</v>
      </c>
      <c r="F8" s="270">
        <v>8</v>
      </c>
      <c r="G8" s="269">
        <f>F8*E8</f>
        <v>640</v>
      </c>
      <c r="H8" s="269">
        <f>G8*1.13</f>
        <v>723.19999999999993</v>
      </c>
      <c r="I8" s="269">
        <f>SUM(L8:N9)</f>
        <v>0</v>
      </c>
      <c r="J8" s="271">
        <v>146.19</v>
      </c>
    </row>
    <row r="9" spans="1:10" ht="16.5" x14ac:dyDescent="0.6">
      <c r="A9" s="278"/>
      <c r="B9" s="674"/>
      <c r="C9" s="675"/>
      <c r="D9" s="269"/>
      <c r="E9" s="269"/>
      <c r="F9" s="270"/>
      <c r="G9" s="269"/>
      <c r="H9" s="269"/>
      <c r="I9" s="269"/>
      <c r="J9" s="271"/>
    </row>
    <row r="10" spans="1:10" ht="16.5" x14ac:dyDescent="0.6">
      <c r="A10" s="278"/>
      <c r="B10" s="292" t="s">
        <v>952</v>
      </c>
      <c r="C10" s="676"/>
      <c r="D10" s="295"/>
      <c r="E10" s="295"/>
      <c r="F10" s="296"/>
      <c r="G10" s="295"/>
      <c r="H10" s="295">
        <f>SUM(H7:H8)</f>
        <v>723.19999999999993</v>
      </c>
      <c r="I10" s="295">
        <f>SUM(I7:I8)</f>
        <v>0</v>
      </c>
      <c r="J10" s="297">
        <f>SUM(J7:J8)</f>
        <v>146.19</v>
      </c>
    </row>
    <row r="11" spans="1:10" ht="16.5" x14ac:dyDescent="0.6">
      <c r="A11" s="244"/>
      <c r="B11" s="246"/>
      <c r="C11" s="246"/>
      <c r="D11" s="247"/>
      <c r="E11" s="247"/>
      <c r="F11" s="267"/>
      <c r="G11" s="247"/>
      <c r="H11" s="247"/>
      <c r="I11" s="247"/>
      <c r="J11" s="248"/>
    </row>
    <row r="12" spans="1:10" ht="16.5" x14ac:dyDescent="0.6">
      <c r="A12" s="244" t="s">
        <v>953</v>
      </c>
      <c r="B12" s="246"/>
      <c r="C12" s="274"/>
      <c r="D12" s="275"/>
      <c r="E12" s="275"/>
      <c r="F12" s="276"/>
      <c r="G12" s="275"/>
      <c r="H12" s="275"/>
      <c r="I12" s="275"/>
      <c r="J12" s="277"/>
    </row>
    <row r="13" spans="1:10" ht="16.5" x14ac:dyDescent="0.6">
      <c r="A13" s="278"/>
      <c r="B13" s="674" t="s">
        <v>954</v>
      </c>
      <c r="C13" s="674" t="s">
        <v>955</v>
      </c>
      <c r="D13" s="269" t="s">
        <v>956</v>
      </c>
      <c r="E13" s="269">
        <v>6</v>
      </c>
      <c r="F13" s="270">
        <v>17</v>
      </c>
      <c r="G13" s="269">
        <f>F13*E13</f>
        <v>102</v>
      </c>
      <c r="H13" s="269">
        <f>G13*1.13</f>
        <v>115.25999999999999</v>
      </c>
      <c r="I13" s="269">
        <f>SUM(L13:N14)</f>
        <v>0</v>
      </c>
      <c r="J13" s="271">
        <v>0</v>
      </c>
    </row>
    <row r="14" spans="1:10" ht="16.5" x14ac:dyDescent="0.6">
      <c r="A14" s="278"/>
      <c r="B14" s="674"/>
      <c r="C14" s="675"/>
      <c r="D14" s="269"/>
      <c r="E14" s="269"/>
      <c r="F14" s="270"/>
      <c r="G14" s="269"/>
      <c r="H14" s="269"/>
      <c r="I14" s="269"/>
      <c r="J14" s="271"/>
    </row>
    <row r="15" spans="1:10" ht="16.5" x14ac:dyDescent="0.6">
      <c r="A15" s="278"/>
      <c r="B15" s="292" t="s">
        <v>952</v>
      </c>
      <c r="C15" s="676"/>
      <c r="D15" s="295"/>
      <c r="E15" s="295"/>
      <c r="F15" s="296"/>
      <c r="G15" s="295"/>
      <c r="H15" s="295">
        <f>SUM(H12:H13)</f>
        <v>115.25999999999999</v>
      </c>
      <c r="I15" s="295">
        <f>SUM(I12:I13)</f>
        <v>0</v>
      </c>
      <c r="J15" s="297">
        <f>SUM(J12:J13)</f>
        <v>0</v>
      </c>
    </row>
    <row r="16" spans="1:10" ht="16.5" x14ac:dyDescent="0.6">
      <c r="A16" s="278"/>
      <c r="B16" s="246"/>
      <c r="C16" s="677"/>
      <c r="D16" s="247"/>
      <c r="E16" s="247"/>
      <c r="F16" s="267"/>
      <c r="G16" s="247"/>
      <c r="H16" s="247"/>
      <c r="I16" s="247"/>
      <c r="J16" s="248"/>
    </row>
    <row r="17" spans="1:10" ht="16.5" x14ac:dyDescent="0.6">
      <c r="A17" s="244" t="s">
        <v>957</v>
      </c>
      <c r="B17" s="246"/>
      <c r="C17" s="274"/>
      <c r="D17" s="275"/>
      <c r="E17" s="275"/>
      <c r="F17" s="276"/>
      <c r="G17" s="275"/>
      <c r="H17" s="275"/>
      <c r="I17" s="275"/>
      <c r="J17" s="277"/>
    </row>
    <row r="18" spans="1:10" ht="16.5" x14ac:dyDescent="0.6">
      <c r="A18" s="301"/>
      <c r="B18" s="268" t="s">
        <v>958</v>
      </c>
      <c r="C18" s="675" t="s">
        <v>959</v>
      </c>
      <c r="D18" s="269" t="s">
        <v>960</v>
      </c>
      <c r="E18" s="269">
        <f>4.29+80+(3*45)+9</f>
        <v>228.29000000000002</v>
      </c>
      <c r="F18" s="270">
        <v>1</v>
      </c>
      <c r="G18" s="269">
        <f t="shared" ref="G18:G22" si="0">F18*E18</f>
        <v>228.29000000000002</v>
      </c>
      <c r="H18" s="269">
        <f>G18*1.13</f>
        <v>257.96769999999998</v>
      </c>
      <c r="I18" s="269"/>
      <c r="J18" s="271">
        <v>0</v>
      </c>
    </row>
    <row r="19" spans="1:10" ht="16.5" x14ac:dyDescent="0.6">
      <c r="A19" s="301"/>
      <c r="B19" s="678" t="s">
        <v>961</v>
      </c>
      <c r="C19" s="321" t="s">
        <v>962</v>
      </c>
      <c r="D19" s="275" t="s">
        <v>963</v>
      </c>
      <c r="E19" s="275">
        <v>300</v>
      </c>
      <c r="F19" s="276">
        <v>4</v>
      </c>
      <c r="G19" s="275">
        <f t="shared" si="0"/>
        <v>1200</v>
      </c>
      <c r="H19" s="275">
        <f t="shared" ref="H19:H22" si="1">G19*1.13</f>
        <v>1355.9999999999998</v>
      </c>
      <c r="I19" s="275"/>
      <c r="J19" s="271">
        <v>0</v>
      </c>
    </row>
    <row r="20" spans="1:10" ht="16.5" x14ac:dyDescent="0.6">
      <c r="A20" s="301"/>
      <c r="B20" s="268" t="s">
        <v>964</v>
      </c>
      <c r="C20" s="675" t="s">
        <v>965</v>
      </c>
      <c r="D20" s="269" t="s">
        <v>966</v>
      </c>
      <c r="E20" s="269">
        <v>40.53</v>
      </c>
      <c r="F20" s="270">
        <v>1</v>
      </c>
      <c r="G20" s="269">
        <f t="shared" si="0"/>
        <v>40.53</v>
      </c>
      <c r="H20" s="269">
        <f t="shared" si="1"/>
        <v>45.798899999999996</v>
      </c>
      <c r="I20" s="269"/>
      <c r="J20" s="271">
        <v>0</v>
      </c>
    </row>
    <row r="21" spans="1:10" ht="16.5" x14ac:dyDescent="0.6">
      <c r="A21" s="301"/>
      <c r="B21" s="678" t="s">
        <v>967</v>
      </c>
      <c r="C21" s="274" t="s">
        <v>968</v>
      </c>
      <c r="D21" s="275" t="s">
        <v>969</v>
      </c>
      <c r="E21" s="275">
        <v>10</v>
      </c>
      <c r="F21" s="276">
        <v>2</v>
      </c>
      <c r="G21" s="275">
        <f t="shared" si="0"/>
        <v>20</v>
      </c>
      <c r="H21" s="275">
        <f t="shared" si="1"/>
        <v>22.599999999999998</v>
      </c>
      <c r="I21" s="275"/>
      <c r="J21" s="271">
        <v>0</v>
      </c>
    </row>
    <row r="22" spans="1:10" ht="16.5" x14ac:dyDescent="0.6">
      <c r="A22" s="301"/>
      <c r="B22" s="678" t="s">
        <v>970</v>
      </c>
      <c r="C22" s="274" t="s">
        <v>971</v>
      </c>
      <c r="D22" s="275" t="s">
        <v>972</v>
      </c>
      <c r="E22" s="275">
        <v>7.0000000000000007E-2</v>
      </c>
      <c r="F22" s="276">
        <v>10</v>
      </c>
      <c r="G22" s="275">
        <f t="shared" si="0"/>
        <v>0.70000000000000007</v>
      </c>
      <c r="H22" s="275">
        <f t="shared" si="1"/>
        <v>0.79100000000000004</v>
      </c>
      <c r="I22" s="275"/>
      <c r="J22" s="271">
        <v>0</v>
      </c>
    </row>
    <row r="23" spans="1:10" ht="16.5" x14ac:dyDescent="0.6">
      <c r="A23" s="301"/>
      <c r="B23" s="674" t="s">
        <v>973</v>
      </c>
      <c r="C23" s="675" t="s">
        <v>974</v>
      </c>
      <c r="D23" s="269" t="s">
        <v>975</v>
      </c>
      <c r="E23" s="269">
        <v>30</v>
      </c>
      <c r="F23" s="270">
        <v>3</v>
      </c>
      <c r="G23" s="269">
        <f>F23*E23</f>
        <v>90</v>
      </c>
      <c r="H23" s="269">
        <f>G23*1.13</f>
        <v>101.69999999999999</v>
      </c>
      <c r="I23" s="269"/>
      <c r="J23" s="271">
        <v>0</v>
      </c>
    </row>
    <row r="24" spans="1:10" ht="16.5" x14ac:dyDescent="0.6">
      <c r="A24" s="278"/>
      <c r="B24" s="674" t="s">
        <v>976</v>
      </c>
      <c r="C24" s="675" t="s">
        <v>977</v>
      </c>
      <c r="D24" s="269" t="s">
        <v>978</v>
      </c>
      <c r="E24" s="269">
        <v>400</v>
      </c>
      <c r="F24" s="270">
        <v>1</v>
      </c>
      <c r="G24" s="269">
        <f>F24*E24</f>
        <v>400</v>
      </c>
      <c r="H24" s="269">
        <f>G24*1.13</f>
        <v>451.99999999999994</v>
      </c>
      <c r="I24" s="269"/>
      <c r="J24" s="271">
        <v>0</v>
      </c>
    </row>
    <row r="25" spans="1:10" ht="16.5" x14ac:dyDescent="0.6">
      <c r="A25" s="278"/>
      <c r="B25" s="674" t="s">
        <v>979</v>
      </c>
      <c r="C25" s="675" t="s">
        <v>980</v>
      </c>
      <c r="D25" s="269" t="s">
        <v>981</v>
      </c>
      <c r="E25" s="269">
        <v>500</v>
      </c>
      <c r="F25" s="270">
        <v>1</v>
      </c>
      <c r="G25" s="269">
        <f>F25*E25</f>
        <v>500</v>
      </c>
      <c r="H25" s="269">
        <f>G25*1.13</f>
        <v>565</v>
      </c>
      <c r="I25" s="269"/>
      <c r="J25" s="271">
        <v>0</v>
      </c>
    </row>
    <row r="26" spans="1:10" ht="16.5" x14ac:dyDescent="0.6">
      <c r="A26" s="278"/>
      <c r="B26" s="292" t="s">
        <v>982</v>
      </c>
      <c r="C26" s="320"/>
      <c r="D26" s="295"/>
      <c r="E26" s="295"/>
      <c r="F26" s="296"/>
      <c r="G26" s="295"/>
      <c r="H26" s="295">
        <f>SUM(H18:H25)</f>
        <v>2801.8575999999994</v>
      </c>
      <c r="I26" s="295">
        <f>SUM(I18:I24)</f>
        <v>0</v>
      </c>
      <c r="J26" s="297">
        <f>SUM(J18:J24)</f>
        <v>0</v>
      </c>
    </row>
    <row r="27" spans="1:10" ht="16.5" x14ac:dyDescent="0.6">
      <c r="A27" s="278"/>
      <c r="B27" s="274"/>
      <c r="C27" s="274"/>
      <c r="D27" s="275"/>
      <c r="E27" s="275"/>
      <c r="F27" s="276"/>
      <c r="G27" s="275"/>
      <c r="H27" s="275"/>
      <c r="I27" s="275"/>
      <c r="J27" s="277"/>
    </row>
    <row r="28" spans="1:10" ht="16.5" x14ac:dyDescent="0.6">
      <c r="A28" s="244" t="s">
        <v>983</v>
      </c>
      <c r="B28" s="246"/>
      <c r="C28" s="274"/>
      <c r="D28" s="275"/>
      <c r="E28" s="275"/>
      <c r="F28" s="276"/>
      <c r="G28" s="275"/>
      <c r="H28" s="275"/>
      <c r="I28" s="275"/>
      <c r="J28" s="277"/>
    </row>
    <row r="29" spans="1:10" ht="16.5" x14ac:dyDescent="0.6">
      <c r="A29" s="269"/>
      <c r="B29" s="679" t="s">
        <v>984</v>
      </c>
      <c r="C29" s="679" t="s">
        <v>985</v>
      </c>
      <c r="D29" s="269" t="s">
        <v>986</v>
      </c>
      <c r="E29" s="269">
        <v>500</v>
      </c>
      <c r="F29" s="269">
        <v>4</v>
      </c>
      <c r="G29" s="269">
        <f t="shared" ref="G29" si="2">F29*E29</f>
        <v>2000</v>
      </c>
      <c r="H29" s="269">
        <f t="shared" ref="H29" si="3">G29*1.13</f>
        <v>2260</v>
      </c>
      <c r="J29" s="269">
        <f>1058.7+61.27+100</f>
        <v>1219.97</v>
      </c>
    </row>
    <row r="30" spans="1:10" ht="16.5" x14ac:dyDescent="0.6">
      <c r="A30" s="269"/>
      <c r="B30" s="679" t="s">
        <v>987</v>
      </c>
      <c r="C30" s="679" t="s">
        <v>988</v>
      </c>
      <c r="D30" s="269" t="s">
        <v>989</v>
      </c>
      <c r="E30" s="269">
        <v>500</v>
      </c>
      <c r="F30" s="269">
        <v>1</v>
      </c>
      <c r="G30" s="269">
        <f>F30*E30</f>
        <v>500</v>
      </c>
      <c r="H30" s="269">
        <f>G30*1.13</f>
        <v>565</v>
      </c>
      <c r="I30" s="269"/>
      <c r="J30" s="269">
        <v>0</v>
      </c>
    </row>
    <row r="31" spans="1:10" ht="16.5" x14ac:dyDescent="0.6">
      <c r="A31" s="278"/>
      <c r="B31" s="274"/>
      <c r="C31" s="274"/>
      <c r="D31" s="274"/>
      <c r="E31" s="274"/>
      <c r="F31" s="274"/>
      <c r="G31" s="274"/>
      <c r="H31" s="274"/>
      <c r="I31" s="274"/>
      <c r="J31" s="274"/>
    </row>
    <row r="32" spans="1:10" ht="16.5" x14ac:dyDescent="0.6">
      <c r="A32" s="278"/>
      <c r="B32" s="292" t="s">
        <v>990</v>
      </c>
      <c r="C32" s="320"/>
      <c r="D32" s="295"/>
      <c r="E32" s="295"/>
      <c r="F32" s="296"/>
      <c r="G32" s="295"/>
      <c r="H32" s="295">
        <f>SUM(H29:H31)</f>
        <v>2825</v>
      </c>
      <c r="I32" s="295">
        <f>SUM(I29:I31)</f>
        <v>0</v>
      </c>
      <c r="J32" s="297">
        <f>SUM(J29:J31)</f>
        <v>1219.97</v>
      </c>
    </row>
    <row r="33" spans="1:11" ht="16.5" x14ac:dyDescent="0.6">
      <c r="A33" s="278"/>
      <c r="B33" s="274"/>
      <c r="C33" s="274"/>
      <c r="D33" s="275"/>
      <c r="E33" s="275"/>
      <c r="F33" s="276"/>
      <c r="G33" s="275"/>
      <c r="H33" s="275"/>
      <c r="I33" s="275"/>
      <c r="J33" s="277"/>
    </row>
    <row r="34" spans="1:11" ht="16.5" x14ac:dyDescent="0.6">
      <c r="A34" s="244" t="s">
        <v>991</v>
      </c>
      <c r="B34" s="246"/>
      <c r="C34" s="274"/>
      <c r="D34" s="275"/>
      <c r="E34" s="275"/>
      <c r="F34" s="276"/>
      <c r="G34" s="275"/>
      <c r="H34" s="275"/>
      <c r="I34" s="275"/>
      <c r="J34" s="277"/>
    </row>
    <row r="35" spans="1:11" ht="16.5" x14ac:dyDescent="0.6">
      <c r="A35" s="269"/>
      <c r="B35" s="679" t="s">
        <v>992</v>
      </c>
      <c r="C35" s="679" t="s">
        <v>993</v>
      </c>
      <c r="D35" s="269" t="s">
        <v>994</v>
      </c>
      <c r="E35" s="269">
        <v>67.8</v>
      </c>
      <c r="F35" s="269">
        <v>36</v>
      </c>
      <c r="G35" s="269">
        <f>F35*E35</f>
        <v>2440.7999999999997</v>
      </c>
      <c r="H35" s="269">
        <f>G35*1.13</f>
        <v>2758.1039999999994</v>
      </c>
      <c r="I35" s="269"/>
      <c r="J35" s="269">
        <v>0</v>
      </c>
    </row>
    <row r="36" spans="1:11" ht="16.5" x14ac:dyDescent="0.6">
      <c r="A36" s="269"/>
      <c r="B36" s="679" t="s">
        <v>995</v>
      </c>
      <c r="C36" s="679" t="s">
        <v>996</v>
      </c>
      <c r="D36" s="269" t="s">
        <v>997</v>
      </c>
      <c r="E36" s="269">
        <v>4</v>
      </c>
      <c r="F36" s="269">
        <v>36</v>
      </c>
      <c r="G36" s="269">
        <f>F36*E36</f>
        <v>144</v>
      </c>
      <c r="H36" s="269">
        <f>G36*1.13</f>
        <v>162.71999999999997</v>
      </c>
      <c r="I36" s="269"/>
      <c r="J36" s="269">
        <v>155.16999999999999</v>
      </c>
    </row>
    <row r="37" spans="1:11" ht="16.5" x14ac:dyDescent="0.6">
      <c r="A37" s="278"/>
      <c r="B37" s="274"/>
      <c r="C37" s="274"/>
      <c r="D37" s="274"/>
      <c r="E37" s="274"/>
      <c r="F37" s="274"/>
      <c r="G37" s="274"/>
      <c r="H37" s="274"/>
      <c r="I37" s="274"/>
      <c r="J37" s="274"/>
    </row>
    <row r="38" spans="1:11" ht="16.5" x14ac:dyDescent="0.6">
      <c r="A38" s="278"/>
      <c r="B38" s="292" t="s">
        <v>998</v>
      </c>
      <c r="C38" s="320"/>
      <c r="D38" s="295"/>
      <c r="E38" s="295"/>
      <c r="F38" s="296"/>
      <c r="G38" s="295"/>
      <c r="H38" s="295">
        <f>SUM(H35:H37)</f>
        <v>2920.8239999999992</v>
      </c>
      <c r="I38" s="295">
        <f>SUM(I36:I37)</f>
        <v>0</v>
      </c>
      <c r="J38" s="297">
        <f>SUM(J36:J37)</f>
        <v>155.16999999999999</v>
      </c>
    </row>
    <row r="39" spans="1:11" ht="16.5" x14ac:dyDescent="0.6">
      <c r="A39" s="278"/>
      <c r="B39" s="274"/>
      <c r="C39" s="246"/>
      <c r="D39" s="247"/>
      <c r="E39" s="247"/>
      <c r="F39" s="267"/>
      <c r="G39" s="247"/>
      <c r="H39" s="247"/>
      <c r="I39" s="247"/>
      <c r="J39" s="248"/>
    </row>
    <row r="40" spans="1:11" ht="16.5" x14ac:dyDescent="0.6">
      <c r="A40" s="244" t="s">
        <v>999</v>
      </c>
      <c r="B40" s="246"/>
      <c r="C40" s="274"/>
      <c r="D40" s="275"/>
      <c r="E40" s="275"/>
      <c r="F40" s="276"/>
      <c r="G40" s="275"/>
      <c r="H40" s="275"/>
      <c r="I40" s="275"/>
      <c r="J40" s="277"/>
    </row>
    <row r="41" spans="1:11" ht="16.5" x14ac:dyDescent="0.6">
      <c r="A41" s="244"/>
      <c r="B41" s="241" t="s">
        <v>1000</v>
      </c>
      <c r="C41" s="674" t="s">
        <v>1001</v>
      </c>
      <c r="D41" s="1364" t="s">
        <v>1002</v>
      </c>
      <c r="E41" s="269">
        <v>1</v>
      </c>
      <c r="F41" s="270">
        <v>200</v>
      </c>
      <c r="G41" s="269">
        <f t="shared" ref="G41:G42" si="4">F41*E41</f>
        <v>200</v>
      </c>
      <c r="H41" s="269">
        <f>G41*1.13</f>
        <v>225.99999999999997</v>
      </c>
      <c r="I41" s="269"/>
      <c r="J41" s="271">
        <v>270</v>
      </c>
      <c r="K41" t="s">
        <v>1003</v>
      </c>
    </row>
    <row r="42" spans="1:11" ht="16.5" x14ac:dyDescent="0.6">
      <c r="A42" s="244"/>
      <c r="B42" s="246" t="s">
        <v>1004</v>
      </c>
      <c r="C42" s="274" t="s">
        <v>1005</v>
      </c>
      <c r="D42" s="275" t="s">
        <v>1006</v>
      </c>
      <c r="E42" s="275">
        <v>30</v>
      </c>
      <c r="F42" s="276">
        <v>3</v>
      </c>
      <c r="G42" s="275">
        <f t="shared" si="4"/>
        <v>90</v>
      </c>
      <c r="H42" s="275">
        <f t="shared" ref="H42" si="5">G42*1.13</f>
        <v>101.69999999999999</v>
      </c>
      <c r="I42" s="275"/>
      <c r="J42" s="277">
        <v>0</v>
      </c>
    </row>
    <row r="43" spans="1:11" ht="16.5" x14ac:dyDescent="0.6">
      <c r="A43" s="244"/>
      <c r="B43" s="241"/>
      <c r="C43" s="674"/>
      <c r="D43" s="269"/>
      <c r="E43" s="269"/>
      <c r="F43" s="270"/>
      <c r="G43" s="269"/>
      <c r="H43" s="269"/>
      <c r="I43" s="269"/>
      <c r="J43" s="271"/>
    </row>
    <row r="44" spans="1:11" ht="16.5" x14ac:dyDescent="0.6">
      <c r="A44" s="278"/>
      <c r="B44" s="292" t="s">
        <v>1007</v>
      </c>
      <c r="C44" s="320"/>
      <c r="D44" s="295"/>
      <c r="E44" s="295"/>
      <c r="F44" s="296"/>
      <c r="G44" s="295"/>
      <c r="H44" s="295">
        <f>SUM(H41:H43)</f>
        <v>327.69999999999993</v>
      </c>
      <c r="I44" s="295">
        <f>SUM(I41:I43)</f>
        <v>0</v>
      </c>
      <c r="J44" s="297">
        <f>SUM(J41:J43)</f>
        <v>270</v>
      </c>
    </row>
    <row r="46" spans="1:11" ht="16.5" x14ac:dyDescent="0.6">
      <c r="A46" s="244" t="s">
        <v>1008</v>
      </c>
      <c r="B46" s="246"/>
      <c r="C46" s="274"/>
      <c r="D46" s="275"/>
      <c r="E46" s="275"/>
      <c r="F46" s="276"/>
      <c r="G46" s="275"/>
      <c r="H46" s="275"/>
      <c r="I46" s="275"/>
      <c r="J46" s="277"/>
    </row>
    <row r="47" spans="1:11" ht="16.5" x14ac:dyDescent="0.6">
      <c r="A47" s="244"/>
      <c r="B47" s="246"/>
      <c r="C47" s="274"/>
      <c r="D47" s="275"/>
      <c r="E47" s="275"/>
      <c r="F47" s="276"/>
      <c r="G47" s="275"/>
      <c r="H47" s="275"/>
      <c r="I47" s="275"/>
      <c r="J47" s="277"/>
    </row>
    <row r="48" spans="1:11" ht="16.5" x14ac:dyDescent="0.6">
      <c r="A48" s="244"/>
      <c r="B48" s="241" t="s">
        <v>1009</v>
      </c>
      <c r="C48" s="674" t="s">
        <v>77</v>
      </c>
      <c r="D48" s="269" t="s">
        <v>1010</v>
      </c>
      <c r="E48" s="269">
        <v>30</v>
      </c>
      <c r="F48" s="270">
        <v>1</v>
      </c>
      <c r="G48" s="269">
        <v>30</v>
      </c>
      <c r="H48" s="269">
        <f t="shared" ref="H48" si="6">G48*1.13</f>
        <v>33.9</v>
      </c>
      <c r="I48" s="269"/>
      <c r="J48" s="271">
        <v>0</v>
      </c>
    </row>
    <row r="49" spans="1:10" ht="16.5" x14ac:dyDescent="0.6">
      <c r="A49" s="244"/>
      <c r="B49" s="246" t="s">
        <v>1011</v>
      </c>
      <c r="C49" s="274" t="s">
        <v>1012</v>
      </c>
      <c r="D49" s="275" t="s">
        <v>1013</v>
      </c>
      <c r="E49" s="275">
        <v>10</v>
      </c>
      <c r="F49" s="276">
        <v>18</v>
      </c>
      <c r="G49" s="275">
        <f>E49*F49</f>
        <v>180</v>
      </c>
      <c r="H49" s="275">
        <f>G49*1.13</f>
        <v>203.39999999999998</v>
      </c>
      <c r="I49" s="275"/>
      <c r="J49" s="277">
        <v>0</v>
      </c>
    </row>
    <row r="50" spans="1:10" ht="16.5" x14ac:dyDescent="0.6">
      <c r="A50" s="244"/>
      <c r="B50" s="241" t="s">
        <v>1014</v>
      </c>
      <c r="C50" s="674" t="s">
        <v>1015</v>
      </c>
      <c r="D50" s="269" t="s">
        <v>1016</v>
      </c>
      <c r="E50" s="269">
        <v>100</v>
      </c>
      <c r="F50" s="270">
        <v>2</v>
      </c>
      <c r="G50" s="269">
        <f>F50*E50</f>
        <v>200</v>
      </c>
      <c r="H50" s="269">
        <f>G50*1.13</f>
        <v>225.99999999999997</v>
      </c>
      <c r="I50" s="269"/>
      <c r="J50" s="271">
        <v>0</v>
      </c>
    </row>
    <row r="51" spans="1:10" ht="16.5" x14ac:dyDescent="0.6">
      <c r="A51" s="278"/>
      <c r="B51" s="292" t="s">
        <v>1017</v>
      </c>
      <c r="C51" s="320"/>
      <c r="D51" s="295"/>
      <c r="E51" s="295"/>
      <c r="F51" s="296"/>
      <c r="G51" s="295"/>
      <c r="H51" s="295">
        <f>SUM(H48:H50)</f>
        <v>463.29999999999995</v>
      </c>
      <c r="I51" s="295">
        <f>SUM(I48:I50)</f>
        <v>0</v>
      </c>
      <c r="J51" s="297">
        <f>SUM(J48:J50)</f>
        <v>0</v>
      </c>
    </row>
    <row r="53" spans="1:10" ht="16.5" x14ac:dyDescent="0.6">
      <c r="A53" s="244" t="s">
        <v>1018</v>
      </c>
      <c r="B53" s="246"/>
      <c r="C53" s="274"/>
      <c r="D53" s="275"/>
      <c r="E53" s="275"/>
      <c r="F53" s="276"/>
      <c r="G53" s="275"/>
      <c r="H53" s="275"/>
      <c r="I53" s="275"/>
      <c r="J53" s="277"/>
    </row>
    <row r="54" spans="1:10" ht="16.5" x14ac:dyDescent="0.6">
      <c r="A54" s="244"/>
      <c r="B54" s="241" t="s">
        <v>1019</v>
      </c>
      <c r="C54" s="674" t="s">
        <v>1020</v>
      </c>
      <c r="D54" s="269" t="s">
        <v>1021</v>
      </c>
      <c r="E54" s="269">
        <v>6.25</v>
      </c>
      <c r="F54" s="270">
        <v>180</v>
      </c>
      <c r="G54" s="269">
        <f t="shared" ref="G54:G55" si="7">F54*E54</f>
        <v>1125</v>
      </c>
      <c r="H54" s="269">
        <f t="shared" ref="H54:H55" si="8">G54*1.13</f>
        <v>1271.2499999999998</v>
      </c>
      <c r="I54" s="269"/>
      <c r="J54" s="271">
        <v>1380</v>
      </c>
    </row>
    <row r="55" spans="1:10" ht="16.5" x14ac:dyDescent="0.6">
      <c r="A55" s="244"/>
      <c r="B55" s="246"/>
      <c r="C55" s="274" t="s">
        <v>347</v>
      </c>
      <c r="D55" s="275"/>
      <c r="E55" s="275">
        <v>5</v>
      </c>
      <c r="F55" s="276">
        <v>100</v>
      </c>
      <c r="G55" s="275">
        <f t="shared" si="7"/>
        <v>500</v>
      </c>
      <c r="H55" s="275">
        <f t="shared" si="8"/>
        <v>565</v>
      </c>
      <c r="I55" s="275"/>
      <c r="J55" s="277">
        <v>229</v>
      </c>
    </row>
    <row r="56" spans="1:10" ht="16.5" x14ac:dyDescent="0.6">
      <c r="A56" s="244"/>
      <c r="B56" s="241"/>
      <c r="C56" s="674"/>
      <c r="D56" s="269"/>
      <c r="E56" s="269"/>
      <c r="F56" s="270"/>
      <c r="G56" s="269"/>
      <c r="H56" s="269"/>
      <c r="I56" s="269"/>
      <c r="J56" s="271"/>
    </row>
    <row r="57" spans="1:10" ht="16.5" x14ac:dyDescent="0.6">
      <c r="A57" s="278"/>
      <c r="B57" s="292" t="s">
        <v>1022</v>
      </c>
      <c r="C57" s="320"/>
      <c r="D57" s="295"/>
      <c r="E57" s="295"/>
      <c r="F57" s="296"/>
      <c r="G57" s="295"/>
      <c r="H57" s="295">
        <f>SUM(H54:H56)</f>
        <v>1836.2499999999998</v>
      </c>
      <c r="I57" s="295">
        <f>SUM(I54:I56)</f>
        <v>0</v>
      </c>
      <c r="J57" s="297">
        <f>SUM(J54:J56)</f>
        <v>1609</v>
      </c>
    </row>
    <row r="58" spans="1:10" ht="16.5" x14ac:dyDescent="0.6">
      <c r="A58" s="278"/>
      <c r="B58" s="680"/>
      <c r="C58" s="680"/>
      <c r="D58" s="261"/>
      <c r="E58" s="261"/>
      <c r="F58" s="681"/>
      <c r="G58" s="261"/>
      <c r="H58" s="261"/>
      <c r="I58" s="261"/>
      <c r="J58" s="264"/>
    </row>
    <row r="59" spans="1:10" ht="16.5" x14ac:dyDescent="0.6">
      <c r="A59" s="244" t="s">
        <v>1023</v>
      </c>
      <c r="B59" s="246"/>
      <c r="C59" s="274"/>
      <c r="D59" s="275"/>
      <c r="E59" s="275"/>
      <c r="F59" s="276"/>
      <c r="G59" s="275"/>
      <c r="H59" s="275"/>
      <c r="I59" s="275"/>
      <c r="J59" s="277"/>
    </row>
    <row r="60" spans="1:10" ht="16.5" x14ac:dyDescent="0.6">
      <c r="A60" s="244"/>
      <c r="B60" s="241" t="s">
        <v>1024</v>
      </c>
      <c r="C60" s="674" t="s">
        <v>347</v>
      </c>
      <c r="D60" s="269" t="s">
        <v>1025</v>
      </c>
      <c r="E60" s="269">
        <v>10</v>
      </c>
      <c r="F60" s="270">
        <v>30</v>
      </c>
      <c r="G60" s="269">
        <f>F60*E60</f>
        <v>300</v>
      </c>
      <c r="H60" s="269">
        <f>G60*1.13</f>
        <v>338.99999999999994</v>
      </c>
      <c r="I60" s="269"/>
      <c r="J60" s="271">
        <v>528.52</v>
      </c>
    </row>
    <row r="61" spans="1:10" ht="16.5" x14ac:dyDescent="0.6">
      <c r="A61" s="244"/>
      <c r="B61" s="246" t="s">
        <v>1026</v>
      </c>
      <c r="C61" s="274" t="s">
        <v>1027</v>
      </c>
      <c r="D61" s="275" t="s">
        <v>1028</v>
      </c>
      <c r="E61" s="275">
        <v>7.0000000000000007E-2</v>
      </c>
      <c r="F61" s="276">
        <v>200</v>
      </c>
      <c r="G61" s="275">
        <f t="shared" ref="G61" si="9">F61*E61</f>
        <v>14.000000000000002</v>
      </c>
      <c r="H61" s="275">
        <f t="shared" ref="H61" si="10">G61*1.13</f>
        <v>15.82</v>
      </c>
      <c r="I61" s="275"/>
      <c r="J61" s="277">
        <v>0</v>
      </c>
    </row>
    <row r="62" spans="1:10" ht="16.5" x14ac:dyDescent="0.6">
      <c r="A62" s="244"/>
      <c r="B62" s="241"/>
      <c r="C62" s="674"/>
      <c r="D62" s="269"/>
      <c r="E62" s="269"/>
      <c r="F62" s="270"/>
      <c r="G62" s="269"/>
      <c r="H62" s="269"/>
      <c r="I62" s="269"/>
      <c r="J62" s="271"/>
    </row>
    <row r="63" spans="1:10" ht="16.5" x14ac:dyDescent="0.6">
      <c r="A63" s="278"/>
      <c r="B63" s="292" t="s">
        <v>1007</v>
      </c>
      <c r="C63" s="320"/>
      <c r="D63" s="295"/>
      <c r="E63" s="295"/>
      <c r="F63" s="296"/>
      <c r="G63" s="295"/>
      <c r="H63" s="295">
        <f>SUM(H60:H62)</f>
        <v>354.81999999999994</v>
      </c>
      <c r="I63" s="295">
        <f>SUM(I60:I62)</f>
        <v>0</v>
      </c>
      <c r="J63" s="297">
        <f>SUM(J60:J62)</f>
        <v>528.52</v>
      </c>
    </row>
    <row r="64" spans="1:10" ht="16.5" x14ac:dyDescent="0.6">
      <c r="A64" s="278"/>
      <c r="B64" s="680"/>
      <c r="C64" s="680"/>
      <c r="D64" s="261"/>
      <c r="E64" s="261"/>
      <c r="F64" s="681"/>
      <c r="G64" s="261"/>
      <c r="H64" s="261"/>
      <c r="I64" s="261"/>
      <c r="J64" s="264"/>
    </row>
    <row r="65" spans="1:10" ht="16.5" x14ac:dyDescent="0.6">
      <c r="A65" s="278"/>
      <c r="B65" s="246"/>
      <c r="C65" s="682" t="s">
        <v>84</v>
      </c>
      <c r="D65" s="682"/>
      <c r="E65" s="247"/>
      <c r="F65" s="267"/>
      <c r="G65" s="247"/>
      <c r="H65" s="247">
        <f>SUM(H57,H44,H38,H32,H26,H10,H51,H63,H15)</f>
        <v>12368.211599999999</v>
      </c>
      <c r="I65" s="247"/>
      <c r="J65" s="248"/>
    </row>
    <row r="66" spans="1:10" ht="16.5" x14ac:dyDescent="0.6">
      <c r="A66" s="278"/>
      <c r="B66" s="683"/>
      <c r="C66" s="683"/>
      <c r="D66" s="684"/>
      <c r="E66" s="684"/>
      <c r="F66" s="685"/>
      <c r="G66" s="684"/>
      <c r="H66" s="684"/>
      <c r="I66" s="684"/>
      <c r="J66" s="686"/>
    </row>
    <row r="67" spans="1:10" ht="16.5" x14ac:dyDescent="0.6">
      <c r="A67" s="1417" t="s">
        <v>85</v>
      </c>
      <c r="B67" s="1418"/>
      <c r="C67" s="1418"/>
      <c r="D67" s="203"/>
      <c r="E67" s="203"/>
      <c r="F67" s="204"/>
      <c r="G67" s="203"/>
      <c r="H67" s="203"/>
      <c r="I67" s="203"/>
      <c r="J67" s="205"/>
    </row>
    <row r="68" spans="1:10" ht="16.5" x14ac:dyDescent="0.6">
      <c r="A68" s="244"/>
      <c r="B68" s="241" t="s">
        <v>86</v>
      </c>
      <c r="C68" s="241"/>
      <c r="D68" s="242"/>
      <c r="E68" s="242"/>
      <c r="F68" s="242"/>
      <c r="G68" s="242"/>
      <c r="H68" s="242">
        <v>0</v>
      </c>
      <c r="I68" s="242">
        <v>0</v>
      </c>
      <c r="J68" s="242">
        <v>0</v>
      </c>
    </row>
    <row r="69" spans="1:10" ht="16.5" x14ac:dyDescent="0.6">
      <c r="A69" s="244"/>
      <c r="B69" s="246" t="s">
        <v>87</v>
      </c>
      <c r="C69" s="246"/>
      <c r="D69" s="247"/>
      <c r="E69" s="247"/>
      <c r="F69" s="247"/>
      <c r="G69" s="247"/>
      <c r="H69" s="247">
        <f>H65</f>
        <v>12368.211599999999</v>
      </c>
      <c r="I69" s="247">
        <f>I10+I26+I32+I38+I44</f>
        <v>0</v>
      </c>
      <c r="J69" s="248">
        <f>J10+J26+J32+J38+J44+J51+J57+J63</f>
        <v>3928.85</v>
      </c>
    </row>
    <row r="70" spans="1:10" ht="16.5" x14ac:dyDescent="0.6">
      <c r="A70" s="323"/>
      <c r="B70" s="251" t="s">
        <v>88</v>
      </c>
      <c r="C70" s="251"/>
      <c r="D70" s="252"/>
      <c r="E70" s="252"/>
      <c r="F70" s="252"/>
      <c r="G70" s="252"/>
      <c r="H70" s="252">
        <f>H68-H69</f>
        <v>-12368.211599999999</v>
      </c>
      <c r="I70" s="252">
        <f t="shared" ref="I70:J70" si="11">I68-I69</f>
        <v>0</v>
      </c>
      <c r="J70" s="253">
        <f t="shared" si="11"/>
        <v>-3928.85</v>
      </c>
    </row>
  </sheetData>
  <mergeCells count="3">
    <mergeCell ref="A1:J1"/>
    <mergeCell ref="A4:C4"/>
    <mergeCell ref="A6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94CF-C832-4A0B-8FA1-AC3E84EDD51E}">
  <dimension ref="A1:K171"/>
  <sheetViews>
    <sheetView topLeftCell="D1" zoomScale="70" zoomScaleNormal="70" workbookViewId="0">
      <selection activeCell="J62" sqref="J62"/>
    </sheetView>
  </sheetViews>
  <sheetFormatPr defaultColWidth="8.86328125" defaultRowHeight="14.25" x14ac:dyDescent="0.45"/>
  <cols>
    <col min="1" max="1" width="25.265625" customWidth="1"/>
    <col min="2" max="2" width="45.3984375" bestFit="1" customWidth="1"/>
    <col min="3" max="3" width="22.3984375" bestFit="1" customWidth="1"/>
    <col min="4" max="4" width="78.265625" bestFit="1" customWidth="1"/>
    <col min="5" max="5" width="10.86328125" bestFit="1" customWidth="1"/>
    <col min="6" max="6" width="9.3984375" bestFit="1" customWidth="1"/>
    <col min="7" max="7" width="10.86328125" bestFit="1" customWidth="1"/>
    <col min="8" max="8" width="15.265625" bestFit="1" customWidth="1"/>
    <col min="9" max="10" width="12.1328125" bestFit="1" customWidth="1"/>
  </cols>
  <sheetData>
    <row r="1" spans="1:11" x14ac:dyDescent="0.45">
      <c r="A1" s="1474"/>
      <c r="B1" s="1465" t="s">
        <v>1029</v>
      </c>
      <c r="C1" s="1466"/>
      <c r="D1" s="1466"/>
      <c r="E1" s="1466"/>
      <c r="F1" s="1466"/>
      <c r="G1" s="1466"/>
      <c r="H1" s="1466"/>
      <c r="I1" s="1466"/>
      <c r="J1" s="1467"/>
    </row>
    <row r="2" spans="1:11" x14ac:dyDescent="0.45">
      <c r="A2" s="1474"/>
      <c r="B2" s="1468"/>
      <c r="C2" s="1469"/>
      <c r="D2" s="1469"/>
      <c r="E2" s="1469"/>
      <c r="F2" s="1469"/>
      <c r="G2" s="1469"/>
      <c r="H2" s="1469"/>
      <c r="I2" s="1469"/>
      <c r="J2" s="1470"/>
    </row>
    <row r="3" spans="1:11" x14ac:dyDescent="0.45">
      <c r="A3" s="1474"/>
      <c r="B3" s="1468"/>
      <c r="C3" s="1469"/>
      <c r="D3" s="1469"/>
      <c r="E3" s="1469"/>
      <c r="F3" s="1469"/>
      <c r="G3" s="1469"/>
      <c r="H3" s="1469"/>
      <c r="I3" s="1469"/>
      <c r="J3" s="1470"/>
    </row>
    <row r="4" spans="1:11" ht="96" customHeight="1" x14ac:dyDescent="0.45">
      <c r="A4" s="1474"/>
      <c r="B4" s="1471"/>
      <c r="C4" s="1472"/>
      <c r="D4" s="1472"/>
      <c r="E4" s="1472"/>
      <c r="F4" s="1472"/>
      <c r="G4" s="1472"/>
      <c r="H4" s="1472"/>
      <c r="I4" s="1472"/>
      <c r="J4" s="1473"/>
    </row>
    <row r="5" spans="1:11" ht="16.5" x14ac:dyDescent="0.6">
      <c r="A5" s="389"/>
      <c r="B5" s="390" t="s">
        <v>90</v>
      </c>
      <c r="C5" s="391" t="s">
        <v>91</v>
      </c>
      <c r="D5" s="392" t="s">
        <v>92</v>
      </c>
      <c r="E5" s="393" t="s">
        <v>93</v>
      </c>
      <c r="F5" s="393" t="s">
        <v>94</v>
      </c>
      <c r="G5" s="393" t="s">
        <v>95</v>
      </c>
      <c r="H5" s="393" t="s">
        <v>96</v>
      </c>
      <c r="I5" s="393" t="s">
        <v>217</v>
      </c>
      <c r="J5" s="394" t="s">
        <v>218</v>
      </c>
    </row>
    <row r="6" spans="1:11" ht="16.5" x14ac:dyDescent="0.6">
      <c r="A6" s="395"/>
      <c r="B6" s="396"/>
      <c r="C6" s="396"/>
      <c r="D6" s="397"/>
      <c r="E6" s="397"/>
      <c r="F6" s="396"/>
      <c r="G6" s="397"/>
      <c r="H6" s="397"/>
      <c r="I6" s="397"/>
      <c r="J6" s="398"/>
    </row>
    <row r="7" spans="1:11" ht="16.5" x14ac:dyDescent="0.6">
      <c r="A7" s="1515" t="s">
        <v>7</v>
      </c>
      <c r="B7" s="1516"/>
      <c r="C7" s="1517"/>
      <c r="D7" s="399"/>
      <c r="E7" s="399"/>
      <c r="F7" s="400"/>
      <c r="G7" s="399"/>
      <c r="H7" s="399"/>
      <c r="I7" s="399"/>
      <c r="J7" s="401"/>
    </row>
    <row r="8" spans="1:11" ht="16.5" x14ac:dyDescent="0.6">
      <c r="A8" s="402" t="s">
        <v>1030</v>
      </c>
      <c r="B8" s="403"/>
      <c r="C8" s="403"/>
      <c r="D8" s="397"/>
      <c r="E8" s="397"/>
      <c r="F8" s="396"/>
      <c r="G8" s="397"/>
      <c r="H8" s="397"/>
      <c r="I8" s="397"/>
      <c r="J8" s="398"/>
    </row>
    <row r="9" spans="1:11" ht="16.5" x14ac:dyDescent="0.6">
      <c r="A9" s="404" t="s">
        <v>1031</v>
      </c>
      <c r="B9" s="405"/>
      <c r="C9" s="406"/>
      <c r="D9" s="407"/>
      <c r="E9" s="407"/>
      <c r="F9" s="408"/>
      <c r="G9" s="464"/>
      <c r="H9" s="407"/>
      <c r="I9" s="407"/>
      <c r="J9" s="409"/>
    </row>
    <row r="10" spans="1:11" ht="16.5" x14ac:dyDescent="0.6">
      <c r="A10" s="410"/>
      <c r="B10" s="411">
        <v>6.01</v>
      </c>
      <c r="C10" s="412" t="s">
        <v>1032</v>
      </c>
      <c r="D10" s="413" t="s">
        <v>1033</v>
      </c>
      <c r="E10" s="465">
        <v>100</v>
      </c>
      <c r="F10" s="415">
        <v>1</v>
      </c>
      <c r="G10" s="465">
        <f>E10*F10</f>
        <v>100</v>
      </c>
      <c r="H10" s="465">
        <f>G10*1.13</f>
        <v>112.99999999999999</v>
      </c>
      <c r="I10" s="465">
        <v>0</v>
      </c>
      <c r="J10" s="466">
        <v>0</v>
      </c>
    </row>
    <row r="11" spans="1:11" ht="16.5" x14ac:dyDescent="0.6">
      <c r="A11" s="410"/>
      <c r="B11" s="416"/>
      <c r="C11" s="417"/>
      <c r="D11" s="418"/>
      <c r="E11" s="467"/>
      <c r="F11" s="416"/>
      <c r="G11" s="467"/>
      <c r="H11" s="467"/>
      <c r="I11" s="467"/>
      <c r="J11" s="468"/>
    </row>
    <row r="12" spans="1:11" ht="16.5" x14ac:dyDescent="0.6">
      <c r="A12" s="419"/>
      <c r="B12" s="420" t="s">
        <v>1034</v>
      </c>
      <c r="C12" s="421"/>
      <c r="D12" s="422"/>
      <c r="E12" s="469"/>
      <c r="F12" s="423"/>
      <c r="G12" s="469"/>
      <c r="H12" s="469">
        <f>SUM(H10:H10)</f>
        <v>112.99999999999999</v>
      </c>
      <c r="I12" s="469">
        <v>0</v>
      </c>
      <c r="J12" s="470">
        <v>0</v>
      </c>
      <c r="K12" t="s">
        <v>1035</v>
      </c>
    </row>
    <row r="13" spans="1:11" ht="16.5" x14ac:dyDescent="0.6">
      <c r="A13" s="424"/>
      <c r="B13" s="425"/>
      <c r="C13" s="425"/>
      <c r="D13" s="397"/>
      <c r="E13" s="471"/>
      <c r="F13" s="396"/>
      <c r="G13" s="471"/>
      <c r="H13" s="471"/>
      <c r="I13" s="471"/>
      <c r="J13" s="472"/>
    </row>
    <row r="14" spans="1:11" ht="16.5" x14ac:dyDescent="0.6">
      <c r="A14" s="404" t="s">
        <v>1036</v>
      </c>
      <c r="B14" s="405"/>
      <c r="C14" s="406"/>
      <c r="D14" s="407"/>
      <c r="E14" s="473"/>
      <c r="F14" s="408"/>
      <c r="G14" s="473"/>
      <c r="H14" s="473"/>
      <c r="I14" s="473"/>
      <c r="J14" s="474"/>
    </row>
    <row r="15" spans="1:11" ht="16.5" x14ac:dyDescent="0.6">
      <c r="A15" s="410"/>
      <c r="B15" s="411">
        <v>6.02</v>
      </c>
      <c r="C15" s="412" t="s">
        <v>1032</v>
      </c>
      <c r="D15" s="413" t="s">
        <v>1037</v>
      </c>
      <c r="E15" s="465">
        <v>100</v>
      </c>
      <c r="F15" s="415">
        <v>1</v>
      </c>
      <c r="G15" s="465">
        <f>E15*F15</f>
        <v>100</v>
      </c>
      <c r="H15" s="465">
        <f>G15*1.13</f>
        <v>112.99999999999999</v>
      </c>
      <c r="I15" s="465">
        <v>0</v>
      </c>
      <c r="J15" s="466">
        <v>0</v>
      </c>
    </row>
    <row r="16" spans="1:11" ht="16.5" x14ac:dyDescent="0.6">
      <c r="A16" s="410"/>
      <c r="B16" s="426"/>
      <c r="C16" s="417"/>
      <c r="D16" s="418"/>
      <c r="E16" s="467"/>
      <c r="F16" s="416"/>
      <c r="G16" s="467"/>
      <c r="H16" s="467"/>
      <c r="I16" s="467"/>
      <c r="J16" s="468"/>
    </row>
    <row r="17" spans="1:11" ht="16.5" x14ac:dyDescent="0.6">
      <c r="A17" s="419"/>
      <c r="B17" s="420" t="s">
        <v>1038</v>
      </c>
      <c r="C17" s="421"/>
      <c r="D17" s="422"/>
      <c r="E17" s="469"/>
      <c r="F17" s="423"/>
      <c r="G17" s="469"/>
      <c r="H17" s="469">
        <f>SUM(H15:H15)</f>
        <v>112.99999999999999</v>
      </c>
      <c r="I17" s="469">
        <f>I15</f>
        <v>0</v>
      </c>
      <c r="J17" s="470">
        <f>J15</f>
        <v>0</v>
      </c>
      <c r="K17" t="s">
        <v>1039</v>
      </c>
    </row>
    <row r="18" spans="1:11" ht="16.5" x14ac:dyDescent="0.6">
      <c r="A18" s="424"/>
      <c r="B18" s="421"/>
      <c r="C18" s="421"/>
      <c r="D18" s="422"/>
      <c r="E18" s="469"/>
      <c r="F18" s="423"/>
      <c r="G18" s="469"/>
      <c r="H18" s="469"/>
      <c r="I18" s="469"/>
      <c r="J18" s="470"/>
    </row>
    <row r="19" spans="1:11" ht="16.5" x14ac:dyDescent="0.6">
      <c r="A19" s="419"/>
      <c r="B19" s="420" t="s">
        <v>1040</v>
      </c>
      <c r="C19" s="421"/>
      <c r="D19" s="422"/>
      <c r="E19" s="469"/>
      <c r="F19" s="423"/>
      <c r="G19" s="469"/>
      <c r="H19" s="469">
        <f>H17+H12</f>
        <v>225.99999999999997</v>
      </c>
      <c r="I19" s="469">
        <v>0</v>
      </c>
      <c r="J19" s="470">
        <f>J17+J12</f>
        <v>0</v>
      </c>
      <c r="K19" t="s">
        <v>1041</v>
      </c>
    </row>
    <row r="20" spans="1:11" ht="16.5" x14ac:dyDescent="0.6">
      <c r="A20" s="427" t="s">
        <v>1042</v>
      </c>
      <c r="B20" s="403"/>
      <c r="C20" s="403"/>
      <c r="D20" s="397"/>
      <c r="E20" s="471"/>
      <c r="F20" s="396"/>
      <c r="G20" s="471"/>
      <c r="H20" s="471"/>
      <c r="I20" s="471"/>
      <c r="J20" s="472"/>
    </row>
    <row r="21" spans="1:11" ht="16.5" x14ac:dyDescent="0.6">
      <c r="A21" s="404" t="s">
        <v>1043</v>
      </c>
      <c r="B21" s="405"/>
      <c r="C21" s="406"/>
      <c r="D21" s="407"/>
      <c r="E21" s="473"/>
      <c r="F21" s="408"/>
      <c r="G21" s="473"/>
      <c r="H21" s="473"/>
      <c r="I21" s="473"/>
      <c r="J21" s="474"/>
    </row>
    <row r="22" spans="1:11" ht="16.5" x14ac:dyDescent="0.6">
      <c r="A22" s="410"/>
      <c r="B22" s="411">
        <v>6.03</v>
      </c>
      <c r="C22" s="412" t="s">
        <v>1044</v>
      </c>
      <c r="D22" s="414"/>
      <c r="E22" s="465"/>
      <c r="F22" s="415"/>
      <c r="G22" s="465"/>
      <c r="H22" s="465">
        <f>G22*1.13</f>
        <v>0</v>
      </c>
      <c r="I22" s="465">
        <v>0</v>
      </c>
      <c r="J22" s="466">
        <v>0</v>
      </c>
    </row>
    <row r="23" spans="1:11" ht="16.5" x14ac:dyDescent="0.6">
      <c r="A23" s="410"/>
      <c r="B23" s="416"/>
      <c r="C23" s="417"/>
      <c r="D23" s="418"/>
      <c r="E23" s="467"/>
      <c r="F23" s="416"/>
      <c r="G23" s="467"/>
      <c r="H23" s="467"/>
      <c r="I23" s="467"/>
      <c r="J23" s="468"/>
    </row>
    <row r="24" spans="1:11" ht="16.5" x14ac:dyDescent="0.6">
      <c r="A24" s="419"/>
      <c r="B24" s="420" t="s">
        <v>1034</v>
      </c>
      <c r="C24" s="421"/>
      <c r="D24" s="422"/>
      <c r="E24" s="469"/>
      <c r="F24" s="423"/>
      <c r="G24" s="469"/>
      <c r="H24" s="469">
        <f>SUM(H22:H22)</f>
        <v>0</v>
      </c>
      <c r="I24" s="469">
        <f>I22</f>
        <v>0</v>
      </c>
      <c r="J24" s="470">
        <f>J22</f>
        <v>0</v>
      </c>
    </row>
    <row r="25" spans="1:11" ht="16.5" x14ac:dyDescent="0.6">
      <c r="A25" s="410"/>
      <c r="B25" s="425"/>
      <c r="C25" s="425"/>
      <c r="D25" s="397"/>
      <c r="E25" s="471"/>
      <c r="F25" s="396"/>
      <c r="G25" s="471"/>
      <c r="H25" s="471"/>
      <c r="I25" s="471"/>
      <c r="J25" s="472"/>
    </row>
    <row r="26" spans="1:11" ht="16.5" x14ac:dyDescent="0.6">
      <c r="A26" s="410"/>
      <c r="B26" s="405"/>
      <c r="C26" s="428" t="s">
        <v>46</v>
      </c>
      <c r="D26" s="429"/>
      <c r="E26" s="475"/>
      <c r="F26" s="430"/>
      <c r="G26" s="475"/>
      <c r="H26" s="475">
        <f>H19</f>
        <v>225.99999999999997</v>
      </c>
      <c r="I26" s="475">
        <v>0</v>
      </c>
      <c r="J26" s="476">
        <f>J24+J19</f>
        <v>0</v>
      </c>
    </row>
    <row r="27" spans="1:11" ht="16.5" x14ac:dyDescent="0.6">
      <c r="A27" s="410"/>
      <c r="B27" s="405"/>
      <c r="C27" s="405"/>
      <c r="D27" s="429"/>
      <c r="E27" s="475"/>
      <c r="F27" s="430"/>
      <c r="G27" s="475"/>
      <c r="H27" s="475"/>
      <c r="I27" s="475"/>
      <c r="J27" s="476"/>
    </row>
    <row r="28" spans="1:11" ht="16.5" x14ac:dyDescent="0.6">
      <c r="A28" s="1515" t="s">
        <v>47</v>
      </c>
      <c r="B28" s="1516"/>
      <c r="C28" s="1517"/>
      <c r="D28" s="399"/>
      <c r="E28" s="477"/>
      <c r="F28" s="400"/>
      <c r="G28" s="477"/>
      <c r="H28" s="477"/>
      <c r="I28" s="477"/>
      <c r="J28" s="478"/>
    </row>
    <row r="29" spans="1:11" ht="16.5" x14ac:dyDescent="0.6">
      <c r="A29" s="431" t="s">
        <v>1045</v>
      </c>
      <c r="B29" s="425"/>
      <c r="C29" s="432"/>
      <c r="D29" s="433"/>
      <c r="E29" s="479"/>
      <c r="F29" s="434"/>
      <c r="G29" s="479"/>
      <c r="H29" s="479"/>
      <c r="I29" s="479"/>
      <c r="J29" s="480"/>
    </row>
    <row r="30" spans="1:11" ht="16.5" x14ac:dyDescent="0.6">
      <c r="A30" s="435"/>
      <c r="B30" s="413" t="s">
        <v>1046</v>
      </c>
      <c r="C30" s="436" t="s">
        <v>523</v>
      </c>
      <c r="D30" s="413" t="s">
        <v>1047</v>
      </c>
      <c r="E30" s="465">
        <v>50</v>
      </c>
      <c r="F30" s="415">
        <v>5</v>
      </c>
      <c r="G30" s="465">
        <f>E30*F30</f>
        <v>250</v>
      </c>
      <c r="H30" s="465">
        <f>G30*1.13</f>
        <v>282.5</v>
      </c>
      <c r="I30" s="465">
        <v>0</v>
      </c>
      <c r="J30" s="466">
        <v>14.73</v>
      </c>
    </row>
    <row r="31" spans="1:11" ht="16.5" x14ac:dyDescent="0.6">
      <c r="A31" s="435"/>
      <c r="B31" s="416"/>
      <c r="C31" s="437"/>
      <c r="D31" s="418"/>
      <c r="E31" s="467"/>
      <c r="F31" s="416"/>
      <c r="G31" s="467"/>
      <c r="H31" s="467"/>
      <c r="I31" s="467"/>
      <c r="J31" s="468"/>
    </row>
    <row r="32" spans="1:11" ht="16.5" x14ac:dyDescent="0.6">
      <c r="A32" s="419"/>
      <c r="B32" s="420" t="s">
        <v>1048</v>
      </c>
      <c r="C32" s="421"/>
      <c r="D32" s="422"/>
      <c r="E32" s="469"/>
      <c r="F32" s="423"/>
      <c r="G32" s="469"/>
      <c r="H32" s="469">
        <f>SUM(H30:H30)</f>
        <v>282.5</v>
      </c>
      <c r="I32" s="469">
        <f>SUM(I30:I30)</f>
        <v>0</v>
      </c>
      <c r="J32" s="470">
        <f>SUM(J30:J30)</f>
        <v>14.73</v>
      </c>
    </row>
    <row r="33" spans="1:11" ht="16.5" x14ac:dyDescent="0.6">
      <c r="A33" s="424"/>
      <c r="B33" s="425"/>
      <c r="C33" s="425"/>
      <c r="D33" s="397"/>
      <c r="E33" s="471"/>
      <c r="F33" s="396"/>
      <c r="G33" s="471"/>
      <c r="H33" s="471"/>
      <c r="I33" s="471"/>
      <c r="J33" s="472"/>
    </row>
    <row r="34" spans="1:11" ht="16.5" x14ac:dyDescent="0.6">
      <c r="A34" s="438" t="s">
        <v>646</v>
      </c>
      <c r="B34" s="406"/>
      <c r="C34" s="406"/>
      <c r="D34" s="407"/>
      <c r="E34" s="473"/>
      <c r="F34" s="408"/>
      <c r="G34" s="473"/>
      <c r="H34" s="473"/>
      <c r="I34" s="473"/>
      <c r="J34" s="474"/>
    </row>
    <row r="35" spans="1:11" ht="16.5" x14ac:dyDescent="0.6">
      <c r="A35" s="410"/>
      <c r="B35" s="413" t="s">
        <v>1049</v>
      </c>
      <c r="C35" s="412" t="s">
        <v>742</v>
      </c>
      <c r="D35" s="413" t="s">
        <v>1050</v>
      </c>
      <c r="E35" s="465">
        <v>30</v>
      </c>
      <c r="F35" s="415">
        <v>10</v>
      </c>
      <c r="G35" s="465">
        <f>E35*F35</f>
        <v>300</v>
      </c>
      <c r="H35" s="465">
        <f>G35*1.13</f>
        <v>338.99999999999994</v>
      </c>
      <c r="I35" s="465">
        <v>0</v>
      </c>
      <c r="J35" s="466">
        <v>400.25</v>
      </c>
      <c r="K35" t="s">
        <v>1051</v>
      </c>
    </row>
    <row r="36" spans="1:11" ht="16.5" x14ac:dyDescent="0.6">
      <c r="A36" s="410"/>
      <c r="B36" s="439" t="s">
        <v>1052</v>
      </c>
      <c r="C36" s="440" t="s">
        <v>1053</v>
      </c>
      <c r="D36" s="439" t="s">
        <v>1054</v>
      </c>
      <c r="E36" s="473">
        <v>10</v>
      </c>
      <c r="F36" s="408">
        <v>10</v>
      </c>
      <c r="G36" s="473">
        <f>E36*F36</f>
        <v>100</v>
      </c>
      <c r="H36" s="473">
        <f>G36*1.13</f>
        <v>112.99999999999999</v>
      </c>
      <c r="I36" s="473">
        <v>0</v>
      </c>
      <c r="J36" s="474">
        <v>0</v>
      </c>
    </row>
    <row r="37" spans="1:11" ht="16.5" x14ac:dyDescent="0.6">
      <c r="A37" s="410"/>
      <c r="B37" s="441"/>
      <c r="C37" s="442"/>
      <c r="D37" s="443"/>
      <c r="E37" s="481"/>
      <c r="F37" s="441"/>
      <c r="G37" s="481"/>
      <c r="H37" s="481"/>
      <c r="I37" s="481"/>
      <c r="J37" s="482"/>
    </row>
    <row r="38" spans="1:11" ht="16.5" x14ac:dyDescent="0.6">
      <c r="A38" s="419"/>
      <c r="B38" s="420" t="s">
        <v>1055</v>
      </c>
      <c r="C38" s="421"/>
      <c r="D38" s="422"/>
      <c r="E38" s="469"/>
      <c r="F38" s="423"/>
      <c r="G38" s="469"/>
      <c r="H38" s="469">
        <f>SUM(H35:H36)</f>
        <v>451.99999999999994</v>
      </c>
      <c r="I38" s="469">
        <v>0</v>
      </c>
      <c r="J38" s="470">
        <v>400.25</v>
      </c>
    </row>
    <row r="39" spans="1:11" ht="16.5" x14ac:dyDescent="0.6">
      <c r="A39" s="424"/>
      <c r="B39" s="425"/>
      <c r="C39" s="425"/>
      <c r="D39" s="397"/>
      <c r="E39" s="471"/>
      <c r="F39" s="396"/>
      <c r="G39" s="471"/>
      <c r="H39" s="471"/>
      <c r="I39" s="471"/>
      <c r="J39" s="472"/>
    </row>
    <row r="40" spans="1:11" ht="16.5" x14ac:dyDescent="0.6">
      <c r="A40" s="438" t="s">
        <v>1056</v>
      </c>
      <c r="B40" s="405"/>
      <c r="C40" s="406"/>
      <c r="D40" s="407"/>
      <c r="E40" s="473"/>
      <c r="F40" s="408"/>
      <c r="G40" s="473"/>
      <c r="H40" s="473"/>
      <c r="I40" s="473"/>
      <c r="J40" s="474"/>
    </row>
    <row r="41" spans="1:11" ht="16.5" x14ac:dyDescent="0.6">
      <c r="A41" s="424"/>
      <c r="B41" s="411">
        <v>6.14</v>
      </c>
      <c r="C41" s="412" t="s">
        <v>1057</v>
      </c>
      <c r="D41" s="413" t="s">
        <v>1058</v>
      </c>
      <c r="E41" s="465">
        <v>15</v>
      </c>
      <c r="F41" s="415">
        <v>10</v>
      </c>
      <c r="G41" s="465">
        <f>E41*F41</f>
        <v>150</v>
      </c>
      <c r="H41" s="465">
        <f>G41*1.13</f>
        <v>169.49999999999997</v>
      </c>
      <c r="I41" s="465">
        <v>0</v>
      </c>
      <c r="J41" s="466">
        <v>0</v>
      </c>
      <c r="K41" t="s">
        <v>1059</v>
      </c>
    </row>
    <row r="42" spans="1:11" ht="16.5" x14ac:dyDescent="0.6">
      <c r="A42" s="444" t="s">
        <v>66</v>
      </c>
      <c r="B42" s="445">
        <v>6.15</v>
      </c>
      <c r="C42" s="440" t="s">
        <v>1060</v>
      </c>
      <c r="D42" s="439" t="s">
        <v>1061</v>
      </c>
      <c r="E42" s="473">
        <v>4</v>
      </c>
      <c r="F42" s="408">
        <v>25</v>
      </c>
      <c r="G42" s="473">
        <f>E42*F42</f>
        <v>100</v>
      </c>
      <c r="H42" s="473">
        <f>G42*1.13</f>
        <v>112.99999999999999</v>
      </c>
      <c r="I42" s="473">
        <v>0</v>
      </c>
      <c r="J42" s="474">
        <v>0</v>
      </c>
      <c r="K42" t="s">
        <v>1062</v>
      </c>
    </row>
    <row r="43" spans="1:11" ht="16.5" x14ac:dyDescent="0.6">
      <c r="A43" s="424"/>
      <c r="B43" s="441"/>
      <c r="C43" s="442"/>
      <c r="D43" s="443"/>
      <c r="E43" s="481"/>
      <c r="F43" s="441"/>
      <c r="G43" s="481"/>
      <c r="H43" s="481"/>
      <c r="I43" s="481"/>
      <c r="J43" s="482"/>
    </row>
    <row r="44" spans="1:11" ht="16.5" x14ac:dyDescent="0.6">
      <c r="A44" s="419"/>
      <c r="B44" s="420" t="s">
        <v>1063</v>
      </c>
      <c r="C44" s="421"/>
      <c r="D44" s="422"/>
      <c r="E44" s="469"/>
      <c r="F44" s="423"/>
      <c r="G44" s="469"/>
      <c r="H44" s="469">
        <f>SUM(H41:H42)</f>
        <v>282.49999999999994</v>
      </c>
      <c r="I44" s="469">
        <f>SUM(I41:I42)</f>
        <v>0</v>
      </c>
      <c r="J44" s="470">
        <v>0</v>
      </c>
    </row>
    <row r="45" spans="1:11" ht="16.5" x14ac:dyDescent="0.6">
      <c r="A45" s="424"/>
      <c r="B45" s="425"/>
      <c r="C45" s="425"/>
      <c r="D45" s="397"/>
      <c r="E45" s="471"/>
      <c r="F45" s="396"/>
      <c r="G45" s="471"/>
      <c r="H45" s="471"/>
      <c r="I45" s="471"/>
      <c r="J45" s="472"/>
    </row>
    <row r="46" spans="1:11" ht="16.5" x14ac:dyDescent="0.6">
      <c r="A46" s="438" t="s">
        <v>1064</v>
      </c>
      <c r="B46" s="405"/>
      <c r="C46" s="406"/>
      <c r="D46" s="407"/>
      <c r="E46" s="473"/>
      <c r="F46" s="408"/>
      <c r="G46" s="473"/>
      <c r="H46" s="473"/>
      <c r="I46" s="473"/>
      <c r="J46" s="474"/>
    </row>
    <row r="47" spans="1:11" ht="16.5" x14ac:dyDescent="0.6">
      <c r="A47" s="404" t="s">
        <v>1065</v>
      </c>
      <c r="B47" s="405"/>
      <c r="C47" s="406"/>
      <c r="D47" s="407"/>
      <c r="E47" s="473"/>
      <c r="F47" s="408"/>
      <c r="G47" s="473"/>
      <c r="H47" s="473"/>
      <c r="I47" s="473"/>
      <c r="J47" s="474"/>
    </row>
    <row r="48" spans="1:11" ht="16.5" x14ac:dyDescent="0.6">
      <c r="A48" s="446"/>
      <c r="B48" s="411">
        <v>6.16</v>
      </c>
      <c r="C48" s="412" t="s">
        <v>1066</v>
      </c>
      <c r="D48" s="413" t="s">
        <v>1067</v>
      </c>
      <c r="E48" s="465">
        <v>250</v>
      </c>
      <c r="F48" s="415">
        <v>1</v>
      </c>
      <c r="G48" s="465">
        <f>E48*F48</f>
        <v>250</v>
      </c>
      <c r="H48" s="465">
        <f>G48*1.13</f>
        <v>282.5</v>
      </c>
      <c r="I48" s="465">
        <v>0</v>
      </c>
      <c r="J48" s="466">
        <v>0</v>
      </c>
      <c r="K48" t="s">
        <v>1068</v>
      </c>
    </row>
    <row r="49" spans="1:11" ht="16.5" x14ac:dyDescent="0.6">
      <c r="A49" s="410"/>
      <c r="B49" s="445">
        <v>6.17</v>
      </c>
      <c r="C49" s="440" t="s">
        <v>347</v>
      </c>
      <c r="D49" s="439" t="s">
        <v>1069</v>
      </c>
      <c r="E49" s="473">
        <v>100</v>
      </c>
      <c r="F49" s="408">
        <v>1</v>
      </c>
      <c r="G49" s="473">
        <f>E49*F49</f>
        <v>100</v>
      </c>
      <c r="H49" s="473">
        <f>G49*1.13</f>
        <v>112.99999999999999</v>
      </c>
      <c r="I49" s="473">
        <v>0</v>
      </c>
      <c r="J49" s="474">
        <v>0</v>
      </c>
    </row>
    <row r="50" spans="1:11" ht="16.5" x14ac:dyDescent="0.6">
      <c r="A50" s="410"/>
      <c r="B50" s="441"/>
      <c r="C50" s="442"/>
      <c r="D50" s="443"/>
      <c r="E50" s="481"/>
      <c r="F50" s="441"/>
      <c r="G50" s="481"/>
      <c r="H50" s="481"/>
      <c r="I50" s="481"/>
      <c r="J50" s="482"/>
    </row>
    <row r="51" spans="1:11" ht="16.5" x14ac:dyDescent="0.6">
      <c r="A51" s="447"/>
      <c r="B51" s="420" t="s">
        <v>1063</v>
      </c>
      <c r="C51" s="421"/>
      <c r="D51" s="422"/>
      <c r="E51" s="469"/>
      <c r="F51" s="423"/>
      <c r="G51" s="469"/>
      <c r="H51" s="469">
        <f>SUM(H48:H49)</f>
        <v>395.5</v>
      </c>
      <c r="I51" s="469">
        <f>SUM(I48:I49)</f>
        <v>0</v>
      </c>
      <c r="J51" s="470">
        <v>0</v>
      </c>
    </row>
    <row r="52" spans="1:11" ht="16.5" x14ac:dyDescent="0.6">
      <c r="A52" s="410"/>
      <c r="B52" s="434"/>
      <c r="C52" s="432"/>
      <c r="D52" s="433"/>
      <c r="E52" s="479"/>
      <c r="F52" s="434"/>
      <c r="G52" s="479"/>
      <c r="H52" s="479"/>
      <c r="I52" s="479"/>
      <c r="J52" s="480"/>
    </row>
    <row r="53" spans="1:11" ht="16.5" x14ac:dyDescent="0.6">
      <c r="A53" s="404" t="s">
        <v>1070</v>
      </c>
      <c r="B53" s="405"/>
      <c r="C53" s="406"/>
      <c r="D53" s="407"/>
      <c r="E53" s="473"/>
      <c r="F53" s="408"/>
      <c r="G53" s="473"/>
      <c r="H53" s="473"/>
      <c r="I53" s="473"/>
      <c r="J53" s="474"/>
    </row>
    <row r="54" spans="1:11" ht="16.5" x14ac:dyDescent="0.6">
      <c r="A54" s="446"/>
      <c r="B54" s="411">
        <v>6.18</v>
      </c>
      <c r="C54" s="412" t="s">
        <v>1066</v>
      </c>
      <c r="D54" s="413" t="s">
        <v>1067</v>
      </c>
      <c r="E54" s="465">
        <v>250</v>
      </c>
      <c r="F54" s="415">
        <v>1</v>
      </c>
      <c r="G54" s="465">
        <f>E54*F54</f>
        <v>250</v>
      </c>
      <c r="H54" s="465">
        <f>G54*1.13</f>
        <v>282.5</v>
      </c>
      <c r="I54" s="465">
        <v>0</v>
      </c>
      <c r="J54" s="466">
        <v>0</v>
      </c>
      <c r="K54" t="s">
        <v>1068</v>
      </c>
    </row>
    <row r="55" spans="1:11" ht="16.5" x14ac:dyDescent="0.6">
      <c r="A55" s="410"/>
      <c r="B55" s="445">
        <v>6.19</v>
      </c>
      <c r="C55" s="440" t="s">
        <v>347</v>
      </c>
      <c r="D55" s="439" t="s">
        <v>1069</v>
      </c>
      <c r="E55" s="473">
        <v>200</v>
      </c>
      <c r="F55" s="408">
        <v>1</v>
      </c>
      <c r="G55" s="473">
        <f>E55*F55</f>
        <v>200</v>
      </c>
      <c r="H55" s="473">
        <f>G55*1.13</f>
        <v>225.99999999999997</v>
      </c>
      <c r="I55" s="473">
        <v>0</v>
      </c>
      <c r="J55" s="474">
        <v>0</v>
      </c>
    </row>
    <row r="56" spans="1:11" ht="16.5" x14ac:dyDescent="0.6">
      <c r="A56" s="410"/>
      <c r="B56" s="441"/>
      <c r="C56" s="442"/>
      <c r="D56" s="443"/>
      <c r="E56" s="481"/>
      <c r="F56" s="441"/>
      <c r="G56" s="481"/>
      <c r="H56" s="481"/>
      <c r="I56" s="481"/>
      <c r="J56" s="482"/>
    </row>
    <row r="57" spans="1:11" ht="16.5" x14ac:dyDescent="0.6">
      <c r="A57" s="447"/>
      <c r="B57" s="420" t="s">
        <v>1063</v>
      </c>
      <c r="C57" s="421"/>
      <c r="D57" s="422"/>
      <c r="E57" s="469"/>
      <c r="F57" s="423"/>
      <c r="G57" s="469"/>
      <c r="H57" s="469">
        <f>SUM(H54:H55)</f>
        <v>508.5</v>
      </c>
      <c r="I57" s="469">
        <f>SUM(I54:I55)</f>
        <v>0</v>
      </c>
      <c r="J57" s="470">
        <f>SUM(J54:J55)</f>
        <v>0</v>
      </c>
    </row>
    <row r="58" spans="1:11" ht="16.5" x14ac:dyDescent="0.6">
      <c r="A58" s="410"/>
      <c r="B58" s="434"/>
      <c r="C58" s="432"/>
      <c r="D58" s="433"/>
      <c r="E58" s="479"/>
      <c r="F58" s="434"/>
      <c r="G58" s="479"/>
      <c r="H58" s="479"/>
      <c r="I58" s="479"/>
      <c r="J58" s="480"/>
    </row>
    <row r="59" spans="1:11" ht="16.5" x14ac:dyDescent="0.6">
      <c r="A59" s="404" t="s">
        <v>1071</v>
      </c>
      <c r="B59" s="405"/>
      <c r="C59" s="406"/>
      <c r="D59" s="407"/>
      <c r="E59" s="473"/>
      <c r="F59" s="408"/>
      <c r="G59" s="473"/>
      <c r="H59" s="473"/>
      <c r="I59" s="473"/>
      <c r="J59" s="474"/>
    </row>
    <row r="60" spans="1:11" ht="16.5" x14ac:dyDescent="0.6">
      <c r="A60" s="446"/>
      <c r="B60" s="448">
        <v>6.2</v>
      </c>
      <c r="C60" s="412" t="s">
        <v>1066</v>
      </c>
      <c r="D60" s="413" t="s">
        <v>1067</v>
      </c>
      <c r="E60" s="465">
        <v>250</v>
      </c>
      <c r="F60" s="415">
        <v>1</v>
      </c>
      <c r="G60" s="465">
        <f>E60*F60</f>
        <v>250</v>
      </c>
      <c r="H60" s="465">
        <f>G60*1.13</f>
        <v>282.5</v>
      </c>
      <c r="I60" s="465">
        <v>0</v>
      </c>
      <c r="J60" s="466">
        <v>0</v>
      </c>
      <c r="K60" t="s">
        <v>1068</v>
      </c>
    </row>
    <row r="61" spans="1:11" ht="16.5" x14ac:dyDescent="0.6">
      <c r="A61" s="410"/>
      <c r="B61" s="449">
        <v>6.21</v>
      </c>
      <c r="C61" s="440" t="s">
        <v>347</v>
      </c>
      <c r="D61" s="439" t="s">
        <v>1069</v>
      </c>
      <c r="E61" s="473">
        <v>200</v>
      </c>
      <c r="F61" s="408">
        <v>1</v>
      </c>
      <c r="G61" s="473">
        <f>E61*F61</f>
        <v>200</v>
      </c>
      <c r="H61" s="473">
        <f>G61*1.13</f>
        <v>225.99999999999997</v>
      </c>
      <c r="I61" s="473">
        <v>0</v>
      </c>
      <c r="J61" s="474">
        <v>0</v>
      </c>
    </row>
    <row r="62" spans="1:11" ht="16.5" x14ac:dyDescent="0.6">
      <c r="A62" s="410"/>
      <c r="B62" s="450"/>
      <c r="C62" s="442"/>
      <c r="D62" s="443"/>
      <c r="E62" s="481"/>
      <c r="F62" s="441"/>
      <c r="G62" s="481"/>
      <c r="H62" s="481"/>
      <c r="I62" s="481"/>
      <c r="J62" s="482"/>
    </row>
    <row r="63" spans="1:11" ht="16.5" x14ac:dyDescent="0.6">
      <c r="A63" s="447"/>
      <c r="B63" s="420" t="s">
        <v>1063</v>
      </c>
      <c r="C63" s="421"/>
      <c r="D63" s="422"/>
      <c r="E63" s="469"/>
      <c r="F63" s="423"/>
      <c r="G63" s="469"/>
      <c r="H63" s="469">
        <f>SUM(H60:H61)</f>
        <v>508.5</v>
      </c>
      <c r="I63" s="469">
        <f>SUM(I60:I61)</f>
        <v>0</v>
      </c>
      <c r="J63" s="470">
        <v>0</v>
      </c>
    </row>
    <row r="64" spans="1:11" ht="16.5" x14ac:dyDescent="0.6">
      <c r="A64" s="410"/>
      <c r="B64" s="451"/>
      <c r="C64" s="452"/>
      <c r="D64" s="453"/>
      <c r="E64" s="483"/>
      <c r="F64" s="454"/>
      <c r="G64" s="483"/>
      <c r="H64" s="483"/>
      <c r="I64" s="483"/>
      <c r="J64" s="484"/>
    </row>
    <row r="65" spans="1:11" ht="16.5" x14ac:dyDescent="0.6">
      <c r="A65" s="419"/>
      <c r="B65" s="420" t="s">
        <v>1072</v>
      </c>
      <c r="C65" s="421"/>
      <c r="D65" s="422"/>
      <c r="E65" s="469"/>
      <c r="F65" s="423"/>
      <c r="G65" s="469"/>
      <c r="H65" s="469">
        <f>H63+H57+H51</f>
        <v>1412.5</v>
      </c>
      <c r="I65" s="469">
        <f>I63+I57+I51</f>
        <v>0</v>
      </c>
      <c r="J65" s="470">
        <f>J63+J51+J44+J38+J32</f>
        <v>414.98</v>
      </c>
    </row>
    <row r="66" spans="1:11" ht="16.5" x14ac:dyDescent="0.6">
      <c r="A66" s="424"/>
      <c r="B66" s="425"/>
      <c r="C66" s="425"/>
      <c r="D66" s="397"/>
      <c r="E66" s="471"/>
      <c r="F66" s="396"/>
      <c r="G66" s="471"/>
      <c r="H66" s="471"/>
      <c r="I66" s="471"/>
      <c r="J66" s="472"/>
    </row>
    <row r="67" spans="1:11" ht="16.5" x14ac:dyDescent="0.6">
      <c r="A67" s="438" t="s">
        <v>1042</v>
      </c>
      <c r="B67" s="405"/>
      <c r="C67" s="406"/>
      <c r="D67" s="407"/>
      <c r="E67" s="473"/>
      <c r="F67" s="408"/>
      <c r="G67" s="473"/>
      <c r="H67" s="473"/>
      <c r="I67" s="473"/>
      <c r="J67" s="474"/>
    </row>
    <row r="68" spans="1:11" ht="16.5" x14ac:dyDescent="0.6">
      <c r="A68" s="404" t="s">
        <v>1073</v>
      </c>
      <c r="B68" s="405"/>
      <c r="C68" s="406"/>
      <c r="D68" s="407"/>
      <c r="E68" s="473"/>
      <c r="F68" s="408"/>
      <c r="G68" s="473"/>
      <c r="H68" s="473"/>
      <c r="I68" s="473"/>
      <c r="J68" s="474"/>
    </row>
    <row r="69" spans="1:11" ht="16.5" x14ac:dyDescent="0.6">
      <c r="A69" s="410"/>
      <c r="B69" s="411">
        <v>6.22</v>
      </c>
      <c r="C69" s="412" t="s">
        <v>1074</v>
      </c>
      <c r="D69" s="413" t="s">
        <v>1075</v>
      </c>
      <c r="E69" s="465">
        <v>200</v>
      </c>
      <c r="F69" s="415">
        <v>2</v>
      </c>
      <c r="G69" s="465">
        <f t="shared" ref="G69:G74" si="0">E69*F69</f>
        <v>400</v>
      </c>
      <c r="H69" s="465">
        <f t="shared" ref="H69:H74" si="1">G69*1.13</f>
        <v>451.99999999999994</v>
      </c>
      <c r="I69" s="465">
        <v>0</v>
      </c>
      <c r="J69" s="466">
        <v>75.099999999999994</v>
      </c>
    </row>
    <row r="70" spans="1:11" ht="16.5" x14ac:dyDescent="0.6">
      <c r="A70" s="410"/>
      <c r="B70" s="445">
        <v>6.23</v>
      </c>
      <c r="C70" s="440" t="s">
        <v>1076</v>
      </c>
      <c r="D70" s="439" t="s">
        <v>1077</v>
      </c>
      <c r="E70" s="473">
        <v>500</v>
      </c>
      <c r="F70" s="408">
        <v>1</v>
      </c>
      <c r="G70" s="473">
        <f t="shared" si="0"/>
        <v>500</v>
      </c>
      <c r="H70" s="473">
        <f t="shared" si="1"/>
        <v>565</v>
      </c>
      <c r="I70" s="473">
        <v>0</v>
      </c>
      <c r="J70" s="474">
        <v>0</v>
      </c>
      <c r="K70" t="s">
        <v>1078</v>
      </c>
    </row>
    <row r="71" spans="1:11" ht="16.5" x14ac:dyDescent="0.6">
      <c r="A71" s="410"/>
      <c r="B71" s="411">
        <v>6.24</v>
      </c>
      <c r="C71" s="412" t="s">
        <v>1079</v>
      </c>
      <c r="D71" s="413" t="s">
        <v>1080</v>
      </c>
      <c r="E71" s="465">
        <v>280</v>
      </c>
      <c r="F71" s="415">
        <v>1</v>
      </c>
      <c r="G71" s="465">
        <f t="shared" si="0"/>
        <v>280</v>
      </c>
      <c r="H71" s="465">
        <f t="shared" si="1"/>
        <v>316.39999999999998</v>
      </c>
      <c r="I71" s="465">
        <v>0</v>
      </c>
      <c r="J71" s="466">
        <v>195</v>
      </c>
    </row>
    <row r="72" spans="1:11" ht="16.5" x14ac:dyDescent="0.6">
      <c r="A72" s="410"/>
      <c r="B72" s="445">
        <v>6.25</v>
      </c>
      <c r="C72" s="440" t="s">
        <v>1081</v>
      </c>
      <c r="D72" s="439" t="s">
        <v>1082</v>
      </c>
      <c r="E72" s="473">
        <v>285</v>
      </c>
      <c r="F72" s="408">
        <v>2</v>
      </c>
      <c r="G72" s="473">
        <f t="shared" si="0"/>
        <v>570</v>
      </c>
      <c r="H72" s="473">
        <f t="shared" si="1"/>
        <v>644.09999999999991</v>
      </c>
      <c r="I72" s="473">
        <v>0</v>
      </c>
      <c r="J72" s="474">
        <v>0</v>
      </c>
      <c r="K72" t="s">
        <v>1083</v>
      </c>
    </row>
    <row r="73" spans="1:11" ht="16.5" x14ac:dyDescent="0.6">
      <c r="A73" s="410"/>
      <c r="B73" s="411">
        <v>6.26</v>
      </c>
      <c r="C73" s="412" t="s">
        <v>347</v>
      </c>
      <c r="D73" s="413" t="s">
        <v>1084</v>
      </c>
      <c r="E73" s="465">
        <v>100</v>
      </c>
      <c r="F73" s="415">
        <v>1</v>
      </c>
      <c r="G73" s="465">
        <f t="shared" si="0"/>
        <v>100</v>
      </c>
      <c r="H73" s="465">
        <f t="shared" si="1"/>
        <v>112.99999999999999</v>
      </c>
      <c r="I73" s="465">
        <v>0</v>
      </c>
      <c r="J73" s="474">
        <v>0</v>
      </c>
      <c r="K73" t="s">
        <v>1083</v>
      </c>
    </row>
    <row r="74" spans="1:11" ht="16.5" x14ac:dyDescent="0.6">
      <c r="A74" s="410"/>
      <c r="B74" s="445">
        <v>6.27</v>
      </c>
      <c r="C74" s="440" t="s">
        <v>1085</v>
      </c>
      <c r="D74" s="439" t="s">
        <v>1086</v>
      </c>
      <c r="E74" s="473">
        <v>60</v>
      </c>
      <c r="F74" s="408">
        <v>1</v>
      </c>
      <c r="G74" s="473">
        <f t="shared" si="0"/>
        <v>60</v>
      </c>
      <c r="H74" s="473">
        <f t="shared" si="1"/>
        <v>67.8</v>
      </c>
      <c r="I74" s="473">
        <v>0</v>
      </c>
      <c r="J74" s="474">
        <v>21.18</v>
      </c>
    </row>
    <row r="75" spans="1:11" ht="16.5" x14ac:dyDescent="0.6">
      <c r="A75" s="410"/>
      <c r="B75" s="416"/>
      <c r="C75" s="417"/>
      <c r="D75" s="418"/>
      <c r="E75" s="467"/>
      <c r="F75" s="416"/>
      <c r="G75" s="467"/>
      <c r="H75" s="467"/>
      <c r="I75" s="467"/>
      <c r="J75" s="468"/>
    </row>
    <row r="76" spans="1:11" ht="16.5" x14ac:dyDescent="0.6">
      <c r="A76" s="419"/>
      <c r="B76" s="420" t="s">
        <v>1087</v>
      </c>
      <c r="C76" s="421"/>
      <c r="D76" s="422"/>
      <c r="E76" s="469"/>
      <c r="F76" s="423"/>
      <c r="G76" s="469"/>
      <c r="H76" s="469">
        <f>SUM(H69:H74)</f>
        <v>2158.3000000000002</v>
      </c>
      <c r="I76" s="469">
        <f>SUM(I70:I74)</f>
        <v>0</v>
      </c>
      <c r="J76" s="470">
        <f>SUM(J69:J74)</f>
        <v>291.28000000000003</v>
      </c>
    </row>
    <row r="77" spans="1:11" ht="16.5" x14ac:dyDescent="0.6">
      <c r="A77" s="424"/>
      <c r="B77" s="425"/>
      <c r="C77" s="425"/>
      <c r="D77" s="397"/>
      <c r="E77" s="471"/>
      <c r="F77" s="396"/>
      <c r="G77" s="471"/>
      <c r="H77" s="471"/>
      <c r="I77" s="471"/>
      <c r="J77" s="472"/>
    </row>
    <row r="78" spans="1:11" ht="16.5" x14ac:dyDescent="0.6">
      <c r="A78" s="404" t="s">
        <v>1088</v>
      </c>
      <c r="B78" s="405"/>
      <c r="C78" s="405"/>
      <c r="D78" s="429"/>
      <c r="E78" s="475"/>
      <c r="F78" s="430"/>
      <c r="G78" s="475"/>
      <c r="H78" s="475"/>
      <c r="I78" s="475"/>
      <c r="J78" s="476"/>
    </row>
    <row r="79" spans="1:11" ht="16.5" x14ac:dyDescent="0.6">
      <c r="A79" s="435"/>
      <c r="B79" s="448">
        <v>6.28</v>
      </c>
      <c r="C79" s="412" t="s">
        <v>1089</v>
      </c>
      <c r="D79" s="413" t="s">
        <v>1090</v>
      </c>
      <c r="E79" s="465">
        <v>200</v>
      </c>
      <c r="F79" s="415">
        <v>1</v>
      </c>
      <c r="G79" s="465">
        <f t="shared" ref="G79:G85" si="2">E79*F79</f>
        <v>200</v>
      </c>
      <c r="H79" s="465">
        <f t="shared" ref="H79:H85" si="3">G79*1.13</f>
        <v>225.99999999999997</v>
      </c>
      <c r="I79" s="465">
        <v>0</v>
      </c>
      <c r="J79" s="466">
        <v>325</v>
      </c>
    </row>
    <row r="80" spans="1:11" ht="16.5" x14ac:dyDescent="0.6">
      <c r="A80" s="410"/>
      <c r="B80" s="449">
        <v>6.29</v>
      </c>
      <c r="C80" s="440" t="s">
        <v>1091</v>
      </c>
      <c r="D80" s="439" t="s">
        <v>1092</v>
      </c>
      <c r="E80" s="473">
        <v>50</v>
      </c>
      <c r="F80" s="408">
        <v>1</v>
      </c>
      <c r="G80" s="473">
        <f t="shared" si="2"/>
        <v>50</v>
      </c>
      <c r="H80" s="473">
        <f t="shared" si="3"/>
        <v>56.499999999999993</v>
      </c>
      <c r="I80" s="465">
        <v>0</v>
      </c>
      <c r="J80" s="474">
        <v>0</v>
      </c>
      <c r="K80" t="s">
        <v>1093</v>
      </c>
    </row>
    <row r="81" spans="1:11" ht="16.5" x14ac:dyDescent="0.6">
      <c r="A81" s="410"/>
      <c r="B81" s="448">
        <v>6.3</v>
      </c>
      <c r="C81" s="412" t="s">
        <v>1094</v>
      </c>
      <c r="D81" s="413" t="s">
        <v>1095</v>
      </c>
      <c r="E81" s="465">
        <v>55</v>
      </c>
      <c r="F81" s="415">
        <v>1</v>
      </c>
      <c r="G81" s="465">
        <f t="shared" si="2"/>
        <v>55</v>
      </c>
      <c r="H81" s="465">
        <f t="shared" si="3"/>
        <v>62.149999999999991</v>
      </c>
      <c r="I81" s="465">
        <v>0</v>
      </c>
      <c r="J81" s="466">
        <v>0</v>
      </c>
      <c r="K81" t="s">
        <v>1096</v>
      </c>
    </row>
    <row r="82" spans="1:11" ht="16.5" x14ac:dyDescent="0.6">
      <c r="A82" s="410"/>
      <c r="B82" s="449">
        <v>6.31</v>
      </c>
      <c r="C82" s="440" t="s">
        <v>1097</v>
      </c>
      <c r="D82" s="439" t="s">
        <v>1098</v>
      </c>
      <c r="E82" s="473">
        <v>20</v>
      </c>
      <c r="F82" s="408">
        <v>1</v>
      </c>
      <c r="G82" s="473">
        <f t="shared" si="2"/>
        <v>20</v>
      </c>
      <c r="H82" s="473">
        <f t="shared" si="3"/>
        <v>22.599999999999998</v>
      </c>
      <c r="I82" s="465">
        <v>0</v>
      </c>
      <c r="J82" s="474">
        <v>32.89</v>
      </c>
    </row>
    <row r="83" spans="1:11" ht="16.5" x14ac:dyDescent="0.6">
      <c r="A83" s="410"/>
      <c r="B83" s="448">
        <v>6.32</v>
      </c>
      <c r="C83" s="412" t="s">
        <v>347</v>
      </c>
      <c r="D83" s="413" t="s">
        <v>1099</v>
      </c>
      <c r="E83" s="465">
        <v>200</v>
      </c>
      <c r="F83" s="415">
        <v>1</v>
      </c>
      <c r="G83" s="465">
        <f t="shared" si="2"/>
        <v>200</v>
      </c>
      <c r="H83" s="465">
        <f t="shared" si="3"/>
        <v>225.99999999999997</v>
      </c>
      <c r="I83" s="465">
        <v>0</v>
      </c>
      <c r="J83" s="466">
        <v>53.13</v>
      </c>
    </row>
    <row r="84" spans="1:11" ht="16.5" x14ac:dyDescent="0.6">
      <c r="A84" s="410"/>
      <c r="B84" s="449">
        <v>6.33</v>
      </c>
      <c r="C84" s="440" t="s">
        <v>319</v>
      </c>
      <c r="D84" s="439" t="s">
        <v>1100</v>
      </c>
      <c r="E84" s="473">
        <v>120</v>
      </c>
      <c r="F84" s="408">
        <v>1</v>
      </c>
      <c r="G84" s="473">
        <f t="shared" si="2"/>
        <v>120</v>
      </c>
      <c r="H84" s="473">
        <f t="shared" si="3"/>
        <v>135.6</v>
      </c>
      <c r="I84" s="465">
        <v>0</v>
      </c>
      <c r="J84" s="474">
        <v>77.86</v>
      </c>
    </row>
    <row r="85" spans="1:11" ht="16.5" x14ac:dyDescent="0.6">
      <c r="A85" s="410"/>
      <c r="B85" s="448">
        <v>6.34</v>
      </c>
      <c r="C85" s="412" t="s">
        <v>1101</v>
      </c>
      <c r="D85" s="413" t="s">
        <v>1102</v>
      </c>
      <c r="E85" s="465">
        <v>100</v>
      </c>
      <c r="F85" s="415">
        <v>1</v>
      </c>
      <c r="G85" s="465">
        <f t="shared" si="2"/>
        <v>100</v>
      </c>
      <c r="H85" s="465">
        <f t="shared" si="3"/>
        <v>112.99999999999999</v>
      </c>
      <c r="I85" s="465">
        <v>0</v>
      </c>
      <c r="J85" s="466">
        <v>0</v>
      </c>
      <c r="K85" t="s">
        <v>1103</v>
      </c>
    </row>
    <row r="86" spans="1:11" ht="16.5" x14ac:dyDescent="0.6">
      <c r="A86" s="410"/>
      <c r="B86" s="426"/>
      <c r="C86" s="417"/>
      <c r="D86" s="418"/>
      <c r="E86" s="467"/>
      <c r="F86" s="416"/>
      <c r="G86" s="467"/>
      <c r="H86" s="467"/>
      <c r="I86" s="467"/>
      <c r="J86" s="468"/>
    </row>
    <row r="87" spans="1:11" ht="16.5" x14ac:dyDescent="0.6">
      <c r="A87" s="419"/>
      <c r="B87" s="420" t="s">
        <v>1104</v>
      </c>
      <c r="C87" s="421"/>
      <c r="D87" s="422"/>
      <c r="E87" s="469"/>
      <c r="F87" s="423"/>
      <c r="G87" s="469"/>
      <c r="H87" s="469">
        <f>SUM(H79:H85)</f>
        <v>841.84999999999991</v>
      </c>
      <c r="I87" s="469">
        <f>SUM(I80:I84)</f>
        <v>0</v>
      </c>
      <c r="J87" s="470">
        <v>488.88</v>
      </c>
    </row>
    <row r="88" spans="1:11" ht="16.5" x14ac:dyDescent="0.6">
      <c r="A88" s="424"/>
      <c r="B88" s="425"/>
      <c r="C88" s="425"/>
      <c r="D88" s="397"/>
      <c r="E88" s="471"/>
      <c r="F88" s="396"/>
      <c r="G88" s="471"/>
      <c r="H88" s="471"/>
      <c r="I88" s="471"/>
      <c r="J88" s="472"/>
    </row>
    <row r="89" spans="1:11" ht="16.5" x14ac:dyDescent="0.6">
      <c r="A89" s="404" t="s">
        <v>1043</v>
      </c>
      <c r="B89" s="405"/>
      <c r="C89" s="405"/>
      <c r="D89" s="429"/>
      <c r="E89" s="475"/>
      <c r="F89" s="430"/>
      <c r="G89" s="475"/>
      <c r="H89" s="475"/>
      <c r="I89" s="475"/>
      <c r="J89" s="476"/>
    </row>
    <row r="90" spans="1:11" ht="16.5" x14ac:dyDescent="0.6">
      <c r="A90" s="435"/>
      <c r="B90" s="411">
        <v>6.35</v>
      </c>
      <c r="C90" s="412" t="s">
        <v>436</v>
      </c>
      <c r="D90" s="413" t="s">
        <v>1105</v>
      </c>
      <c r="E90" s="465">
        <v>8</v>
      </c>
      <c r="F90" s="415">
        <v>45</v>
      </c>
      <c r="G90" s="465">
        <f>E90*F90</f>
        <v>360</v>
      </c>
      <c r="H90" s="465">
        <f>G90*1.13</f>
        <v>406.79999999999995</v>
      </c>
      <c r="I90" s="465">
        <v>0</v>
      </c>
      <c r="J90" s="466">
        <v>363.85</v>
      </c>
    </row>
    <row r="91" spans="1:11" ht="16.5" x14ac:dyDescent="0.6">
      <c r="A91" s="435"/>
      <c r="B91" s="445">
        <v>6.36</v>
      </c>
      <c r="C91" s="440" t="s">
        <v>1106</v>
      </c>
      <c r="D91" s="439" t="s">
        <v>1107</v>
      </c>
      <c r="E91" s="473">
        <v>34</v>
      </c>
      <c r="F91" s="408">
        <v>1</v>
      </c>
      <c r="G91" s="473">
        <f>F91*E91</f>
        <v>34</v>
      </c>
      <c r="H91" s="473">
        <f>G91*1.13</f>
        <v>38.419999999999995</v>
      </c>
      <c r="I91" s="473">
        <v>0</v>
      </c>
      <c r="J91" s="474">
        <v>0</v>
      </c>
      <c r="K91" t="s">
        <v>1108</v>
      </c>
    </row>
    <row r="92" spans="1:11" ht="16.5" x14ac:dyDescent="0.6">
      <c r="A92" s="435"/>
      <c r="B92" s="441"/>
      <c r="C92" s="442"/>
      <c r="D92" s="443"/>
      <c r="E92" s="481"/>
      <c r="F92" s="441"/>
      <c r="G92" s="481"/>
      <c r="H92" s="481"/>
      <c r="I92" s="481"/>
      <c r="J92" s="482"/>
    </row>
    <row r="93" spans="1:11" ht="16.5" x14ac:dyDescent="0.6">
      <c r="A93" s="419"/>
      <c r="B93" s="420" t="s">
        <v>1109</v>
      </c>
      <c r="C93" s="421"/>
      <c r="D93" s="422"/>
      <c r="E93" s="469"/>
      <c r="F93" s="423"/>
      <c r="G93" s="469"/>
      <c r="H93" s="469">
        <f>SUM(H90:H91)</f>
        <v>445.21999999999997</v>
      </c>
      <c r="I93" s="469">
        <f>SUM(I83:I89)</f>
        <v>0</v>
      </c>
      <c r="J93" s="470">
        <f>SUM(J90:J91)</f>
        <v>363.85</v>
      </c>
    </row>
    <row r="94" spans="1:11" ht="16.5" x14ac:dyDescent="0.6">
      <c r="A94" s="424"/>
      <c r="B94" s="425"/>
      <c r="C94" s="425"/>
      <c r="D94" s="397"/>
      <c r="E94" s="471"/>
      <c r="F94" s="396"/>
      <c r="G94" s="471"/>
      <c r="H94" s="471"/>
      <c r="I94" s="471"/>
      <c r="J94" s="472"/>
    </row>
    <row r="95" spans="1:11" ht="16.5" x14ac:dyDescent="0.6">
      <c r="A95" s="404" t="s">
        <v>1110</v>
      </c>
      <c r="B95" s="405"/>
      <c r="C95" s="406"/>
      <c r="D95" s="407"/>
      <c r="E95" s="473"/>
      <c r="F95" s="408"/>
      <c r="G95" s="473"/>
      <c r="H95" s="473"/>
      <c r="I95" s="473"/>
      <c r="J95" s="474"/>
    </row>
    <row r="96" spans="1:11" ht="16.5" x14ac:dyDescent="0.6">
      <c r="A96" s="410"/>
      <c r="B96" s="448">
        <v>6.37</v>
      </c>
      <c r="C96" s="412" t="s">
        <v>789</v>
      </c>
      <c r="D96" s="413" t="s">
        <v>1111</v>
      </c>
      <c r="E96" s="465">
        <v>10</v>
      </c>
      <c r="F96" s="415">
        <v>30</v>
      </c>
      <c r="G96" s="465">
        <f>E96*F96</f>
        <v>300</v>
      </c>
      <c r="H96" s="465">
        <f>G96*1.13</f>
        <v>338.99999999999994</v>
      </c>
      <c r="I96" s="473">
        <v>0</v>
      </c>
      <c r="J96" s="466">
        <v>0</v>
      </c>
    </row>
    <row r="97" spans="1:11" ht="16.5" x14ac:dyDescent="0.6">
      <c r="A97" s="410"/>
      <c r="B97" s="449">
        <v>6.38</v>
      </c>
      <c r="C97" s="440" t="s">
        <v>319</v>
      </c>
      <c r="D97" s="439" t="s">
        <v>1112</v>
      </c>
      <c r="E97" s="473">
        <v>750</v>
      </c>
      <c r="F97" s="408">
        <v>1</v>
      </c>
      <c r="G97" s="473">
        <f>E97*F97</f>
        <v>750</v>
      </c>
      <c r="H97" s="473">
        <f>G97*1.13</f>
        <v>847.49999999999989</v>
      </c>
      <c r="I97" s="473">
        <v>0</v>
      </c>
      <c r="J97" s="474">
        <v>0</v>
      </c>
    </row>
    <row r="98" spans="1:11" ht="16.5" x14ac:dyDescent="0.6">
      <c r="A98" s="410"/>
      <c r="B98" s="448">
        <v>6.39</v>
      </c>
      <c r="C98" s="412" t="s">
        <v>1074</v>
      </c>
      <c r="D98" s="413" t="s">
        <v>1113</v>
      </c>
      <c r="E98" s="465">
        <v>300</v>
      </c>
      <c r="F98" s="415">
        <v>1</v>
      </c>
      <c r="G98" s="465">
        <f>E98*F98</f>
        <v>300</v>
      </c>
      <c r="H98" s="465">
        <f>G98*1.13</f>
        <v>338.99999999999994</v>
      </c>
      <c r="I98" s="473">
        <v>0</v>
      </c>
      <c r="J98" s="466">
        <v>0</v>
      </c>
    </row>
    <row r="99" spans="1:11" ht="16.5" x14ac:dyDescent="0.6">
      <c r="A99" s="410"/>
      <c r="B99" s="449">
        <v>6.4</v>
      </c>
      <c r="C99" s="440" t="s">
        <v>1114</v>
      </c>
      <c r="D99" s="439" t="s">
        <v>1115</v>
      </c>
      <c r="E99" s="473">
        <v>30</v>
      </c>
      <c r="F99" s="408">
        <v>2</v>
      </c>
      <c r="G99" s="473">
        <f>E99*F99</f>
        <v>60</v>
      </c>
      <c r="H99" s="473">
        <f>G99*1.13</f>
        <v>67.8</v>
      </c>
      <c r="I99" s="473">
        <v>0</v>
      </c>
      <c r="J99" s="474">
        <v>0</v>
      </c>
    </row>
    <row r="100" spans="1:11" ht="16.5" x14ac:dyDescent="0.6">
      <c r="A100" s="410"/>
      <c r="B100" s="450"/>
      <c r="C100" s="442"/>
      <c r="D100" s="443"/>
      <c r="E100" s="481"/>
      <c r="F100" s="441"/>
      <c r="G100" s="481"/>
      <c r="H100" s="481"/>
      <c r="I100" s="481"/>
      <c r="J100" s="482"/>
    </row>
    <row r="101" spans="1:11" ht="16.5" x14ac:dyDescent="0.6">
      <c r="A101" s="419"/>
      <c r="B101" s="420" t="s">
        <v>1116</v>
      </c>
      <c r="C101" s="421"/>
      <c r="D101" s="422"/>
      <c r="E101" s="469"/>
      <c r="F101" s="423"/>
      <c r="G101" s="469"/>
      <c r="H101" s="469">
        <f>SUM(H96:H99)</f>
        <v>1593.2999999999997</v>
      </c>
      <c r="I101" s="469">
        <f>SUM(I97:I99)</f>
        <v>0</v>
      </c>
      <c r="J101" s="470">
        <f>SUM(J97:J99)</f>
        <v>0</v>
      </c>
      <c r="K101" t="s">
        <v>1068</v>
      </c>
    </row>
    <row r="102" spans="1:11" ht="16.5" x14ac:dyDescent="0.6">
      <c r="A102" s="424"/>
      <c r="B102" s="425"/>
      <c r="C102" s="425"/>
      <c r="D102" s="397"/>
      <c r="E102" s="471"/>
      <c r="F102" s="396"/>
      <c r="G102" s="471"/>
      <c r="H102" s="471"/>
      <c r="I102" s="471"/>
      <c r="J102" s="472"/>
    </row>
    <row r="103" spans="1:11" ht="16.5" x14ac:dyDescent="0.6">
      <c r="A103" s="404" t="s">
        <v>646</v>
      </c>
      <c r="B103" s="406"/>
      <c r="C103" s="406"/>
      <c r="D103" s="407"/>
      <c r="E103" s="473"/>
      <c r="F103" s="408"/>
      <c r="G103" s="473"/>
      <c r="H103" s="473"/>
      <c r="I103" s="473"/>
      <c r="J103" s="474"/>
    </row>
    <row r="104" spans="1:11" ht="16.5" x14ac:dyDescent="0.6">
      <c r="A104" s="410"/>
      <c r="B104" s="411">
        <v>6.41</v>
      </c>
      <c r="C104" s="412" t="s">
        <v>1117</v>
      </c>
      <c r="D104" s="413" t="s">
        <v>1118</v>
      </c>
      <c r="E104" s="465">
        <v>40</v>
      </c>
      <c r="F104" s="415">
        <v>1</v>
      </c>
      <c r="G104" s="465">
        <f>E104*F104</f>
        <v>40</v>
      </c>
      <c r="H104" s="465">
        <f>G104*1.13</f>
        <v>45.199999999999996</v>
      </c>
      <c r="I104" s="465">
        <v>0</v>
      </c>
      <c r="J104" s="466">
        <v>0</v>
      </c>
      <c r="K104" t="s">
        <v>1119</v>
      </c>
    </row>
    <row r="105" spans="1:11" ht="16.5" x14ac:dyDescent="0.6">
      <c r="A105" s="455"/>
      <c r="B105" s="445">
        <v>6.42</v>
      </c>
      <c r="C105" s="440" t="s">
        <v>436</v>
      </c>
      <c r="D105" s="439" t="s">
        <v>1120</v>
      </c>
      <c r="E105" s="473">
        <v>8</v>
      </c>
      <c r="F105" s="408">
        <v>7</v>
      </c>
      <c r="G105" s="473">
        <f>E105*F105</f>
        <v>56</v>
      </c>
      <c r="H105" s="473">
        <f>G105*1.13</f>
        <v>63.279999999999994</v>
      </c>
      <c r="I105" s="465">
        <v>0</v>
      </c>
      <c r="J105" s="474">
        <v>0</v>
      </c>
      <c r="K105" t="s">
        <v>1121</v>
      </c>
    </row>
    <row r="106" spans="1:11" ht="16.5" x14ac:dyDescent="0.6">
      <c r="A106" s="455"/>
      <c r="B106" s="411">
        <v>6.43</v>
      </c>
      <c r="C106" s="412" t="s">
        <v>742</v>
      </c>
      <c r="D106" s="413" t="s">
        <v>1122</v>
      </c>
      <c r="E106" s="465">
        <v>30</v>
      </c>
      <c r="F106" s="415">
        <v>7</v>
      </c>
      <c r="G106" s="465">
        <f>E106*F106</f>
        <v>210</v>
      </c>
      <c r="H106" s="465">
        <f>G106*1.13</f>
        <v>237.29999999999998</v>
      </c>
      <c r="I106" s="465">
        <v>0</v>
      </c>
      <c r="J106" s="466">
        <v>0</v>
      </c>
      <c r="K106" t="s">
        <v>1123</v>
      </c>
    </row>
    <row r="107" spans="1:11" ht="16.5" x14ac:dyDescent="0.6">
      <c r="A107" s="455"/>
      <c r="B107" s="416"/>
      <c r="C107" s="417"/>
      <c r="D107" s="418"/>
      <c r="E107" s="467"/>
      <c r="F107" s="416"/>
      <c r="G107" s="467"/>
      <c r="H107" s="467"/>
      <c r="I107" s="467"/>
      <c r="J107" s="468"/>
    </row>
    <row r="108" spans="1:11" ht="16.5" x14ac:dyDescent="0.6">
      <c r="A108" s="419"/>
      <c r="B108" s="420" t="s">
        <v>1055</v>
      </c>
      <c r="C108" s="421"/>
      <c r="D108" s="422"/>
      <c r="E108" s="469"/>
      <c r="F108" s="423"/>
      <c r="G108" s="469"/>
      <c r="H108" s="469">
        <f>SUM(H104:H106)</f>
        <v>345.78</v>
      </c>
      <c r="I108" s="469">
        <f>SUM(I104:I106)</f>
        <v>0</v>
      </c>
      <c r="J108" s="470">
        <f>SUM(J104:J106)</f>
        <v>0</v>
      </c>
    </row>
    <row r="109" spans="1:11" ht="16.5" x14ac:dyDescent="0.6">
      <c r="A109" s="424"/>
      <c r="B109" s="421"/>
      <c r="C109" s="421"/>
      <c r="D109" s="422"/>
      <c r="E109" s="469"/>
      <c r="F109" s="423"/>
      <c r="G109" s="469"/>
      <c r="H109" s="469"/>
      <c r="I109" s="469"/>
      <c r="J109" s="470"/>
    </row>
    <row r="110" spans="1:11" ht="16.5" x14ac:dyDescent="0.6">
      <c r="A110" s="419"/>
      <c r="B110" s="420" t="s">
        <v>1124</v>
      </c>
      <c r="C110" s="421"/>
      <c r="D110" s="422"/>
      <c r="E110" s="469"/>
      <c r="F110" s="423"/>
      <c r="G110" s="469"/>
      <c r="H110" s="469">
        <f>H108+H101+H93+H87+H76</f>
        <v>5384.45</v>
      </c>
      <c r="I110" s="469">
        <f>SUM(I106:I108)</f>
        <v>0</v>
      </c>
      <c r="J110" s="470">
        <f>J108+J101+J87+J76</f>
        <v>780.16000000000008</v>
      </c>
    </row>
    <row r="111" spans="1:11" ht="16.5" x14ac:dyDescent="0.6">
      <c r="A111" s="424"/>
      <c r="B111" s="425"/>
      <c r="C111" s="425"/>
      <c r="D111" s="397"/>
      <c r="E111" s="471"/>
      <c r="F111" s="396"/>
      <c r="G111" s="471"/>
      <c r="H111" s="471"/>
      <c r="I111" s="471"/>
      <c r="J111" s="472"/>
    </row>
    <row r="112" spans="1:11" ht="16.5" x14ac:dyDescent="0.6">
      <c r="A112" s="438" t="s">
        <v>1030</v>
      </c>
      <c r="B112" s="405"/>
      <c r="C112" s="406"/>
      <c r="D112" s="407"/>
      <c r="E112" s="473"/>
      <c r="F112" s="408"/>
      <c r="G112" s="473"/>
      <c r="H112" s="473"/>
      <c r="I112" s="473"/>
      <c r="J112" s="474"/>
    </row>
    <row r="113" spans="1:11" ht="16.5" x14ac:dyDescent="0.6">
      <c r="A113" s="404" t="s">
        <v>1031</v>
      </c>
      <c r="B113" s="405"/>
      <c r="C113" s="406"/>
      <c r="D113" s="407"/>
      <c r="E113" s="473"/>
      <c r="F113" s="408"/>
      <c r="G113" s="473"/>
      <c r="H113" s="473"/>
      <c r="I113" s="473"/>
      <c r="J113" s="474"/>
    </row>
    <row r="114" spans="1:11" ht="16.5" x14ac:dyDescent="0.6">
      <c r="A114" s="410"/>
      <c r="B114" s="448">
        <v>6.44</v>
      </c>
      <c r="C114" s="412" t="s">
        <v>965</v>
      </c>
      <c r="D114" s="413" t="s">
        <v>1125</v>
      </c>
      <c r="E114" s="465">
        <v>100</v>
      </c>
      <c r="F114" s="415">
        <v>1</v>
      </c>
      <c r="G114" s="465">
        <f t="shared" ref="G114:G121" si="4">E114*F114</f>
        <v>100</v>
      </c>
      <c r="H114" s="465">
        <f t="shared" ref="H114:H121" si="5">G114*1.13</f>
        <v>112.99999999999999</v>
      </c>
      <c r="I114" s="465">
        <v>0</v>
      </c>
      <c r="J114" s="466">
        <v>0</v>
      </c>
      <c r="K114" t="s">
        <v>1126</v>
      </c>
    </row>
    <row r="115" spans="1:11" ht="16.5" x14ac:dyDescent="0.6">
      <c r="A115" s="410"/>
      <c r="B115" s="449">
        <v>6.45</v>
      </c>
      <c r="C115" s="440" t="s">
        <v>1097</v>
      </c>
      <c r="D115" s="439" t="s">
        <v>1127</v>
      </c>
      <c r="E115" s="473">
        <v>60</v>
      </c>
      <c r="F115" s="408">
        <v>1</v>
      </c>
      <c r="G115" s="473">
        <f t="shared" si="4"/>
        <v>60</v>
      </c>
      <c r="H115" s="473">
        <f t="shared" si="5"/>
        <v>67.8</v>
      </c>
      <c r="I115" s="465">
        <v>0</v>
      </c>
      <c r="J115" s="474">
        <v>0</v>
      </c>
      <c r="K115" t="s">
        <v>1128</v>
      </c>
    </row>
    <row r="116" spans="1:11" ht="16.5" x14ac:dyDescent="0.6">
      <c r="A116" s="410"/>
      <c r="B116" s="448">
        <v>6.46</v>
      </c>
      <c r="C116" s="412" t="s">
        <v>1129</v>
      </c>
      <c r="D116" s="413" t="s">
        <v>1130</v>
      </c>
      <c r="E116" s="465">
        <v>100</v>
      </c>
      <c r="F116" s="415">
        <v>1</v>
      </c>
      <c r="G116" s="465">
        <f t="shared" si="4"/>
        <v>100</v>
      </c>
      <c r="H116" s="465">
        <f t="shared" si="5"/>
        <v>112.99999999999999</v>
      </c>
      <c r="I116" s="465">
        <v>0</v>
      </c>
      <c r="J116" s="466">
        <v>0</v>
      </c>
      <c r="K116" t="s">
        <v>1131</v>
      </c>
    </row>
    <row r="117" spans="1:11" ht="16.5" x14ac:dyDescent="0.6">
      <c r="A117" s="410"/>
      <c r="B117" s="449">
        <v>6.47</v>
      </c>
      <c r="C117" s="440" t="s">
        <v>1132</v>
      </c>
      <c r="D117" s="439" t="s">
        <v>1133</v>
      </c>
      <c r="E117" s="473">
        <v>50</v>
      </c>
      <c r="F117" s="408">
        <v>1</v>
      </c>
      <c r="G117" s="473">
        <f t="shared" si="4"/>
        <v>50</v>
      </c>
      <c r="H117" s="473">
        <f t="shared" si="5"/>
        <v>56.499999999999993</v>
      </c>
      <c r="I117" s="465">
        <v>0</v>
      </c>
      <c r="J117" s="474">
        <v>0</v>
      </c>
      <c r="K117" t="s">
        <v>1134</v>
      </c>
    </row>
    <row r="118" spans="1:11" ht="16.5" x14ac:dyDescent="0.6">
      <c r="A118" s="410"/>
      <c r="B118" s="448">
        <v>6.48</v>
      </c>
      <c r="C118" s="412" t="s">
        <v>1135</v>
      </c>
      <c r="D118" s="413" t="s">
        <v>1136</v>
      </c>
      <c r="E118" s="465">
        <v>50</v>
      </c>
      <c r="F118" s="415">
        <v>2</v>
      </c>
      <c r="G118" s="465">
        <f t="shared" si="4"/>
        <v>100</v>
      </c>
      <c r="H118" s="465">
        <f t="shared" si="5"/>
        <v>112.99999999999999</v>
      </c>
      <c r="I118" s="465">
        <v>0</v>
      </c>
      <c r="J118" s="466">
        <v>0</v>
      </c>
      <c r="K118" t="s">
        <v>1137</v>
      </c>
    </row>
    <row r="119" spans="1:11" ht="16.5" x14ac:dyDescent="0.6">
      <c r="A119" s="410"/>
      <c r="B119" s="449">
        <v>6.49</v>
      </c>
      <c r="C119" s="440" t="s">
        <v>1138</v>
      </c>
      <c r="D119" s="439" t="s">
        <v>1139</v>
      </c>
      <c r="E119" s="473">
        <v>200</v>
      </c>
      <c r="F119" s="408">
        <v>1</v>
      </c>
      <c r="G119" s="473">
        <f t="shared" si="4"/>
        <v>200</v>
      </c>
      <c r="H119" s="473">
        <f t="shared" si="5"/>
        <v>225.99999999999997</v>
      </c>
      <c r="I119" s="465">
        <v>0</v>
      </c>
      <c r="J119" s="474">
        <v>0</v>
      </c>
      <c r="K119" t="s">
        <v>1140</v>
      </c>
    </row>
    <row r="120" spans="1:11" ht="16.5" x14ac:dyDescent="0.6">
      <c r="A120" s="410"/>
      <c r="B120" s="448">
        <v>6.5</v>
      </c>
      <c r="C120" s="412" t="s">
        <v>523</v>
      </c>
      <c r="D120" s="413" t="s">
        <v>1141</v>
      </c>
      <c r="E120" s="465">
        <v>60</v>
      </c>
      <c r="F120" s="415">
        <v>1</v>
      </c>
      <c r="G120" s="465">
        <f t="shared" si="4"/>
        <v>60</v>
      </c>
      <c r="H120" s="465">
        <f t="shared" si="5"/>
        <v>67.8</v>
      </c>
      <c r="I120" s="465">
        <v>0</v>
      </c>
      <c r="J120" s="466">
        <v>0</v>
      </c>
      <c r="K120" t="s">
        <v>1142</v>
      </c>
    </row>
    <row r="121" spans="1:11" ht="16.5" x14ac:dyDescent="0.6">
      <c r="A121" s="410"/>
      <c r="B121" s="449">
        <v>6.51</v>
      </c>
      <c r="C121" s="440" t="s">
        <v>1143</v>
      </c>
      <c r="D121" s="439" t="s">
        <v>1144</v>
      </c>
      <c r="E121" s="473">
        <v>65</v>
      </c>
      <c r="F121" s="408">
        <v>2</v>
      </c>
      <c r="G121" s="473">
        <f t="shared" si="4"/>
        <v>130</v>
      </c>
      <c r="H121" s="473">
        <f t="shared" si="5"/>
        <v>146.89999999999998</v>
      </c>
      <c r="I121" s="465">
        <v>0</v>
      </c>
      <c r="J121" s="474">
        <v>0</v>
      </c>
      <c r="K121" t="s">
        <v>1145</v>
      </c>
    </row>
    <row r="122" spans="1:11" ht="16.5" x14ac:dyDescent="0.6">
      <c r="A122" s="410"/>
      <c r="B122" s="450"/>
      <c r="C122" s="442"/>
      <c r="D122" s="443"/>
      <c r="E122" s="481"/>
      <c r="F122" s="441"/>
      <c r="G122" s="481"/>
      <c r="H122" s="481"/>
      <c r="I122" s="481"/>
      <c r="J122" s="482"/>
      <c r="K122" t="s">
        <v>1146</v>
      </c>
    </row>
    <row r="123" spans="1:11" ht="16.5" x14ac:dyDescent="0.6">
      <c r="A123" s="419"/>
      <c r="B123" s="420" t="s">
        <v>1147</v>
      </c>
      <c r="C123" s="421"/>
      <c r="D123" s="422"/>
      <c r="E123" s="469"/>
      <c r="F123" s="423"/>
      <c r="G123" s="469"/>
      <c r="H123" s="469">
        <f>SUM(H114:H121)</f>
        <v>903.99999999999989</v>
      </c>
      <c r="I123" s="469">
        <f>SUM(I114:I121)</f>
        <v>0</v>
      </c>
      <c r="J123" s="470">
        <v>790.1</v>
      </c>
    </row>
    <row r="124" spans="1:11" ht="16.5" x14ac:dyDescent="0.6">
      <c r="A124" s="424"/>
      <c r="B124" s="425"/>
      <c r="C124" s="425"/>
      <c r="D124" s="397"/>
      <c r="E124" s="471"/>
      <c r="F124" s="396"/>
      <c r="G124" s="471"/>
      <c r="H124" s="471"/>
      <c r="I124" s="471"/>
      <c r="J124" s="472"/>
    </row>
    <row r="125" spans="1:11" ht="16.5" x14ac:dyDescent="0.6">
      <c r="A125" s="404" t="s">
        <v>1036</v>
      </c>
      <c r="B125" s="405"/>
      <c r="C125" s="406"/>
      <c r="D125" s="407"/>
      <c r="E125" s="473"/>
      <c r="F125" s="408"/>
      <c r="G125" s="473"/>
      <c r="H125" s="473"/>
      <c r="I125" s="473"/>
      <c r="J125" s="474"/>
    </row>
    <row r="126" spans="1:11" ht="16.5" x14ac:dyDescent="0.6">
      <c r="A126" s="410"/>
      <c r="B126" s="448">
        <v>6.52</v>
      </c>
      <c r="C126" s="412" t="s">
        <v>965</v>
      </c>
      <c r="D126" s="413" t="s">
        <v>1125</v>
      </c>
      <c r="E126" s="465">
        <v>100</v>
      </c>
      <c r="F126" s="415">
        <v>1</v>
      </c>
      <c r="G126" s="465">
        <f t="shared" ref="G126:G133" si="6">E126*F126</f>
        <v>100</v>
      </c>
      <c r="H126" s="465">
        <f t="shared" ref="H126:H133" si="7">G126*1.13</f>
        <v>112.99999999999999</v>
      </c>
      <c r="I126" s="465">
        <v>0</v>
      </c>
      <c r="J126" s="466">
        <v>0</v>
      </c>
    </row>
    <row r="127" spans="1:11" ht="16.5" x14ac:dyDescent="0.6">
      <c r="A127" s="410"/>
      <c r="B127" s="449">
        <v>6.53</v>
      </c>
      <c r="C127" s="440" t="s">
        <v>1097</v>
      </c>
      <c r="D127" s="439" t="s">
        <v>1127</v>
      </c>
      <c r="E127" s="473">
        <v>60</v>
      </c>
      <c r="F127" s="408">
        <v>1</v>
      </c>
      <c r="G127" s="473">
        <f t="shared" si="6"/>
        <v>60</v>
      </c>
      <c r="H127" s="473">
        <f t="shared" si="7"/>
        <v>67.8</v>
      </c>
      <c r="I127" s="465">
        <v>0</v>
      </c>
      <c r="J127" s="474">
        <v>0</v>
      </c>
    </row>
    <row r="128" spans="1:11" ht="16.5" x14ac:dyDescent="0.6">
      <c r="A128" s="410"/>
      <c r="B128" s="448">
        <v>6.54</v>
      </c>
      <c r="C128" s="412" t="s">
        <v>1129</v>
      </c>
      <c r="D128" s="413" t="s">
        <v>1130</v>
      </c>
      <c r="E128" s="465">
        <v>100</v>
      </c>
      <c r="F128" s="415">
        <v>1</v>
      </c>
      <c r="G128" s="465">
        <f t="shared" si="6"/>
        <v>100</v>
      </c>
      <c r="H128" s="465">
        <f t="shared" si="7"/>
        <v>112.99999999999999</v>
      </c>
      <c r="I128" s="465">
        <v>0</v>
      </c>
      <c r="J128" s="466">
        <v>0</v>
      </c>
    </row>
    <row r="129" spans="1:11" ht="16.5" x14ac:dyDescent="0.6">
      <c r="A129" s="410"/>
      <c r="B129" s="449">
        <v>6.55</v>
      </c>
      <c r="C129" s="440" t="s">
        <v>1132</v>
      </c>
      <c r="D129" s="439" t="s">
        <v>1133</v>
      </c>
      <c r="E129" s="473">
        <v>50</v>
      </c>
      <c r="F129" s="408">
        <v>1</v>
      </c>
      <c r="G129" s="473">
        <f t="shared" si="6"/>
        <v>50</v>
      </c>
      <c r="H129" s="473">
        <f t="shared" si="7"/>
        <v>56.499999999999993</v>
      </c>
      <c r="I129" s="465">
        <v>0</v>
      </c>
      <c r="J129" s="474">
        <v>0</v>
      </c>
    </row>
    <row r="130" spans="1:11" ht="16.5" x14ac:dyDescent="0.6">
      <c r="A130" s="410"/>
      <c r="B130" s="448">
        <v>6.56</v>
      </c>
      <c r="C130" s="412" t="s">
        <v>1135</v>
      </c>
      <c r="D130" s="413" t="s">
        <v>1136</v>
      </c>
      <c r="E130" s="465">
        <v>50</v>
      </c>
      <c r="F130" s="415">
        <v>2</v>
      </c>
      <c r="G130" s="465">
        <f t="shared" si="6"/>
        <v>100</v>
      </c>
      <c r="H130" s="465">
        <f t="shared" si="7"/>
        <v>112.99999999999999</v>
      </c>
      <c r="I130" s="465">
        <v>0</v>
      </c>
      <c r="J130" s="466">
        <v>0</v>
      </c>
    </row>
    <row r="131" spans="1:11" ht="16.5" x14ac:dyDescent="0.6">
      <c r="A131" s="410"/>
      <c r="B131" s="449">
        <v>6.57</v>
      </c>
      <c r="C131" s="440" t="s">
        <v>1138</v>
      </c>
      <c r="D131" s="439" t="s">
        <v>1139</v>
      </c>
      <c r="E131" s="473">
        <v>200</v>
      </c>
      <c r="F131" s="408">
        <v>1</v>
      </c>
      <c r="G131" s="473">
        <f t="shared" si="6"/>
        <v>200</v>
      </c>
      <c r="H131" s="473">
        <f t="shared" si="7"/>
        <v>225.99999999999997</v>
      </c>
      <c r="I131" s="465">
        <v>0</v>
      </c>
      <c r="J131" s="474">
        <v>0</v>
      </c>
    </row>
    <row r="132" spans="1:11" ht="16.5" x14ac:dyDescent="0.6">
      <c r="A132" s="410"/>
      <c r="B132" s="448">
        <v>6.58</v>
      </c>
      <c r="C132" s="412" t="s">
        <v>523</v>
      </c>
      <c r="D132" s="413" t="s">
        <v>1141</v>
      </c>
      <c r="E132" s="465">
        <v>60</v>
      </c>
      <c r="F132" s="415">
        <v>1</v>
      </c>
      <c r="G132" s="465">
        <f t="shared" si="6"/>
        <v>60</v>
      </c>
      <c r="H132" s="465">
        <f t="shared" si="7"/>
        <v>67.8</v>
      </c>
      <c r="I132" s="465">
        <v>0</v>
      </c>
      <c r="J132" s="466">
        <v>0</v>
      </c>
    </row>
    <row r="133" spans="1:11" ht="16.5" x14ac:dyDescent="0.6">
      <c r="A133" s="410"/>
      <c r="B133" s="449">
        <v>6.59</v>
      </c>
      <c r="C133" s="440" t="s">
        <v>1143</v>
      </c>
      <c r="D133" s="439" t="s">
        <v>1144</v>
      </c>
      <c r="E133" s="473">
        <v>65</v>
      </c>
      <c r="F133" s="408">
        <v>2</v>
      </c>
      <c r="G133" s="473">
        <f t="shared" si="6"/>
        <v>130</v>
      </c>
      <c r="H133" s="473">
        <f t="shared" si="7"/>
        <v>146.89999999999998</v>
      </c>
      <c r="I133" s="465">
        <v>0</v>
      </c>
      <c r="J133" s="474">
        <v>0</v>
      </c>
    </row>
    <row r="134" spans="1:11" ht="16.5" x14ac:dyDescent="0.6">
      <c r="A134" s="410"/>
      <c r="B134" s="450"/>
      <c r="C134" s="442"/>
      <c r="D134" s="443"/>
      <c r="E134" s="481"/>
      <c r="F134" s="441"/>
      <c r="G134" s="481"/>
      <c r="H134" s="481"/>
      <c r="I134" s="481"/>
      <c r="J134" s="482"/>
      <c r="K134" t="s">
        <v>1148</v>
      </c>
    </row>
    <row r="135" spans="1:11" ht="16.5" x14ac:dyDescent="0.6">
      <c r="A135" s="419"/>
      <c r="B135" s="420" t="s">
        <v>1149</v>
      </c>
      <c r="C135" s="421"/>
      <c r="D135" s="422"/>
      <c r="E135" s="469"/>
      <c r="F135" s="423"/>
      <c r="G135" s="469"/>
      <c r="H135" s="469">
        <f>SUM(H126:H133)</f>
        <v>903.99999999999989</v>
      </c>
      <c r="I135" s="469">
        <f>SUM(I126:I133)</f>
        <v>0</v>
      </c>
      <c r="J135" s="470">
        <v>790.1</v>
      </c>
    </row>
    <row r="136" spans="1:11" ht="16.5" x14ac:dyDescent="0.6">
      <c r="A136" s="424"/>
      <c r="B136" s="425"/>
      <c r="C136" s="425"/>
      <c r="D136" s="397"/>
      <c r="E136" s="471"/>
      <c r="F136" s="396"/>
      <c r="G136" s="471"/>
      <c r="H136" s="471"/>
      <c r="I136" s="471"/>
      <c r="J136" s="472"/>
    </row>
    <row r="137" spans="1:11" ht="16.5" x14ac:dyDescent="0.6">
      <c r="A137" s="404" t="s">
        <v>646</v>
      </c>
      <c r="B137" s="405"/>
      <c r="C137" s="406"/>
      <c r="D137" s="407"/>
      <c r="E137" s="473"/>
      <c r="F137" s="408"/>
      <c r="G137" s="473"/>
      <c r="H137" s="473"/>
      <c r="I137" s="473"/>
      <c r="J137" s="474"/>
    </row>
    <row r="138" spans="1:11" ht="16.5" x14ac:dyDescent="0.6">
      <c r="A138" s="410"/>
      <c r="B138" s="448">
        <v>6.6</v>
      </c>
      <c r="C138" s="412" t="s">
        <v>1150</v>
      </c>
      <c r="D138" s="413" t="s">
        <v>1151</v>
      </c>
      <c r="E138" s="465">
        <v>200</v>
      </c>
      <c r="F138" s="415">
        <v>2</v>
      </c>
      <c r="G138" s="465">
        <f>E138*F138</f>
        <v>400</v>
      </c>
      <c r="H138" s="465">
        <f>G138*1.13</f>
        <v>451.99999999999994</v>
      </c>
      <c r="I138" s="465">
        <v>0</v>
      </c>
      <c r="J138" s="466">
        <v>0</v>
      </c>
      <c r="K138" t="s">
        <v>1152</v>
      </c>
    </row>
    <row r="139" spans="1:11" ht="16.5" x14ac:dyDescent="0.6">
      <c r="A139" s="410"/>
      <c r="B139" s="449">
        <v>6.61</v>
      </c>
      <c r="C139" s="440" t="s">
        <v>1153</v>
      </c>
      <c r="D139" s="439" t="s">
        <v>1154</v>
      </c>
      <c r="E139" s="473"/>
      <c r="F139" s="408"/>
      <c r="G139" s="473"/>
      <c r="H139" s="473"/>
      <c r="I139" s="473"/>
      <c r="J139" s="474">
        <v>0</v>
      </c>
    </row>
    <row r="140" spans="1:11" ht="16.5" x14ac:dyDescent="0.6">
      <c r="A140" s="410"/>
      <c r="B140" s="426"/>
      <c r="C140" s="417"/>
      <c r="D140" s="418"/>
      <c r="E140" s="467"/>
      <c r="F140" s="416"/>
      <c r="G140" s="467"/>
      <c r="H140" s="467"/>
      <c r="I140" s="467"/>
      <c r="J140" s="468"/>
    </row>
    <row r="141" spans="1:11" ht="16.5" x14ac:dyDescent="0.6">
      <c r="A141" s="419"/>
      <c r="B141" s="420" t="s">
        <v>1055</v>
      </c>
      <c r="C141" s="421"/>
      <c r="D141" s="422"/>
      <c r="E141" s="469"/>
      <c r="F141" s="423"/>
      <c r="G141" s="469"/>
      <c r="H141" s="469">
        <f>SUM(H138)</f>
        <v>451.99999999999994</v>
      </c>
      <c r="I141" s="469">
        <f>SUM(I130:I135)</f>
        <v>0</v>
      </c>
      <c r="J141" s="470">
        <v>135.9</v>
      </c>
      <c r="K141" t="s">
        <v>1155</v>
      </c>
    </row>
    <row r="142" spans="1:11" ht="16.5" x14ac:dyDescent="0.6">
      <c r="A142" s="424"/>
      <c r="B142" s="421"/>
      <c r="C142" s="421"/>
      <c r="D142" s="422"/>
      <c r="E142" s="469"/>
      <c r="F142" s="423"/>
      <c r="G142" s="469"/>
      <c r="H142" s="469"/>
      <c r="I142" s="469"/>
      <c r="J142" s="470"/>
    </row>
    <row r="143" spans="1:11" ht="16.5" x14ac:dyDescent="0.6">
      <c r="A143" s="419"/>
      <c r="B143" s="420" t="s">
        <v>1156</v>
      </c>
      <c r="C143" s="421"/>
      <c r="D143" s="422"/>
      <c r="E143" s="469"/>
      <c r="F143" s="423"/>
      <c r="G143" s="469"/>
      <c r="H143" s="469">
        <f>H141+H135+H123</f>
        <v>2259.9999999999995</v>
      </c>
      <c r="I143" s="469">
        <f>I141+I135+I123</f>
        <v>0</v>
      </c>
      <c r="J143" s="470">
        <f>J141+J135+J123</f>
        <v>1716.1</v>
      </c>
    </row>
    <row r="144" spans="1:11" ht="16.5" x14ac:dyDescent="0.6">
      <c r="A144" s="424"/>
      <c r="B144" s="425"/>
      <c r="C144" s="425"/>
      <c r="D144" s="397"/>
      <c r="E144" s="471"/>
      <c r="F144" s="396"/>
      <c r="G144" s="471"/>
      <c r="H144" s="471"/>
      <c r="I144" s="471"/>
      <c r="J144" s="472"/>
    </row>
    <row r="145" spans="1:10" ht="16.5" x14ac:dyDescent="0.6">
      <c r="A145" s="424"/>
      <c r="B145" s="406"/>
      <c r="C145" s="428" t="s">
        <v>84</v>
      </c>
      <c r="D145" s="429"/>
      <c r="E145" s="475"/>
      <c r="F145" s="430"/>
      <c r="G145" s="475"/>
      <c r="H145" s="475">
        <f>H143+H110+H65+H44+H38+H32</f>
        <v>10073.949999999999</v>
      </c>
      <c r="I145" s="475">
        <f>I143+I110+I65+I44+I38+I32</f>
        <v>0</v>
      </c>
      <c r="J145" s="476">
        <f>J143+J110+J65+J44</f>
        <v>2911.2400000000002</v>
      </c>
    </row>
    <row r="146" spans="1:10" ht="16.5" x14ac:dyDescent="0.6">
      <c r="A146" s="424"/>
      <c r="B146" s="406"/>
      <c r="C146" s="405"/>
      <c r="D146" s="429"/>
      <c r="E146" s="475"/>
      <c r="F146" s="430"/>
      <c r="G146" s="475"/>
      <c r="H146" s="475"/>
      <c r="I146" s="475"/>
      <c r="J146" s="476"/>
    </row>
    <row r="147" spans="1:10" ht="16.5" x14ac:dyDescent="0.6">
      <c r="A147" s="1515" t="s">
        <v>85</v>
      </c>
      <c r="B147" s="1516"/>
      <c r="C147" s="1517"/>
      <c r="D147" s="399"/>
      <c r="E147" s="477"/>
      <c r="F147" s="400"/>
      <c r="G147" s="477"/>
      <c r="H147" s="477"/>
      <c r="I147" s="477"/>
      <c r="J147" s="478"/>
    </row>
    <row r="148" spans="1:10" ht="16.5" x14ac:dyDescent="0.6">
      <c r="A148" s="456"/>
      <c r="B148" s="457" t="s">
        <v>86</v>
      </c>
      <c r="C148" s="458"/>
      <c r="D148" s="459"/>
      <c r="E148" s="485"/>
      <c r="F148" s="490"/>
      <c r="G148" s="485"/>
      <c r="H148" s="485">
        <f>H26</f>
        <v>225.99999999999997</v>
      </c>
      <c r="I148" s="485">
        <f>I26</f>
        <v>0</v>
      </c>
      <c r="J148" s="486">
        <f>J26</f>
        <v>0</v>
      </c>
    </row>
    <row r="149" spans="1:10" ht="16.5" x14ac:dyDescent="0.6">
      <c r="A149" s="410"/>
      <c r="B149" s="428" t="s">
        <v>87</v>
      </c>
      <c r="C149" s="405"/>
      <c r="D149" s="429"/>
      <c r="E149" s="475"/>
      <c r="F149" s="430"/>
      <c r="G149" s="475"/>
      <c r="H149" s="475">
        <f>H145</f>
        <v>10073.949999999999</v>
      </c>
      <c r="I149" s="475">
        <v>0</v>
      </c>
      <c r="J149" s="476">
        <f>J145</f>
        <v>2911.2400000000002</v>
      </c>
    </row>
    <row r="150" spans="1:10" ht="16.5" x14ac:dyDescent="0.6">
      <c r="A150" s="460"/>
      <c r="B150" s="461" t="s">
        <v>88</v>
      </c>
      <c r="C150" s="462"/>
      <c r="D150" s="463"/>
      <c r="E150" s="487"/>
      <c r="F150" s="491"/>
      <c r="G150" s="487"/>
      <c r="H150" s="487">
        <f>H148-H149</f>
        <v>-9847.9499999999989</v>
      </c>
      <c r="I150" s="487">
        <f>I148-I149</f>
        <v>0</v>
      </c>
      <c r="J150" s="488">
        <f>J148-J149</f>
        <v>-2911.2400000000002</v>
      </c>
    </row>
    <row r="151" spans="1:10" ht="16.5" x14ac:dyDescent="0.6">
      <c r="A151" s="395"/>
      <c r="B151" s="396"/>
      <c r="C151" s="396"/>
      <c r="D151" s="397"/>
      <c r="E151" s="471"/>
      <c r="F151" s="396"/>
      <c r="G151" s="471"/>
      <c r="H151" s="471"/>
      <c r="I151" s="471"/>
      <c r="J151" s="472"/>
    </row>
    <row r="152" spans="1:10" ht="16.5" x14ac:dyDescent="0.6">
      <c r="A152" s="1518" t="s">
        <v>7</v>
      </c>
      <c r="B152" s="1519"/>
      <c r="C152" s="1519"/>
      <c r="D152" s="399"/>
      <c r="E152" s="477"/>
      <c r="F152" s="400"/>
      <c r="G152" s="477"/>
      <c r="H152" s="477"/>
      <c r="I152" s="477"/>
      <c r="J152" s="478"/>
    </row>
    <row r="153" spans="1:10" ht="16.5" x14ac:dyDescent="0.6">
      <c r="A153" s="402" t="s">
        <v>1030</v>
      </c>
      <c r="B153" s="403"/>
      <c r="C153" s="403"/>
      <c r="D153" s="397"/>
      <c r="E153" s="471"/>
      <c r="F153" s="396"/>
      <c r="G153" s="471"/>
      <c r="H153" s="471"/>
      <c r="I153" s="471"/>
      <c r="J153" s="472"/>
    </row>
    <row r="154" spans="1:10" ht="16.5" x14ac:dyDescent="0.6">
      <c r="A154" s="404" t="s">
        <v>1031</v>
      </c>
      <c r="B154" s="405"/>
      <c r="C154" s="406"/>
      <c r="D154" s="407"/>
      <c r="E154" s="473"/>
      <c r="F154" s="408"/>
      <c r="G154" s="473"/>
      <c r="H154" s="473"/>
      <c r="I154" s="473"/>
      <c r="J154" s="474"/>
    </row>
    <row r="155" spans="1:10" ht="16.5" x14ac:dyDescent="0.6">
      <c r="A155" s="410"/>
      <c r="B155" s="411">
        <v>6.01</v>
      </c>
      <c r="C155" s="412" t="s">
        <v>1032</v>
      </c>
      <c r="D155" s="413" t="s">
        <v>1033</v>
      </c>
      <c r="E155" s="465">
        <v>100</v>
      </c>
      <c r="F155" s="415">
        <v>1</v>
      </c>
      <c r="G155" s="465">
        <f>E155*F155</f>
        <v>100</v>
      </c>
      <c r="H155" s="465">
        <f>G155*1.13</f>
        <v>112.99999999999999</v>
      </c>
      <c r="I155" s="465">
        <v>434</v>
      </c>
      <c r="J155" s="466">
        <v>217</v>
      </c>
    </row>
    <row r="156" spans="1:10" ht="16.5" x14ac:dyDescent="0.6">
      <c r="A156" s="410"/>
      <c r="B156" s="416"/>
      <c r="C156" s="417"/>
      <c r="D156" s="418"/>
      <c r="E156" s="467"/>
      <c r="F156" s="416"/>
      <c r="G156" s="467"/>
      <c r="H156" s="467"/>
      <c r="I156" s="467"/>
      <c r="J156" s="468"/>
    </row>
    <row r="157" spans="1:10" ht="16.5" x14ac:dyDescent="0.6">
      <c r="A157" s="419"/>
      <c r="B157" s="420" t="s">
        <v>1034</v>
      </c>
      <c r="C157" s="421"/>
      <c r="D157" s="422"/>
      <c r="E157" s="469"/>
      <c r="F157" s="423"/>
      <c r="G157" s="469"/>
      <c r="H157" s="469">
        <f>SUM(H155:H155)</f>
        <v>112.99999999999999</v>
      </c>
      <c r="I157" s="469">
        <f>I155</f>
        <v>434</v>
      </c>
      <c r="J157" s="470">
        <f>J155</f>
        <v>217</v>
      </c>
    </row>
    <row r="158" spans="1:10" ht="16.5" x14ac:dyDescent="0.6">
      <c r="A158" s="424"/>
      <c r="B158" s="425"/>
      <c r="C158" s="425"/>
      <c r="D158" s="397"/>
      <c r="E158" s="471"/>
      <c r="F158" s="396"/>
      <c r="G158" s="471"/>
      <c r="H158" s="471"/>
      <c r="I158" s="471"/>
      <c r="J158" s="472"/>
    </row>
    <row r="159" spans="1:10" ht="16.5" x14ac:dyDescent="0.6">
      <c r="A159" s="404" t="s">
        <v>1036</v>
      </c>
      <c r="B159" s="405"/>
      <c r="C159" s="406"/>
      <c r="D159" s="407"/>
      <c r="E159" s="473"/>
      <c r="F159" s="408"/>
      <c r="G159" s="473"/>
      <c r="H159" s="473"/>
      <c r="I159" s="473"/>
      <c r="J159" s="474"/>
    </row>
    <row r="160" spans="1:10" ht="16.5" x14ac:dyDescent="0.6">
      <c r="A160" s="410"/>
      <c r="B160" s="411">
        <v>6.02</v>
      </c>
      <c r="C160" s="412" t="s">
        <v>1032</v>
      </c>
      <c r="D160" s="413" t="s">
        <v>1037</v>
      </c>
      <c r="E160" s="465">
        <v>100</v>
      </c>
      <c r="F160" s="415">
        <v>1</v>
      </c>
      <c r="G160" s="465">
        <f>E160*F160</f>
        <v>100</v>
      </c>
      <c r="H160" s="465">
        <f>G160*1.13</f>
        <v>112.99999999999999</v>
      </c>
      <c r="I160" s="489">
        <v>0</v>
      </c>
      <c r="J160" s="466">
        <v>217</v>
      </c>
    </row>
    <row r="161" spans="1:10" ht="16.5" x14ac:dyDescent="0.6">
      <c r="A161" s="410"/>
      <c r="B161" s="426"/>
      <c r="C161" s="417"/>
      <c r="D161" s="418"/>
      <c r="E161" s="467"/>
      <c r="F161" s="416"/>
      <c r="G161" s="467"/>
      <c r="H161" s="467"/>
      <c r="I161" s="467"/>
      <c r="J161" s="468"/>
    </row>
    <row r="162" spans="1:10" ht="16.5" x14ac:dyDescent="0.6">
      <c r="A162" s="419"/>
      <c r="B162" s="420" t="s">
        <v>1038</v>
      </c>
      <c r="C162" s="421"/>
      <c r="D162" s="422"/>
      <c r="E162" s="469"/>
      <c r="F162" s="423"/>
      <c r="G162" s="469"/>
      <c r="H162" s="469">
        <f>SUM(H160:H160)</f>
        <v>112.99999999999999</v>
      </c>
      <c r="I162" s="469">
        <f>I160</f>
        <v>0</v>
      </c>
      <c r="J162" s="470">
        <f>J160</f>
        <v>217</v>
      </c>
    </row>
    <row r="163" spans="1:10" ht="16.5" x14ac:dyDescent="0.6">
      <c r="A163" s="424"/>
      <c r="B163" s="421"/>
      <c r="C163" s="421"/>
      <c r="D163" s="422"/>
      <c r="E163" s="469"/>
      <c r="F163" s="423"/>
      <c r="G163" s="469"/>
      <c r="H163" s="469"/>
      <c r="I163" s="469"/>
      <c r="J163" s="470"/>
    </row>
    <row r="164" spans="1:10" ht="16.5" x14ac:dyDescent="0.6">
      <c r="A164" s="419"/>
      <c r="B164" s="420" t="s">
        <v>1040</v>
      </c>
      <c r="C164" s="421"/>
      <c r="D164" s="422"/>
      <c r="E164" s="469"/>
      <c r="F164" s="423"/>
      <c r="G164" s="469"/>
      <c r="H164" s="469">
        <f>H162+H157</f>
        <v>225.99999999999997</v>
      </c>
      <c r="I164" s="469">
        <f>I162+I157</f>
        <v>434</v>
      </c>
      <c r="J164" s="470">
        <f>J162+J157</f>
        <v>434</v>
      </c>
    </row>
    <row r="165" spans="1:10" ht="16.5" x14ac:dyDescent="0.6">
      <c r="A165" s="427" t="s">
        <v>1157</v>
      </c>
      <c r="B165" s="403"/>
      <c r="C165" s="403"/>
      <c r="D165" s="397"/>
      <c r="E165" s="471"/>
      <c r="F165" s="396"/>
      <c r="G165" s="471"/>
      <c r="H165" s="471"/>
      <c r="I165" s="471"/>
      <c r="J165" s="472"/>
    </row>
    <row r="166" spans="1:10" ht="16.5" x14ac:dyDescent="0.6">
      <c r="A166" s="404" t="s">
        <v>1043</v>
      </c>
      <c r="B166" s="405"/>
      <c r="C166" s="406"/>
      <c r="D166" s="407"/>
      <c r="E166" s="473"/>
      <c r="F166" s="408"/>
      <c r="G166" s="473"/>
      <c r="H166" s="473"/>
      <c r="I166" s="473"/>
      <c r="J166" s="474"/>
    </row>
    <row r="167" spans="1:10" ht="16.5" x14ac:dyDescent="0.6">
      <c r="A167" s="410"/>
      <c r="B167" s="411">
        <v>6.03</v>
      </c>
      <c r="C167" s="412" t="s">
        <v>1044</v>
      </c>
      <c r="D167" s="414"/>
      <c r="E167" s="465"/>
      <c r="F167" s="415"/>
      <c r="G167" s="465"/>
      <c r="H167" s="465">
        <f>G167*1.13</f>
        <v>0</v>
      </c>
      <c r="I167" s="465">
        <v>434</v>
      </c>
      <c r="J167" s="466">
        <v>207.2</v>
      </c>
    </row>
    <row r="168" spans="1:10" ht="16.5" x14ac:dyDescent="0.6">
      <c r="A168" s="410"/>
      <c r="B168" s="416"/>
      <c r="C168" s="417"/>
      <c r="D168" s="418"/>
      <c r="E168" s="467"/>
      <c r="F168" s="416"/>
      <c r="G168" s="467"/>
      <c r="H168" s="467"/>
      <c r="I168" s="467"/>
      <c r="J168" s="468"/>
    </row>
    <row r="169" spans="1:10" ht="16.5" x14ac:dyDescent="0.6">
      <c r="A169" s="419"/>
      <c r="B169" s="420" t="s">
        <v>1034</v>
      </c>
      <c r="C169" s="421"/>
      <c r="D169" s="422"/>
      <c r="E169" s="469"/>
      <c r="F169" s="423"/>
      <c r="G169" s="469"/>
      <c r="H169" s="469">
        <f>SUM(H167:H167)</f>
        <v>0</v>
      </c>
      <c r="I169" s="469">
        <f>I167</f>
        <v>434</v>
      </c>
      <c r="J169" s="470">
        <f>J167</f>
        <v>207.2</v>
      </c>
    </row>
    <row r="170" spans="1:10" ht="16.5" x14ac:dyDescent="0.6">
      <c r="A170" s="410"/>
      <c r="B170" s="425"/>
      <c r="C170" s="425"/>
      <c r="D170" s="397"/>
      <c r="E170" s="471"/>
      <c r="F170" s="396"/>
      <c r="G170" s="471"/>
      <c r="H170" s="471"/>
      <c r="I170" s="471"/>
      <c r="J170" s="472"/>
    </row>
    <row r="171" spans="1:10" ht="16.5" x14ac:dyDescent="0.6">
      <c r="A171" s="410"/>
      <c r="B171" s="405"/>
      <c r="C171" s="428" t="s">
        <v>46</v>
      </c>
      <c r="D171" s="429"/>
      <c r="E171" s="475"/>
      <c r="F171" s="430"/>
      <c r="G171" s="475"/>
      <c r="H171" s="475">
        <f>H164</f>
        <v>225.99999999999997</v>
      </c>
      <c r="I171" s="475">
        <v>0</v>
      </c>
      <c r="J171" s="476">
        <f>J169+J164</f>
        <v>641.20000000000005</v>
      </c>
    </row>
  </sheetData>
  <mergeCells count="6">
    <mergeCell ref="A7:C7"/>
    <mergeCell ref="A28:C28"/>
    <mergeCell ref="A147:C147"/>
    <mergeCell ref="A152:C152"/>
    <mergeCell ref="A1:A4"/>
    <mergeCell ref="B1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opLeftCell="E61" zoomScale="70" zoomScaleNormal="70" workbookViewId="0">
      <selection activeCell="J68" sqref="J68"/>
    </sheetView>
  </sheetViews>
  <sheetFormatPr defaultColWidth="8.86328125" defaultRowHeight="18.75" x14ac:dyDescent="0.7"/>
  <cols>
    <col min="1" max="2" width="13.86328125" style="27" customWidth="1"/>
    <col min="3" max="3" width="47.265625" style="27" bestFit="1" customWidth="1"/>
    <col min="4" max="4" width="47.1328125" style="105" customWidth="1"/>
    <col min="5" max="5" width="28.1328125" style="105" customWidth="1"/>
    <col min="6" max="6" width="15.265625" style="106" customWidth="1"/>
    <col min="7" max="7" width="17.3984375" style="105" customWidth="1"/>
    <col min="8" max="8" width="18.1328125" style="105" customWidth="1"/>
    <col min="9" max="9" width="22.3984375" style="105" customWidth="1"/>
    <col min="10" max="10" width="23" style="105" customWidth="1"/>
    <col min="11" max="11" width="12" style="27" customWidth="1"/>
    <col min="12" max="12" width="11.265625" style="27" customWidth="1"/>
    <col min="13" max="13" width="8.86328125" style="27"/>
    <col min="14" max="14" width="10.1328125" style="27" bestFit="1" customWidth="1"/>
    <col min="15" max="15" width="14.265625" style="27" customWidth="1"/>
    <col min="16" max="16384" width="8.86328125" style="27"/>
  </cols>
  <sheetData>
    <row r="1" spans="1:12" s="4" customFormat="1" ht="36.75" x14ac:dyDescent="0.7">
      <c r="A1" s="1"/>
      <c r="B1" s="2"/>
      <c r="C1" s="3"/>
      <c r="D1" s="1428" t="s">
        <v>1158</v>
      </c>
      <c r="E1" s="1429"/>
      <c r="F1" s="1429"/>
      <c r="G1" s="1429"/>
      <c r="H1" s="1429"/>
      <c r="I1" s="1429"/>
      <c r="J1" s="1430"/>
    </row>
    <row r="2" spans="1:12" s="4" customFormat="1" ht="36.75" x14ac:dyDescent="0.7">
      <c r="A2" s="5"/>
      <c r="B2" s="6"/>
      <c r="C2" s="6"/>
      <c r="D2" s="1431"/>
      <c r="E2" s="1432"/>
      <c r="F2" s="1432"/>
      <c r="G2" s="1432"/>
      <c r="H2" s="1432"/>
      <c r="I2" s="1432"/>
      <c r="J2" s="1433"/>
    </row>
    <row r="3" spans="1:12" s="4" customFormat="1" ht="36.75" x14ac:dyDescent="0.7">
      <c r="A3" s="5"/>
      <c r="B3" s="6"/>
      <c r="C3" s="6"/>
      <c r="D3" s="1431"/>
      <c r="E3" s="1432"/>
      <c r="F3" s="1432"/>
      <c r="G3" s="1432"/>
      <c r="H3" s="1432"/>
      <c r="I3" s="1432"/>
      <c r="J3" s="1433"/>
    </row>
    <row r="4" spans="1:12" s="4" customFormat="1" ht="49.35" customHeight="1" x14ac:dyDescent="0.7">
      <c r="A4" s="7"/>
      <c r="B4" s="8"/>
      <c r="C4" s="8"/>
      <c r="D4" s="1434"/>
      <c r="E4" s="1435"/>
      <c r="F4" s="1435"/>
      <c r="G4" s="1435"/>
      <c r="H4" s="1435"/>
      <c r="I4" s="1435"/>
      <c r="J4" s="1436"/>
    </row>
    <row r="5" spans="1:12" s="4" customFormat="1" x14ac:dyDescent="0.7">
      <c r="A5" s="1437"/>
      <c r="B5" s="1520"/>
      <c r="C5" s="1438"/>
      <c r="D5" s="1521"/>
      <c r="E5" s="1522"/>
      <c r="F5" s="9"/>
      <c r="G5" s="10"/>
      <c r="H5" s="10"/>
      <c r="I5" s="10"/>
      <c r="J5" s="11"/>
      <c r="K5" s="12"/>
      <c r="L5" s="12"/>
    </row>
    <row r="6" spans="1:12" s="21" customFormat="1" x14ac:dyDescent="0.7">
      <c r="A6" s="13"/>
      <c r="B6" s="14" t="s">
        <v>90</v>
      </c>
      <c r="C6" s="1416" t="s">
        <v>91</v>
      </c>
      <c r="D6" s="15" t="s">
        <v>92</v>
      </c>
      <c r="E6" s="16" t="s">
        <v>93</v>
      </c>
      <c r="F6" s="17" t="s">
        <v>94</v>
      </c>
      <c r="G6" s="18" t="s">
        <v>95</v>
      </c>
      <c r="H6" s="18" t="s">
        <v>96</v>
      </c>
      <c r="I6" s="18" t="s">
        <v>217</v>
      </c>
      <c r="J6" s="19" t="s">
        <v>218</v>
      </c>
      <c r="K6" s="20"/>
      <c r="L6" s="20"/>
    </row>
    <row r="7" spans="1:12" x14ac:dyDescent="0.7">
      <c r="A7" s="22"/>
      <c r="B7" s="23"/>
      <c r="C7" s="23"/>
      <c r="D7" s="24"/>
      <c r="E7" s="24"/>
      <c r="F7" s="25"/>
      <c r="G7" s="24"/>
      <c r="H7" s="24"/>
      <c r="I7" s="24"/>
      <c r="J7" s="26"/>
    </row>
    <row r="8" spans="1:12" x14ac:dyDescent="0.7">
      <c r="A8" s="1523" t="s">
        <v>7</v>
      </c>
      <c r="B8" s="1524"/>
      <c r="C8" s="1524"/>
      <c r="D8" s="28"/>
      <c r="E8" s="28"/>
      <c r="F8" s="29"/>
      <c r="G8" s="28"/>
      <c r="H8" s="28"/>
      <c r="I8" s="28"/>
      <c r="J8" s="30"/>
    </row>
    <row r="9" spans="1:12" x14ac:dyDescent="0.7">
      <c r="A9" s="31"/>
      <c r="B9" s="32"/>
      <c r="C9" s="32"/>
      <c r="D9" s="33"/>
      <c r="E9" s="33"/>
      <c r="F9" s="34"/>
      <c r="G9" s="33"/>
      <c r="H9" s="33"/>
      <c r="I9" s="33"/>
      <c r="J9" s="35"/>
    </row>
    <row r="10" spans="1:12" x14ac:dyDescent="0.7">
      <c r="A10" s="31"/>
      <c r="B10" s="32"/>
      <c r="C10" s="32" t="s">
        <v>46</v>
      </c>
      <c r="D10" s="33"/>
      <c r="E10" s="33"/>
      <c r="F10" s="34"/>
      <c r="G10" s="33"/>
      <c r="H10" s="33">
        <v>0</v>
      </c>
      <c r="I10" s="33">
        <v>0</v>
      </c>
      <c r="J10" s="35">
        <v>0</v>
      </c>
    </row>
    <row r="11" spans="1:12" x14ac:dyDescent="0.7">
      <c r="A11" s="31"/>
      <c r="B11" s="32"/>
      <c r="C11" s="32"/>
      <c r="D11" s="33"/>
      <c r="E11" s="33"/>
      <c r="F11" s="34"/>
      <c r="G11" s="33"/>
      <c r="H11" s="33"/>
      <c r="I11" s="33"/>
      <c r="J11" s="35"/>
    </row>
    <row r="12" spans="1:12" x14ac:dyDescent="0.7">
      <c r="A12" s="1523" t="s">
        <v>47</v>
      </c>
      <c r="B12" s="1524"/>
      <c r="C12" s="1524"/>
      <c r="D12" s="28"/>
      <c r="E12" s="28"/>
      <c r="F12" s="29"/>
      <c r="G12" s="28"/>
      <c r="H12" s="28"/>
      <c r="I12" s="28"/>
      <c r="J12" s="30"/>
    </row>
    <row r="13" spans="1:12" x14ac:dyDescent="0.7">
      <c r="A13" s="31" t="s">
        <v>1159</v>
      </c>
      <c r="B13" s="32"/>
      <c r="C13" s="36"/>
      <c r="D13" s="37"/>
      <c r="E13" s="37"/>
      <c r="F13" s="38"/>
      <c r="G13" s="37"/>
      <c r="H13" s="37"/>
      <c r="I13" s="37"/>
      <c r="J13" s="39"/>
    </row>
    <row r="14" spans="1:12" x14ac:dyDescent="0.7">
      <c r="A14" s="40"/>
      <c r="B14" s="41">
        <v>12.01</v>
      </c>
      <c r="C14" s="42" t="s">
        <v>1160</v>
      </c>
      <c r="D14" s="43" t="s">
        <v>1161</v>
      </c>
      <c r="E14" s="44">
        <v>8</v>
      </c>
      <c r="F14" s="45">
        <v>16</v>
      </c>
      <c r="G14" s="44">
        <f>F14*E14</f>
        <v>128</v>
      </c>
      <c r="H14" s="44">
        <f>G14*0.13+G14</f>
        <v>144.63999999999999</v>
      </c>
      <c r="I14" s="44"/>
      <c r="J14" s="46"/>
    </row>
    <row r="15" spans="1:12" x14ac:dyDescent="0.7">
      <c r="A15" s="47"/>
      <c r="B15" s="48">
        <v>12.02</v>
      </c>
      <c r="C15" s="49" t="s">
        <v>1162</v>
      </c>
      <c r="D15" s="50" t="s">
        <v>1163</v>
      </c>
      <c r="E15" s="51">
        <v>53.7</v>
      </c>
      <c r="F15" s="52">
        <v>16</v>
      </c>
      <c r="G15" s="51">
        <f>F15*E15</f>
        <v>859.2</v>
      </c>
      <c r="H15" s="51">
        <f>G15*0.13+G15</f>
        <v>970.89600000000007</v>
      </c>
      <c r="I15" s="51"/>
      <c r="J15" s="53">
        <v>32.28</v>
      </c>
    </row>
    <row r="16" spans="1:12" x14ac:dyDescent="0.7">
      <c r="A16" s="40"/>
      <c r="B16" s="41">
        <v>12.03</v>
      </c>
      <c r="C16" s="42" t="s">
        <v>1164</v>
      </c>
      <c r="D16" s="43" t="s">
        <v>1165</v>
      </c>
      <c r="E16" s="44">
        <v>30</v>
      </c>
      <c r="F16" s="45">
        <v>16</v>
      </c>
      <c r="G16" s="44">
        <f>F16*E16</f>
        <v>480</v>
      </c>
      <c r="H16" s="44">
        <f>G16*0.13+G16</f>
        <v>542.4</v>
      </c>
      <c r="I16" s="44"/>
      <c r="J16" s="46"/>
    </row>
    <row r="17" spans="1:10" x14ac:dyDescent="0.7">
      <c r="A17" s="47"/>
      <c r="B17" s="54" t="s">
        <v>1166</v>
      </c>
      <c r="C17" s="55" t="str">
        <f>A13</f>
        <v>EVENTS COORDINATOR (FALL &amp; WINTER)</v>
      </c>
      <c r="D17" s="56"/>
      <c r="E17" s="56"/>
      <c r="F17" s="57"/>
      <c r="G17" s="56"/>
      <c r="H17" s="56">
        <f>SUM(H14:H16)</f>
        <v>1657.9360000000001</v>
      </c>
      <c r="I17" s="56">
        <v>0</v>
      </c>
      <c r="J17" s="58">
        <f>SUM(J14:J16)</f>
        <v>32.28</v>
      </c>
    </row>
    <row r="18" spans="1:10" x14ac:dyDescent="0.7">
      <c r="A18" s="31"/>
      <c r="B18" s="32"/>
      <c r="C18" s="32"/>
      <c r="D18" s="33"/>
      <c r="E18" s="33"/>
      <c r="F18" s="34"/>
      <c r="G18" s="33"/>
      <c r="H18" s="33"/>
      <c r="I18" s="33"/>
      <c r="J18" s="35"/>
    </row>
    <row r="19" spans="1:10" x14ac:dyDescent="0.7">
      <c r="A19" s="31" t="s">
        <v>1167</v>
      </c>
      <c r="B19" s="32"/>
      <c r="C19" s="36"/>
      <c r="D19" s="37"/>
      <c r="E19" s="37"/>
      <c r="F19" s="38"/>
      <c r="G19" s="37"/>
      <c r="H19" s="37"/>
      <c r="I19" s="37"/>
      <c r="J19" s="39"/>
    </row>
    <row r="20" spans="1:10" x14ac:dyDescent="0.7">
      <c r="A20" s="59"/>
      <c r="B20" s="60">
        <v>12.04</v>
      </c>
      <c r="C20" s="61" t="s">
        <v>1168</v>
      </c>
      <c r="D20" s="61" t="s">
        <v>1169</v>
      </c>
      <c r="E20" s="62">
        <v>20</v>
      </c>
      <c r="F20" s="63">
        <v>10</v>
      </c>
      <c r="G20" s="62">
        <f>F20*E20</f>
        <v>200</v>
      </c>
      <c r="H20" s="51">
        <f>G20*0.13+G20</f>
        <v>226</v>
      </c>
      <c r="I20" s="61"/>
      <c r="J20" s="1385"/>
    </row>
    <row r="21" spans="1:10" x14ac:dyDescent="0.7">
      <c r="A21" s="64"/>
      <c r="B21" s="65">
        <v>12.05</v>
      </c>
      <c r="C21" s="66" t="s">
        <v>1170</v>
      </c>
      <c r="D21" s="67" t="s">
        <v>1171</v>
      </c>
      <c r="E21" s="68">
        <v>349</v>
      </c>
      <c r="F21" s="65">
        <v>1</v>
      </c>
      <c r="G21" s="44">
        <f>F21*E21</f>
        <v>349</v>
      </c>
      <c r="H21" s="44">
        <f>G21*0.13+G21</f>
        <v>394.37</v>
      </c>
      <c r="I21" s="65"/>
      <c r="J21" s="1386">
        <v>471.37</v>
      </c>
    </row>
    <row r="22" spans="1:10" x14ac:dyDescent="0.7">
      <c r="A22" s="47"/>
      <c r="B22" s="54" t="s">
        <v>1166</v>
      </c>
      <c r="C22" s="55" t="str">
        <f>A19</f>
        <v>FEEDBACK OFFICER</v>
      </c>
      <c r="D22" s="56"/>
      <c r="E22" s="56"/>
      <c r="F22" s="57"/>
      <c r="G22" s="56"/>
      <c r="H22" s="56">
        <f>SUM(H20:H21)</f>
        <v>620.37</v>
      </c>
      <c r="I22" s="56">
        <v>0</v>
      </c>
      <c r="J22" s="58">
        <f>SUM(J19:J21)</f>
        <v>471.37</v>
      </c>
    </row>
    <row r="23" spans="1:10" x14ac:dyDescent="0.7">
      <c r="A23" s="47"/>
      <c r="B23" s="36"/>
      <c r="C23" s="36"/>
      <c r="D23" s="37"/>
      <c r="E23" s="37"/>
      <c r="F23" s="38"/>
      <c r="G23" s="37"/>
      <c r="H23" s="37"/>
      <c r="I23" s="37"/>
      <c r="J23" s="39"/>
    </row>
    <row r="24" spans="1:10" x14ac:dyDescent="0.7">
      <c r="A24" s="31" t="s">
        <v>1172</v>
      </c>
      <c r="B24" s="32"/>
      <c r="C24" s="36"/>
      <c r="D24" s="37"/>
      <c r="E24" s="37"/>
      <c r="F24" s="38"/>
      <c r="G24" s="37"/>
      <c r="H24" s="37"/>
      <c r="I24" s="37"/>
      <c r="J24" s="39"/>
    </row>
    <row r="25" spans="1:10" x14ac:dyDescent="0.7">
      <c r="A25" s="64"/>
      <c r="B25" s="69">
        <v>12.06</v>
      </c>
      <c r="C25" s="70" t="s">
        <v>1173</v>
      </c>
      <c r="D25" s="50" t="s">
        <v>1174</v>
      </c>
      <c r="E25" s="51">
        <v>200</v>
      </c>
      <c r="F25" s="52">
        <v>2</v>
      </c>
      <c r="G25" s="51">
        <f>F25*E25</f>
        <v>400</v>
      </c>
      <c r="H25" s="51">
        <f>G25*0.13+G25</f>
        <v>452</v>
      </c>
      <c r="I25" s="71"/>
      <c r="J25" s="72">
        <v>231.37</v>
      </c>
    </row>
    <row r="26" spans="1:10" x14ac:dyDescent="0.7">
      <c r="A26" s="47"/>
      <c r="B26" s="73">
        <v>12.07</v>
      </c>
      <c r="C26" s="36" t="s">
        <v>530</v>
      </c>
      <c r="D26" s="74" t="s">
        <v>1175</v>
      </c>
      <c r="E26" s="37">
        <v>0.4</v>
      </c>
      <c r="F26" s="38">
        <v>30</v>
      </c>
      <c r="G26" s="44">
        <f>F26*E26</f>
        <v>12</v>
      </c>
      <c r="H26" s="44">
        <f>G26*0.13+G26</f>
        <v>13.56</v>
      </c>
      <c r="I26" s="37"/>
      <c r="J26" s="39"/>
    </row>
    <row r="27" spans="1:10" x14ac:dyDescent="0.7">
      <c r="A27" s="47"/>
      <c r="B27" s="60">
        <v>12.08</v>
      </c>
      <c r="C27" s="61" t="s">
        <v>1176</v>
      </c>
      <c r="D27" s="61" t="s">
        <v>1177</v>
      </c>
      <c r="E27" s="75">
        <v>120</v>
      </c>
      <c r="F27" s="63">
        <v>2</v>
      </c>
      <c r="G27" s="51">
        <f>F27*E27</f>
        <v>240</v>
      </c>
      <c r="H27" s="51">
        <f>G27</f>
        <v>240</v>
      </c>
      <c r="I27" s="61"/>
      <c r="J27" s="1384">
        <v>316.39999999999998</v>
      </c>
    </row>
    <row r="28" spans="1:10" x14ac:dyDescent="0.7">
      <c r="A28" s="47"/>
      <c r="B28" s="54" t="s">
        <v>1166</v>
      </c>
      <c r="C28" s="55" t="str">
        <f>A24</f>
        <v>HIRING TOWN HALL (FALL &amp; WINTER)</v>
      </c>
      <c r="D28" s="56"/>
      <c r="E28" s="56"/>
      <c r="F28" s="57"/>
      <c r="G28" s="56"/>
      <c r="H28" s="56">
        <f>SUM(H25:H27)</f>
        <v>705.56</v>
      </c>
      <c r="I28" s="56">
        <v>0</v>
      </c>
      <c r="J28" s="58">
        <f>SUM(J25:J27)</f>
        <v>547.77</v>
      </c>
    </row>
    <row r="29" spans="1:10" x14ac:dyDescent="0.7">
      <c r="A29" s="47"/>
      <c r="B29" s="36"/>
      <c r="C29" s="36"/>
      <c r="D29" s="37"/>
      <c r="E29" s="37"/>
      <c r="F29" s="38"/>
      <c r="G29" s="37"/>
      <c r="H29" s="37"/>
      <c r="I29" s="37"/>
      <c r="J29" s="39"/>
    </row>
    <row r="30" spans="1:10" x14ac:dyDescent="0.7">
      <c r="A30" s="31" t="s">
        <v>1178</v>
      </c>
      <c r="B30" s="32"/>
      <c r="C30" s="36"/>
      <c r="D30" s="37"/>
      <c r="E30" s="37"/>
      <c r="F30" s="38"/>
      <c r="G30" s="37"/>
      <c r="H30" s="37"/>
      <c r="I30" s="37"/>
      <c r="J30" s="39"/>
    </row>
    <row r="31" spans="1:10" s="81" customFormat="1" x14ac:dyDescent="0.7">
      <c r="A31" s="31"/>
      <c r="B31" s="76">
        <v>12.09</v>
      </c>
      <c r="C31" s="77" t="s">
        <v>1179</v>
      </c>
      <c r="D31" s="78" t="s">
        <v>1180</v>
      </c>
      <c r="E31" s="79">
        <v>5</v>
      </c>
      <c r="F31" s="80">
        <v>20</v>
      </c>
      <c r="G31" s="51">
        <f>F31*E31</f>
        <v>100</v>
      </c>
      <c r="H31" s="51">
        <f>G31*0.13+G31</f>
        <v>113</v>
      </c>
      <c r="I31" s="80"/>
      <c r="J31" s="1387">
        <v>75</v>
      </c>
    </row>
    <row r="32" spans="1:10" s="81" customFormat="1" x14ac:dyDescent="0.7">
      <c r="A32" s="31"/>
      <c r="B32" s="82">
        <v>12.1</v>
      </c>
      <c r="C32" s="83" t="s">
        <v>1181</v>
      </c>
      <c r="D32" s="84"/>
      <c r="E32" s="85">
        <v>30</v>
      </c>
      <c r="F32" s="86">
        <v>6</v>
      </c>
      <c r="G32" s="44">
        <f>F32*E32</f>
        <v>180</v>
      </c>
      <c r="H32" s="44">
        <f>G32*0.13+G32</f>
        <v>203.4</v>
      </c>
      <c r="I32" s="86"/>
      <c r="J32" s="1388">
        <v>159.97999999999999</v>
      </c>
    </row>
    <row r="33" spans="1:10" s="81" customFormat="1" x14ac:dyDescent="0.7">
      <c r="A33" s="31"/>
      <c r="B33" s="87">
        <v>12.11</v>
      </c>
      <c r="C33" s="88" t="s">
        <v>1182</v>
      </c>
      <c r="D33" s="89" t="s">
        <v>1183</v>
      </c>
      <c r="E33" s="90">
        <v>40</v>
      </c>
      <c r="F33" s="91">
        <v>6</v>
      </c>
      <c r="G33" s="51">
        <f>F33*E33</f>
        <v>240</v>
      </c>
      <c r="H33" s="51">
        <f>G33*0.13+G33</f>
        <v>271.2</v>
      </c>
      <c r="I33" s="91"/>
      <c r="J33" s="1389"/>
    </row>
    <row r="34" spans="1:10" x14ac:dyDescent="0.7">
      <c r="A34" s="47"/>
      <c r="B34" s="54" t="s">
        <v>1166</v>
      </c>
      <c r="C34" s="55" t="str">
        <f>A30</f>
        <v>HR TEAM APPRECIATION</v>
      </c>
      <c r="D34" s="56"/>
      <c r="E34" s="56"/>
      <c r="F34" s="57"/>
      <c r="G34" s="56"/>
      <c r="H34" s="56">
        <f>SUM(H31:H33)</f>
        <v>587.59999999999991</v>
      </c>
      <c r="I34" s="56">
        <v>0</v>
      </c>
      <c r="J34" s="58">
        <f>SUM(J31:J33)</f>
        <v>234.98</v>
      </c>
    </row>
    <row r="35" spans="1:10" x14ac:dyDescent="0.7">
      <c r="A35" s="47"/>
      <c r="B35" s="32"/>
      <c r="C35" s="32"/>
      <c r="D35" s="33"/>
      <c r="E35" s="33"/>
      <c r="F35" s="34"/>
      <c r="G35" s="33"/>
      <c r="H35" s="33"/>
      <c r="I35" s="33"/>
      <c r="J35" s="35"/>
    </row>
    <row r="36" spans="1:10" x14ac:dyDescent="0.7">
      <c r="A36" s="31" t="s">
        <v>1184</v>
      </c>
      <c r="B36" s="32"/>
      <c r="C36" s="36"/>
      <c r="D36" s="37"/>
      <c r="E36" s="37"/>
      <c r="F36" s="38"/>
      <c r="G36" s="37"/>
      <c r="H36" s="37"/>
      <c r="I36" s="37"/>
      <c r="J36" s="39"/>
    </row>
    <row r="37" spans="1:10" x14ac:dyDescent="0.7">
      <c r="A37" s="40"/>
      <c r="B37" s="92">
        <v>12.12</v>
      </c>
      <c r="C37" s="61" t="s">
        <v>1185</v>
      </c>
      <c r="D37" s="61" t="s">
        <v>1186</v>
      </c>
      <c r="E37" s="62">
        <v>150</v>
      </c>
      <c r="F37" s="63">
        <v>3</v>
      </c>
      <c r="G37" s="51">
        <f>F37*E37</f>
        <v>450</v>
      </c>
      <c r="H37" s="51">
        <f>G37*0.13+G37</f>
        <v>508.5</v>
      </c>
      <c r="I37" s="61"/>
      <c r="J37" s="1385"/>
    </row>
    <row r="38" spans="1:10" x14ac:dyDescent="0.7">
      <c r="A38" s="47"/>
      <c r="B38" s="93">
        <v>12.13</v>
      </c>
      <c r="C38" s="83" t="s">
        <v>1176</v>
      </c>
      <c r="D38" s="84" t="s">
        <v>1186</v>
      </c>
      <c r="E38" s="85">
        <v>120</v>
      </c>
      <c r="F38" s="86">
        <v>3</v>
      </c>
      <c r="G38" s="44">
        <f t="shared" ref="G38:G48" si="0">F38*E38</f>
        <v>360</v>
      </c>
      <c r="H38" s="44">
        <f>G38</f>
        <v>360</v>
      </c>
      <c r="I38" s="86"/>
      <c r="J38" s="1388"/>
    </row>
    <row r="39" spans="1:10" x14ac:dyDescent="0.7">
      <c r="A39" s="40"/>
      <c r="B39" s="92">
        <v>12.14</v>
      </c>
      <c r="C39" s="61" t="s">
        <v>1187</v>
      </c>
      <c r="D39" s="61" t="s">
        <v>1188</v>
      </c>
      <c r="E39" s="62">
        <v>50</v>
      </c>
      <c r="F39" s="63">
        <v>1</v>
      </c>
      <c r="G39" s="51">
        <f t="shared" si="0"/>
        <v>50</v>
      </c>
      <c r="H39" s="51">
        <f t="shared" ref="H39:H47" si="1">G39*0.13+G39</f>
        <v>56.5</v>
      </c>
      <c r="I39" s="61"/>
      <c r="J39" s="1385"/>
    </row>
    <row r="40" spans="1:10" x14ac:dyDescent="0.7">
      <c r="A40" s="47"/>
      <c r="B40" s="93">
        <v>12.15</v>
      </c>
      <c r="C40" s="83" t="s">
        <v>1189</v>
      </c>
      <c r="D40" s="84"/>
      <c r="E40" s="85">
        <v>50</v>
      </c>
      <c r="F40" s="86">
        <v>5</v>
      </c>
      <c r="G40" s="44">
        <f t="shared" si="0"/>
        <v>250</v>
      </c>
      <c r="H40" s="44">
        <f t="shared" si="1"/>
        <v>282.5</v>
      </c>
      <c r="I40" s="86"/>
      <c r="J40" s="1388"/>
    </row>
    <row r="41" spans="1:10" x14ac:dyDescent="0.7">
      <c r="A41" s="47"/>
      <c r="B41" s="92">
        <v>12.16</v>
      </c>
      <c r="C41" s="77" t="s">
        <v>1190</v>
      </c>
      <c r="D41" s="78" t="s">
        <v>1191</v>
      </c>
      <c r="E41" s="79">
        <v>30</v>
      </c>
      <c r="F41" s="80">
        <v>8</v>
      </c>
      <c r="G41" s="51">
        <f t="shared" si="0"/>
        <v>240</v>
      </c>
      <c r="H41" s="51">
        <f t="shared" si="1"/>
        <v>271.2</v>
      </c>
      <c r="I41" s="80"/>
      <c r="J41" s="1387"/>
    </row>
    <row r="42" spans="1:10" x14ac:dyDescent="0.7">
      <c r="A42" s="47"/>
      <c r="B42" s="93">
        <v>12.17</v>
      </c>
      <c r="C42" s="83" t="s">
        <v>1192</v>
      </c>
      <c r="D42" s="84" t="s">
        <v>1193</v>
      </c>
      <c r="E42" s="85">
        <v>30</v>
      </c>
      <c r="F42" s="86">
        <v>5</v>
      </c>
      <c r="G42" s="44">
        <f t="shared" si="0"/>
        <v>150</v>
      </c>
      <c r="H42" s="44">
        <f t="shared" si="1"/>
        <v>169.5</v>
      </c>
      <c r="I42" s="86"/>
      <c r="J42" s="1388">
        <v>61.2</v>
      </c>
    </row>
    <row r="43" spans="1:10" x14ac:dyDescent="0.7">
      <c r="A43" s="47"/>
      <c r="B43" s="92">
        <v>12.18</v>
      </c>
      <c r="C43" s="77" t="s">
        <v>1194</v>
      </c>
      <c r="D43" s="78" t="s">
        <v>1195</v>
      </c>
      <c r="E43" s="79">
        <v>30</v>
      </c>
      <c r="F43" s="80">
        <v>5</v>
      </c>
      <c r="G43" s="51">
        <f t="shared" si="0"/>
        <v>150</v>
      </c>
      <c r="H43" s="51">
        <f t="shared" si="1"/>
        <v>169.5</v>
      </c>
      <c r="I43" s="80"/>
      <c r="J43" s="1387"/>
    </row>
    <row r="44" spans="1:10" x14ac:dyDescent="0.7">
      <c r="A44" s="47"/>
      <c r="B44" s="93">
        <v>12.19</v>
      </c>
      <c r="C44" s="83" t="s">
        <v>1196</v>
      </c>
      <c r="D44" s="84" t="s">
        <v>1197</v>
      </c>
      <c r="E44" s="85">
        <v>0.64</v>
      </c>
      <c r="F44" s="86">
        <v>300</v>
      </c>
      <c r="G44" s="44">
        <f t="shared" si="0"/>
        <v>192</v>
      </c>
      <c r="H44" s="44">
        <f t="shared" si="1"/>
        <v>216.96</v>
      </c>
      <c r="I44" s="86"/>
      <c r="J44" s="1388">
        <v>114</v>
      </c>
    </row>
    <row r="45" spans="1:10" x14ac:dyDescent="0.7">
      <c r="A45" s="47"/>
      <c r="B45" s="92">
        <v>12.2</v>
      </c>
      <c r="C45" s="77" t="s">
        <v>1198</v>
      </c>
      <c r="D45" s="78"/>
      <c r="E45" s="79">
        <v>150</v>
      </c>
      <c r="F45" s="80">
        <v>5</v>
      </c>
      <c r="G45" s="51">
        <f t="shared" si="0"/>
        <v>750</v>
      </c>
      <c r="H45" s="51">
        <f>G45</f>
        <v>750</v>
      </c>
      <c r="I45" s="80"/>
      <c r="J45" s="1387"/>
    </row>
    <row r="46" spans="1:10" x14ac:dyDescent="0.7">
      <c r="A46" s="47"/>
      <c r="B46" s="93">
        <v>12.21</v>
      </c>
      <c r="C46" s="83" t="s">
        <v>1199</v>
      </c>
      <c r="D46" s="84"/>
      <c r="E46" s="85">
        <v>30</v>
      </c>
      <c r="F46" s="86">
        <v>1</v>
      </c>
      <c r="G46" s="44">
        <f t="shared" si="0"/>
        <v>30</v>
      </c>
      <c r="H46" s="44">
        <f t="shared" si="1"/>
        <v>33.9</v>
      </c>
      <c r="I46" s="86"/>
      <c r="J46" s="1388"/>
    </row>
    <row r="47" spans="1:10" x14ac:dyDescent="0.7">
      <c r="A47" s="47"/>
      <c r="B47" s="92">
        <v>12.22</v>
      </c>
      <c r="C47" s="77" t="s">
        <v>1200</v>
      </c>
      <c r="D47" s="78" t="s">
        <v>1201</v>
      </c>
      <c r="E47" s="79">
        <v>50</v>
      </c>
      <c r="F47" s="80">
        <v>4</v>
      </c>
      <c r="G47" s="51">
        <f t="shared" si="0"/>
        <v>200</v>
      </c>
      <c r="H47" s="51">
        <f t="shared" si="1"/>
        <v>226</v>
      </c>
      <c r="I47" s="80"/>
      <c r="J47" s="1387"/>
    </row>
    <row r="48" spans="1:10" x14ac:dyDescent="0.7">
      <c r="A48" s="40"/>
      <c r="B48" s="93">
        <v>12.23</v>
      </c>
      <c r="C48" s="94" t="s">
        <v>1202</v>
      </c>
      <c r="D48" s="94"/>
      <c r="E48" s="95">
        <v>200</v>
      </c>
      <c r="F48" s="96">
        <v>1</v>
      </c>
      <c r="G48" s="44">
        <f t="shared" si="0"/>
        <v>200</v>
      </c>
      <c r="H48" s="44">
        <f>G48</f>
        <v>200</v>
      </c>
      <c r="I48" s="94"/>
      <c r="J48" s="1390"/>
    </row>
    <row r="49" spans="1:10" x14ac:dyDescent="0.7">
      <c r="A49" s="47"/>
      <c r="B49" s="54" t="s">
        <v>1166</v>
      </c>
      <c r="C49" s="55" t="str">
        <f>A36</f>
        <v>EQUITY OFFICER</v>
      </c>
      <c r="D49" s="56"/>
      <c r="E49" s="56"/>
      <c r="F49" s="57"/>
      <c r="G49" s="56"/>
      <c r="H49" s="56">
        <f>SUM(H37:H48)</f>
        <v>3244.56</v>
      </c>
      <c r="I49" s="56">
        <v>0</v>
      </c>
      <c r="J49" s="58">
        <f>SUM(J37:J48)</f>
        <v>175.2</v>
      </c>
    </row>
    <row r="50" spans="1:10" x14ac:dyDescent="0.7">
      <c r="A50" s="31" t="s">
        <v>1203</v>
      </c>
      <c r="B50" s="32"/>
      <c r="C50" s="36"/>
      <c r="D50" s="37"/>
      <c r="E50" s="37"/>
      <c r="F50" s="38"/>
      <c r="G50" s="37"/>
      <c r="H50" s="37"/>
      <c r="I50" s="37"/>
      <c r="J50" s="39"/>
    </row>
    <row r="51" spans="1:10" x14ac:dyDescent="0.7">
      <c r="A51" s="40"/>
      <c r="B51" s="92">
        <v>12.24</v>
      </c>
      <c r="C51" s="61" t="s">
        <v>1204</v>
      </c>
      <c r="D51" s="61" t="s">
        <v>1205</v>
      </c>
      <c r="E51" s="62">
        <v>30</v>
      </c>
      <c r="F51" s="63">
        <v>7</v>
      </c>
      <c r="G51" s="62">
        <f>F51*E51</f>
        <v>210</v>
      </c>
      <c r="H51" s="62">
        <f>G51+G51*0.13</f>
        <v>237.3</v>
      </c>
      <c r="I51" s="61"/>
      <c r="J51" s="1385"/>
    </row>
    <row r="52" spans="1:10" x14ac:dyDescent="0.7">
      <c r="A52" s="40"/>
      <c r="B52" s="93">
        <v>12.25</v>
      </c>
      <c r="C52" s="83" t="s">
        <v>1206</v>
      </c>
      <c r="D52" s="83" t="s">
        <v>1207</v>
      </c>
      <c r="E52" s="97">
        <v>20</v>
      </c>
      <c r="F52" s="86">
        <v>1</v>
      </c>
      <c r="G52" s="97">
        <f>E52*F52</f>
        <v>20</v>
      </c>
      <c r="H52" s="97">
        <f>G52</f>
        <v>20</v>
      </c>
      <c r="I52" s="83"/>
      <c r="J52" s="1391"/>
    </row>
    <row r="53" spans="1:10" x14ac:dyDescent="0.7">
      <c r="A53" s="47"/>
      <c r="B53" s="54" t="s">
        <v>1166</v>
      </c>
      <c r="C53" s="55" t="str">
        <f>A50</f>
        <v>ERB</v>
      </c>
      <c r="D53" s="56"/>
      <c r="E53" s="56"/>
      <c r="F53" s="57"/>
      <c r="G53" s="56"/>
      <c r="H53" s="56">
        <f>SUM(H51:H52)</f>
        <v>257.3</v>
      </c>
      <c r="I53" s="56">
        <v>0</v>
      </c>
      <c r="J53" s="58">
        <f>SUM(J51:J52)</f>
        <v>0</v>
      </c>
    </row>
    <row r="54" spans="1:10" x14ac:dyDescent="0.7">
      <c r="A54" s="47"/>
      <c r="B54" s="98"/>
      <c r="C54" s="32"/>
      <c r="D54" s="33"/>
      <c r="E54" s="33"/>
      <c r="F54" s="34"/>
      <c r="G54" s="33"/>
      <c r="H54" s="33"/>
      <c r="I54" s="33"/>
      <c r="J54" s="35"/>
    </row>
    <row r="55" spans="1:10" x14ac:dyDescent="0.7">
      <c r="A55" s="31" t="s">
        <v>1208</v>
      </c>
      <c r="B55" s="32"/>
      <c r="C55" s="36"/>
      <c r="D55" s="37"/>
      <c r="E55" s="37"/>
      <c r="F55" s="38"/>
      <c r="G55" s="37"/>
      <c r="H55" s="37"/>
      <c r="I55" s="37"/>
      <c r="J55" s="39"/>
    </row>
    <row r="56" spans="1:10" x14ac:dyDescent="0.7">
      <c r="A56" s="47"/>
      <c r="B56" s="93">
        <v>12.26</v>
      </c>
      <c r="C56" s="83" t="s">
        <v>1209</v>
      </c>
      <c r="D56" s="84" t="s">
        <v>1210</v>
      </c>
      <c r="E56" s="85">
        <v>195</v>
      </c>
      <c r="F56" s="86">
        <v>2</v>
      </c>
      <c r="G56" s="99">
        <f>F56*E56</f>
        <v>390</v>
      </c>
      <c r="H56" s="99">
        <f>G56</f>
        <v>390</v>
      </c>
      <c r="I56" s="86"/>
      <c r="J56" s="1388"/>
    </row>
    <row r="57" spans="1:10" x14ac:dyDescent="0.7">
      <c r="A57" s="40"/>
      <c r="B57" s="92">
        <v>12.27</v>
      </c>
      <c r="C57" s="61" t="s">
        <v>1211</v>
      </c>
      <c r="D57" s="61" t="s">
        <v>1212</v>
      </c>
      <c r="E57" s="62">
        <v>450</v>
      </c>
      <c r="F57" s="63">
        <v>2</v>
      </c>
      <c r="G57" s="62">
        <f t="shared" ref="G57:G59" si="2">F57*E57</f>
        <v>900</v>
      </c>
      <c r="H57" s="62">
        <f t="shared" ref="H57:H59" si="3">G57+G57*0.13</f>
        <v>1017</v>
      </c>
      <c r="I57" s="61"/>
      <c r="J57" s="1384">
        <v>337.74</v>
      </c>
    </row>
    <row r="58" spans="1:10" x14ac:dyDescent="0.7">
      <c r="A58" s="40"/>
      <c r="B58" s="93">
        <v>12.28</v>
      </c>
      <c r="C58" s="83" t="s">
        <v>1213</v>
      </c>
      <c r="D58" s="83" t="s">
        <v>1214</v>
      </c>
      <c r="E58" s="97">
        <v>45</v>
      </c>
      <c r="F58" s="86">
        <v>2</v>
      </c>
      <c r="G58" s="100">
        <f>E58*F58</f>
        <v>90</v>
      </c>
      <c r="H58" s="100">
        <f>G58</f>
        <v>90</v>
      </c>
      <c r="I58" s="83"/>
      <c r="J58" s="1386">
        <v>45</v>
      </c>
    </row>
    <row r="59" spans="1:10" x14ac:dyDescent="0.7">
      <c r="A59" s="40"/>
      <c r="B59" s="92">
        <v>12.29</v>
      </c>
      <c r="C59" s="61" t="s">
        <v>1215</v>
      </c>
      <c r="D59" s="61" t="s">
        <v>1216</v>
      </c>
      <c r="E59" s="62">
        <v>16</v>
      </c>
      <c r="F59" s="63">
        <v>6</v>
      </c>
      <c r="G59" s="62">
        <f t="shared" si="2"/>
        <v>96</v>
      </c>
      <c r="H59" s="62">
        <f t="shared" si="3"/>
        <v>108.48</v>
      </c>
      <c r="I59" s="61"/>
      <c r="J59" s="1384">
        <f>36.83+48.67</f>
        <v>85.5</v>
      </c>
    </row>
    <row r="60" spans="1:10" x14ac:dyDescent="0.7">
      <c r="A60" s="47"/>
      <c r="B60" s="54" t="s">
        <v>1166</v>
      </c>
      <c r="C60" s="55" t="str">
        <f>A55</f>
        <v>TRAINING OFFICER (FALL &amp; WINTER)</v>
      </c>
      <c r="D60" s="56"/>
      <c r="E60" s="56"/>
      <c r="F60" s="57"/>
      <c r="G60" s="56"/>
      <c r="H60" s="56">
        <f>SUM(H56:H59)</f>
        <v>1605.48</v>
      </c>
      <c r="I60" s="56">
        <v>0</v>
      </c>
      <c r="J60" s="58">
        <f>SUM(J56:J59)</f>
        <v>468.24</v>
      </c>
    </row>
    <row r="61" spans="1:10" x14ac:dyDescent="0.7">
      <c r="A61" s="47"/>
      <c r="B61" s="98"/>
      <c r="C61" s="32"/>
      <c r="D61" s="33"/>
      <c r="E61" s="33"/>
      <c r="F61" s="34"/>
      <c r="G61" s="33"/>
      <c r="H61" s="33"/>
      <c r="I61" s="33"/>
      <c r="J61" s="35"/>
    </row>
    <row r="62" spans="1:10" x14ac:dyDescent="0.7">
      <c r="A62" s="31" t="s">
        <v>1217</v>
      </c>
      <c r="B62" s="98"/>
      <c r="C62" s="32"/>
      <c r="D62" s="33"/>
      <c r="E62" s="33"/>
      <c r="F62" s="34"/>
      <c r="G62" s="33"/>
      <c r="H62" s="33"/>
      <c r="I62" s="33"/>
      <c r="J62" s="35"/>
    </row>
    <row r="63" spans="1:10" x14ac:dyDescent="0.7">
      <c r="A63" s="47"/>
      <c r="B63" s="1383">
        <v>13.01</v>
      </c>
      <c r="C63" s="36" t="s">
        <v>1218</v>
      </c>
      <c r="D63" s="33"/>
      <c r="E63" s="33"/>
      <c r="F63" s="34"/>
      <c r="G63" s="33"/>
      <c r="H63" s="33"/>
      <c r="I63" s="33"/>
      <c r="J63" s="39">
        <v>3107.5</v>
      </c>
    </row>
    <row r="64" spans="1:10" x14ac:dyDescent="0.7">
      <c r="A64" s="47"/>
      <c r="B64" s="1383">
        <v>13.02</v>
      </c>
      <c r="C64" s="36" t="s">
        <v>1219</v>
      </c>
      <c r="D64" s="33"/>
      <c r="E64" s="33"/>
      <c r="F64" s="34"/>
      <c r="G64" s="33"/>
      <c r="H64" s="33"/>
      <c r="I64" s="33"/>
      <c r="J64" s="39">
        <v>242.03</v>
      </c>
    </row>
    <row r="65" spans="1:10" x14ac:dyDescent="0.7">
      <c r="A65" s="47"/>
      <c r="B65" s="98"/>
      <c r="C65" s="32"/>
      <c r="D65" s="33"/>
      <c r="E65" s="33"/>
      <c r="F65" s="34"/>
      <c r="G65" s="33"/>
      <c r="H65" s="33"/>
      <c r="I65" s="33"/>
      <c r="J65" s="35"/>
    </row>
    <row r="66" spans="1:10" x14ac:dyDescent="0.7">
      <c r="A66" s="31"/>
      <c r="B66" s="32" t="s">
        <v>87</v>
      </c>
      <c r="C66" s="32"/>
      <c r="D66" s="33"/>
      <c r="E66" s="33"/>
      <c r="F66" s="33"/>
      <c r="G66" s="33"/>
      <c r="H66" s="33">
        <f>SUM(H17,H22,H28,H34,H49,H53,H60)</f>
        <v>8678.8060000000005</v>
      </c>
      <c r="I66" s="33">
        <v>0</v>
      </c>
      <c r="J66" s="35">
        <f>SUM(J17,J22,J28,J34,J49,J53,J60,J63:J64)</f>
        <v>5279.37</v>
      </c>
    </row>
    <row r="67" spans="1:10" x14ac:dyDescent="0.7">
      <c r="A67" s="101"/>
      <c r="B67" s="102" t="s">
        <v>88</v>
      </c>
      <c r="C67" s="102"/>
      <c r="D67" s="103"/>
      <c r="E67" s="103"/>
      <c r="F67" s="103"/>
      <c r="G67" s="103"/>
      <c r="H67" s="103">
        <f>-H66</f>
        <v>-8678.8060000000005</v>
      </c>
      <c r="I67" s="103">
        <v>0</v>
      </c>
      <c r="J67" s="104">
        <f>0-J66</f>
        <v>-5279.37</v>
      </c>
    </row>
  </sheetData>
  <mergeCells count="5">
    <mergeCell ref="D1:J4"/>
    <mergeCell ref="A5:C5"/>
    <mergeCell ref="D5:E5"/>
    <mergeCell ref="A8:C8"/>
    <mergeCell ref="A12:C12"/>
  </mergeCells>
  <pageMargins left="0.7" right="0.7" top="0.75" bottom="0.75" header="0.3" footer="0.3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E09DA-D2DD-412C-9505-1FD4A1BDBA77}">
  <dimension ref="A1:N31"/>
  <sheetViews>
    <sheetView zoomScale="90" zoomScaleNormal="90" workbookViewId="0">
      <selection activeCell="L30" sqref="L30"/>
    </sheetView>
  </sheetViews>
  <sheetFormatPr defaultColWidth="12.265625" defaultRowHeight="14.25" x14ac:dyDescent="0.45"/>
  <cols>
    <col min="3" max="3" width="20.265625" bestFit="1" customWidth="1"/>
    <col min="4" max="4" width="38.265625" customWidth="1"/>
    <col min="7" max="7" width="12.265625" customWidth="1"/>
    <col min="9" max="9" width="12.265625" customWidth="1"/>
    <col min="10" max="10" width="13.1328125" customWidth="1"/>
    <col min="259" max="259" width="20.265625" bestFit="1" customWidth="1"/>
    <col min="260" max="260" width="38.265625" customWidth="1"/>
    <col min="265" max="265" width="0" hidden="1" customWidth="1"/>
    <col min="266" max="266" width="13.1328125" customWidth="1"/>
    <col min="515" max="515" width="20.265625" bestFit="1" customWidth="1"/>
    <col min="516" max="516" width="38.265625" customWidth="1"/>
    <col min="521" max="521" width="0" hidden="1" customWidth="1"/>
    <col min="522" max="522" width="13.1328125" customWidth="1"/>
    <col min="771" max="771" width="20.265625" bestFit="1" customWidth="1"/>
    <col min="772" max="772" width="38.265625" customWidth="1"/>
    <col min="777" max="777" width="0" hidden="1" customWidth="1"/>
    <col min="778" max="778" width="13.1328125" customWidth="1"/>
    <col min="1027" max="1027" width="20.265625" bestFit="1" customWidth="1"/>
    <col min="1028" max="1028" width="38.265625" customWidth="1"/>
    <col min="1033" max="1033" width="0" hidden="1" customWidth="1"/>
    <col min="1034" max="1034" width="13.1328125" customWidth="1"/>
    <col min="1283" max="1283" width="20.265625" bestFit="1" customWidth="1"/>
    <col min="1284" max="1284" width="38.265625" customWidth="1"/>
    <col min="1289" max="1289" width="0" hidden="1" customWidth="1"/>
    <col min="1290" max="1290" width="13.1328125" customWidth="1"/>
    <col min="1539" max="1539" width="20.265625" bestFit="1" customWidth="1"/>
    <col min="1540" max="1540" width="38.265625" customWidth="1"/>
    <col min="1545" max="1545" width="0" hidden="1" customWidth="1"/>
    <col min="1546" max="1546" width="13.1328125" customWidth="1"/>
    <col min="1795" max="1795" width="20.265625" bestFit="1" customWidth="1"/>
    <col min="1796" max="1796" width="38.265625" customWidth="1"/>
    <col min="1801" max="1801" width="0" hidden="1" customWidth="1"/>
    <col min="1802" max="1802" width="13.1328125" customWidth="1"/>
    <col min="2051" max="2051" width="20.265625" bestFit="1" customWidth="1"/>
    <col min="2052" max="2052" width="38.265625" customWidth="1"/>
    <col min="2057" max="2057" width="0" hidden="1" customWidth="1"/>
    <col min="2058" max="2058" width="13.1328125" customWidth="1"/>
    <col min="2307" max="2307" width="20.265625" bestFit="1" customWidth="1"/>
    <col min="2308" max="2308" width="38.265625" customWidth="1"/>
    <col min="2313" max="2313" width="0" hidden="1" customWidth="1"/>
    <col min="2314" max="2314" width="13.1328125" customWidth="1"/>
    <col min="2563" max="2563" width="20.265625" bestFit="1" customWidth="1"/>
    <col min="2564" max="2564" width="38.265625" customWidth="1"/>
    <col min="2569" max="2569" width="0" hidden="1" customWidth="1"/>
    <col min="2570" max="2570" width="13.1328125" customWidth="1"/>
    <col min="2819" max="2819" width="20.265625" bestFit="1" customWidth="1"/>
    <col min="2820" max="2820" width="38.265625" customWidth="1"/>
    <col min="2825" max="2825" width="0" hidden="1" customWidth="1"/>
    <col min="2826" max="2826" width="13.1328125" customWidth="1"/>
    <col min="3075" max="3075" width="20.265625" bestFit="1" customWidth="1"/>
    <col min="3076" max="3076" width="38.265625" customWidth="1"/>
    <col min="3081" max="3081" width="0" hidden="1" customWidth="1"/>
    <col min="3082" max="3082" width="13.1328125" customWidth="1"/>
    <col min="3331" max="3331" width="20.265625" bestFit="1" customWidth="1"/>
    <col min="3332" max="3332" width="38.265625" customWidth="1"/>
    <col min="3337" max="3337" width="0" hidden="1" customWidth="1"/>
    <col min="3338" max="3338" width="13.1328125" customWidth="1"/>
    <col min="3587" max="3587" width="20.265625" bestFit="1" customWidth="1"/>
    <col min="3588" max="3588" width="38.265625" customWidth="1"/>
    <col min="3593" max="3593" width="0" hidden="1" customWidth="1"/>
    <col min="3594" max="3594" width="13.1328125" customWidth="1"/>
    <col min="3843" max="3843" width="20.265625" bestFit="1" customWidth="1"/>
    <col min="3844" max="3844" width="38.265625" customWidth="1"/>
    <col min="3849" max="3849" width="0" hidden="1" customWidth="1"/>
    <col min="3850" max="3850" width="13.1328125" customWidth="1"/>
    <col min="4099" max="4099" width="20.265625" bestFit="1" customWidth="1"/>
    <col min="4100" max="4100" width="38.265625" customWidth="1"/>
    <col min="4105" max="4105" width="0" hidden="1" customWidth="1"/>
    <col min="4106" max="4106" width="13.1328125" customWidth="1"/>
    <col min="4355" max="4355" width="20.265625" bestFit="1" customWidth="1"/>
    <col min="4356" max="4356" width="38.265625" customWidth="1"/>
    <col min="4361" max="4361" width="0" hidden="1" customWidth="1"/>
    <col min="4362" max="4362" width="13.1328125" customWidth="1"/>
    <col min="4611" max="4611" width="20.265625" bestFit="1" customWidth="1"/>
    <col min="4612" max="4612" width="38.265625" customWidth="1"/>
    <col min="4617" max="4617" width="0" hidden="1" customWidth="1"/>
    <col min="4618" max="4618" width="13.1328125" customWidth="1"/>
    <col min="4867" max="4867" width="20.265625" bestFit="1" customWidth="1"/>
    <col min="4868" max="4868" width="38.265625" customWidth="1"/>
    <col min="4873" max="4873" width="0" hidden="1" customWidth="1"/>
    <col min="4874" max="4874" width="13.1328125" customWidth="1"/>
    <col min="5123" max="5123" width="20.265625" bestFit="1" customWidth="1"/>
    <col min="5124" max="5124" width="38.265625" customWidth="1"/>
    <col min="5129" max="5129" width="0" hidden="1" customWidth="1"/>
    <col min="5130" max="5130" width="13.1328125" customWidth="1"/>
    <col min="5379" max="5379" width="20.265625" bestFit="1" customWidth="1"/>
    <col min="5380" max="5380" width="38.265625" customWidth="1"/>
    <col min="5385" max="5385" width="0" hidden="1" customWidth="1"/>
    <col min="5386" max="5386" width="13.1328125" customWidth="1"/>
    <col min="5635" max="5635" width="20.265625" bestFit="1" customWidth="1"/>
    <col min="5636" max="5636" width="38.265625" customWidth="1"/>
    <col min="5641" max="5641" width="0" hidden="1" customWidth="1"/>
    <col min="5642" max="5642" width="13.1328125" customWidth="1"/>
    <col min="5891" max="5891" width="20.265625" bestFit="1" customWidth="1"/>
    <col min="5892" max="5892" width="38.265625" customWidth="1"/>
    <col min="5897" max="5897" width="0" hidden="1" customWidth="1"/>
    <col min="5898" max="5898" width="13.1328125" customWidth="1"/>
    <col min="6147" max="6147" width="20.265625" bestFit="1" customWidth="1"/>
    <col min="6148" max="6148" width="38.265625" customWidth="1"/>
    <col min="6153" max="6153" width="0" hidden="1" customWidth="1"/>
    <col min="6154" max="6154" width="13.1328125" customWidth="1"/>
    <col min="6403" max="6403" width="20.265625" bestFit="1" customWidth="1"/>
    <col min="6404" max="6404" width="38.265625" customWidth="1"/>
    <col min="6409" max="6409" width="0" hidden="1" customWidth="1"/>
    <col min="6410" max="6410" width="13.1328125" customWidth="1"/>
    <col min="6659" max="6659" width="20.265625" bestFit="1" customWidth="1"/>
    <col min="6660" max="6660" width="38.265625" customWidth="1"/>
    <col min="6665" max="6665" width="0" hidden="1" customWidth="1"/>
    <col min="6666" max="6666" width="13.1328125" customWidth="1"/>
    <col min="6915" max="6915" width="20.265625" bestFit="1" customWidth="1"/>
    <col min="6916" max="6916" width="38.265625" customWidth="1"/>
    <col min="6921" max="6921" width="0" hidden="1" customWidth="1"/>
    <col min="6922" max="6922" width="13.1328125" customWidth="1"/>
    <col min="7171" max="7171" width="20.265625" bestFit="1" customWidth="1"/>
    <col min="7172" max="7172" width="38.265625" customWidth="1"/>
    <col min="7177" max="7177" width="0" hidden="1" customWidth="1"/>
    <col min="7178" max="7178" width="13.1328125" customWidth="1"/>
    <col min="7427" max="7427" width="20.265625" bestFit="1" customWidth="1"/>
    <col min="7428" max="7428" width="38.265625" customWidth="1"/>
    <col min="7433" max="7433" width="0" hidden="1" customWidth="1"/>
    <col min="7434" max="7434" width="13.1328125" customWidth="1"/>
    <col min="7683" max="7683" width="20.265625" bestFit="1" customWidth="1"/>
    <col min="7684" max="7684" width="38.265625" customWidth="1"/>
    <col min="7689" max="7689" width="0" hidden="1" customWidth="1"/>
    <col min="7690" max="7690" width="13.1328125" customWidth="1"/>
    <col min="7939" max="7939" width="20.265625" bestFit="1" customWidth="1"/>
    <col min="7940" max="7940" width="38.265625" customWidth="1"/>
    <col min="7945" max="7945" width="0" hidden="1" customWidth="1"/>
    <col min="7946" max="7946" width="13.1328125" customWidth="1"/>
    <col min="8195" max="8195" width="20.265625" bestFit="1" customWidth="1"/>
    <col min="8196" max="8196" width="38.265625" customWidth="1"/>
    <col min="8201" max="8201" width="0" hidden="1" customWidth="1"/>
    <col min="8202" max="8202" width="13.1328125" customWidth="1"/>
    <col min="8451" max="8451" width="20.265625" bestFit="1" customWidth="1"/>
    <col min="8452" max="8452" width="38.265625" customWidth="1"/>
    <col min="8457" max="8457" width="0" hidden="1" customWidth="1"/>
    <col min="8458" max="8458" width="13.1328125" customWidth="1"/>
    <col min="8707" max="8707" width="20.265625" bestFit="1" customWidth="1"/>
    <col min="8708" max="8708" width="38.265625" customWidth="1"/>
    <col min="8713" max="8713" width="0" hidden="1" customWidth="1"/>
    <col min="8714" max="8714" width="13.1328125" customWidth="1"/>
    <col min="8963" max="8963" width="20.265625" bestFit="1" customWidth="1"/>
    <col min="8964" max="8964" width="38.265625" customWidth="1"/>
    <col min="8969" max="8969" width="0" hidden="1" customWidth="1"/>
    <col min="8970" max="8970" width="13.1328125" customWidth="1"/>
    <col min="9219" max="9219" width="20.265625" bestFit="1" customWidth="1"/>
    <col min="9220" max="9220" width="38.265625" customWidth="1"/>
    <col min="9225" max="9225" width="0" hidden="1" customWidth="1"/>
    <col min="9226" max="9226" width="13.1328125" customWidth="1"/>
    <col min="9475" max="9475" width="20.265625" bestFit="1" customWidth="1"/>
    <col min="9476" max="9476" width="38.265625" customWidth="1"/>
    <col min="9481" max="9481" width="0" hidden="1" customWidth="1"/>
    <col min="9482" max="9482" width="13.1328125" customWidth="1"/>
    <col min="9731" max="9731" width="20.265625" bestFit="1" customWidth="1"/>
    <col min="9732" max="9732" width="38.265625" customWidth="1"/>
    <col min="9737" max="9737" width="0" hidden="1" customWidth="1"/>
    <col min="9738" max="9738" width="13.1328125" customWidth="1"/>
    <col min="9987" max="9987" width="20.265625" bestFit="1" customWidth="1"/>
    <col min="9988" max="9988" width="38.265625" customWidth="1"/>
    <col min="9993" max="9993" width="0" hidden="1" customWidth="1"/>
    <col min="9994" max="9994" width="13.1328125" customWidth="1"/>
    <col min="10243" max="10243" width="20.265625" bestFit="1" customWidth="1"/>
    <col min="10244" max="10244" width="38.265625" customWidth="1"/>
    <col min="10249" max="10249" width="0" hidden="1" customWidth="1"/>
    <col min="10250" max="10250" width="13.1328125" customWidth="1"/>
    <col min="10499" max="10499" width="20.265625" bestFit="1" customWidth="1"/>
    <col min="10500" max="10500" width="38.265625" customWidth="1"/>
    <col min="10505" max="10505" width="0" hidden="1" customWidth="1"/>
    <col min="10506" max="10506" width="13.1328125" customWidth="1"/>
    <col min="10755" max="10755" width="20.265625" bestFit="1" customWidth="1"/>
    <col min="10756" max="10756" width="38.265625" customWidth="1"/>
    <col min="10761" max="10761" width="0" hidden="1" customWidth="1"/>
    <col min="10762" max="10762" width="13.1328125" customWidth="1"/>
    <col min="11011" max="11011" width="20.265625" bestFit="1" customWidth="1"/>
    <col min="11012" max="11012" width="38.265625" customWidth="1"/>
    <col min="11017" max="11017" width="0" hidden="1" customWidth="1"/>
    <col min="11018" max="11018" width="13.1328125" customWidth="1"/>
    <col min="11267" max="11267" width="20.265625" bestFit="1" customWidth="1"/>
    <col min="11268" max="11268" width="38.265625" customWidth="1"/>
    <col min="11273" max="11273" width="0" hidden="1" customWidth="1"/>
    <col min="11274" max="11274" width="13.1328125" customWidth="1"/>
    <col min="11523" max="11523" width="20.265625" bestFit="1" customWidth="1"/>
    <col min="11524" max="11524" width="38.265625" customWidth="1"/>
    <col min="11529" max="11529" width="0" hidden="1" customWidth="1"/>
    <col min="11530" max="11530" width="13.1328125" customWidth="1"/>
    <col min="11779" max="11779" width="20.265625" bestFit="1" customWidth="1"/>
    <col min="11780" max="11780" width="38.265625" customWidth="1"/>
    <col min="11785" max="11785" width="0" hidden="1" customWidth="1"/>
    <col min="11786" max="11786" width="13.1328125" customWidth="1"/>
    <col min="12035" max="12035" width="20.265625" bestFit="1" customWidth="1"/>
    <col min="12036" max="12036" width="38.265625" customWidth="1"/>
    <col min="12041" max="12041" width="0" hidden="1" customWidth="1"/>
    <col min="12042" max="12042" width="13.1328125" customWidth="1"/>
    <col min="12291" max="12291" width="20.265625" bestFit="1" customWidth="1"/>
    <col min="12292" max="12292" width="38.265625" customWidth="1"/>
    <col min="12297" max="12297" width="0" hidden="1" customWidth="1"/>
    <col min="12298" max="12298" width="13.1328125" customWidth="1"/>
    <col min="12547" max="12547" width="20.265625" bestFit="1" customWidth="1"/>
    <col min="12548" max="12548" width="38.265625" customWidth="1"/>
    <col min="12553" max="12553" width="0" hidden="1" customWidth="1"/>
    <col min="12554" max="12554" width="13.1328125" customWidth="1"/>
    <col min="12803" max="12803" width="20.265625" bestFit="1" customWidth="1"/>
    <col min="12804" max="12804" width="38.265625" customWidth="1"/>
    <col min="12809" max="12809" width="0" hidden="1" customWidth="1"/>
    <col min="12810" max="12810" width="13.1328125" customWidth="1"/>
    <col min="13059" max="13059" width="20.265625" bestFit="1" customWidth="1"/>
    <col min="13060" max="13060" width="38.265625" customWidth="1"/>
    <col min="13065" max="13065" width="0" hidden="1" customWidth="1"/>
    <col min="13066" max="13066" width="13.1328125" customWidth="1"/>
    <col min="13315" max="13315" width="20.265625" bestFit="1" customWidth="1"/>
    <col min="13316" max="13316" width="38.265625" customWidth="1"/>
    <col min="13321" max="13321" width="0" hidden="1" customWidth="1"/>
    <col min="13322" max="13322" width="13.1328125" customWidth="1"/>
    <col min="13571" max="13571" width="20.265625" bestFit="1" customWidth="1"/>
    <col min="13572" max="13572" width="38.265625" customWidth="1"/>
    <col min="13577" max="13577" width="0" hidden="1" customWidth="1"/>
    <col min="13578" max="13578" width="13.1328125" customWidth="1"/>
    <col min="13827" max="13827" width="20.265625" bestFit="1" customWidth="1"/>
    <col min="13828" max="13828" width="38.265625" customWidth="1"/>
    <col min="13833" max="13833" width="0" hidden="1" customWidth="1"/>
    <col min="13834" max="13834" width="13.1328125" customWidth="1"/>
    <col min="14083" max="14083" width="20.265625" bestFit="1" customWidth="1"/>
    <col min="14084" max="14084" width="38.265625" customWidth="1"/>
    <col min="14089" max="14089" width="0" hidden="1" customWidth="1"/>
    <col min="14090" max="14090" width="13.1328125" customWidth="1"/>
    <col min="14339" max="14339" width="20.265625" bestFit="1" customWidth="1"/>
    <col min="14340" max="14340" width="38.265625" customWidth="1"/>
    <col min="14345" max="14345" width="0" hidden="1" customWidth="1"/>
    <col min="14346" max="14346" width="13.1328125" customWidth="1"/>
    <col min="14595" max="14595" width="20.265625" bestFit="1" customWidth="1"/>
    <col min="14596" max="14596" width="38.265625" customWidth="1"/>
    <col min="14601" max="14601" width="0" hidden="1" customWidth="1"/>
    <col min="14602" max="14602" width="13.1328125" customWidth="1"/>
    <col min="14851" max="14851" width="20.265625" bestFit="1" customWidth="1"/>
    <col min="14852" max="14852" width="38.265625" customWidth="1"/>
    <col min="14857" max="14857" width="0" hidden="1" customWidth="1"/>
    <col min="14858" max="14858" width="13.1328125" customWidth="1"/>
    <col min="15107" max="15107" width="20.265625" bestFit="1" customWidth="1"/>
    <col min="15108" max="15108" width="38.265625" customWidth="1"/>
    <col min="15113" max="15113" width="0" hidden="1" customWidth="1"/>
    <col min="15114" max="15114" width="13.1328125" customWidth="1"/>
    <col min="15363" max="15363" width="20.265625" bestFit="1" customWidth="1"/>
    <col min="15364" max="15364" width="38.265625" customWidth="1"/>
    <col min="15369" max="15369" width="0" hidden="1" customWidth="1"/>
    <col min="15370" max="15370" width="13.1328125" customWidth="1"/>
    <col min="15619" max="15619" width="20.265625" bestFit="1" customWidth="1"/>
    <col min="15620" max="15620" width="38.265625" customWidth="1"/>
    <col min="15625" max="15625" width="0" hidden="1" customWidth="1"/>
    <col min="15626" max="15626" width="13.1328125" customWidth="1"/>
    <col min="15875" max="15875" width="20.265625" bestFit="1" customWidth="1"/>
    <col min="15876" max="15876" width="38.265625" customWidth="1"/>
    <col min="15881" max="15881" width="0" hidden="1" customWidth="1"/>
    <col min="15882" max="15882" width="13.1328125" customWidth="1"/>
    <col min="16131" max="16131" width="20.265625" bestFit="1" customWidth="1"/>
    <col min="16132" max="16132" width="38.265625" customWidth="1"/>
    <col min="16137" max="16137" width="0" hidden="1" customWidth="1"/>
    <col min="16138" max="16138" width="13.1328125" customWidth="1"/>
  </cols>
  <sheetData>
    <row r="1" spans="1:14" ht="25.5" x14ac:dyDescent="0.45">
      <c r="A1" s="1514" t="s">
        <v>1220</v>
      </c>
      <c r="B1" s="1514"/>
      <c r="C1" s="1514"/>
      <c r="D1" s="1514"/>
      <c r="E1" s="1514"/>
      <c r="F1" s="1514"/>
      <c r="G1" s="1514"/>
      <c r="H1" s="1514"/>
      <c r="I1" s="1514"/>
      <c r="J1" s="1525"/>
    </row>
    <row r="2" spans="1:14" ht="16.5" x14ac:dyDescent="0.6">
      <c r="A2" s="254"/>
      <c r="B2" s="200" t="s">
        <v>90</v>
      </c>
      <c r="C2" s="198" t="s">
        <v>91</v>
      </c>
      <c r="D2" s="255" t="s">
        <v>92</v>
      </c>
      <c r="E2" s="256" t="s">
        <v>93</v>
      </c>
      <c r="F2" s="257" t="s">
        <v>94</v>
      </c>
      <c r="G2" s="258" t="s">
        <v>95</v>
      </c>
      <c r="H2" s="258" t="s">
        <v>96</v>
      </c>
      <c r="I2" s="258" t="s">
        <v>217</v>
      </c>
      <c r="J2" s="259" t="s">
        <v>218</v>
      </c>
    </row>
    <row r="3" spans="1:14" ht="16.5" x14ac:dyDescent="0.6">
      <c r="A3" s="22"/>
      <c r="B3" s="23"/>
      <c r="C3" s="260"/>
      <c r="D3" s="261"/>
      <c r="E3" s="262"/>
      <c r="F3" s="263"/>
      <c r="G3" s="262"/>
      <c r="H3" s="262"/>
      <c r="I3" s="262"/>
      <c r="J3" s="264"/>
    </row>
    <row r="4" spans="1:14" ht="16.5" x14ac:dyDescent="0.6">
      <c r="A4" s="1475" t="s">
        <v>7</v>
      </c>
      <c r="B4" s="1476"/>
      <c r="C4" s="1476"/>
      <c r="D4" s="203"/>
      <c r="E4" s="203"/>
      <c r="F4" s="204"/>
      <c r="G4" s="203"/>
      <c r="H4" s="203"/>
      <c r="I4" s="203"/>
      <c r="J4" s="205"/>
    </row>
    <row r="5" spans="1:14" ht="16.5" x14ac:dyDescent="0.6">
      <c r="A5" s="244"/>
      <c r="B5" s="246"/>
      <c r="C5" s="246"/>
      <c r="D5" s="247"/>
      <c r="E5" s="247"/>
      <c r="F5" s="267"/>
      <c r="G5" s="247"/>
      <c r="H5" s="247"/>
      <c r="I5" s="247"/>
      <c r="J5" s="248"/>
    </row>
    <row r="6" spans="1:14" ht="16.5" x14ac:dyDescent="0.6">
      <c r="A6" s="244"/>
      <c r="B6" s="246"/>
      <c r="C6" s="246" t="s">
        <v>46</v>
      </c>
      <c r="D6" s="247"/>
      <c r="E6" s="247"/>
      <c r="F6" s="267"/>
      <c r="G6" s="247"/>
      <c r="H6" s="247">
        <v>0</v>
      </c>
      <c r="I6" s="247">
        <v>0</v>
      </c>
      <c r="J6" s="1411">
        <v>0</v>
      </c>
      <c r="L6" s="247"/>
    </row>
    <row r="7" spans="1:14" ht="16.5" x14ac:dyDescent="0.6">
      <c r="A7" s="244"/>
      <c r="B7" s="246"/>
      <c r="C7" s="246"/>
      <c r="D7" s="247"/>
      <c r="E7" s="247"/>
      <c r="F7" s="267"/>
      <c r="G7" s="247"/>
      <c r="H7" s="247"/>
      <c r="I7" s="247"/>
      <c r="J7" s="1169"/>
    </row>
    <row r="8" spans="1:14" ht="16.5" x14ac:dyDescent="0.6">
      <c r="A8" s="1475" t="s">
        <v>47</v>
      </c>
      <c r="B8" s="1476"/>
      <c r="C8" s="1476"/>
      <c r="D8" s="203"/>
      <c r="E8" s="272"/>
      <c r="F8" s="273"/>
      <c r="G8" s="272"/>
      <c r="H8" s="272"/>
      <c r="I8" s="272"/>
      <c r="J8" s="1170"/>
      <c r="N8" s="289"/>
    </row>
    <row r="9" spans="1:14" ht="16.5" x14ac:dyDescent="0.6">
      <c r="A9" s="244" t="s">
        <v>347</v>
      </c>
      <c r="B9" s="246"/>
      <c r="C9" s="274"/>
      <c r="D9" s="275"/>
      <c r="E9" s="275"/>
      <c r="F9" s="276"/>
      <c r="G9" s="275"/>
      <c r="H9" s="275"/>
      <c r="I9" s="275"/>
      <c r="J9" s="1171"/>
    </row>
    <row r="10" spans="1:14" ht="16.5" x14ac:dyDescent="0.6">
      <c r="A10" s="278"/>
      <c r="B10" s="316" t="s">
        <v>1221</v>
      </c>
      <c r="C10" s="1172" t="s">
        <v>776</v>
      </c>
      <c r="D10" s="1172" t="s">
        <v>1222</v>
      </c>
      <c r="E10" s="1173">
        <v>30</v>
      </c>
      <c r="F10" s="1172">
        <v>10</v>
      </c>
      <c r="G10" s="269">
        <f>F10*E10</f>
        <v>300</v>
      </c>
      <c r="H10" s="269">
        <f>G10*1.13</f>
        <v>338.99999999999994</v>
      </c>
      <c r="I10" s="1174">
        <v>0</v>
      </c>
      <c r="J10" s="1175">
        <v>0</v>
      </c>
      <c r="K10" t="s">
        <v>1223</v>
      </c>
    </row>
    <row r="11" spans="1:14" ht="16.5" x14ac:dyDescent="0.6">
      <c r="A11" s="278"/>
      <c r="B11" s="313" t="s">
        <v>1224</v>
      </c>
      <c r="C11" s="1176" t="s">
        <v>1225</v>
      </c>
      <c r="D11" s="1176" t="s">
        <v>1226</v>
      </c>
      <c r="E11" s="1177">
        <v>50</v>
      </c>
      <c r="F11" s="1176">
        <v>2</v>
      </c>
      <c r="G11" s="275">
        <f>F11*E11</f>
        <v>100</v>
      </c>
      <c r="H11" s="275">
        <f>G11*1.13</f>
        <v>112.99999999999999</v>
      </c>
      <c r="I11" s="1178"/>
      <c r="J11" s="1179">
        <v>56.96</v>
      </c>
    </row>
    <row r="12" spans="1:14" ht="16.5" x14ac:dyDescent="0.6">
      <c r="A12" s="278"/>
      <c r="B12" s="316"/>
      <c r="C12" s="1172"/>
      <c r="D12" s="1172"/>
      <c r="E12" s="1173"/>
      <c r="F12" s="1172"/>
      <c r="G12" s="269"/>
      <c r="H12" s="269"/>
      <c r="I12" s="674"/>
      <c r="J12" s="1180"/>
    </row>
    <row r="13" spans="1:14" ht="16.5" x14ac:dyDescent="0.6">
      <c r="A13" s="278"/>
      <c r="B13" s="292" t="s">
        <v>1227</v>
      </c>
      <c r="C13" s="320"/>
      <c r="D13" s="295"/>
      <c r="E13" s="295"/>
      <c r="F13" s="296"/>
      <c r="G13" s="295"/>
      <c r="H13" s="295">
        <f>SUM(H10:H11)</f>
        <v>451.99999999999994</v>
      </c>
      <c r="I13" s="295">
        <f>SUM(I10:I11)</f>
        <v>0</v>
      </c>
      <c r="J13" s="1181">
        <f>SUM(J11:J11)</f>
        <v>56.96</v>
      </c>
    </row>
    <row r="14" spans="1:14" ht="16.5" x14ac:dyDescent="0.6">
      <c r="A14" s="278"/>
      <c r="B14" s="246"/>
      <c r="C14" s="246"/>
      <c r="D14" s="247"/>
      <c r="E14" s="247"/>
      <c r="F14" s="267"/>
      <c r="G14" s="247"/>
      <c r="H14" s="247"/>
      <c r="I14" s="247"/>
      <c r="J14" s="1168"/>
    </row>
    <row r="15" spans="1:14" ht="16.5" x14ac:dyDescent="0.6">
      <c r="A15" s="244" t="s">
        <v>77</v>
      </c>
      <c r="B15" s="246"/>
      <c r="C15" s="246"/>
      <c r="D15" s="247"/>
      <c r="E15" s="247"/>
      <c r="F15" s="267"/>
      <c r="G15" s="247"/>
      <c r="H15" s="247"/>
      <c r="I15" s="247"/>
      <c r="J15" s="1168"/>
    </row>
    <row r="16" spans="1:14" ht="16.5" x14ac:dyDescent="0.6">
      <c r="A16" s="278"/>
      <c r="B16" s="316" t="s">
        <v>1228</v>
      </c>
      <c r="C16" s="1172" t="s">
        <v>1229</v>
      </c>
      <c r="D16" s="1172" t="s">
        <v>1230</v>
      </c>
      <c r="E16" s="1173">
        <v>60</v>
      </c>
      <c r="F16" s="1172">
        <v>1</v>
      </c>
      <c r="G16" s="269">
        <f>F16*E16</f>
        <v>60</v>
      </c>
      <c r="H16" s="269">
        <f>G16*1.13</f>
        <v>67.8</v>
      </c>
      <c r="I16" s="1182">
        <v>0</v>
      </c>
      <c r="J16" s="1175">
        <v>0</v>
      </c>
      <c r="K16" t="s">
        <v>1231</v>
      </c>
    </row>
    <row r="17" spans="1:11" ht="16.5" x14ac:dyDescent="0.6">
      <c r="A17" s="278"/>
      <c r="B17" s="313"/>
      <c r="C17" s="1176"/>
      <c r="D17" s="1176"/>
      <c r="E17" s="1177"/>
      <c r="F17" s="1176"/>
      <c r="G17" s="275"/>
      <c r="H17" s="275"/>
      <c r="I17" s="274"/>
      <c r="J17" s="1183"/>
    </row>
    <row r="18" spans="1:11" ht="16.5" x14ac:dyDescent="0.6">
      <c r="A18" s="278"/>
      <c r="B18" s="292" t="s">
        <v>1232</v>
      </c>
      <c r="C18" s="320"/>
      <c r="D18" s="295"/>
      <c r="E18" s="295"/>
      <c r="F18" s="296"/>
      <c r="G18" s="295"/>
      <c r="H18" s="295">
        <f>SUM(H16:H16)</f>
        <v>67.8</v>
      </c>
      <c r="I18" s="295">
        <f>SUM(I16:I16)</f>
        <v>0</v>
      </c>
      <c r="J18" s="1184">
        <f>SUM(J16:J16)</f>
        <v>0</v>
      </c>
    </row>
    <row r="19" spans="1:11" ht="16.5" x14ac:dyDescent="0.6">
      <c r="A19" s="278"/>
      <c r="B19" s="246"/>
      <c r="C19" s="246"/>
      <c r="D19" s="247"/>
      <c r="E19" s="247"/>
      <c r="F19" s="267"/>
      <c r="G19" s="247"/>
      <c r="H19" s="247"/>
      <c r="I19" s="247"/>
      <c r="J19" s="1168"/>
    </row>
    <row r="20" spans="1:11" ht="16.5" x14ac:dyDescent="0.6">
      <c r="A20" s="244" t="s">
        <v>1233</v>
      </c>
      <c r="B20" s="246"/>
      <c r="C20" s="246"/>
      <c r="D20" s="247"/>
      <c r="E20" s="247"/>
      <c r="F20" s="267"/>
      <c r="G20" s="247"/>
      <c r="H20" s="247"/>
      <c r="I20" s="247"/>
      <c r="J20" s="1168"/>
    </row>
    <row r="21" spans="1:11" ht="33" x14ac:dyDescent="0.6">
      <c r="A21" s="278"/>
      <c r="B21" s="316" t="s">
        <v>1234</v>
      </c>
      <c r="C21" s="1185" t="s">
        <v>1235</v>
      </c>
      <c r="D21" s="1172" t="s">
        <v>1236</v>
      </c>
      <c r="E21" s="1173">
        <v>600</v>
      </c>
      <c r="F21" s="1172">
        <v>1</v>
      </c>
      <c r="G21" s="269">
        <v>600</v>
      </c>
      <c r="H21" s="269">
        <f>G21*1.13</f>
        <v>677.99999999999989</v>
      </c>
      <c r="I21" s="1182">
        <v>0</v>
      </c>
      <c r="J21" s="1175">
        <v>0</v>
      </c>
      <c r="K21" t="s">
        <v>1237</v>
      </c>
    </row>
    <row r="22" spans="1:11" ht="16.5" x14ac:dyDescent="0.6">
      <c r="A22" s="278"/>
      <c r="B22" s="1186" t="s">
        <v>1238</v>
      </c>
      <c r="C22" s="1187" t="s">
        <v>1239</v>
      </c>
      <c r="D22" s="1188" t="s">
        <v>1240</v>
      </c>
      <c r="E22" s="1189">
        <v>10</v>
      </c>
      <c r="F22" s="1188">
        <v>8</v>
      </c>
      <c r="G22" s="1190">
        <v>80</v>
      </c>
      <c r="H22" s="1190">
        <f>G22*1.13</f>
        <v>90.399999999999991</v>
      </c>
      <c r="I22" s="1178"/>
      <c r="J22" s="1179">
        <v>56.5</v>
      </c>
    </row>
    <row r="23" spans="1:11" ht="16.5" x14ac:dyDescent="0.6">
      <c r="A23" s="278"/>
      <c r="B23" s="316" t="s">
        <v>1241</v>
      </c>
      <c r="C23" s="1172" t="s">
        <v>1242</v>
      </c>
      <c r="D23" s="1172" t="s">
        <v>1243</v>
      </c>
      <c r="E23" s="1173">
        <v>59.65</v>
      </c>
      <c r="F23" s="1172">
        <v>6</v>
      </c>
      <c r="G23" s="269"/>
      <c r="H23" s="269"/>
      <c r="I23" s="674"/>
      <c r="J23" s="1180">
        <v>357.89</v>
      </c>
    </row>
    <row r="24" spans="1:11" ht="16.5" x14ac:dyDescent="0.6">
      <c r="A24" s="278"/>
      <c r="B24" s="292" t="s">
        <v>334</v>
      </c>
      <c r="C24" s="320"/>
      <c r="D24" s="295"/>
      <c r="E24" s="295"/>
      <c r="F24" s="296"/>
      <c r="G24" s="295"/>
      <c r="H24" s="295">
        <f>SUM(H21:H22)</f>
        <v>768.39999999999986</v>
      </c>
      <c r="I24" s="295">
        <f>SUM(I21:I21)</f>
        <v>0</v>
      </c>
      <c r="J24" s="1184">
        <f>SUM(J21:J23)</f>
        <v>414.39</v>
      </c>
    </row>
    <row r="25" spans="1:11" ht="16.5" x14ac:dyDescent="0.6">
      <c r="A25" s="278"/>
      <c r="B25" s="246"/>
      <c r="C25" s="246"/>
      <c r="D25" s="247"/>
      <c r="E25" s="247"/>
      <c r="F25" s="267"/>
      <c r="G25" s="247"/>
      <c r="H25" s="247"/>
      <c r="I25" s="247"/>
      <c r="J25" s="1168"/>
    </row>
    <row r="26" spans="1:11" ht="16.5" x14ac:dyDescent="0.6">
      <c r="A26" s="278"/>
      <c r="B26" s="274"/>
      <c r="C26" s="246" t="s">
        <v>84</v>
      </c>
      <c r="D26" s="247"/>
      <c r="E26" s="247"/>
      <c r="F26" s="267"/>
      <c r="G26" s="247"/>
      <c r="H26" s="247">
        <f>SUM(H13,H18,H24)</f>
        <v>1288.1999999999998</v>
      </c>
      <c r="I26" s="247">
        <f>SUM(I6,I13,I18)</f>
        <v>0</v>
      </c>
      <c r="J26" s="1168">
        <f>SUM(J13,J18,J24)</f>
        <v>471.34999999999997</v>
      </c>
    </row>
    <row r="27" spans="1:11" ht="16.5" x14ac:dyDescent="0.6">
      <c r="A27" s="278"/>
      <c r="B27" s="274"/>
      <c r="C27" s="246"/>
      <c r="D27" s="247"/>
      <c r="E27" s="247"/>
      <c r="F27" s="267"/>
      <c r="G27" s="247"/>
      <c r="H27" s="247"/>
      <c r="I27" s="247"/>
      <c r="J27" s="1169"/>
    </row>
    <row r="28" spans="1:11" ht="16.5" x14ac:dyDescent="0.6">
      <c r="A28" s="1475" t="s">
        <v>85</v>
      </c>
      <c r="B28" s="1476"/>
      <c r="C28" s="1476"/>
      <c r="D28" s="203"/>
      <c r="E28" s="203"/>
      <c r="F28" s="204"/>
      <c r="G28" s="203"/>
      <c r="H28" s="203"/>
      <c r="I28" s="203"/>
      <c r="J28" s="1170"/>
    </row>
    <row r="29" spans="1:11" ht="16.5" x14ac:dyDescent="0.6">
      <c r="A29" s="244"/>
      <c r="B29" s="241" t="s">
        <v>86</v>
      </c>
      <c r="C29" s="241"/>
      <c r="D29" s="242"/>
      <c r="E29" s="242"/>
      <c r="F29" s="242"/>
      <c r="G29" s="242"/>
      <c r="H29" s="242">
        <f>H6</f>
        <v>0</v>
      </c>
      <c r="I29" s="242">
        <f>I6</f>
        <v>0</v>
      </c>
      <c r="J29" s="1191">
        <f>J6</f>
        <v>0</v>
      </c>
    </row>
    <row r="30" spans="1:11" ht="16.5" x14ac:dyDescent="0.6">
      <c r="A30" s="244"/>
      <c r="B30" s="246" t="s">
        <v>87</v>
      </c>
      <c r="C30" s="246"/>
      <c r="D30" s="247"/>
      <c r="E30" s="247"/>
      <c r="F30" s="247"/>
      <c r="G30" s="247"/>
      <c r="H30" s="247">
        <f>H26</f>
        <v>1288.1999999999998</v>
      </c>
      <c r="I30" s="247">
        <f>I26</f>
        <v>0</v>
      </c>
      <c r="J30" s="1169">
        <f>J26</f>
        <v>471.34999999999997</v>
      </c>
    </row>
    <row r="31" spans="1:11" ht="16.5" x14ac:dyDescent="0.6">
      <c r="A31" s="323"/>
      <c r="B31" s="251" t="s">
        <v>88</v>
      </c>
      <c r="C31" s="251"/>
      <c r="D31" s="252"/>
      <c r="E31" s="252"/>
      <c r="F31" s="252"/>
      <c r="G31" s="252"/>
      <c r="H31" s="252">
        <f>H29-H30</f>
        <v>-1288.1999999999998</v>
      </c>
      <c r="I31" s="252">
        <f>I29-I30</f>
        <v>0</v>
      </c>
      <c r="J31" s="1192">
        <f>J29-J30</f>
        <v>-471.34999999999997</v>
      </c>
    </row>
  </sheetData>
  <mergeCells count="4">
    <mergeCell ref="A1:J1"/>
    <mergeCell ref="A4:C4"/>
    <mergeCell ref="A8:C8"/>
    <mergeCell ref="A28:C28"/>
  </mergeCells>
  <pageMargins left="0.75" right="0.75" top="1" bottom="1" header="0.3" footer="0.3"/>
  <pageSetup orientation="portrait" horizontalDpi="0" verticalDpi="0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34CD-F83F-4E2B-8F27-F004E7283297}">
  <dimension ref="A1:K111"/>
  <sheetViews>
    <sheetView topLeftCell="D7" zoomScale="70" zoomScaleNormal="70" workbookViewId="0">
      <selection activeCell="L107" sqref="L107"/>
    </sheetView>
  </sheetViews>
  <sheetFormatPr defaultColWidth="8.86328125" defaultRowHeight="16.5" x14ac:dyDescent="0.6"/>
  <cols>
    <col min="1" max="1" width="26" style="195" bestFit="1" customWidth="1"/>
    <col min="2" max="2" width="31.86328125" style="206" customWidth="1"/>
    <col min="3" max="3" width="25.1328125" style="195" bestFit="1" customWidth="1"/>
    <col min="4" max="4" width="99.86328125" style="195" customWidth="1"/>
    <col min="5" max="5" width="10.3984375" style="207" bestFit="1" customWidth="1"/>
    <col min="6" max="6" width="9.3984375" style="195" bestFit="1" customWidth="1"/>
    <col min="7" max="7" width="10" style="207" bestFit="1" customWidth="1"/>
    <col min="8" max="8" width="20" style="195" customWidth="1"/>
    <col min="9" max="9" width="11.265625" style="207" bestFit="1" customWidth="1"/>
    <col min="10" max="10" width="14.265625" style="207" customWidth="1"/>
    <col min="11" max="16384" width="8.86328125" style="195"/>
  </cols>
  <sheetData>
    <row r="1" spans="1:11" ht="16.5" customHeight="1" x14ac:dyDescent="0.6">
      <c r="A1" s="1474"/>
      <c r="B1" s="1465" t="s">
        <v>1244</v>
      </c>
      <c r="C1" s="1466"/>
      <c r="D1" s="1466"/>
      <c r="E1" s="1466"/>
      <c r="F1" s="1466"/>
      <c r="G1" s="1466"/>
      <c r="H1" s="1466"/>
      <c r="I1" s="1466"/>
      <c r="J1" s="1467"/>
    </row>
    <row r="2" spans="1:11" ht="16.5" customHeight="1" x14ac:dyDescent="0.6">
      <c r="A2" s="1474"/>
      <c r="B2" s="1468"/>
      <c r="C2" s="1469"/>
      <c r="D2" s="1469"/>
      <c r="E2" s="1469"/>
      <c r="F2" s="1469"/>
      <c r="G2" s="1469"/>
      <c r="H2" s="1469"/>
      <c r="I2" s="1469"/>
      <c r="J2" s="1470"/>
    </row>
    <row r="3" spans="1:11" ht="16.5" customHeight="1" x14ac:dyDescent="0.6">
      <c r="A3" s="1474"/>
      <c r="B3" s="1468"/>
      <c r="C3" s="1469"/>
      <c r="D3" s="1469"/>
      <c r="E3" s="1469"/>
      <c r="F3" s="1469"/>
      <c r="G3" s="1469"/>
      <c r="H3" s="1469"/>
      <c r="I3" s="1469"/>
      <c r="J3" s="1470"/>
    </row>
    <row r="4" spans="1:11" ht="85.5" customHeight="1" x14ac:dyDescent="0.6">
      <c r="A4" s="1474"/>
      <c r="B4" s="1471"/>
      <c r="C4" s="1472"/>
      <c r="D4" s="1472"/>
      <c r="E4" s="1472"/>
      <c r="F4" s="1472"/>
      <c r="G4" s="1472"/>
      <c r="H4" s="1472"/>
      <c r="I4" s="1472"/>
      <c r="J4" s="1473"/>
    </row>
    <row r="5" spans="1:11" x14ac:dyDescent="0.6">
      <c r="A5" s="196"/>
      <c r="B5" s="197" t="s">
        <v>90</v>
      </c>
      <c r="C5" s="198" t="s">
        <v>91</v>
      </c>
      <c r="D5" s="199" t="s">
        <v>92</v>
      </c>
      <c r="E5" s="200" t="s">
        <v>93</v>
      </c>
      <c r="F5" s="197" t="s">
        <v>94</v>
      </c>
      <c r="G5" s="201" t="s">
        <v>95</v>
      </c>
      <c r="H5" s="201" t="s">
        <v>96</v>
      </c>
      <c r="I5" s="201" t="s">
        <v>217</v>
      </c>
      <c r="J5" s="202" t="s">
        <v>218</v>
      </c>
    </row>
    <row r="6" spans="1:11" x14ac:dyDescent="0.6">
      <c r="A6" s="1475" t="s">
        <v>7</v>
      </c>
      <c r="B6" s="1476"/>
      <c r="C6" s="1476"/>
      <c r="D6" s="203"/>
      <c r="E6" s="203"/>
      <c r="F6" s="204"/>
      <c r="G6" s="203"/>
      <c r="H6" s="203"/>
      <c r="I6" s="203"/>
      <c r="J6" s="205"/>
    </row>
    <row r="7" spans="1:11" x14ac:dyDescent="0.6">
      <c r="A7" s="1399" t="s">
        <v>1245</v>
      </c>
      <c r="E7" s="195"/>
      <c r="G7" s="195"/>
      <c r="J7" s="208"/>
    </row>
    <row r="8" spans="1:11" x14ac:dyDescent="0.6">
      <c r="A8" s="1399"/>
      <c r="B8" s="206" t="s">
        <v>1246</v>
      </c>
      <c r="C8" s="195" t="s">
        <v>1247</v>
      </c>
      <c r="D8" s="195" t="s">
        <v>1248</v>
      </c>
      <c r="E8" s="209">
        <v>20</v>
      </c>
      <c r="F8" s="195">
        <v>50</v>
      </c>
      <c r="G8" s="209">
        <f>E8*F8</f>
        <v>1000</v>
      </c>
      <c r="H8" s="210">
        <f>G8*1.13</f>
        <v>1130</v>
      </c>
      <c r="J8" s="208"/>
    </row>
    <row r="9" spans="1:11" x14ac:dyDescent="0.6">
      <c r="A9" s="211"/>
      <c r="B9" s="212" t="s">
        <v>1249</v>
      </c>
      <c r="C9" s="213" t="s">
        <v>1250</v>
      </c>
      <c r="D9" s="213" t="s">
        <v>1251</v>
      </c>
      <c r="E9" s="214">
        <v>30</v>
      </c>
      <c r="F9" s="213">
        <v>110</v>
      </c>
      <c r="G9" s="214">
        <f>E9*F9</f>
        <v>3300</v>
      </c>
      <c r="H9" s="214">
        <f>G9*1.13</f>
        <v>3728.9999999999995</v>
      </c>
      <c r="I9" s="214"/>
      <c r="J9" s="215"/>
      <c r="K9" s="221"/>
    </row>
    <row r="10" spans="1:11" x14ac:dyDescent="0.6">
      <c r="A10" s="211"/>
      <c r="B10" s="206" t="s">
        <v>1252</v>
      </c>
      <c r="C10" s="195" t="s">
        <v>277</v>
      </c>
      <c r="D10" s="195" t="s">
        <v>1253</v>
      </c>
      <c r="E10" s="207">
        <v>0</v>
      </c>
      <c r="F10" s="195">
        <v>0</v>
      </c>
      <c r="G10" s="207">
        <f>E10*F10</f>
        <v>0</v>
      </c>
      <c r="H10" s="207">
        <f>1.13*G10</f>
        <v>0</v>
      </c>
      <c r="J10" s="208"/>
    </row>
    <row r="11" spans="1:11" x14ac:dyDescent="0.6">
      <c r="A11" s="211"/>
      <c r="C11" s="195" t="s">
        <v>1254</v>
      </c>
      <c r="D11" s="195" t="s">
        <v>1255</v>
      </c>
      <c r="E11" s="207">
        <v>5</v>
      </c>
      <c r="F11" s="195">
        <v>26</v>
      </c>
      <c r="G11" s="207">
        <v>130</v>
      </c>
      <c r="H11" s="207"/>
      <c r="J11" s="208">
        <v>130</v>
      </c>
      <c r="K11" s="195" t="s">
        <v>1256</v>
      </c>
    </row>
    <row r="12" spans="1:11" x14ac:dyDescent="0.6">
      <c r="A12" s="211"/>
      <c r="B12" s="216" t="s">
        <v>1257</v>
      </c>
      <c r="C12" s="217"/>
      <c r="D12" s="218"/>
      <c r="E12" s="218"/>
      <c r="F12" s="219"/>
      <c r="G12" s="218"/>
      <c r="H12" s="219">
        <f>SUM(H8:H10)</f>
        <v>4859</v>
      </c>
      <c r="I12" s="219">
        <v>0</v>
      </c>
      <c r="J12" s="220">
        <f>SUM(J8:J11)</f>
        <v>130</v>
      </c>
    </row>
    <row r="13" spans="1:11" x14ac:dyDescent="0.6">
      <c r="A13" s="211"/>
      <c r="J13" s="208"/>
    </row>
    <row r="14" spans="1:11" x14ac:dyDescent="0.6">
      <c r="A14" s="211"/>
      <c r="C14" s="216" t="s">
        <v>46</v>
      </c>
      <c r="D14" s="217"/>
      <c r="E14" s="219"/>
      <c r="F14" s="218"/>
      <c r="G14" s="219"/>
      <c r="H14" s="219">
        <f>H12</f>
        <v>4859</v>
      </c>
      <c r="I14" s="219">
        <v>0</v>
      </c>
      <c r="J14" s="220">
        <f>J12</f>
        <v>130</v>
      </c>
    </row>
    <row r="15" spans="1:11" x14ac:dyDescent="0.6">
      <c r="A15" s="211"/>
      <c r="E15" s="195"/>
      <c r="G15" s="195"/>
      <c r="J15" s="222"/>
    </row>
    <row r="16" spans="1:11" x14ac:dyDescent="0.6">
      <c r="A16" s="1417" t="s">
        <v>47</v>
      </c>
      <c r="B16" s="223"/>
      <c r="C16" s="1418"/>
      <c r="D16" s="203"/>
      <c r="E16" s="203"/>
      <c r="F16" s="204"/>
      <c r="G16" s="203"/>
      <c r="H16" s="203"/>
      <c r="I16" s="203"/>
      <c r="J16" s="205"/>
    </row>
    <row r="17" spans="1:10" x14ac:dyDescent="0.6">
      <c r="A17" s="1399" t="s">
        <v>1258</v>
      </c>
      <c r="J17" s="208"/>
    </row>
    <row r="18" spans="1:10" x14ac:dyDescent="0.6">
      <c r="A18" s="211"/>
      <c r="B18" s="212" t="s">
        <v>1259</v>
      </c>
      <c r="C18" s="213" t="s">
        <v>1260</v>
      </c>
      <c r="D18" s="213" t="s">
        <v>1261</v>
      </c>
      <c r="E18" s="214">
        <v>14</v>
      </c>
      <c r="F18" s="213">
        <v>20</v>
      </c>
      <c r="G18" s="214">
        <f>E18*F18</f>
        <v>280</v>
      </c>
      <c r="H18" s="214">
        <f>G18*1.13</f>
        <v>316.39999999999998</v>
      </c>
      <c r="I18" s="215">
        <v>0</v>
      </c>
      <c r="J18" s="215">
        <v>0</v>
      </c>
    </row>
    <row r="19" spans="1:10" x14ac:dyDescent="0.6">
      <c r="A19" s="211"/>
      <c r="H19" s="207"/>
      <c r="J19" s="208"/>
    </row>
    <row r="20" spans="1:10" x14ac:dyDescent="0.6">
      <c r="A20" s="211"/>
      <c r="B20" s="216" t="s">
        <v>1262</v>
      </c>
      <c r="C20" s="217"/>
      <c r="D20" s="218"/>
      <c r="E20" s="219"/>
      <c r="F20" s="218"/>
      <c r="G20" s="219"/>
      <c r="H20" s="219">
        <f>H18</f>
        <v>316.39999999999998</v>
      </c>
      <c r="I20" s="219">
        <v>0</v>
      </c>
      <c r="J20" s="220">
        <v>0</v>
      </c>
    </row>
    <row r="21" spans="1:10" x14ac:dyDescent="0.6">
      <c r="A21" s="211"/>
      <c r="H21" s="207"/>
      <c r="J21" s="208"/>
    </row>
    <row r="22" spans="1:10" x14ac:dyDescent="0.6">
      <c r="A22" s="1399" t="s">
        <v>1263</v>
      </c>
      <c r="J22" s="208"/>
    </row>
    <row r="23" spans="1:10" x14ac:dyDescent="0.6">
      <c r="A23" s="211"/>
      <c r="B23" s="212" t="s">
        <v>1264</v>
      </c>
      <c r="C23" s="213" t="s">
        <v>436</v>
      </c>
      <c r="D23" s="213" t="s">
        <v>1265</v>
      </c>
      <c r="E23" s="214">
        <v>10</v>
      </c>
      <c r="F23" s="213">
        <v>24</v>
      </c>
      <c r="G23" s="214">
        <f>E23*F23</f>
        <v>240</v>
      </c>
      <c r="H23" s="214">
        <f>G23*1.13</f>
        <v>271.2</v>
      </c>
      <c r="I23" s="214">
        <v>139</v>
      </c>
      <c r="J23" s="214">
        <v>139</v>
      </c>
    </row>
    <row r="24" spans="1:10" x14ac:dyDescent="0.6">
      <c r="A24" s="211"/>
      <c r="B24" s="206" t="s">
        <v>1266</v>
      </c>
      <c r="C24" s="195" t="s">
        <v>1267</v>
      </c>
      <c r="D24" s="195" t="s">
        <v>1268</v>
      </c>
      <c r="E24" s="207">
        <v>20</v>
      </c>
      <c r="F24" s="195">
        <v>26</v>
      </c>
      <c r="G24" s="207">
        <f>E24*F24</f>
        <v>520</v>
      </c>
      <c r="H24" s="207">
        <f>G24*1.13</f>
        <v>587.59999999999991</v>
      </c>
      <c r="I24" s="207">
        <v>200</v>
      </c>
      <c r="J24" s="207">
        <v>200</v>
      </c>
    </row>
    <row r="25" spans="1:10" x14ac:dyDescent="0.6">
      <c r="A25" s="211"/>
      <c r="E25" s="207">
        <v>5</v>
      </c>
      <c r="F25" s="195">
        <v>6</v>
      </c>
      <c r="G25" s="207">
        <v>30</v>
      </c>
      <c r="H25" s="207"/>
      <c r="I25" s="208">
        <v>30</v>
      </c>
      <c r="J25" s="208">
        <v>30</v>
      </c>
    </row>
    <row r="26" spans="1:10" x14ac:dyDescent="0.6">
      <c r="A26" s="211"/>
      <c r="B26" s="212" t="s">
        <v>1269</v>
      </c>
      <c r="C26" s="213" t="s">
        <v>1270</v>
      </c>
      <c r="D26" s="213" t="s">
        <v>1271</v>
      </c>
      <c r="E26" s="214">
        <v>25</v>
      </c>
      <c r="F26" s="213">
        <v>24</v>
      </c>
      <c r="G26" s="214">
        <f>E26*F26</f>
        <v>600</v>
      </c>
      <c r="H26" s="214">
        <f>G26*1.13</f>
        <v>677.99999999999989</v>
      </c>
      <c r="I26" s="214">
        <v>0</v>
      </c>
      <c r="J26" s="215">
        <v>0</v>
      </c>
    </row>
    <row r="27" spans="1:10" x14ac:dyDescent="0.6">
      <c r="A27" s="211"/>
      <c r="B27" s="206" t="s">
        <v>1272</v>
      </c>
      <c r="C27" s="195" t="s">
        <v>1273</v>
      </c>
      <c r="D27" s="195" t="s">
        <v>1274</v>
      </c>
      <c r="E27" s="207">
        <v>11</v>
      </c>
      <c r="F27" s="195">
        <v>24</v>
      </c>
      <c r="G27" s="207">
        <f>E27*F27</f>
        <v>264</v>
      </c>
      <c r="H27" s="207">
        <f>G27*1.13</f>
        <v>298.32</v>
      </c>
      <c r="I27" s="207">
        <v>253</v>
      </c>
      <c r="J27" s="208">
        <v>96</v>
      </c>
    </row>
    <row r="28" spans="1:10" x14ac:dyDescent="0.6">
      <c r="A28" s="211"/>
      <c r="B28" s="212" t="s">
        <v>1275</v>
      </c>
      <c r="C28" s="213" t="s">
        <v>999</v>
      </c>
      <c r="D28" s="213" t="s">
        <v>1276</v>
      </c>
      <c r="E28" s="214">
        <v>10</v>
      </c>
      <c r="F28" s="213">
        <v>6</v>
      </c>
      <c r="G28" s="214">
        <f>E28*F28</f>
        <v>60</v>
      </c>
      <c r="H28" s="214">
        <f>G28*1.13</f>
        <v>67.8</v>
      </c>
      <c r="I28" s="214">
        <v>0</v>
      </c>
      <c r="J28" s="214">
        <v>0</v>
      </c>
    </row>
    <row r="29" spans="1:10" x14ac:dyDescent="0.6">
      <c r="A29" s="211"/>
      <c r="H29" s="207"/>
      <c r="J29" s="208"/>
    </row>
    <row r="30" spans="1:10" x14ac:dyDescent="0.6">
      <c r="A30" s="211"/>
      <c r="H30" s="207"/>
      <c r="J30" s="208"/>
    </row>
    <row r="31" spans="1:10" x14ac:dyDescent="0.6">
      <c r="A31" s="211"/>
      <c r="B31" s="216" t="s">
        <v>1277</v>
      </c>
      <c r="C31" s="217"/>
      <c r="D31" s="217"/>
      <c r="E31" s="224"/>
      <c r="F31" s="217"/>
      <c r="G31" s="224"/>
      <c r="H31" s="219">
        <f>SUM(H23:H29)</f>
        <v>1902.9199999999996</v>
      </c>
      <c r="I31" s="219">
        <f>SUM(I23:I28)</f>
        <v>622</v>
      </c>
      <c r="J31" s="220">
        <f>SUM(J23:J28)</f>
        <v>465</v>
      </c>
    </row>
    <row r="32" spans="1:10" x14ac:dyDescent="0.6">
      <c r="A32" s="211"/>
      <c r="H32" s="207"/>
      <c r="J32" s="208"/>
    </row>
    <row r="33" spans="1:11" x14ac:dyDescent="0.6">
      <c r="A33" s="1399" t="s">
        <v>1245</v>
      </c>
      <c r="D33" s="195" t="s">
        <v>1278</v>
      </c>
      <c r="J33" s="208"/>
    </row>
    <row r="34" spans="1:11" x14ac:dyDescent="0.6">
      <c r="A34" s="211"/>
      <c r="B34" s="212" t="s">
        <v>1279</v>
      </c>
      <c r="C34" s="213" t="s">
        <v>1280</v>
      </c>
      <c r="D34" s="213" t="s">
        <v>1281</v>
      </c>
      <c r="E34" s="214">
        <v>0.75</v>
      </c>
      <c r="F34" s="213">
        <v>175</v>
      </c>
      <c r="G34" s="214">
        <f t="shared" ref="G34:G48" si="0">E34*F34</f>
        <v>131.25</v>
      </c>
      <c r="H34" s="214">
        <f t="shared" ref="H34:H48" si="1">G34*1.13</f>
        <v>148.3125</v>
      </c>
      <c r="I34" s="214"/>
      <c r="J34" s="215"/>
    </row>
    <row r="35" spans="1:11" x14ac:dyDescent="0.6">
      <c r="A35" s="211"/>
      <c r="B35" s="206" t="s">
        <v>1282</v>
      </c>
      <c r="C35" s="195" t="s">
        <v>1283</v>
      </c>
      <c r="D35" s="195" t="s">
        <v>1284</v>
      </c>
      <c r="E35" s="207">
        <v>400</v>
      </c>
      <c r="F35" s="195">
        <v>2</v>
      </c>
      <c r="G35" s="207">
        <f t="shared" si="0"/>
        <v>800</v>
      </c>
      <c r="H35" s="207">
        <f t="shared" si="1"/>
        <v>903.99999999999989</v>
      </c>
      <c r="I35" s="207">
        <v>400</v>
      </c>
      <c r="J35" s="208"/>
      <c r="K35" s="195" t="s">
        <v>1285</v>
      </c>
    </row>
    <row r="36" spans="1:11" x14ac:dyDescent="0.6">
      <c r="A36" s="211"/>
      <c r="B36" s="212" t="s">
        <v>1286</v>
      </c>
      <c r="C36" s="213" t="s">
        <v>1287</v>
      </c>
      <c r="D36" s="213" t="s">
        <v>1288</v>
      </c>
      <c r="E36" s="214">
        <v>3</v>
      </c>
      <c r="F36" s="213">
        <v>50</v>
      </c>
      <c r="G36" s="214">
        <f t="shared" si="0"/>
        <v>150</v>
      </c>
      <c r="H36" s="214">
        <f t="shared" si="1"/>
        <v>169.49999999999997</v>
      </c>
      <c r="I36" s="214"/>
      <c r="J36" s="215"/>
    </row>
    <row r="37" spans="1:11" x14ac:dyDescent="0.6">
      <c r="A37" s="211"/>
      <c r="B37" s="206" t="s">
        <v>1289</v>
      </c>
      <c r="C37" s="195" t="s">
        <v>530</v>
      </c>
      <c r="D37" s="195" t="s">
        <v>1129</v>
      </c>
      <c r="E37" s="207">
        <v>1</v>
      </c>
      <c r="F37" s="195">
        <v>20</v>
      </c>
      <c r="G37" s="207">
        <f t="shared" si="0"/>
        <v>20</v>
      </c>
      <c r="H37" s="207">
        <f t="shared" si="1"/>
        <v>22.599999999999998</v>
      </c>
      <c r="J37" s="208"/>
    </row>
    <row r="38" spans="1:11" x14ac:dyDescent="0.6">
      <c r="A38" s="211"/>
      <c r="B38" s="212" t="s">
        <v>1290</v>
      </c>
      <c r="C38" s="213" t="s">
        <v>1291</v>
      </c>
      <c r="D38" s="213" t="s">
        <v>1292</v>
      </c>
      <c r="E38" s="214">
        <v>20</v>
      </c>
      <c r="F38" s="213">
        <v>6</v>
      </c>
      <c r="G38" s="214">
        <f t="shared" si="0"/>
        <v>120</v>
      </c>
      <c r="H38" s="214">
        <f t="shared" si="1"/>
        <v>135.6</v>
      </c>
      <c r="I38" s="214"/>
      <c r="J38" s="215">
        <v>101</v>
      </c>
    </row>
    <row r="39" spans="1:11" x14ac:dyDescent="0.6">
      <c r="A39" s="211"/>
      <c r="B39" s="206" t="s">
        <v>1293</v>
      </c>
      <c r="C39" s="195" t="s">
        <v>1294</v>
      </c>
      <c r="D39" s="195" t="s">
        <v>1295</v>
      </c>
      <c r="E39" s="207">
        <v>60</v>
      </c>
      <c r="F39" s="195">
        <v>2</v>
      </c>
      <c r="G39" s="207">
        <f t="shared" si="0"/>
        <v>120</v>
      </c>
      <c r="H39" s="207">
        <f t="shared" si="1"/>
        <v>135.6</v>
      </c>
      <c r="J39" s="208"/>
    </row>
    <row r="40" spans="1:11" x14ac:dyDescent="0.6">
      <c r="A40" s="211"/>
      <c r="B40" s="212" t="s">
        <v>1296</v>
      </c>
      <c r="C40" s="213" t="s">
        <v>1138</v>
      </c>
      <c r="D40" s="213" t="s">
        <v>1297</v>
      </c>
      <c r="E40" s="214">
        <v>8</v>
      </c>
      <c r="F40" s="213">
        <v>175</v>
      </c>
      <c r="G40" s="214">
        <f t="shared" si="0"/>
        <v>1400</v>
      </c>
      <c r="H40" s="214">
        <f t="shared" si="1"/>
        <v>1581.9999999999998</v>
      </c>
      <c r="I40" s="214"/>
      <c r="J40" s="215"/>
    </row>
    <row r="41" spans="1:11" x14ac:dyDescent="0.6">
      <c r="A41" s="211"/>
      <c r="B41" s="206" t="s">
        <v>1298</v>
      </c>
      <c r="C41" s="195" t="s">
        <v>1211</v>
      </c>
      <c r="D41" s="195" t="s">
        <v>1297</v>
      </c>
      <c r="E41" s="207">
        <v>15</v>
      </c>
      <c r="F41" s="195">
        <v>175</v>
      </c>
      <c r="G41" s="207">
        <f t="shared" si="0"/>
        <v>2625</v>
      </c>
      <c r="H41" s="207">
        <f t="shared" si="1"/>
        <v>2966.2499999999995</v>
      </c>
      <c r="J41" s="208"/>
    </row>
    <row r="42" spans="1:11" x14ac:dyDescent="0.6">
      <c r="A42" s="211"/>
      <c r="B42" s="206" t="s">
        <v>1299</v>
      </c>
      <c r="C42" s="195" t="s">
        <v>328</v>
      </c>
      <c r="D42" s="195" t="s">
        <v>1300</v>
      </c>
      <c r="E42" s="225">
        <v>2.5</v>
      </c>
      <c r="F42" s="195">
        <v>75</v>
      </c>
      <c r="G42" s="207">
        <f t="shared" si="0"/>
        <v>187.5</v>
      </c>
      <c r="H42" s="207">
        <f t="shared" si="1"/>
        <v>211.87499999999997</v>
      </c>
      <c r="J42" s="208">
        <v>168.57</v>
      </c>
    </row>
    <row r="43" spans="1:11" x14ac:dyDescent="0.6">
      <c r="A43" s="211"/>
      <c r="B43" s="212" t="s">
        <v>1301</v>
      </c>
      <c r="C43" s="213" t="s">
        <v>1302</v>
      </c>
      <c r="D43" s="213" t="s">
        <v>1303</v>
      </c>
      <c r="E43" s="214">
        <v>200</v>
      </c>
      <c r="F43" s="213">
        <v>3</v>
      </c>
      <c r="G43" s="214">
        <f t="shared" si="0"/>
        <v>600</v>
      </c>
      <c r="H43" s="214">
        <f t="shared" si="1"/>
        <v>677.99999999999989</v>
      </c>
      <c r="I43" s="214"/>
      <c r="J43" s="215">
        <v>244.82</v>
      </c>
    </row>
    <row r="44" spans="1:11" x14ac:dyDescent="0.6">
      <c r="A44" s="211"/>
      <c r="B44" s="206" t="s">
        <v>1304</v>
      </c>
      <c r="C44" s="195" t="s">
        <v>1305</v>
      </c>
      <c r="D44" s="195" t="s">
        <v>1306</v>
      </c>
      <c r="E44" s="207">
        <v>30</v>
      </c>
      <c r="F44" s="195">
        <v>13</v>
      </c>
      <c r="G44" s="207">
        <f t="shared" si="0"/>
        <v>390</v>
      </c>
      <c r="H44" s="207">
        <f t="shared" si="1"/>
        <v>440.69999999999993</v>
      </c>
      <c r="J44" s="208"/>
    </row>
    <row r="45" spans="1:11" x14ac:dyDescent="0.6">
      <c r="A45" s="211"/>
      <c r="B45" s="212" t="s">
        <v>1307</v>
      </c>
      <c r="C45" s="213" t="s">
        <v>1308</v>
      </c>
      <c r="D45" s="213" t="s">
        <v>1309</v>
      </c>
      <c r="E45" s="214">
        <v>288.14999999999998</v>
      </c>
      <c r="F45" s="213">
        <v>1</v>
      </c>
      <c r="G45" s="214">
        <f t="shared" si="0"/>
        <v>288.14999999999998</v>
      </c>
      <c r="H45" s="214">
        <f t="shared" si="1"/>
        <v>325.60949999999997</v>
      </c>
      <c r="I45" s="214"/>
      <c r="J45" s="215"/>
    </row>
    <row r="46" spans="1:11" x14ac:dyDescent="0.6">
      <c r="A46" s="211"/>
      <c r="B46" s="206" t="s">
        <v>1310</v>
      </c>
      <c r="C46" s="195" t="s">
        <v>1311</v>
      </c>
      <c r="D46" s="195" t="s">
        <v>1309</v>
      </c>
      <c r="E46" s="207">
        <v>491.55</v>
      </c>
      <c r="F46" s="195">
        <v>1</v>
      </c>
      <c r="G46" s="207">
        <f t="shared" si="0"/>
        <v>491.55</v>
      </c>
      <c r="H46" s="207">
        <f t="shared" si="1"/>
        <v>555.45150000000001</v>
      </c>
      <c r="J46" s="208"/>
    </row>
    <row r="47" spans="1:11" x14ac:dyDescent="0.6">
      <c r="A47" s="211"/>
      <c r="B47" s="213" t="s">
        <v>1312</v>
      </c>
      <c r="C47" s="213" t="s">
        <v>1313</v>
      </c>
      <c r="D47" s="213" t="s">
        <v>1314</v>
      </c>
      <c r="E47" s="226">
        <v>3</v>
      </c>
      <c r="F47" s="213">
        <v>175</v>
      </c>
      <c r="G47" s="214">
        <f t="shared" si="0"/>
        <v>525</v>
      </c>
      <c r="H47" s="214">
        <f t="shared" si="1"/>
        <v>593.25</v>
      </c>
      <c r="I47" s="213"/>
      <c r="J47" s="227"/>
    </row>
    <row r="48" spans="1:11" x14ac:dyDescent="0.6">
      <c r="A48" s="211"/>
      <c r="B48" s="206" t="s">
        <v>1315</v>
      </c>
      <c r="C48" s="195" t="s">
        <v>1316</v>
      </c>
      <c r="D48" s="195" t="s">
        <v>1317</v>
      </c>
      <c r="E48" s="207">
        <v>10</v>
      </c>
      <c r="F48" s="195">
        <v>10</v>
      </c>
      <c r="G48" s="207">
        <f t="shared" si="0"/>
        <v>100</v>
      </c>
      <c r="H48" s="195">
        <f t="shared" si="1"/>
        <v>112.99999999999999</v>
      </c>
      <c r="J48" s="208"/>
    </row>
    <row r="49" spans="1:11" x14ac:dyDescent="0.6">
      <c r="A49" s="211"/>
      <c r="J49" s="208"/>
    </row>
    <row r="50" spans="1:11" x14ac:dyDescent="0.6">
      <c r="A50" s="211"/>
      <c r="B50" s="216" t="s">
        <v>1318</v>
      </c>
      <c r="C50" s="217"/>
      <c r="D50" s="218"/>
      <c r="E50" s="219"/>
      <c r="F50" s="218"/>
      <c r="G50" s="219"/>
      <c r="H50" s="219">
        <f>SUM(H34:H48)</f>
        <v>8981.7484999999979</v>
      </c>
      <c r="I50" s="219">
        <f>SUM(I34:I47)</f>
        <v>400</v>
      </c>
      <c r="J50" s="220">
        <f>SUM(J34:J47)</f>
        <v>514.39</v>
      </c>
    </row>
    <row r="51" spans="1:11" x14ac:dyDescent="0.6">
      <c r="A51" s="211"/>
      <c r="J51" s="208"/>
    </row>
    <row r="52" spans="1:11" x14ac:dyDescent="0.6">
      <c r="A52" s="1399" t="s">
        <v>1319</v>
      </c>
      <c r="J52" s="208"/>
    </row>
    <row r="53" spans="1:11" x14ac:dyDescent="0.6">
      <c r="A53" s="211"/>
      <c r="B53" s="212" t="s">
        <v>1320</v>
      </c>
      <c r="C53" s="213" t="s">
        <v>1321</v>
      </c>
      <c r="D53" s="213" t="s">
        <v>1322</v>
      </c>
      <c r="E53" s="214">
        <v>21</v>
      </c>
      <c r="F53" s="213">
        <v>15</v>
      </c>
      <c r="G53" s="214">
        <f t="shared" ref="G53:G58" si="2">E53*F53</f>
        <v>315</v>
      </c>
      <c r="H53" s="214">
        <f>G53*1.13</f>
        <v>355.95</v>
      </c>
      <c r="I53" s="214"/>
      <c r="J53" s="215">
        <v>326.3</v>
      </c>
    </row>
    <row r="54" spans="1:11" x14ac:dyDescent="0.6">
      <c r="A54" s="211"/>
      <c r="B54" s="206" t="s">
        <v>1323</v>
      </c>
      <c r="C54" s="195" t="s">
        <v>1321</v>
      </c>
      <c r="D54" s="195" t="s">
        <v>1324</v>
      </c>
      <c r="E54" s="207">
        <v>21</v>
      </c>
      <c r="F54" s="228">
        <v>15</v>
      </c>
      <c r="G54" s="207">
        <f t="shared" si="2"/>
        <v>315</v>
      </c>
      <c r="H54" s="207">
        <f t="shared" ref="H54:H57" si="3">G54*1.13</f>
        <v>355.95</v>
      </c>
      <c r="J54" s="208">
        <v>326.3</v>
      </c>
    </row>
    <row r="55" spans="1:11" x14ac:dyDescent="0.6">
      <c r="A55" s="211"/>
      <c r="B55" s="212" t="s">
        <v>1325</v>
      </c>
      <c r="C55" s="213" t="s">
        <v>1321</v>
      </c>
      <c r="D55" s="213" t="s">
        <v>1326</v>
      </c>
      <c r="E55" s="214">
        <v>21</v>
      </c>
      <c r="F55" s="213">
        <v>13</v>
      </c>
      <c r="G55" s="214">
        <f t="shared" si="2"/>
        <v>273</v>
      </c>
      <c r="H55" s="214">
        <f t="shared" si="3"/>
        <v>308.48999999999995</v>
      </c>
      <c r="I55" s="214"/>
      <c r="J55" s="215"/>
    </row>
    <row r="56" spans="1:11" x14ac:dyDescent="0.6">
      <c r="A56" s="211"/>
      <c r="B56" s="229" t="s">
        <v>1327</v>
      </c>
      <c r="C56" s="195" t="s">
        <v>1321</v>
      </c>
      <c r="D56" s="195" t="s">
        <v>1328</v>
      </c>
      <c r="E56" s="207">
        <v>21</v>
      </c>
      <c r="F56" s="228">
        <v>13</v>
      </c>
      <c r="G56" s="207">
        <f t="shared" si="2"/>
        <v>273</v>
      </c>
      <c r="H56" s="207">
        <f t="shared" si="3"/>
        <v>308.48999999999995</v>
      </c>
      <c r="J56" s="208"/>
    </row>
    <row r="57" spans="1:11" x14ac:dyDescent="0.6">
      <c r="B57" s="212" t="s">
        <v>1329</v>
      </c>
      <c r="C57" s="213" t="s">
        <v>1321</v>
      </c>
      <c r="D57" s="213" t="s">
        <v>1330</v>
      </c>
      <c r="E57" s="214">
        <v>21</v>
      </c>
      <c r="F57" s="213">
        <v>5</v>
      </c>
      <c r="G57" s="214">
        <f t="shared" si="2"/>
        <v>105</v>
      </c>
      <c r="H57" s="214">
        <f t="shared" si="3"/>
        <v>118.64999999999999</v>
      </c>
      <c r="I57" s="214"/>
      <c r="J57" s="215"/>
    </row>
    <row r="58" spans="1:11" x14ac:dyDescent="0.6">
      <c r="B58" s="206" t="s">
        <v>1331</v>
      </c>
      <c r="C58" s="195" t="s">
        <v>1321</v>
      </c>
      <c r="D58" s="195" t="s">
        <v>1332</v>
      </c>
      <c r="E58" s="207">
        <v>21</v>
      </c>
      <c r="F58" s="195">
        <v>5</v>
      </c>
      <c r="G58" s="207">
        <f t="shared" si="2"/>
        <v>105</v>
      </c>
      <c r="H58" s="207">
        <f>G58*1.13</f>
        <v>118.64999999999999</v>
      </c>
      <c r="J58" s="208"/>
    </row>
    <row r="59" spans="1:11" x14ac:dyDescent="0.6">
      <c r="H59" s="207"/>
      <c r="J59" s="208"/>
    </row>
    <row r="60" spans="1:11" x14ac:dyDescent="0.6">
      <c r="A60" s="211"/>
      <c r="B60" s="216" t="s">
        <v>1333</v>
      </c>
      <c r="C60" s="217"/>
      <c r="D60" s="218"/>
      <c r="E60" s="219"/>
      <c r="F60" s="218"/>
      <c r="G60" s="219"/>
      <c r="H60" s="219">
        <f>SUM(H53:H58)</f>
        <v>1566.18</v>
      </c>
      <c r="I60" s="219">
        <f>SUM(I53:I58)</f>
        <v>0</v>
      </c>
      <c r="J60" s="220">
        <f>SUM(J53:J58)</f>
        <v>652.6</v>
      </c>
    </row>
    <row r="61" spans="1:11" x14ac:dyDescent="0.6">
      <c r="A61" s="211"/>
      <c r="H61" s="207"/>
      <c r="J61" s="208"/>
    </row>
    <row r="62" spans="1:11" x14ac:dyDescent="0.6">
      <c r="A62" s="1399" t="s">
        <v>1334</v>
      </c>
      <c r="J62" s="208"/>
    </row>
    <row r="63" spans="1:11" x14ac:dyDescent="0.6">
      <c r="A63" s="211"/>
      <c r="B63" s="212" t="s">
        <v>1335</v>
      </c>
      <c r="C63" s="213" t="s">
        <v>1294</v>
      </c>
      <c r="D63" s="213" t="s">
        <v>310</v>
      </c>
      <c r="E63" s="214">
        <v>60</v>
      </c>
      <c r="F63" s="213">
        <v>1</v>
      </c>
      <c r="G63" s="214">
        <f>F63*E63</f>
        <v>60</v>
      </c>
      <c r="H63" s="214">
        <f>G63*1.13</f>
        <v>67.8</v>
      </c>
      <c r="I63" s="214"/>
      <c r="J63" s="215"/>
    </row>
    <row r="64" spans="1:11" x14ac:dyDescent="0.6">
      <c r="A64" s="211"/>
      <c r="B64" s="206" t="s">
        <v>1336</v>
      </c>
      <c r="C64" s="195" t="s">
        <v>1294</v>
      </c>
      <c r="D64" s="195" t="s">
        <v>1337</v>
      </c>
      <c r="E64" s="207">
        <v>90</v>
      </c>
      <c r="F64" s="195">
        <v>3</v>
      </c>
      <c r="G64" s="207">
        <f>F64*E64</f>
        <v>270</v>
      </c>
      <c r="H64" s="207">
        <f t="shared" ref="H64:H65" si="4">G64*1.13</f>
        <v>305.09999999999997</v>
      </c>
      <c r="J64" s="208"/>
    </row>
    <row r="65" spans="1:10" x14ac:dyDescent="0.6">
      <c r="A65" s="211"/>
      <c r="B65" s="212" t="s">
        <v>1338</v>
      </c>
      <c r="C65" s="213" t="s">
        <v>1294</v>
      </c>
      <c r="D65" s="213" t="s">
        <v>1339</v>
      </c>
      <c r="E65" s="214">
        <v>36</v>
      </c>
      <c r="F65" s="213">
        <v>2</v>
      </c>
      <c r="G65" s="214">
        <f>F65*E65</f>
        <v>72</v>
      </c>
      <c r="H65" s="214">
        <f t="shared" si="4"/>
        <v>81.359999999999985</v>
      </c>
      <c r="I65" s="214"/>
      <c r="J65" s="215"/>
    </row>
    <row r="66" spans="1:10" x14ac:dyDescent="0.6">
      <c r="A66" s="211"/>
      <c r="H66" s="207"/>
      <c r="J66" s="208"/>
    </row>
    <row r="67" spans="1:10" x14ac:dyDescent="0.6">
      <c r="A67" s="211"/>
      <c r="B67" s="216" t="s">
        <v>1340</v>
      </c>
      <c r="C67" s="217"/>
      <c r="D67" s="218"/>
      <c r="E67" s="219"/>
      <c r="F67" s="218"/>
      <c r="G67" s="219"/>
      <c r="H67" s="219">
        <f>H63+H64+H65</f>
        <v>454.26</v>
      </c>
      <c r="I67" s="219">
        <f>SUM(I63:I65)</f>
        <v>0</v>
      </c>
      <c r="J67" s="220">
        <f>SUM(J63:J65)</f>
        <v>0</v>
      </c>
    </row>
    <row r="68" spans="1:10" x14ac:dyDescent="0.6">
      <c r="A68" s="211"/>
      <c r="H68" s="207"/>
      <c r="J68" s="208"/>
    </row>
    <row r="69" spans="1:10" x14ac:dyDescent="0.6">
      <c r="A69" s="1399" t="s">
        <v>1341</v>
      </c>
      <c r="D69" s="195" t="s">
        <v>1342</v>
      </c>
      <c r="J69" s="208"/>
    </row>
    <row r="70" spans="1:10" x14ac:dyDescent="0.6">
      <c r="A70" s="211"/>
      <c r="B70" s="212" t="s">
        <v>1343</v>
      </c>
      <c r="C70" s="213" t="s">
        <v>1344</v>
      </c>
      <c r="D70" s="213" t="s">
        <v>1345</v>
      </c>
      <c r="E70" s="214">
        <v>125</v>
      </c>
      <c r="F70" s="213">
        <v>2</v>
      </c>
      <c r="G70" s="214">
        <f>E70*F70</f>
        <v>250</v>
      </c>
      <c r="H70" s="214">
        <f>G70*1.13</f>
        <v>282.5</v>
      </c>
      <c r="I70" s="214">
        <v>33.9</v>
      </c>
      <c r="J70" s="215"/>
    </row>
    <row r="71" spans="1:10" x14ac:dyDescent="0.6">
      <c r="A71" s="211"/>
      <c r="B71" s="206" t="s">
        <v>1346</v>
      </c>
      <c r="C71" s="195" t="s">
        <v>1347</v>
      </c>
      <c r="D71" s="195" t="s">
        <v>1348</v>
      </c>
      <c r="E71" s="207">
        <v>1.97</v>
      </c>
      <c r="F71" s="195">
        <v>5</v>
      </c>
      <c r="G71" s="207">
        <f>E71*F71</f>
        <v>9.85</v>
      </c>
      <c r="H71" s="207">
        <f>G71*1.13</f>
        <v>11.130499999999998</v>
      </c>
      <c r="J71" s="208"/>
    </row>
    <row r="72" spans="1:10" x14ac:dyDescent="0.6">
      <c r="A72" s="211"/>
      <c r="B72" s="206" t="s">
        <v>1349</v>
      </c>
      <c r="C72" s="195" t="s">
        <v>1350</v>
      </c>
      <c r="D72" s="195" t="s">
        <v>1351</v>
      </c>
      <c r="E72" s="207">
        <v>15</v>
      </c>
      <c r="F72" s="195">
        <v>6</v>
      </c>
      <c r="G72" s="207">
        <f>E72*F72</f>
        <v>90</v>
      </c>
      <c r="H72" s="207">
        <f>G72*1.13</f>
        <v>101.69999999999999</v>
      </c>
      <c r="J72" s="208"/>
    </row>
    <row r="73" spans="1:10" x14ac:dyDescent="0.6">
      <c r="A73" s="211"/>
      <c r="H73" s="207"/>
      <c r="J73" s="208"/>
    </row>
    <row r="74" spans="1:10" x14ac:dyDescent="0.6">
      <c r="A74" s="211"/>
      <c r="B74" s="216" t="s">
        <v>1352</v>
      </c>
      <c r="C74" s="217"/>
      <c r="D74" s="218"/>
      <c r="E74" s="219"/>
      <c r="F74" s="218"/>
      <c r="G74" s="219"/>
      <c r="H74" s="219">
        <f>SUM(H70,H72)</f>
        <v>384.2</v>
      </c>
      <c r="I74" s="219">
        <f>SUM(I70:I72)</f>
        <v>33.9</v>
      </c>
      <c r="J74" s="220">
        <f>SUM(J70:J73)</f>
        <v>0</v>
      </c>
    </row>
    <row r="75" spans="1:10" x14ac:dyDescent="0.6">
      <c r="A75" s="211"/>
      <c r="C75" s="230"/>
      <c r="D75" s="230"/>
      <c r="E75" s="221"/>
      <c r="F75" s="230"/>
      <c r="G75" s="221"/>
      <c r="H75" s="221"/>
      <c r="I75" s="221"/>
      <c r="J75" s="231"/>
    </row>
    <row r="76" spans="1:10" x14ac:dyDescent="0.6">
      <c r="A76" s="1399" t="s">
        <v>1353</v>
      </c>
      <c r="J76" s="208"/>
    </row>
    <row r="77" spans="1:10" x14ac:dyDescent="0.6">
      <c r="A77" s="211"/>
      <c r="B77" s="232" t="s">
        <v>1354</v>
      </c>
      <c r="C77" s="195" t="s">
        <v>347</v>
      </c>
      <c r="D77" s="195" t="s">
        <v>328</v>
      </c>
      <c r="E77" s="207">
        <v>14</v>
      </c>
      <c r="F77" s="195">
        <v>10</v>
      </c>
      <c r="G77" s="207">
        <f>E77*F77</f>
        <v>140</v>
      </c>
      <c r="H77" s="207">
        <f t="shared" ref="H77:H78" si="5">G77*1.13</f>
        <v>158.19999999999999</v>
      </c>
      <c r="J77" s="208">
        <v>86.56</v>
      </c>
    </row>
    <row r="78" spans="1:10" x14ac:dyDescent="0.6">
      <c r="A78" s="211"/>
      <c r="B78" s="212" t="s">
        <v>1355</v>
      </c>
      <c r="C78" s="213" t="s">
        <v>1135</v>
      </c>
      <c r="D78" s="213" t="s">
        <v>1356</v>
      </c>
      <c r="E78" s="214">
        <v>4</v>
      </c>
      <c r="F78" s="213">
        <v>10</v>
      </c>
      <c r="G78" s="214">
        <f>E78*F78</f>
        <v>40</v>
      </c>
      <c r="H78" s="214">
        <f t="shared" si="5"/>
        <v>45.199999999999996</v>
      </c>
      <c r="I78" s="214"/>
      <c r="J78" s="215"/>
    </row>
    <row r="79" spans="1:10" x14ac:dyDescent="0.6">
      <c r="A79" s="211"/>
      <c r="H79" s="207"/>
      <c r="J79" s="208"/>
    </row>
    <row r="80" spans="1:10" x14ac:dyDescent="0.6">
      <c r="A80" s="211"/>
      <c r="J80" s="208"/>
    </row>
    <row r="81" spans="1:11" x14ac:dyDescent="0.6">
      <c r="A81" s="211"/>
      <c r="B81" s="216" t="s">
        <v>1357</v>
      </c>
      <c r="C81" s="217"/>
      <c r="D81" s="218"/>
      <c r="E81" s="219"/>
      <c r="F81" s="218"/>
      <c r="G81" s="219"/>
      <c r="H81" s="219">
        <f>SUM(H77:H79)</f>
        <v>203.39999999999998</v>
      </c>
      <c r="I81" s="219">
        <v>0</v>
      </c>
      <c r="J81" s="220">
        <f>SUM(J77)</f>
        <v>86.56</v>
      </c>
    </row>
    <row r="82" spans="1:11" x14ac:dyDescent="0.6">
      <c r="A82" s="211"/>
      <c r="C82" s="230"/>
      <c r="H82" s="221"/>
      <c r="I82" s="221"/>
      <c r="J82" s="231"/>
    </row>
    <row r="83" spans="1:11" x14ac:dyDescent="0.6">
      <c r="A83" s="1526" t="s">
        <v>1358</v>
      </c>
      <c r="B83" s="1527"/>
      <c r="C83" s="230"/>
      <c r="H83" s="221"/>
      <c r="I83" s="221"/>
      <c r="J83" s="231"/>
    </row>
    <row r="84" spans="1:11" x14ac:dyDescent="0.6">
      <c r="A84" s="211"/>
      <c r="B84" s="212" t="s">
        <v>1359</v>
      </c>
      <c r="C84" s="213" t="s">
        <v>1360</v>
      </c>
      <c r="D84" s="213" t="s">
        <v>1361</v>
      </c>
      <c r="E84" s="214">
        <v>8</v>
      </c>
      <c r="F84" s="213">
        <v>25</v>
      </c>
      <c r="G84" s="214">
        <f>F84*E84</f>
        <v>200</v>
      </c>
      <c r="H84" s="233">
        <f>G84*1.13</f>
        <v>225.99999999999997</v>
      </c>
      <c r="I84" s="233"/>
      <c r="J84" s="234">
        <v>197.75</v>
      </c>
    </row>
    <row r="85" spans="1:11" x14ac:dyDescent="0.6">
      <c r="A85" s="211"/>
      <c r="C85" s="230"/>
      <c r="H85" s="221"/>
      <c r="I85" s="221"/>
      <c r="J85" s="231"/>
    </row>
    <row r="86" spans="1:11" x14ac:dyDescent="0.6">
      <c r="A86" s="211"/>
      <c r="B86" s="235" t="s">
        <v>1362</v>
      </c>
      <c r="C86" s="236"/>
      <c r="D86" s="217"/>
      <c r="E86" s="224"/>
      <c r="F86" s="217"/>
      <c r="G86" s="224"/>
      <c r="H86" s="219">
        <f>H84</f>
        <v>225.99999999999997</v>
      </c>
      <c r="I86" s="219"/>
      <c r="J86" s="220"/>
    </row>
    <row r="87" spans="1:11" x14ac:dyDescent="0.6">
      <c r="A87" s="211"/>
      <c r="B87" s="237"/>
      <c r="C87" s="206"/>
      <c r="H87" s="221"/>
      <c r="I87" s="221"/>
      <c r="J87" s="231"/>
    </row>
    <row r="88" spans="1:11" x14ac:dyDescent="0.6">
      <c r="A88" s="1399" t="s">
        <v>1363</v>
      </c>
      <c r="J88" s="208"/>
    </row>
    <row r="89" spans="1:11" x14ac:dyDescent="0.6">
      <c r="A89" s="211"/>
      <c r="B89" s="232" t="s">
        <v>1364</v>
      </c>
      <c r="C89" s="195" t="s">
        <v>347</v>
      </c>
      <c r="D89" s="195" t="s">
        <v>328</v>
      </c>
      <c r="E89" s="207">
        <v>14</v>
      </c>
      <c r="F89" s="195">
        <v>10</v>
      </c>
      <c r="G89" s="207">
        <f>E89*F89</f>
        <v>140</v>
      </c>
      <c r="H89" s="207">
        <f t="shared" ref="H89:H90" si="6">G89*1.13</f>
        <v>158.19999999999999</v>
      </c>
      <c r="J89" s="208">
        <v>0</v>
      </c>
    </row>
    <row r="90" spans="1:11" x14ac:dyDescent="0.6">
      <c r="A90" s="211"/>
      <c r="B90" s="212" t="s">
        <v>1365</v>
      </c>
      <c r="C90" s="213" t="s">
        <v>1135</v>
      </c>
      <c r="D90" s="213" t="s">
        <v>1356</v>
      </c>
      <c r="E90" s="214">
        <v>4</v>
      </c>
      <c r="F90" s="213">
        <v>10</v>
      </c>
      <c r="G90" s="214">
        <f>E90*F90</f>
        <v>40</v>
      </c>
      <c r="H90" s="214">
        <f t="shared" si="6"/>
        <v>45.199999999999996</v>
      </c>
      <c r="I90" s="214"/>
      <c r="J90" s="215">
        <v>0</v>
      </c>
    </row>
    <row r="91" spans="1:11" x14ac:dyDescent="0.6">
      <c r="A91" s="211"/>
      <c r="H91" s="207"/>
      <c r="J91" s="208">
        <v>0</v>
      </c>
    </row>
    <row r="92" spans="1:11" x14ac:dyDescent="0.6">
      <c r="A92" s="211"/>
      <c r="B92" s="216" t="s">
        <v>1366</v>
      </c>
      <c r="C92" s="217"/>
      <c r="D92" s="218"/>
      <c r="E92" s="219"/>
      <c r="F92" s="218"/>
      <c r="G92" s="219"/>
      <c r="H92" s="219">
        <f>SUM(H88:H90)</f>
        <v>203.39999999999998</v>
      </c>
      <c r="I92" s="219">
        <v>0</v>
      </c>
      <c r="J92" s="220">
        <v>0</v>
      </c>
    </row>
    <row r="93" spans="1:11" x14ac:dyDescent="0.6">
      <c r="A93" s="211"/>
      <c r="B93" s="230"/>
      <c r="D93" s="230"/>
      <c r="E93" s="221"/>
      <c r="F93" s="230"/>
      <c r="G93" s="221"/>
      <c r="H93" s="221"/>
      <c r="I93" s="221"/>
      <c r="J93" s="231"/>
    </row>
    <row r="94" spans="1:11" x14ac:dyDescent="0.6">
      <c r="A94" s="1399" t="s">
        <v>1367</v>
      </c>
      <c r="J94" s="208"/>
    </row>
    <row r="95" spans="1:11" x14ac:dyDescent="0.6">
      <c r="A95" s="211"/>
      <c r="B95" s="232" t="s">
        <v>1368</v>
      </c>
      <c r="C95" s="228" t="s">
        <v>1294</v>
      </c>
      <c r="D95" s="228" t="s">
        <v>310</v>
      </c>
      <c r="E95" s="225">
        <v>60</v>
      </c>
      <c r="F95" s="228">
        <v>1</v>
      </c>
      <c r="G95" s="225">
        <f>F95*E95</f>
        <v>60</v>
      </c>
      <c r="H95" s="225">
        <f>G95*1.13</f>
        <v>67.8</v>
      </c>
      <c r="J95" s="208">
        <v>0</v>
      </c>
    </row>
    <row r="96" spans="1:11" x14ac:dyDescent="0.6">
      <c r="A96" s="211"/>
      <c r="B96" s="212" t="s">
        <v>1369</v>
      </c>
      <c r="C96" s="213" t="s">
        <v>1294</v>
      </c>
      <c r="D96" s="213" t="s">
        <v>1339</v>
      </c>
      <c r="E96" s="214">
        <v>36</v>
      </c>
      <c r="F96" s="213">
        <v>2</v>
      </c>
      <c r="G96" s="214">
        <f>F96*E96</f>
        <v>72</v>
      </c>
      <c r="H96" s="214">
        <f t="shared" ref="H96:H97" si="7">G96*1.13</f>
        <v>81.359999999999985</v>
      </c>
      <c r="I96" s="214"/>
      <c r="J96" s="215">
        <v>0</v>
      </c>
      <c r="K96" s="195" t="s">
        <v>1370</v>
      </c>
    </row>
    <row r="97" spans="1:10" x14ac:dyDescent="0.6">
      <c r="A97" s="211"/>
      <c r="B97" s="232" t="s">
        <v>1371</v>
      </c>
      <c r="C97" s="195" t="s">
        <v>1372</v>
      </c>
      <c r="D97" s="195" t="s">
        <v>1373</v>
      </c>
      <c r="E97" s="207">
        <v>25</v>
      </c>
      <c r="F97" s="195">
        <v>1</v>
      </c>
      <c r="G97" s="207">
        <f>E97*F97</f>
        <v>25</v>
      </c>
      <c r="H97" s="207">
        <f t="shared" si="7"/>
        <v>28.249999999999996</v>
      </c>
      <c r="J97" s="208">
        <v>0</v>
      </c>
    </row>
    <row r="98" spans="1:10" x14ac:dyDescent="0.6">
      <c r="A98" s="211"/>
      <c r="H98" s="207"/>
      <c r="J98" s="208"/>
    </row>
    <row r="99" spans="1:10" x14ac:dyDescent="0.6">
      <c r="A99" s="211"/>
      <c r="B99" s="216" t="s">
        <v>1374</v>
      </c>
      <c r="C99" s="217"/>
      <c r="D99" s="218"/>
      <c r="E99" s="219"/>
      <c r="F99" s="218"/>
      <c r="G99" s="219"/>
      <c r="H99" s="219">
        <f>SUM(H94:H97)</f>
        <v>177.40999999999997</v>
      </c>
      <c r="I99" s="219">
        <v>0</v>
      </c>
      <c r="J99" s="220">
        <v>0</v>
      </c>
    </row>
    <row r="100" spans="1:10" x14ac:dyDescent="0.6">
      <c r="A100" s="211"/>
      <c r="B100" s="230"/>
      <c r="D100" s="230"/>
      <c r="E100" s="221"/>
      <c r="F100" s="230"/>
      <c r="G100" s="221"/>
      <c r="H100" s="221"/>
      <c r="I100" s="221"/>
      <c r="J100" s="231"/>
    </row>
    <row r="101" spans="1:10" x14ac:dyDescent="0.6">
      <c r="A101" s="1399" t="s">
        <v>1375</v>
      </c>
      <c r="J101" s="208"/>
    </row>
    <row r="102" spans="1:10" x14ac:dyDescent="0.6">
      <c r="A102" s="238"/>
      <c r="B102" s="212" t="s">
        <v>1376</v>
      </c>
      <c r="C102" s="213" t="s">
        <v>1377</v>
      </c>
      <c r="D102" s="213" t="s">
        <v>1378</v>
      </c>
      <c r="E102" s="214">
        <v>80</v>
      </c>
      <c r="F102" s="213">
        <v>1</v>
      </c>
      <c r="G102" s="214">
        <f>F102*E102</f>
        <v>80</v>
      </c>
      <c r="H102" s="214">
        <f>G102*1.13</f>
        <v>90.399999999999991</v>
      </c>
      <c r="I102" s="214"/>
      <c r="J102" s="208">
        <v>80</v>
      </c>
    </row>
    <row r="103" spans="1:10" x14ac:dyDescent="0.6">
      <c r="A103" s="211"/>
      <c r="H103" s="207"/>
      <c r="J103" s="208"/>
    </row>
    <row r="104" spans="1:10" x14ac:dyDescent="0.6">
      <c r="A104" s="211"/>
      <c r="B104" s="216" t="s">
        <v>1379</v>
      </c>
      <c r="C104" s="217"/>
      <c r="D104" s="218"/>
      <c r="E104" s="219"/>
      <c r="F104" s="218"/>
      <c r="G104" s="219"/>
      <c r="H104" s="219">
        <f>SUM(H101:H102)</f>
        <v>90.399999999999991</v>
      </c>
      <c r="I104" s="219">
        <v>0</v>
      </c>
      <c r="J104" s="220">
        <v>80</v>
      </c>
    </row>
    <row r="105" spans="1:10" x14ac:dyDescent="0.6">
      <c r="A105" s="211"/>
      <c r="C105" s="230"/>
      <c r="H105" s="221"/>
      <c r="I105" s="221"/>
      <c r="J105" s="231"/>
    </row>
    <row r="106" spans="1:10" x14ac:dyDescent="0.6">
      <c r="A106" s="211"/>
      <c r="C106" s="216" t="s">
        <v>84</v>
      </c>
      <c r="D106" s="217"/>
      <c r="E106" s="224"/>
      <c r="F106" s="217"/>
      <c r="G106" s="224"/>
      <c r="H106" s="219">
        <f>H20+H31+H50+H60+H67+H74+H81+H92+H86+H99+H104</f>
        <v>14506.318499999998</v>
      </c>
      <c r="I106" s="219">
        <f>SUM(I20,I31,I50,I60,I67,I81,I86,I74,I92,I92,I99,I92,I104)</f>
        <v>1055.9000000000001</v>
      </c>
      <c r="J106" s="219">
        <f>SUM(J20,J31,J50,J60,J67,J81,J86,J74,J92,J92,J99,J92,J104)</f>
        <v>1798.55</v>
      </c>
    </row>
    <row r="107" spans="1:10" x14ac:dyDescent="0.6">
      <c r="A107" s="211"/>
      <c r="E107" s="195"/>
      <c r="G107" s="195"/>
      <c r="J107" s="222"/>
    </row>
    <row r="108" spans="1:10" x14ac:dyDescent="0.6">
      <c r="A108" s="1417" t="s">
        <v>85</v>
      </c>
      <c r="B108" s="1418"/>
      <c r="C108" s="1418"/>
      <c r="D108" s="203"/>
      <c r="E108" s="203"/>
      <c r="F108" s="204"/>
      <c r="G108" s="203"/>
      <c r="H108" s="203"/>
      <c r="I108" s="203"/>
      <c r="J108" s="205"/>
    </row>
    <row r="109" spans="1:10" x14ac:dyDescent="0.6">
      <c r="A109" s="239"/>
      <c r="B109" s="240" t="s">
        <v>86</v>
      </c>
      <c r="C109" s="241"/>
      <c r="D109" s="242"/>
      <c r="E109" s="242"/>
      <c r="F109" s="242"/>
      <c r="G109" s="242"/>
      <c r="H109" s="242">
        <f>H14</f>
        <v>4859</v>
      </c>
      <c r="I109" s="242">
        <f>I32</f>
        <v>0</v>
      </c>
      <c r="J109" s="243">
        <f>J14</f>
        <v>130</v>
      </c>
    </row>
    <row r="110" spans="1:10" x14ac:dyDescent="0.6">
      <c r="A110" s="244"/>
      <c r="B110" s="245" t="s">
        <v>87</v>
      </c>
      <c r="C110" s="246"/>
      <c r="D110" s="247"/>
      <c r="E110" s="247"/>
      <c r="F110" s="247"/>
      <c r="G110" s="247"/>
      <c r="H110" s="247">
        <f>H106</f>
        <v>14506.318499999998</v>
      </c>
      <c r="I110" s="247">
        <f>I106</f>
        <v>1055.9000000000001</v>
      </c>
      <c r="J110" s="248">
        <f>J106</f>
        <v>1798.55</v>
      </c>
    </row>
    <row r="111" spans="1:10" x14ac:dyDescent="0.6">
      <c r="A111" s="249"/>
      <c r="B111" s="250" t="s">
        <v>88</v>
      </c>
      <c r="C111" s="251"/>
      <c r="D111" s="252"/>
      <c r="E111" s="252"/>
      <c r="F111" s="252"/>
      <c r="G111" s="252"/>
      <c r="H111" s="252">
        <f>H109-H110</f>
        <v>-9647.3184999999976</v>
      </c>
      <c r="I111" s="252">
        <f t="shared" ref="I111:J111" si="8">I109-I110</f>
        <v>-1055.9000000000001</v>
      </c>
      <c r="J111" s="253">
        <f t="shared" si="8"/>
        <v>-1668.55</v>
      </c>
    </row>
  </sheetData>
  <mergeCells count="4">
    <mergeCell ref="A6:C6"/>
    <mergeCell ref="A83:B83"/>
    <mergeCell ref="A1:A4"/>
    <mergeCell ref="B1:J4"/>
  </mergeCells>
  <pageMargins left="0.7" right="0.7" top="0.75" bottom="0.75" header="0.3" footer="0.3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2E8C7-17AA-4142-AACC-5B7814094DD1}">
  <dimension ref="A1:K88"/>
  <sheetViews>
    <sheetView zoomScale="79" zoomScaleNormal="79" workbookViewId="0">
      <selection activeCell="J14" sqref="J14"/>
    </sheetView>
  </sheetViews>
  <sheetFormatPr defaultColWidth="8.86328125" defaultRowHeight="14.25" x14ac:dyDescent="0.45"/>
  <cols>
    <col min="1" max="1" width="10.3984375" bestFit="1" customWidth="1"/>
    <col min="2" max="2" width="26.1328125" bestFit="1" customWidth="1"/>
    <col min="3" max="3" width="39.1328125" bestFit="1" customWidth="1"/>
    <col min="4" max="4" width="55" bestFit="1" customWidth="1"/>
    <col min="5" max="5" width="11" bestFit="1" customWidth="1"/>
    <col min="6" max="6" width="10" bestFit="1" customWidth="1"/>
    <col min="7" max="7" width="9.86328125" bestFit="1" customWidth="1"/>
    <col min="8" max="8" width="13.73046875" bestFit="1" customWidth="1"/>
    <col min="9" max="9" width="11.86328125" bestFit="1" customWidth="1"/>
    <col min="10" max="10" width="18.73046875" customWidth="1"/>
  </cols>
  <sheetData>
    <row r="1" spans="1:11" ht="25.5" x14ac:dyDescent="0.45">
      <c r="A1" s="1510" t="s">
        <v>1380</v>
      </c>
      <c r="B1" s="1510"/>
      <c r="C1" s="1510"/>
      <c r="D1" s="1510"/>
      <c r="E1" s="1510"/>
      <c r="F1" s="1510"/>
      <c r="G1" s="1510"/>
      <c r="H1" s="1510"/>
      <c r="I1" s="1510"/>
      <c r="J1" s="1510"/>
    </row>
    <row r="2" spans="1:11" ht="16.5" x14ac:dyDescent="0.6">
      <c r="A2" s="989"/>
      <c r="B2" s="990" t="s">
        <v>90</v>
      </c>
      <c r="C2" s="991" t="s">
        <v>91</v>
      </c>
      <c r="D2" s="992" t="s">
        <v>92</v>
      </c>
      <c r="E2" s="993" t="s">
        <v>93</v>
      </c>
      <c r="F2" s="994" t="s">
        <v>94</v>
      </c>
      <c r="G2" s="995" t="s">
        <v>95</v>
      </c>
      <c r="H2" s="995" t="s">
        <v>96</v>
      </c>
      <c r="I2" s="995" t="s">
        <v>217</v>
      </c>
      <c r="J2" s="996" t="s">
        <v>218</v>
      </c>
    </row>
    <row r="3" spans="1:11" ht="16.5" x14ac:dyDescent="0.6">
      <c r="A3" s="997"/>
      <c r="B3" s="998"/>
      <c r="C3" s="999"/>
      <c r="D3" s="1000"/>
      <c r="E3" s="1001"/>
      <c r="F3" s="1002"/>
      <c r="G3" s="1001"/>
      <c r="H3" s="1001"/>
      <c r="I3" s="1001"/>
      <c r="J3" s="1003"/>
    </row>
    <row r="4" spans="1:11" ht="16.5" x14ac:dyDescent="0.6">
      <c r="A4" s="1528" t="s">
        <v>7</v>
      </c>
      <c r="B4" s="1529"/>
      <c r="C4" s="1529"/>
      <c r="D4" s="1004"/>
      <c r="E4" s="1004"/>
      <c r="F4" s="1005"/>
      <c r="G4" s="1004"/>
      <c r="H4" s="1004"/>
      <c r="I4" s="1004"/>
      <c r="J4" s="1006"/>
    </row>
    <row r="5" spans="1:11" ht="16.5" x14ac:dyDescent="0.6">
      <c r="A5" s="1007"/>
      <c r="B5" s="1008"/>
      <c r="C5" s="1008"/>
      <c r="D5" s="1009"/>
      <c r="E5" s="1009"/>
      <c r="F5" s="1010"/>
      <c r="G5" s="1009"/>
      <c r="H5" s="1009"/>
      <c r="I5" s="1009"/>
      <c r="J5" s="1011"/>
    </row>
    <row r="6" spans="1:11" ht="16.5" x14ac:dyDescent="0.6">
      <c r="A6" s="1007"/>
      <c r="B6" s="1008"/>
      <c r="C6" s="1008" t="s">
        <v>46</v>
      </c>
      <c r="D6" s="1009"/>
      <c r="E6" s="1009"/>
      <c r="F6" s="1010"/>
      <c r="G6" s="1009"/>
      <c r="H6" s="1009">
        <v>0</v>
      </c>
      <c r="I6" s="1009">
        <v>0</v>
      </c>
      <c r="J6" s="1011">
        <v>0</v>
      </c>
    </row>
    <row r="7" spans="1:11" ht="16.5" x14ac:dyDescent="0.6">
      <c r="A7" s="1007"/>
      <c r="B7" s="1008"/>
      <c r="C7" s="1008"/>
      <c r="D7" s="1009"/>
      <c r="E7" s="1009"/>
      <c r="F7" s="1010"/>
      <c r="G7" s="1009"/>
      <c r="H7" s="1009"/>
      <c r="I7" s="1009"/>
      <c r="J7" s="1011"/>
    </row>
    <row r="8" spans="1:11" ht="16.5" x14ac:dyDescent="0.6">
      <c r="A8" s="1528" t="s">
        <v>47</v>
      </c>
      <c r="B8" s="1529"/>
      <c r="C8" s="1529"/>
      <c r="D8" s="1004"/>
      <c r="E8" s="1012"/>
      <c r="F8" s="1013"/>
      <c r="G8" s="1012"/>
      <c r="H8" s="1012"/>
      <c r="I8" s="1012"/>
      <c r="J8" s="1006"/>
    </row>
    <row r="9" spans="1:11" ht="16.5" x14ac:dyDescent="0.6">
      <c r="A9" s="1007" t="s">
        <v>1381</v>
      </c>
      <c r="B9" s="1008"/>
      <c r="C9" s="1014"/>
      <c r="D9" s="1015"/>
      <c r="E9" s="1015"/>
      <c r="F9" s="1016"/>
      <c r="G9" s="1015"/>
      <c r="H9" s="1015"/>
      <c r="I9" s="1015"/>
      <c r="J9" s="1017"/>
    </row>
    <row r="10" spans="1:11" ht="16.5" x14ac:dyDescent="0.6">
      <c r="A10" s="1007"/>
      <c r="B10" s="1014" t="s">
        <v>1382</v>
      </c>
      <c r="C10" s="1014" t="s">
        <v>1383</v>
      </c>
      <c r="D10" s="1015" t="s">
        <v>1384</v>
      </c>
      <c r="E10" s="1015">
        <v>0.1</v>
      </c>
      <c r="F10" s="1016">
        <v>60</v>
      </c>
      <c r="G10" s="1015">
        <f t="shared" ref="G10:G26" si="0">E10*F10</f>
        <v>6</v>
      </c>
      <c r="H10" s="1015">
        <f t="shared" ref="H10:H26" si="1">G10*1.13</f>
        <v>6.7799999999999994</v>
      </c>
      <c r="I10" s="1015">
        <v>6</v>
      </c>
      <c r="J10" s="1017">
        <v>6.78</v>
      </c>
    </row>
    <row r="11" spans="1:11" ht="16.5" x14ac:dyDescent="0.6">
      <c r="A11" s="1018"/>
      <c r="B11" s="1014" t="s">
        <v>1385</v>
      </c>
      <c r="C11" s="1019" t="s">
        <v>1386</v>
      </c>
      <c r="D11" s="1020" t="s">
        <v>1387</v>
      </c>
      <c r="E11" s="1020">
        <v>25</v>
      </c>
      <c r="F11" s="1021">
        <v>1</v>
      </c>
      <c r="G11" s="1020">
        <f t="shared" si="0"/>
        <v>25</v>
      </c>
      <c r="H11" s="1020">
        <f t="shared" si="1"/>
        <v>28.249999999999996</v>
      </c>
      <c r="I11" s="1020">
        <v>25</v>
      </c>
      <c r="J11" s="1022">
        <v>28.25</v>
      </c>
    </row>
    <row r="12" spans="1:11" ht="16.5" x14ac:dyDescent="0.6">
      <c r="A12" s="1018"/>
      <c r="B12" s="1014" t="s">
        <v>1388</v>
      </c>
      <c r="C12" s="1023" t="s">
        <v>1389</v>
      </c>
      <c r="D12" s="1024" t="s">
        <v>1390</v>
      </c>
      <c r="E12" s="1025">
        <v>4</v>
      </c>
      <c r="F12" s="1024">
        <v>12</v>
      </c>
      <c r="G12" s="1015">
        <f t="shared" si="0"/>
        <v>48</v>
      </c>
      <c r="H12" s="1015">
        <f t="shared" si="1"/>
        <v>54.239999999999995</v>
      </c>
      <c r="I12" s="1382">
        <v>10</v>
      </c>
      <c r="J12" s="1382">
        <v>11.3</v>
      </c>
    </row>
    <row r="13" spans="1:11" ht="16.5" x14ac:dyDescent="0.6">
      <c r="A13" s="1018"/>
      <c r="B13" s="1014" t="s">
        <v>1391</v>
      </c>
      <c r="C13" s="1019" t="s">
        <v>1392</v>
      </c>
      <c r="D13" s="1020" t="s">
        <v>1393</v>
      </c>
      <c r="E13" s="1020">
        <v>20</v>
      </c>
      <c r="F13" s="1021">
        <v>1</v>
      </c>
      <c r="G13" s="1020">
        <f t="shared" si="0"/>
        <v>20</v>
      </c>
      <c r="H13" s="1020">
        <f t="shared" si="1"/>
        <v>22.599999999999998</v>
      </c>
      <c r="I13" s="1020">
        <v>4.5</v>
      </c>
      <c r="J13" s="1022">
        <v>4.5</v>
      </c>
    </row>
    <row r="14" spans="1:11" ht="16.5" x14ac:dyDescent="0.6">
      <c r="A14" s="1018"/>
      <c r="B14" s="1014" t="s">
        <v>1394</v>
      </c>
      <c r="C14" s="1023" t="s">
        <v>1395</v>
      </c>
      <c r="D14" s="1024" t="s">
        <v>1396</v>
      </c>
      <c r="E14" s="1026">
        <v>3</v>
      </c>
      <c r="F14" s="1024">
        <v>60</v>
      </c>
      <c r="G14" s="1025">
        <f t="shared" si="0"/>
        <v>180</v>
      </c>
      <c r="H14" s="1025">
        <f t="shared" si="1"/>
        <v>203.39999999999998</v>
      </c>
      <c r="I14" s="1382"/>
      <c r="J14" s="1382">
        <v>269.92</v>
      </c>
    </row>
    <row r="15" spans="1:11" ht="16.5" x14ac:dyDescent="0.6">
      <c r="A15" s="1018"/>
      <c r="B15" s="1014" t="s">
        <v>1397</v>
      </c>
      <c r="C15" s="1027" t="s">
        <v>1395</v>
      </c>
      <c r="D15" s="1020" t="s">
        <v>1398</v>
      </c>
      <c r="E15" s="1020">
        <v>3</v>
      </c>
      <c r="F15" s="1021">
        <v>60</v>
      </c>
      <c r="G15" s="1020">
        <f t="shared" si="0"/>
        <v>180</v>
      </c>
      <c r="H15" s="1020">
        <f t="shared" si="1"/>
        <v>203.39999999999998</v>
      </c>
      <c r="I15" s="1020"/>
      <c r="J15" s="1022">
        <v>303.38</v>
      </c>
    </row>
    <row r="16" spans="1:11" ht="16.5" x14ac:dyDescent="0.6">
      <c r="A16" s="1028"/>
      <c r="B16" s="1401" t="s">
        <v>1399</v>
      </c>
      <c r="C16" s="1402" t="s">
        <v>1395</v>
      </c>
      <c r="D16" s="1403" t="s">
        <v>1400</v>
      </c>
      <c r="E16" s="1403">
        <v>3</v>
      </c>
      <c r="F16" s="1404">
        <v>60</v>
      </c>
      <c r="G16" s="1403">
        <f t="shared" si="0"/>
        <v>180</v>
      </c>
      <c r="H16" s="1403">
        <f t="shared" si="1"/>
        <v>203.39999999999998</v>
      </c>
      <c r="I16" s="1403">
        <v>0</v>
      </c>
      <c r="J16" s="1405">
        <v>0</v>
      </c>
      <c r="K16" t="s">
        <v>1401</v>
      </c>
    </row>
    <row r="17" spans="1:11" ht="16.5" x14ac:dyDescent="0.6">
      <c r="A17" s="1018"/>
      <c r="B17" s="1014" t="s">
        <v>1402</v>
      </c>
      <c r="C17" s="1027" t="s">
        <v>1395</v>
      </c>
      <c r="D17" s="1020" t="s">
        <v>1403</v>
      </c>
      <c r="E17" s="1020">
        <v>3</v>
      </c>
      <c r="F17" s="1021">
        <v>60</v>
      </c>
      <c r="G17" s="1020">
        <f t="shared" si="0"/>
        <v>180</v>
      </c>
      <c r="H17" s="1020">
        <f t="shared" si="1"/>
        <v>203.39999999999998</v>
      </c>
      <c r="I17" s="1020"/>
      <c r="J17" s="1022">
        <v>237.29</v>
      </c>
    </row>
    <row r="18" spans="1:11" ht="16.5" x14ac:dyDescent="0.6">
      <c r="A18" s="1018"/>
      <c r="B18" s="1014" t="s">
        <v>1404</v>
      </c>
      <c r="C18" s="1029" t="s">
        <v>1395</v>
      </c>
      <c r="D18" s="1015" t="s">
        <v>1405</v>
      </c>
      <c r="E18" s="1015">
        <v>3</v>
      </c>
      <c r="F18" s="1016">
        <v>60</v>
      </c>
      <c r="G18" s="1015">
        <f t="shared" si="0"/>
        <v>180</v>
      </c>
      <c r="H18" s="1015">
        <f t="shared" si="1"/>
        <v>203.39999999999998</v>
      </c>
      <c r="I18" s="1015">
        <v>193.38</v>
      </c>
      <c r="J18" s="1030">
        <v>223.03</v>
      </c>
    </row>
    <row r="19" spans="1:11" ht="16.5" x14ac:dyDescent="0.6">
      <c r="A19" s="1018"/>
      <c r="B19" s="1014" t="s">
        <v>1406</v>
      </c>
      <c r="C19" s="1027" t="s">
        <v>1395</v>
      </c>
      <c r="D19" s="1020" t="s">
        <v>1407</v>
      </c>
      <c r="E19" s="1020">
        <v>5</v>
      </c>
      <c r="F19" s="1021">
        <v>60</v>
      </c>
      <c r="G19" s="1020">
        <f t="shared" si="0"/>
        <v>300</v>
      </c>
      <c r="H19" s="1020">
        <f t="shared" si="1"/>
        <v>338.99999999999994</v>
      </c>
      <c r="I19" s="1020">
        <v>182.46</v>
      </c>
      <c r="J19" s="1022">
        <v>210.46</v>
      </c>
    </row>
    <row r="20" spans="1:11" ht="16.5" x14ac:dyDescent="0.6">
      <c r="A20" s="1018"/>
      <c r="B20" s="1014" t="s">
        <v>1408</v>
      </c>
      <c r="C20" s="1029" t="s">
        <v>1395</v>
      </c>
      <c r="D20" s="1015" t="s">
        <v>1409</v>
      </c>
      <c r="E20" s="1015">
        <v>3</v>
      </c>
      <c r="F20" s="1016">
        <v>60</v>
      </c>
      <c r="G20" s="1015">
        <f t="shared" si="0"/>
        <v>180</v>
      </c>
      <c r="H20" s="1015">
        <f t="shared" si="1"/>
        <v>203.39999999999998</v>
      </c>
      <c r="I20" s="1015">
        <v>168.47</v>
      </c>
      <c r="J20" s="1017">
        <v>194.88</v>
      </c>
    </row>
    <row r="21" spans="1:11" ht="16.5" x14ac:dyDescent="0.6">
      <c r="A21" s="1018"/>
      <c r="B21" s="1014" t="s">
        <v>1410</v>
      </c>
      <c r="C21" s="1027" t="s">
        <v>1395</v>
      </c>
      <c r="D21" s="1020" t="s">
        <v>1411</v>
      </c>
      <c r="E21" s="1020">
        <v>3</v>
      </c>
      <c r="F21" s="1021">
        <v>60</v>
      </c>
      <c r="G21" s="1020">
        <f t="shared" si="0"/>
        <v>180</v>
      </c>
      <c r="H21" s="1020">
        <f t="shared" si="1"/>
        <v>203.39999999999998</v>
      </c>
      <c r="I21" s="1020">
        <v>170.27</v>
      </c>
      <c r="J21" s="1022">
        <v>196.91</v>
      </c>
    </row>
    <row r="22" spans="1:11" ht="16.5" x14ac:dyDescent="0.6">
      <c r="A22" s="1018"/>
      <c r="B22" s="1014" t="s">
        <v>1412</v>
      </c>
      <c r="C22" s="1029" t="s">
        <v>1395</v>
      </c>
      <c r="D22" s="1015" t="s">
        <v>1413</v>
      </c>
      <c r="E22" s="1015">
        <v>3</v>
      </c>
      <c r="F22" s="1016">
        <v>60</v>
      </c>
      <c r="G22" s="1015">
        <f t="shared" si="0"/>
        <v>180</v>
      </c>
      <c r="H22" s="1015">
        <f t="shared" si="1"/>
        <v>203.39999999999998</v>
      </c>
      <c r="I22" s="1015">
        <v>0</v>
      </c>
      <c r="J22" s="1017">
        <v>0</v>
      </c>
    </row>
    <row r="23" spans="1:11" ht="16.5" x14ac:dyDescent="0.6">
      <c r="A23" s="1018"/>
      <c r="B23" s="1014" t="s">
        <v>1414</v>
      </c>
      <c r="C23" s="1027" t="s">
        <v>1395</v>
      </c>
      <c r="D23" s="1020" t="s">
        <v>1415</v>
      </c>
      <c r="E23" s="1020">
        <v>3</v>
      </c>
      <c r="F23" s="1021">
        <v>60</v>
      </c>
      <c r="G23" s="1020">
        <f t="shared" si="0"/>
        <v>180</v>
      </c>
      <c r="H23" s="1020">
        <f t="shared" si="1"/>
        <v>203.39999999999998</v>
      </c>
      <c r="I23" s="1020">
        <v>170.27</v>
      </c>
      <c r="J23" s="1022">
        <v>196.91</v>
      </c>
    </row>
    <row r="24" spans="1:11" ht="16.5" x14ac:dyDescent="0.6">
      <c r="A24" s="1018"/>
      <c r="B24" s="1014" t="s">
        <v>1416</v>
      </c>
      <c r="C24" s="1023" t="s">
        <v>1395</v>
      </c>
      <c r="D24" s="1015" t="s">
        <v>1417</v>
      </c>
      <c r="E24" s="1015">
        <v>3</v>
      </c>
      <c r="F24" s="1016">
        <v>60</v>
      </c>
      <c r="G24" s="1015">
        <f t="shared" si="0"/>
        <v>180</v>
      </c>
      <c r="H24" s="1015">
        <f t="shared" si="1"/>
        <v>203.39999999999998</v>
      </c>
      <c r="I24" s="1015">
        <v>170.27</v>
      </c>
      <c r="J24" s="1030">
        <v>196.61</v>
      </c>
      <c r="K24" t="s">
        <v>1418</v>
      </c>
    </row>
    <row r="25" spans="1:11" ht="16.5" x14ac:dyDescent="0.6">
      <c r="A25" s="1018"/>
      <c r="B25" s="1014" t="s">
        <v>1419</v>
      </c>
      <c r="C25" s="1027" t="s">
        <v>1395</v>
      </c>
      <c r="D25" s="1020" t="s">
        <v>1420</v>
      </c>
      <c r="E25" s="1020">
        <v>3</v>
      </c>
      <c r="F25" s="1021">
        <v>85</v>
      </c>
      <c r="G25" s="1020">
        <f t="shared" si="0"/>
        <v>255</v>
      </c>
      <c r="H25" s="1020">
        <f t="shared" si="1"/>
        <v>288.14999999999998</v>
      </c>
      <c r="I25" s="1020">
        <v>194.36</v>
      </c>
      <c r="J25" s="1022">
        <v>224.14</v>
      </c>
    </row>
    <row r="26" spans="1:11" ht="16.5" x14ac:dyDescent="0.6">
      <c r="A26" s="1014"/>
      <c r="B26" s="1014" t="s">
        <v>1421</v>
      </c>
      <c r="C26" s="1027" t="s">
        <v>1395</v>
      </c>
      <c r="D26" s="1015" t="s">
        <v>1422</v>
      </c>
      <c r="E26" s="1015">
        <v>5</v>
      </c>
      <c r="F26" s="1016">
        <v>60</v>
      </c>
      <c r="G26" s="1015">
        <f t="shared" si="0"/>
        <v>300</v>
      </c>
      <c r="H26" s="1015">
        <f t="shared" si="1"/>
        <v>338.99999999999994</v>
      </c>
      <c r="I26" s="1014">
        <v>186.25</v>
      </c>
      <c r="J26" s="1023">
        <v>210.46</v>
      </c>
    </row>
    <row r="27" spans="1:11" ht="16.5" x14ac:dyDescent="0.6">
      <c r="A27" s="1018"/>
      <c r="B27" s="1031" t="s">
        <v>1423</v>
      </c>
      <c r="C27" s="1032"/>
      <c r="D27" s="1033"/>
      <c r="E27" s="1033"/>
      <c r="F27" s="1034"/>
      <c r="G27" s="1033"/>
      <c r="H27" s="1033">
        <f>SUM(H11:H26)</f>
        <v>3105.2400000000002</v>
      </c>
      <c r="I27" s="1033">
        <f>SUM(I9:I26)</f>
        <v>1481.23</v>
      </c>
      <c r="J27" s="1035">
        <f>SUM(J10:J26)</f>
        <v>2514.8200000000002</v>
      </c>
    </row>
    <row r="28" spans="1:11" ht="16.5" x14ac:dyDescent="0.6">
      <c r="A28" s="1007"/>
      <c r="B28" s="1008"/>
      <c r="C28" s="1008"/>
      <c r="D28" s="1009"/>
      <c r="E28" s="1009"/>
      <c r="F28" s="1010"/>
      <c r="G28" s="1009"/>
      <c r="H28" s="1009"/>
      <c r="I28" s="1009"/>
      <c r="J28" s="1011"/>
    </row>
    <row r="29" spans="1:11" ht="16.5" x14ac:dyDescent="0.6">
      <c r="A29" s="1007" t="s">
        <v>1424</v>
      </c>
      <c r="B29" s="1008"/>
      <c r="C29" s="1014"/>
      <c r="D29" s="1015"/>
      <c r="E29" s="1015"/>
      <c r="F29" s="1016"/>
      <c r="G29" s="1015"/>
      <c r="H29" s="1015"/>
      <c r="I29" s="1015"/>
      <c r="J29" s="1017"/>
    </row>
    <row r="30" spans="1:11" ht="16.5" x14ac:dyDescent="0.6">
      <c r="A30" s="1036" t="s">
        <v>1425</v>
      </c>
      <c r="B30" s="1401" t="s">
        <v>1426</v>
      </c>
      <c r="C30" s="1406" t="s">
        <v>1427</v>
      </c>
      <c r="D30" s="1403" t="s">
        <v>19</v>
      </c>
      <c r="E30" s="1403">
        <v>80</v>
      </c>
      <c r="F30" s="1404">
        <v>3</v>
      </c>
      <c r="G30" s="1403">
        <f t="shared" ref="G30:G48" si="2">E30*F30</f>
        <v>240</v>
      </c>
      <c r="H30" s="1403">
        <f t="shared" ref="H30:H48" si="3">G30*1.13</f>
        <v>271.2</v>
      </c>
      <c r="I30" s="1403">
        <v>56.5</v>
      </c>
      <c r="J30" s="1405">
        <v>56.5</v>
      </c>
      <c r="K30" t="s">
        <v>1428</v>
      </c>
    </row>
    <row r="31" spans="1:11" ht="16.5" x14ac:dyDescent="0.6">
      <c r="A31" s="1036"/>
      <c r="B31" s="1401" t="s">
        <v>1429</v>
      </c>
      <c r="C31" s="1406" t="s">
        <v>1427</v>
      </c>
      <c r="D31" s="1403" t="s">
        <v>1430</v>
      </c>
      <c r="E31" s="1403">
        <v>50</v>
      </c>
      <c r="F31" s="1404">
        <v>8</v>
      </c>
      <c r="G31" s="1403">
        <f t="shared" si="2"/>
        <v>400</v>
      </c>
      <c r="H31" s="1403">
        <f t="shared" si="3"/>
        <v>451.99999999999994</v>
      </c>
      <c r="I31" s="1403">
        <v>0</v>
      </c>
      <c r="J31" s="1405">
        <v>0</v>
      </c>
    </row>
    <row r="32" spans="1:11" ht="16.5" x14ac:dyDescent="0.6">
      <c r="A32" s="1038"/>
      <c r="B32" s="1401" t="s">
        <v>1431</v>
      </c>
      <c r="C32" s="1406" t="s">
        <v>1432</v>
      </c>
      <c r="D32" s="1403" t="s">
        <v>530</v>
      </c>
      <c r="E32" s="1403">
        <v>0.5</v>
      </c>
      <c r="F32" s="1404">
        <v>200</v>
      </c>
      <c r="G32" s="1403">
        <f t="shared" si="2"/>
        <v>100</v>
      </c>
      <c r="H32" s="1403">
        <f t="shared" si="3"/>
        <v>112.99999999999999</v>
      </c>
      <c r="I32" s="1403">
        <v>0</v>
      </c>
      <c r="J32" s="1405">
        <v>0</v>
      </c>
    </row>
    <row r="33" spans="1:11" ht="16.5" x14ac:dyDescent="0.6">
      <c r="A33" s="1038"/>
      <c r="B33" s="1401" t="s">
        <v>1433</v>
      </c>
      <c r="C33" s="1406" t="s">
        <v>328</v>
      </c>
      <c r="D33" s="1403" t="s">
        <v>1434</v>
      </c>
      <c r="E33" s="1403">
        <v>2</v>
      </c>
      <c r="F33" s="1404">
        <v>80</v>
      </c>
      <c r="G33" s="1403">
        <f t="shared" si="2"/>
        <v>160</v>
      </c>
      <c r="H33" s="1403">
        <f t="shared" si="3"/>
        <v>180.79999999999998</v>
      </c>
      <c r="I33" s="1403">
        <v>132.56</v>
      </c>
      <c r="J33" s="1405">
        <v>154.30000000000001</v>
      </c>
    </row>
    <row r="34" spans="1:11" ht="16.5" x14ac:dyDescent="0.6">
      <c r="A34" s="1038"/>
      <c r="B34" s="1401" t="s">
        <v>1435</v>
      </c>
      <c r="C34" s="1406" t="s">
        <v>1135</v>
      </c>
      <c r="D34" s="1403" t="s">
        <v>1434</v>
      </c>
      <c r="E34" s="1403">
        <v>0.5</v>
      </c>
      <c r="F34" s="1404">
        <v>80</v>
      </c>
      <c r="G34" s="1403">
        <f t="shared" si="2"/>
        <v>40</v>
      </c>
      <c r="H34" s="1403">
        <f t="shared" si="3"/>
        <v>45.199999999999996</v>
      </c>
      <c r="I34" s="1403">
        <v>0</v>
      </c>
      <c r="J34" s="1405">
        <v>0</v>
      </c>
    </row>
    <row r="35" spans="1:11" ht="16.5" x14ac:dyDescent="0.6">
      <c r="A35" s="1038"/>
      <c r="B35" s="1401" t="s">
        <v>1436</v>
      </c>
      <c r="C35" s="1406" t="s">
        <v>328</v>
      </c>
      <c r="D35" s="1403" t="s">
        <v>1437</v>
      </c>
      <c r="E35" s="1403">
        <v>2</v>
      </c>
      <c r="F35" s="1404">
        <v>80</v>
      </c>
      <c r="G35" s="1403">
        <f t="shared" si="2"/>
        <v>160</v>
      </c>
      <c r="H35" s="1403">
        <f t="shared" si="3"/>
        <v>180.79999999999998</v>
      </c>
      <c r="I35" s="1403">
        <v>0</v>
      </c>
      <c r="J35" s="1405">
        <v>0</v>
      </c>
    </row>
    <row r="36" spans="1:11" ht="16.5" x14ac:dyDescent="0.6">
      <c r="A36" s="1038"/>
      <c r="B36" s="1401" t="s">
        <v>1438</v>
      </c>
      <c r="C36" s="1406" t="s">
        <v>1135</v>
      </c>
      <c r="D36" s="1403" t="s">
        <v>1437</v>
      </c>
      <c r="E36" s="1403">
        <v>0.5</v>
      </c>
      <c r="F36" s="1404">
        <v>80</v>
      </c>
      <c r="G36" s="1403">
        <f t="shared" si="2"/>
        <v>40</v>
      </c>
      <c r="H36" s="1403">
        <f t="shared" si="3"/>
        <v>45.199999999999996</v>
      </c>
      <c r="I36" s="1403">
        <v>0</v>
      </c>
      <c r="J36" s="1405">
        <v>0</v>
      </c>
    </row>
    <row r="37" spans="1:11" ht="16.5" x14ac:dyDescent="0.6">
      <c r="A37" s="1036"/>
      <c r="B37" s="1401" t="s">
        <v>1439</v>
      </c>
      <c r="C37" s="1406" t="s">
        <v>1440</v>
      </c>
      <c r="D37" s="1403" t="s">
        <v>1441</v>
      </c>
      <c r="E37" s="1403">
        <v>200</v>
      </c>
      <c r="F37" s="1404">
        <v>1</v>
      </c>
      <c r="G37" s="1403">
        <f t="shared" si="2"/>
        <v>200</v>
      </c>
      <c r="H37" s="1403">
        <f t="shared" si="3"/>
        <v>225.99999999999997</v>
      </c>
      <c r="I37" s="1403">
        <v>70</v>
      </c>
      <c r="J37" s="1405">
        <v>79.099999999999994</v>
      </c>
    </row>
    <row r="38" spans="1:11" ht="16.5" x14ac:dyDescent="0.6">
      <c r="A38" s="1038"/>
      <c r="B38" s="1401" t="s">
        <v>1442</v>
      </c>
      <c r="C38" s="1406" t="s">
        <v>1443</v>
      </c>
      <c r="D38" s="1403" t="s">
        <v>1444</v>
      </c>
      <c r="E38" s="1403">
        <v>50</v>
      </c>
      <c r="F38" s="1404">
        <v>1</v>
      </c>
      <c r="G38" s="1403">
        <f t="shared" si="2"/>
        <v>50</v>
      </c>
      <c r="H38" s="1403">
        <f t="shared" si="3"/>
        <v>56.499999999999993</v>
      </c>
      <c r="I38" s="1403">
        <v>50</v>
      </c>
      <c r="J38" s="1405">
        <v>56.5</v>
      </c>
    </row>
    <row r="39" spans="1:11" ht="16.5" x14ac:dyDescent="0.6">
      <c r="A39" s="1036"/>
      <c r="B39" s="1401" t="s">
        <v>1445</v>
      </c>
      <c r="C39" s="1406" t="s">
        <v>1215</v>
      </c>
      <c r="D39" s="1403" t="s">
        <v>1446</v>
      </c>
      <c r="E39" s="1403">
        <v>240</v>
      </c>
      <c r="F39" s="1404">
        <v>1</v>
      </c>
      <c r="G39" s="1403">
        <f t="shared" si="2"/>
        <v>240</v>
      </c>
      <c r="H39" s="1403">
        <f t="shared" si="3"/>
        <v>271.2</v>
      </c>
      <c r="I39" s="1403">
        <v>0</v>
      </c>
      <c r="J39" s="1405">
        <v>0</v>
      </c>
      <c r="K39" t="s">
        <v>1447</v>
      </c>
    </row>
    <row r="40" spans="1:11" ht="16.5" x14ac:dyDescent="0.6">
      <c r="A40" s="1038"/>
      <c r="B40" s="1401" t="s">
        <v>1448</v>
      </c>
      <c r="C40" s="1406" t="s">
        <v>312</v>
      </c>
      <c r="D40" s="1403" t="s">
        <v>1449</v>
      </c>
      <c r="E40" s="1403">
        <v>8.5</v>
      </c>
      <c r="F40" s="1404">
        <v>10</v>
      </c>
      <c r="G40" s="1403">
        <f t="shared" si="2"/>
        <v>85</v>
      </c>
      <c r="H40" s="1403">
        <f t="shared" si="3"/>
        <v>96.05</v>
      </c>
      <c r="I40" s="1403">
        <v>191.7</v>
      </c>
      <c r="J40" s="1405">
        <v>191.07</v>
      </c>
      <c r="K40" t="s">
        <v>1450</v>
      </c>
    </row>
    <row r="41" spans="1:11" ht="16.5" x14ac:dyDescent="0.6">
      <c r="A41" s="1036"/>
      <c r="B41" s="1401" t="s">
        <v>1451</v>
      </c>
      <c r="C41" s="1406" t="s">
        <v>1452</v>
      </c>
      <c r="D41" s="1403" t="s">
        <v>1453</v>
      </c>
      <c r="E41" s="1403">
        <v>7</v>
      </c>
      <c r="F41" s="1404">
        <v>7</v>
      </c>
      <c r="G41" s="1403">
        <f t="shared" si="2"/>
        <v>49</v>
      </c>
      <c r="H41" s="1403">
        <f t="shared" si="3"/>
        <v>55.37</v>
      </c>
      <c r="I41" s="1403"/>
      <c r="J41" s="1405"/>
      <c r="K41" t="s">
        <v>1454</v>
      </c>
    </row>
    <row r="42" spans="1:11" ht="16.5" x14ac:dyDescent="0.6">
      <c r="A42" s="1038" t="s">
        <v>1455</v>
      </c>
      <c r="B42" s="1401" t="s">
        <v>1456</v>
      </c>
      <c r="C42" s="1406" t="s">
        <v>328</v>
      </c>
      <c r="D42" s="1403" t="s">
        <v>1457</v>
      </c>
      <c r="E42" s="1403">
        <v>2</v>
      </c>
      <c r="F42" s="1404">
        <v>150</v>
      </c>
      <c r="G42" s="1403">
        <f t="shared" si="2"/>
        <v>300</v>
      </c>
      <c r="H42" s="1403">
        <f t="shared" si="3"/>
        <v>338.99999999999994</v>
      </c>
      <c r="I42" s="1403">
        <v>478.33</v>
      </c>
      <c r="J42" s="1405">
        <v>478.33</v>
      </c>
      <c r="K42" t="s">
        <v>1458</v>
      </c>
    </row>
    <row r="43" spans="1:11" ht="16.5" x14ac:dyDescent="0.6">
      <c r="A43" s="1038"/>
      <c r="B43" s="1377"/>
      <c r="C43" s="1378" t="s">
        <v>328</v>
      </c>
      <c r="D43" s="1379" t="s">
        <v>1459</v>
      </c>
      <c r="E43" s="1379">
        <v>2</v>
      </c>
      <c r="F43" s="1380">
        <v>65</v>
      </c>
      <c r="G43" s="1379">
        <f t="shared" si="2"/>
        <v>130</v>
      </c>
      <c r="H43" s="1379">
        <f t="shared" si="3"/>
        <v>146.89999999999998</v>
      </c>
      <c r="I43" s="1379">
        <v>128.9</v>
      </c>
      <c r="J43" s="1381">
        <v>150.16999999999999</v>
      </c>
      <c r="K43" t="s">
        <v>1460</v>
      </c>
    </row>
    <row r="44" spans="1:11" ht="16.5" x14ac:dyDescent="0.6">
      <c r="A44" s="1036"/>
      <c r="B44" s="570" t="s">
        <v>1461</v>
      </c>
      <c r="C44" s="1037" t="s">
        <v>1462</v>
      </c>
      <c r="D44" s="571" t="s">
        <v>1463</v>
      </c>
      <c r="E44" s="571">
        <v>75</v>
      </c>
      <c r="F44" s="572">
        <v>1</v>
      </c>
      <c r="G44" s="571">
        <f t="shared" si="2"/>
        <v>75</v>
      </c>
      <c r="H44" s="571">
        <f t="shared" si="3"/>
        <v>84.749999999999986</v>
      </c>
      <c r="I44" s="571"/>
      <c r="J44" s="573"/>
      <c r="K44" t="s">
        <v>1464</v>
      </c>
    </row>
    <row r="45" spans="1:11" ht="16.5" x14ac:dyDescent="0.6">
      <c r="A45" s="1038"/>
      <c r="B45" s="1039" t="s">
        <v>1465</v>
      </c>
      <c r="C45" s="1019" t="s">
        <v>328</v>
      </c>
      <c r="D45" s="1020" t="s">
        <v>1466</v>
      </c>
      <c r="E45" s="1020">
        <v>2</v>
      </c>
      <c r="F45" s="1021">
        <v>40</v>
      </c>
      <c r="G45" s="1020">
        <f t="shared" si="2"/>
        <v>80</v>
      </c>
      <c r="H45" s="1020">
        <f t="shared" si="3"/>
        <v>90.399999999999991</v>
      </c>
      <c r="I45" s="1020">
        <v>73.540000000000006</v>
      </c>
      <c r="J45" s="1022">
        <v>87.61</v>
      </c>
    </row>
    <row r="46" spans="1:11" ht="16.5" x14ac:dyDescent="0.6">
      <c r="A46" s="1038"/>
      <c r="B46" s="1014" t="s">
        <v>1467</v>
      </c>
      <c r="C46" s="1040" t="s">
        <v>328</v>
      </c>
      <c r="D46" s="1015" t="s">
        <v>1468</v>
      </c>
      <c r="E46" s="1015">
        <v>2</v>
      </c>
      <c r="F46" s="1016">
        <v>40</v>
      </c>
      <c r="G46" s="1015">
        <f t="shared" si="2"/>
        <v>80</v>
      </c>
      <c r="H46" s="1015">
        <f t="shared" si="3"/>
        <v>90.399999999999991</v>
      </c>
      <c r="I46" s="1015">
        <v>73.540000000000006</v>
      </c>
      <c r="J46" s="1017">
        <v>87.61</v>
      </c>
    </row>
    <row r="47" spans="1:11" ht="16.5" x14ac:dyDescent="0.6">
      <c r="A47" s="1038"/>
      <c r="B47" s="1039" t="s">
        <v>1469</v>
      </c>
      <c r="C47" s="1019" t="s">
        <v>328</v>
      </c>
      <c r="D47" s="1020" t="s">
        <v>1470</v>
      </c>
      <c r="E47" s="1020">
        <v>2</v>
      </c>
      <c r="F47" s="1021">
        <v>40</v>
      </c>
      <c r="G47" s="1020">
        <f t="shared" si="2"/>
        <v>80</v>
      </c>
      <c r="H47" s="1020">
        <f t="shared" si="3"/>
        <v>90.399999999999991</v>
      </c>
      <c r="I47" s="1020">
        <v>73.540000000000006</v>
      </c>
      <c r="J47" s="1022">
        <v>87.61</v>
      </c>
    </row>
    <row r="48" spans="1:11" ht="16.5" x14ac:dyDescent="0.6">
      <c r="A48" s="1038"/>
      <c r="B48" s="1014" t="s">
        <v>1471</v>
      </c>
      <c r="C48" s="1040" t="s">
        <v>1129</v>
      </c>
      <c r="D48" s="1015" t="s">
        <v>530</v>
      </c>
      <c r="E48" s="1015">
        <v>0.5</v>
      </c>
      <c r="F48" s="1016">
        <v>60</v>
      </c>
      <c r="G48" s="1015">
        <f t="shared" si="2"/>
        <v>30</v>
      </c>
      <c r="H48" s="1015">
        <f t="shared" si="3"/>
        <v>33.9</v>
      </c>
      <c r="I48" s="1015">
        <v>0</v>
      </c>
      <c r="J48" s="573">
        <v>0</v>
      </c>
    </row>
    <row r="49" spans="1:11" ht="16.5" x14ac:dyDescent="0.6">
      <c r="A49" s="1018"/>
      <c r="B49" s="1014"/>
      <c r="C49" s="1014"/>
      <c r="D49" s="1015"/>
      <c r="E49" s="1015"/>
      <c r="F49" s="1016"/>
      <c r="G49" s="1015"/>
      <c r="H49" s="1015"/>
      <c r="I49" s="1015"/>
      <c r="J49" s="1017"/>
    </row>
    <row r="50" spans="1:11" ht="16.5" x14ac:dyDescent="0.6">
      <c r="A50" s="1018"/>
      <c r="B50" s="1031" t="s">
        <v>1472</v>
      </c>
      <c r="C50" s="1041"/>
      <c r="D50" s="1033"/>
      <c r="E50" s="1033"/>
      <c r="F50" s="1034"/>
      <c r="G50" s="1033"/>
      <c r="H50" s="1033">
        <f>SUM(H30:H48)</f>
        <v>2869.07</v>
      </c>
      <c r="I50" s="1033">
        <f>SUM(I30:I49)</f>
        <v>1328.61</v>
      </c>
      <c r="J50" s="1035">
        <f>SUM(J30:J49)</f>
        <v>1428.7999999999997</v>
      </c>
    </row>
    <row r="51" spans="1:11" ht="16.5" x14ac:dyDescent="0.6">
      <c r="A51" s="1018"/>
      <c r="B51" s="1014"/>
      <c r="C51" s="1014"/>
      <c r="D51" s="1015"/>
      <c r="E51" s="1015"/>
      <c r="F51" s="1016"/>
      <c r="G51" s="1015"/>
      <c r="H51" s="1015"/>
      <c r="I51" s="1015"/>
      <c r="J51" s="1017"/>
    </row>
    <row r="52" spans="1:11" ht="16.5" x14ac:dyDescent="0.6">
      <c r="A52" s="1007" t="s">
        <v>1473</v>
      </c>
      <c r="B52" s="1008"/>
      <c r="C52" s="1014"/>
      <c r="D52" s="1015"/>
      <c r="E52" s="1015"/>
      <c r="F52" s="1016"/>
      <c r="G52" s="1015"/>
      <c r="H52" s="1015"/>
      <c r="I52" s="1015"/>
      <c r="J52" s="1017"/>
    </row>
    <row r="53" spans="1:11" ht="16.5" x14ac:dyDescent="0.6">
      <c r="A53" s="1028"/>
      <c r="B53" s="570" t="s">
        <v>1474</v>
      </c>
      <c r="C53" s="1037" t="s">
        <v>1475</v>
      </c>
      <c r="D53" s="571" t="s">
        <v>1476</v>
      </c>
      <c r="E53" s="571">
        <v>200</v>
      </c>
      <c r="F53" s="572">
        <v>1</v>
      </c>
      <c r="G53" s="571">
        <f t="shared" ref="G53:G58" si="4">E53*F53</f>
        <v>200</v>
      </c>
      <c r="H53" s="571">
        <f t="shared" ref="H53:H58" si="5">G53*1.13</f>
        <v>225.99999999999997</v>
      </c>
      <c r="I53" s="571">
        <v>50</v>
      </c>
      <c r="J53" s="573"/>
      <c r="K53" t="s">
        <v>1477</v>
      </c>
    </row>
    <row r="54" spans="1:11" ht="16.5" x14ac:dyDescent="0.6">
      <c r="A54" s="1018"/>
      <c r="B54" s="1014" t="s">
        <v>1478</v>
      </c>
      <c r="C54" s="1014" t="s">
        <v>1479</v>
      </c>
      <c r="D54" s="1015" t="s">
        <v>1480</v>
      </c>
      <c r="E54" s="1015">
        <v>60</v>
      </c>
      <c r="F54" s="1016">
        <v>3</v>
      </c>
      <c r="G54" s="1015">
        <f t="shared" si="4"/>
        <v>180</v>
      </c>
      <c r="H54" s="1015">
        <f t="shared" si="5"/>
        <v>203.39999999999998</v>
      </c>
      <c r="I54" s="1015">
        <v>60</v>
      </c>
      <c r="J54" s="1017">
        <f>I54*1.13</f>
        <v>67.8</v>
      </c>
      <c r="K54" t="s">
        <v>1481</v>
      </c>
    </row>
    <row r="55" spans="1:11" ht="16.5" x14ac:dyDescent="0.6">
      <c r="A55" s="1018"/>
      <c r="B55" s="1039" t="s">
        <v>1482</v>
      </c>
      <c r="C55" s="1039" t="s">
        <v>347</v>
      </c>
      <c r="D55" s="1020" t="s">
        <v>1483</v>
      </c>
      <c r="E55" s="1020">
        <v>6</v>
      </c>
      <c r="F55" s="1021">
        <v>13</v>
      </c>
      <c r="G55" s="1020">
        <f t="shared" si="4"/>
        <v>78</v>
      </c>
      <c r="H55" s="1020">
        <f t="shared" si="5"/>
        <v>88.139999999999986</v>
      </c>
      <c r="I55" s="1020">
        <v>73.95</v>
      </c>
      <c r="J55" s="1022">
        <v>83.56</v>
      </c>
      <c r="K55" t="s">
        <v>1484</v>
      </c>
    </row>
    <row r="56" spans="1:11" ht="16.5" x14ac:dyDescent="0.6">
      <c r="A56" s="1018"/>
      <c r="B56" s="1014" t="s">
        <v>1485</v>
      </c>
      <c r="C56" s="1014" t="s">
        <v>1135</v>
      </c>
      <c r="D56" s="1015" t="s">
        <v>1483</v>
      </c>
      <c r="E56" s="1015">
        <v>1.5</v>
      </c>
      <c r="F56" s="1016">
        <v>13</v>
      </c>
      <c r="G56" s="1015">
        <f t="shared" si="4"/>
        <v>19.5</v>
      </c>
      <c r="H56" s="1015">
        <f t="shared" si="5"/>
        <v>22.034999999999997</v>
      </c>
      <c r="I56" s="1015">
        <v>15.86</v>
      </c>
      <c r="J56" s="1017">
        <v>17.920000000000002</v>
      </c>
    </row>
    <row r="57" spans="1:11" ht="16.5" x14ac:dyDescent="0.6">
      <c r="A57" s="1036"/>
      <c r="B57" s="570" t="s">
        <v>1486</v>
      </c>
      <c r="C57" s="570" t="s">
        <v>1487</v>
      </c>
      <c r="D57" s="571" t="s">
        <v>1488</v>
      </c>
      <c r="E57" s="571">
        <v>60</v>
      </c>
      <c r="F57" s="572">
        <v>1</v>
      </c>
      <c r="G57" s="571">
        <f t="shared" si="4"/>
        <v>60</v>
      </c>
      <c r="H57" s="571">
        <f t="shared" si="5"/>
        <v>67.8</v>
      </c>
      <c r="I57" s="571">
        <v>60</v>
      </c>
      <c r="J57" s="573"/>
      <c r="K57" t="s">
        <v>1489</v>
      </c>
    </row>
    <row r="58" spans="1:11" ht="16.5" x14ac:dyDescent="0.6">
      <c r="A58" s="1018"/>
      <c r="B58" s="1014" t="s">
        <v>1490</v>
      </c>
      <c r="C58" s="1014" t="s">
        <v>1491</v>
      </c>
      <c r="D58" s="1015" t="s">
        <v>1492</v>
      </c>
      <c r="E58" s="1015">
        <v>5</v>
      </c>
      <c r="F58" s="1016">
        <v>1</v>
      </c>
      <c r="G58" s="1015">
        <f t="shared" si="4"/>
        <v>5</v>
      </c>
      <c r="H58" s="1015">
        <f t="shared" si="5"/>
        <v>5.6499999999999995</v>
      </c>
      <c r="I58" s="1015">
        <v>5</v>
      </c>
      <c r="J58" s="1017">
        <v>5.65</v>
      </c>
    </row>
    <row r="59" spans="1:11" ht="16.5" x14ac:dyDescent="0.6">
      <c r="A59" s="1018"/>
      <c r="B59" s="1014"/>
      <c r="C59" s="1014"/>
      <c r="D59" s="1015"/>
      <c r="E59" s="1015"/>
      <c r="F59" s="1016"/>
      <c r="G59" s="1015"/>
      <c r="H59" s="1015"/>
      <c r="I59" s="1015"/>
      <c r="J59" s="1017"/>
    </row>
    <row r="60" spans="1:11" ht="16.5" x14ac:dyDescent="0.6">
      <c r="A60" s="1018"/>
      <c r="B60" s="1031" t="s">
        <v>1493</v>
      </c>
      <c r="C60" s="1041"/>
      <c r="D60" s="1033"/>
      <c r="E60" s="1033"/>
      <c r="F60" s="1034"/>
      <c r="G60" s="1033"/>
      <c r="H60" s="1033">
        <f>SUM(H53:H58)</f>
        <v>613.02499999999986</v>
      </c>
      <c r="I60" s="1033">
        <f>SUM(I53:I59)</f>
        <v>264.81</v>
      </c>
      <c r="J60" s="1035">
        <f>SUM(J53:J59)</f>
        <v>174.93000000000004</v>
      </c>
    </row>
    <row r="61" spans="1:11" ht="16.5" x14ac:dyDescent="0.6">
      <c r="A61" s="1018"/>
      <c r="B61" s="1014"/>
      <c r="C61" s="1014"/>
      <c r="D61" s="1015"/>
      <c r="E61" s="1015"/>
      <c r="F61" s="1016"/>
      <c r="G61" s="1015"/>
      <c r="H61" s="1015"/>
      <c r="I61" s="1015"/>
      <c r="J61" s="1017"/>
    </row>
    <row r="62" spans="1:11" ht="16.5" x14ac:dyDescent="0.6">
      <c r="A62" s="1007" t="s">
        <v>1494</v>
      </c>
      <c r="B62" s="1008"/>
      <c r="C62" s="1014"/>
      <c r="D62" s="1015"/>
      <c r="E62" s="1015"/>
      <c r="F62" s="1016"/>
      <c r="G62" s="1015"/>
      <c r="H62" s="1015"/>
      <c r="I62" s="1015"/>
      <c r="J62" s="1017"/>
    </row>
    <row r="63" spans="1:11" ht="16.5" x14ac:dyDescent="0.6">
      <c r="A63" s="1028"/>
      <c r="B63" s="570" t="s">
        <v>1495</v>
      </c>
      <c r="C63" s="1037" t="s">
        <v>1496</v>
      </c>
      <c r="D63" s="571" t="s">
        <v>1497</v>
      </c>
      <c r="E63" s="571">
        <v>500</v>
      </c>
      <c r="F63" s="572">
        <v>1</v>
      </c>
      <c r="G63" s="571">
        <f t="shared" ref="G63:G72" si="6">E63*F63</f>
        <v>500</v>
      </c>
      <c r="H63" s="571">
        <f t="shared" ref="H63:H72" si="7">G63*1.13</f>
        <v>565</v>
      </c>
      <c r="I63" s="571">
        <v>500</v>
      </c>
      <c r="J63" s="573"/>
    </row>
    <row r="64" spans="1:11" ht="16.5" x14ac:dyDescent="0.6">
      <c r="A64" s="1018" t="s">
        <v>66</v>
      </c>
      <c r="B64" s="1014" t="s">
        <v>1498</v>
      </c>
      <c r="C64" s="1014" t="s">
        <v>1211</v>
      </c>
      <c r="D64" s="1015" t="s">
        <v>1499</v>
      </c>
      <c r="E64" s="1015">
        <v>50</v>
      </c>
      <c r="F64" s="1016">
        <v>160</v>
      </c>
      <c r="G64" s="1015">
        <f t="shared" si="6"/>
        <v>8000</v>
      </c>
      <c r="H64" s="1015">
        <f t="shared" si="7"/>
        <v>9040</v>
      </c>
      <c r="I64" s="1015">
        <v>8000</v>
      </c>
      <c r="J64" s="1017"/>
    </row>
    <row r="65" spans="1:11" ht="16.5" x14ac:dyDescent="0.6">
      <c r="A65" s="1018"/>
      <c r="B65" s="1039" t="s">
        <v>1500</v>
      </c>
      <c r="C65" s="1039" t="s">
        <v>1501</v>
      </c>
      <c r="D65" s="1020" t="s">
        <v>1502</v>
      </c>
      <c r="E65" s="1020">
        <v>30</v>
      </c>
      <c r="F65" s="1021">
        <v>65</v>
      </c>
      <c r="G65" s="1020">
        <f t="shared" si="6"/>
        <v>1950</v>
      </c>
      <c r="H65" s="1020">
        <f t="shared" si="7"/>
        <v>2203.5</v>
      </c>
      <c r="I65" s="1020">
        <v>1950</v>
      </c>
      <c r="J65" s="1022"/>
    </row>
    <row r="66" spans="1:11" ht="16.5" x14ac:dyDescent="0.6">
      <c r="A66" s="1018"/>
      <c r="B66" s="1014" t="s">
        <v>1503</v>
      </c>
      <c r="C66" s="1014" t="s">
        <v>1504</v>
      </c>
      <c r="D66" s="1015" t="s">
        <v>1505</v>
      </c>
      <c r="E66" s="1015">
        <v>1000</v>
      </c>
      <c r="F66" s="1016">
        <v>1</v>
      </c>
      <c r="G66" s="1015">
        <f t="shared" si="6"/>
        <v>1000</v>
      </c>
      <c r="H66" s="1015">
        <f t="shared" si="7"/>
        <v>1130</v>
      </c>
      <c r="I66" s="1015">
        <v>1000</v>
      </c>
      <c r="J66" s="1017"/>
    </row>
    <row r="67" spans="1:11" ht="16.5" x14ac:dyDescent="0.6">
      <c r="A67" s="1042"/>
      <c r="B67" s="570" t="s">
        <v>1506</v>
      </c>
      <c r="C67" s="570" t="s">
        <v>1507</v>
      </c>
      <c r="D67" s="571" t="s">
        <v>1508</v>
      </c>
      <c r="E67" s="571">
        <v>280</v>
      </c>
      <c r="F67" s="572">
        <v>1</v>
      </c>
      <c r="G67" s="571">
        <f t="shared" si="6"/>
        <v>280</v>
      </c>
      <c r="H67" s="571">
        <f t="shared" si="7"/>
        <v>316.39999999999998</v>
      </c>
      <c r="I67" s="571">
        <v>280</v>
      </c>
      <c r="J67" s="573"/>
      <c r="K67" t="s">
        <v>1509</v>
      </c>
    </row>
    <row r="68" spans="1:11" ht="16.5" x14ac:dyDescent="0.6">
      <c r="A68" s="1007"/>
      <c r="B68" s="1014" t="s">
        <v>1510</v>
      </c>
      <c r="C68" s="1014" t="s">
        <v>1511</v>
      </c>
      <c r="D68" s="1015" t="s">
        <v>1512</v>
      </c>
      <c r="E68" s="1015">
        <v>0.5</v>
      </c>
      <c r="F68" s="1016">
        <v>150</v>
      </c>
      <c r="G68" s="1015">
        <f t="shared" si="6"/>
        <v>75</v>
      </c>
      <c r="H68" s="1015">
        <f t="shared" si="7"/>
        <v>84.749999999999986</v>
      </c>
      <c r="I68" s="1015">
        <v>75</v>
      </c>
      <c r="J68" s="1017">
        <v>84.75</v>
      </c>
    </row>
    <row r="69" spans="1:11" ht="16.5" x14ac:dyDescent="0.6">
      <c r="A69" s="1007"/>
      <c r="B69" s="1039" t="s">
        <v>1513</v>
      </c>
      <c r="C69" s="1039" t="s">
        <v>1514</v>
      </c>
      <c r="D69" s="1020" t="s">
        <v>1515</v>
      </c>
      <c r="E69" s="1020">
        <v>0.1</v>
      </c>
      <c r="F69" s="1021">
        <v>150</v>
      </c>
      <c r="G69" s="1020">
        <f t="shared" si="6"/>
        <v>15</v>
      </c>
      <c r="H69" s="1020">
        <f t="shared" si="7"/>
        <v>16.95</v>
      </c>
      <c r="I69" s="1020">
        <v>14</v>
      </c>
      <c r="J69" s="1022">
        <v>15.82</v>
      </c>
    </row>
    <row r="70" spans="1:11" ht="16.5" x14ac:dyDescent="0.6">
      <c r="A70" s="1042"/>
      <c r="B70" s="570" t="s">
        <v>1516</v>
      </c>
      <c r="C70" s="570" t="s">
        <v>1517</v>
      </c>
      <c r="D70" s="571" t="s">
        <v>1518</v>
      </c>
      <c r="E70" s="571">
        <v>500</v>
      </c>
      <c r="F70" s="572">
        <v>1</v>
      </c>
      <c r="G70" s="571">
        <f t="shared" si="6"/>
        <v>500</v>
      </c>
      <c r="H70" s="571">
        <f t="shared" si="7"/>
        <v>565</v>
      </c>
      <c r="I70" s="571">
        <v>411.13</v>
      </c>
      <c r="J70" s="573">
        <v>464.58</v>
      </c>
    </row>
    <row r="71" spans="1:11" ht="16.5" x14ac:dyDescent="0.6">
      <c r="A71" s="1028"/>
      <c r="B71" s="570" t="s">
        <v>1519</v>
      </c>
      <c r="C71" s="570" t="s">
        <v>1520</v>
      </c>
      <c r="D71" s="571" t="s">
        <v>1521</v>
      </c>
      <c r="E71" s="571">
        <v>35</v>
      </c>
      <c r="F71" s="572">
        <v>1</v>
      </c>
      <c r="G71" s="571">
        <f t="shared" si="6"/>
        <v>35</v>
      </c>
      <c r="H71" s="571">
        <f t="shared" si="7"/>
        <v>39.549999999999997</v>
      </c>
      <c r="I71" s="1043">
        <v>46.41</v>
      </c>
      <c r="J71" s="1044">
        <v>46.41</v>
      </c>
    </row>
    <row r="72" spans="1:11" ht="16.5" x14ac:dyDescent="0.6">
      <c r="A72" s="1028"/>
      <c r="B72" s="570" t="s">
        <v>1522</v>
      </c>
      <c r="C72" s="570" t="s">
        <v>1523</v>
      </c>
      <c r="D72" s="571" t="s">
        <v>1515</v>
      </c>
      <c r="E72" s="571">
        <v>50</v>
      </c>
      <c r="F72" s="572">
        <v>1</v>
      </c>
      <c r="G72" s="571">
        <f t="shared" si="6"/>
        <v>50</v>
      </c>
      <c r="H72" s="571">
        <f t="shared" si="7"/>
        <v>56.499999999999993</v>
      </c>
      <c r="I72" s="1045">
        <v>15</v>
      </c>
      <c r="J72" s="1045">
        <f>I72*1.13</f>
        <v>16.95</v>
      </c>
    </row>
    <row r="73" spans="1:11" ht="16.5" x14ac:dyDescent="0.6">
      <c r="A73" s="1018"/>
      <c r="B73" s="1014"/>
      <c r="C73" s="1008"/>
      <c r="D73" s="1009"/>
      <c r="E73" s="1009"/>
      <c r="F73" s="1010"/>
      <c r="G73" s="1009"/>
      <c r="H73" s="1009"/>
      <c r="I73" s="1009"/>
      <c r="J73" s="1011"/>
    </row>
    <row r="74" spans="1:11" ht="16.5" x14ac:dyDescent="0.6">
      <c r="A74" s="1018"/>
      <c r="B74" s="1031" t="s">
        <v>1524</v>
      </c>
      <c r="C74" s="1041"/>
      <c r="D74" s="1033"/>
      <c r="E74" s="1033"/>
      <c r="F74" s="1034"/>
      <c r="G74" s="1033"/>
      <c r="H74" s="1033">
        <f>SUM(H63:H72)</f>
        <v>14017.65</v>
      </c>
      <c r="I74" s="1033">
        <f>SUM(I63:I72)</f>
        <v>12291.539999999999</v>
      </c>
      <c r="J74" s="1035">
        <f>SUM(J63:J71)</f>
        <v>611.55999999999995</v>
      </c>
    </row>
    <row r="76" spans="1:11" ht="16.5" x14ac:dyDescent="0.6">
      <c r="A76" s="1007" t="s">
        <v>1525</v>
      </c>
      <c r="B76" s="1008"/>
      <c r="C76" s="1014"/>
      <c r="D76" s="1015"/>
      <c r="E76" s="1015"/>
      <c r="F76" s="1016"/>
      <c r="G76" s="1015"/>
      <c r="H76" s="1015"/>
      <c r="I76" s="1015"/>
      <c r="J76" s="1017"/>
    </row>
    <row r="77" spans="1:11" ht="16.5" x14ac:dyDescent="0.6">
      <c r="A77" s="1028"/>
      <c r="B77" s="570" t="s">
        <v>1526</v>
      </c>
      <c r="C77" s="1037" t="s">
        <v>1527</v>
      </c>
      <c r="D77" s="571" t="s">
        <v>1499</v>
      </c>
      <c r="E77" s="571">
        <v>30</v>
      </c>
      <c r="F77" s="572">
        <v>7</v>
      </c>
      <c r="G77" s="571">
        <f t="shared" ref="G77:G78" si="8">E77*F77</f>
        <v>210</v>
      </c>
      <c r="H77" s="571">
        <f t="shared" ref="H77:H78" si="9">G77*1.13</f>
        <v>237.29999999999998</v>
      </c>
      <c r="I77" s="571">
        <v>0</v>
      </c>
      <c r="J77" s="573">
        <v>0</v>
      </c>
    </row>
    <row r="78" spans="1:11" ht="16.5" x14ac:dyDescent="0.6">
      <c r="A78" s="1028" t="s">
        <v>66</v>
      </c>
      <c r="B78" s="570" t="s">
        <v>1528</v>
      </c>
      <c r="C78" s="570" t="s">
        <v>1529</v>
      </c>
      <c r="D78" s="571" t="s">
        <v>1499</v>
      </c>
      <c r="E78" s="571">
        <v>30</v>
      </c>
      <c r="F78" s="572">
        <v>7</v>
      </c>
      <c r="G78" s="571">
        <f t="shared" si="8"/>
        <v>210</v>
      </c>
      <c r="H78" s="571">
        <f t="shared" si="9"/>
        <v>237.29999999999998</v>
      </c>
      <c r="I78" s="571">
        <v>0</v>
      </c>
      <c r="J78" s="573">
        <v>0</v>
      </c>
    </row>
    <row r="79" spans="1:11" ht="16.5" x14ac:dyDescent="0.6">
      <c r="B79" s="1031" t="s">
        <v>1530</v>
      </c>
      <c r="C79" s="1041"/>
      <c r="D79" s="1033"/>
      <c r="E79" s="1033"/>
      <c r="F79" s="1034"/>
      <c r="G79" s="1033"/>
      <c r="H79" s="1033">
        <f>SUM(H77:H78)</f>
        <v>474.59999999999997</v>
      </c>
      <c r="I79" s="1033">
        <f>SUM(I68:I76)</f>
        <v>12853.079999999998</v>
      </c>
      <c r="J79" s="1035">
        <f>SUM(J68:J76)</f>
        <v>1240.07</v>
      </c>
    </row>
    <row r="83" spans="1:10" ht="16.5" x14ac:dyDescent="0.6">
      <c r="A83" s="1018"/>
      <c r="B83" s="1014"/>
      <c r="C83" s="1008" t="s">
        <v>84</v>
      </c>
      <c r="D83" s="1009"/>
      <c r="E83" s="1009"/>
      <c r="F83" s="1010"/>
      <c r="G83" s="1009"/>
      <c r="H83" s="1009">
        <f>H74+H60+H50+H27+H79</f>
        <v>21079.584999999999</v>
      </c>
      <c r="I83" s="1009">
        <f>I74+I60+I50+I27</f>
        <v>15366.189999999999</v>
      </c>
      <c r="J83" s="1011">
        <f>J74+J60+J50+J27</f>
        <v>4730.1100000000006</v>
      </c>
    </row>
    <row r="84" spans="1:10" ht="16.5" x14ac:dyDescent="0.6">
      <c r="A84" s="1018"/>
      <c r="B84" s="1014"/>
      <c r="C84" s="1008"/>
      <c r="D84" s="1009"/>
      <c r="E84" s="1009"/>
      <c r="F84" s="1010"/>
      <c r="G84" s="1009"/>
      <c r="H84" s="1009"/>
      <c r="I84" s="1009"/>
      <c r="J84" s="1011"/>
    </row>
    <row r="85" spans="1:10" ht="16.5" x14ac:dyDescent="0.6">
      <c r="A85" s="1528" t="s">
        <v>85</v>
      </c>
      <c r="B85" s="1529"/>
      <c r="C85" s="1529"/>
      <c r="D85" s="1004"/>
      <c r="E85" s="1004"/>
      <c r="F85" s="1005"/>
      <c r="G85" s="1004"/>
      <c r="H85" s="1004"/>
      <c r="I85" s="1004"/>
      <c r="J85" s="1006"/>
    </row>
    <row r="86" spans="1:10" ht="16.5" x14ac:dyDescent="0.6">
      <c r="A86" s="1007"/>
      <c r="B86" s="1046" t="s">
        <v>86</v>
      </c>
      <c r="C86" s="1046"/>
      <c r="D86" s="1047"/>
      <c r="E86" s="1047"/>
      <c r="F86" s="1047"/>
      <c r="G86" s="1047"/>
      <c r="H86" s="1047">
        <v>0</v>
      </c>
      <c r="I86" s="1047">
        <f>I6</f>
        <v>0</v>
      </c>
      <c r="J86" s="1048">
        <f>J6</f>
        <v>0</v>
      </c>
    </row>
    <row r="87" spans="1:10" ht="16.5" x14ac:dyDescent="0.6">
      <c r="A87" s="1007"/>
      <c r="B87" s="1008" t="s">
        <v>87</v>
      </c>
      <c r="C87" s="1008"/>
      <c r="D87" s="1009"/>
      <c r="E87" s="1009"/>
      <c r="F87" s="1009"/>
      <c r="G87" s="1009"/>
      <c r="H87" s="1009">
        <f>H83</f>
        <v>21079.584999999999</v>
      </c>
      <c r="I87" s="1009">
        <f>I83</f>
        <v>15366.189999999999</v>
      </c>
      <c r="J87" s="1011">
        <f>J83</f>
        <v>4730.1100000000006</v>
      </c>
    </row>
    <row r="88" spans="1:10" ht="16.5" x14ac:dyDescent="0.6">
      <c r="A88" s="1049"/>
      <c r="B88" s="1050" t="s">
        <v>88</v>
      </c>
      <c r="C88" s="1050"/>
      <c r="D88" s="1051"/>
      <c r="E88" s="1051"/>
      <c r="F88" s="1051"/>
      <c r="G88" s="1051"/>
      <c r="H88" s="1051">
        <f>H86-H87</f>
        <v>-21079.584999999999</v>
      </c>
      <c r="I88" s="1051">
        <f>I86-I87</f>
        <v>-15366.189999999999</v>
      </c>
      <c r="J88" s="1052">
        <f>J86-J87</f>
        <v>-4730.1100000000006</v>
      </c>
    </row>
  </sheetData>
  <mergeCells count="4">
    <mergeCell ref="A1:J1"/>
    <mergeCell ref="A4:C4"/>
    <mergeCell ref="A8:C8"/>
    <mergeCell ref="A85:C8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A9EB-F94D-44EB-ABDB-42026CF4B10A}">
  <dimension ref="A1:J63"/>
  <sheetViews>
    <sheetView topLeftCell="A36" workbookViewId="0">
      <selection activeCell="L48" sqref="L48"/>
    </sheetView>
  </sheetViews>
  <sheetFormatPr defaultColWidth="11.3984375" defaultRowHeight="14.25" x14ac:dyDescent="0.45"/>
  <cols>
    <col min="4" max="4" width="18.265625" customWidth="1"/>
    <col min="8" max="8" width="28.3984375" customWidth="1"/>
    <col min="10" max="10" width="15.73046875" customWidth="1"/>
  </cols>
  <sheetData>
    <row r="1" spans="1:10" ht="25.5" x14ac:dyDescent="0.45">
      <c r="A1" s="1514" t="s">
        <v>1531</v>
      </c>
      <c r="B1" s="1514"/>
      <c r="C1" s="1514"/>
      <c r="D1" s="1514"/>
      <c r="E1" s="1514"/>
      <c r="F1" s="1514"/>
      <c r="G1" s="1514"/>
      <c r="H1" s="1514"/>
      <c r="I1" s="1514"/>
      <c r="J1" s="1514"/>
    </row>
    <row r="2" spans="1:10" ht="16.5" x14ac:dyDescent="0.6">
      <c r="A2" s="254"/>
      <c r="B2" s="200" t="s">
        <v>90</v>
      </c>
      <c r="C2" s="198" t="s">
        <v>91</v>
      </c>
      <c r="D2" s="255" t="s">
        <v>92</v>
      </c>
      <c r="E2" s="256" t="s">
        <v>93</v>
      </c>
      <c r="F2" s="257" t="s">
        <v>94</v>
      </c>
      <c r="G2" s="258" t="s">
        <v>95</v>
      </c>
      <c r="H2" s="258" t="s">
        <v>96</v>
      </c>
      <c r="I2" s="258" t="s">
        <v>217</v>
      </c>
      <c r="J2" s="259" t="s">
        <v>218</v>
      </c>
    </row>
    <row r="3" spans="1:10" ht="16.5" x14ac:dyDescent="0.6">
      <c r="A3" s="22"/>
      <c r="B3" s="23"/>
      <c r="C3" s="260"/>
      <c r="D3" s="261"/>
      <c r="E3" s="262"/>
      <c r="F3" s="263"/>
      <c r="G3" s="262"/>
      <c r="H3" s="262"/>
      <c r="I3" s="262"/>
      <c r="J3" s="264"/>
    </row>
    <row r="4" spans="1:10" ht="16.5" x14ac:dyDescent="0.6">
      <c r="A4" s="1475" t="s">
        <v>47</v>
      </c>
      <c r="B4" s="1476"/>
      <c r="C4" s="1476"/>
      <c r="D4" s="203"/>
      <c r="E4" s="272"/>
      <c r="F4" s="273"/>
      <c r="G4" s="272"/>
      <c r="H4" s="272"/>
      <c r="I4" s="272"/>
      <c r="J4" s="205"/>
    </row>
    <row r="5" spans="1:10" ht="16.5" x14ac:dyDescent="0.6">
      <c r="A5" s="244" t="s">
        <v>1532</v>
      </c>
      <c r="B5" s="246"/>
      <c r="C5" s="274"/>
      <c r="D5" s="275"/>
      <c r="E5" s="275"/>
      <c r="F5" s="276"/>
      <c r="G5" s="275"/>
      <c r="H5" s="275"/>
      <c r="I5" s="275"/>
      <c r="J5" s="277"/>
    </row>
    <row r="6" spans="1:10" ht="16.5" x14ac:dyDescent="0.6">
      <c r="A6" s="278"/>
      <c r="B6" s="674" t="s">
        <v>1533</v>
      </c>
      <c r="C6" s="675" t="s">
        <v>1534</v>
      </c>
      <c r="D6" s="269" t="s">
        <v>1535</v>
      </c>
      <c r="E6" s="269">
        <v>1503.88</v>
      </c>
      <c r="F6" s="270">
        <v>1</v>
      </c>
      <c r="G6" s="269">
        <v>1503.88</v>
      </c>
      <c r="H6" s="269">
        <v>1699.38</v>
      </c>
      <c r="I6" s="269"/>
      <c r="J6" s="271"/>
    </row>
    <row r="7" spans="1:10" ht="16.5" x14ac:dyDescent="0.6">
      <c r="A7" s="278"/>
      <c r="B7" s="292" t="s">
        <v>1536</v>
      </c>
      <c r="C7" s="676"/>
      <c r="D7" s="295"/>
      <c r="E7" s="295"/>
      <c r="F7" s="296"/>
      <c r="G7" s="295"/>
      <c r="H7" s="295">
        <v>1699.38</v>
      </c>
      <c r="I7" s="295">
        <v>0</v>
      </c>
      <c r="J7" s="297">
        <v>0</v>
      </c>
    </row>
    <row r="8" spans="1:10" ht="16.5" x14ac:dyDescent="0.6">
      <c r="A8" s="244"/>
      <c r="B8" s="246"/>
      <c r="C8" s="246"/>
      <c r="D8" s="247"/>
      <c r="E8" s="247"/>
      <c r="F8" s="267"/>
      <c r="G8" s="247"/>
      <c r="H8" s="247"/>
      <c r="I8" s="247"/>
      <c r="J8" s="248"/>
    </row>
    <row r="9" spans="1:10" ht="16.5" x14ac:dyDescent="0.6">
      <c r="A9" s="244" t="s">
        <v>1537</v>
      </c>
      <c r="B9" s="246"/>
      <c r="C9" s="274"/>
      <c r="D9" s="275"/>
      <c r="E9" s="275"/>
      <c r="F9" s="276"/>
      <c r="G9" s="275"/>
      <c r="H9" s="275"/>
      <c r="I9" s="275"/>
      <c r="J9" s="277"/>
    </row>
    <row r="10" spans="1:10" ht="16.5" x14ac:dyDescent="0.6">
      <c r="A10" s="278"/>
      <c r="B10" s="674" t="s">
        <v>1538</v>
      </c>
      <c r="C10" s="675" t="s">
        <v>1539</v>
      </c>
      <c r="D10" s="269" t="s">
        <v>1540</v>
      </c>
      <c r="E10" s="269">
        <v>25</v>
      </c>
      <c r="F10" s="270">
        <v>6</v>
      </c>
      <c r="G10" s="269">
        <v>150</v>
      </c>
      <c r="H10" s="269">
        <v>169.5</v>
      </c>
      <c r="I10" s="269"/>
      <c r="J10" s="271">
        <v>115.67</v>
      </c>
    </row>
    <row r="11" spans="1:10" ht="16.5" x14ac:dyDescent="0.6">
      <c r="A11" s="278"/>
      <c r="B11" s="274" t="s">
        <v>1541</v>
      </c>
      <c r="C11" s="321" t="s">
        <v>1539</v>
      </c>
      <c r="D11" s="275" t="s">
        <v>1542</v>
      </c>
      <c r="E11" s="275">
        <v>20</v>
      </c>
      <c r="F11" s="276">
        <v>19</v>
      </c>
      <c r="G11" s="275">
        <v>380</v>
      </c>
      <c r="H11" s="275">
        <v>429.4</v>
      </c>
      <c r="I11" s="275"/>
      <c r="J11" s="277">
        <v>191.84</v>
      </c>
    </row>
    <row r="12" spans="1:10" ht="16.5" x14ac:dyDescent="0.6">
      <c r="A12" s="278"/>
      <c r="B12" s="292" t="s">
        <v>1543</v>
      </c>
      <c r="C12" s="320"/>
      <c r="D12" s="295"/>
      <c r="E12" s="295"/>
      <c r="F12" s="296"/>
      <c r="G12" s="295"/>
      <c r="H12" s="295">
        <v>598.9</v>
      </c>
      <c r="I12" s="295">
        <v>0</v>
      </c>
      <c r="J12" s="297">
        <f>SUM(J10:J11)</f>
        <v>307.51</v>
      </c>
    </row>
    <row r="13" spans="1:10" ht="16.5" x14ac:dyDescent="0.6">
      <c r="A13" s="278"/>
      <c r="B13" s="246"/>
      <c r="C13" s="246"/>
      <c r="D13" s="247"/>
      <c r="E13" s="247"/>
      <c r="F13" s="267"/>
      <c r="G13" s="247"/>
      <c r="H13" s="247"/>
      <c r="I13" s="247"/>
      <c r="J13" s="248"/>
    </row>
    <row r="14" spans="1:10" ht="16.5" x14ac:dyDescent="0.6">
      <c r="A14" s="278"/>
      <c r="B14" s="274"/>
      <c r="C14" s="274"/>
      <c r="D14" s="275"/>
      <c r="E14" s="275"/>
      <c r="F14" s="276"/>
      <c r="G14" s="275"/>
      <c r="H14" s="275"/>
      <c r="I14" s="275"/>
      <c r="J14" s="277"/>
    </row>
    <row r="15" spans="1:10" ht="16.5" x14ac:dyDescent="0.6">
      <c r="A15" s="244" t="s">
        <v>1544</v>
      </c>
      <c r="B15" s="246"/>
      <c r="C15" s="274"/>
      <c r="D15" s="275"/>
      <c r="E15" s="275"/>
      <c r="F15" s="276"/>
      <c r="G15" s="275"/>
      <c r="H15" s="275"/>
      <c r="I15" s="275"/>
      <c r="J15" s="277"/>
    </row>
    <row r="16" spans="1:10" ht="16.5" x14ac:dyDescent="0.6">
      <c r="A16" s="278"/>
      <c r="B16" s="674" t="s">
        <v>1545</v>
      </c>
      <c r="C16" s="675" t="s">
        <v>436</v>
      </c>
      <c r="D16" s="269" t="s">
        <v>1546</v>
      </c>
      <c r="E16" s="269">
        <v>8</v>
      </c>
      <c r="F16" s="270">
        <v>20</v>
      </c>
      <c r="G16" s="269">
        <v>160</v>
      </c>
      <c r="H16" s="269">
        <v>180.8</v>
      </c>
      <c r="I16" s="269"/>
      <c r="J16" s="271">
        <f>16*8</f>
        <v>128</v>
      </c>
    </row>
    <row r="17" spans="1:10" ht="16.5" x14ac:dyDescent="0.6">
      <c r="A17" s="278"/>
      <c r="B17" s="674" t="s">
        <v>1547</v>
      </c>
      <c r="C17" s="321" t="s">
        <v>411</v>
      </c>
      <c r="D17" s="275" t="s">
        <v>784</v>
      </c>
      <c r="E17" s="275">
        <v>1.21</v>
      </c>
      <c r="F17" s="276">
        <v>80</v>
      </c>
      <c r="G17" s="275">
        <v>96.8</v>
      </c>
      <c r="H17" s="275">
        <v>109.38</v>
      </c>
      <c r="I17" s="275"/>
      <c r="J17" s="277">
        <v>0</v>
      </c>
    </row>
    <row r="18" spans="1:10" ht="16.5" x14ac:dyDescent="0.6">
      <c r="A18" s="278"/>
      <c r="B18" s="674" t="s">
        <v>1548</v>
      </c>
      <c r="C18" s="321" t="s">
        <v>1549</v>
      </c>
      <c r="D18" s="275" t="s">
        <v>440</v>
      </c>
      <c r="E18" s="275">
        <v>20</v>
      </c>
      <c r="F18" s="276">
        <v>20</v>
      </c>
      <c r="G18" s="275">
        <v>400</v>
      </c>
      <c r="H18" s="275">
        <v>452</v>
      </c>
      <c r="I18" s="275"/>
      <c r="J18" s="277">
        <v>510.53</v>
      </c>
    </row>
    <row r="19" spans="1:10" ht="16.5" x14ac:dyDescent="0.6">
      <c r="A19" s="278"/>
      <c r="B19" s="674" t="s">
        <v>1550</v>
      </c>
      <c r="C19" s="674" t="s">
        <v>1549</v>
      </c>
      <c r="D19" s="269" t="s">
        <v>1551</v>
      </c>
      <c r="E19" s="269">
        <v>34.799999999999997</v>
      </c>
      <c r="F19" s="270">
        <v>25</v>
      </c>
      <c r="G19" s="269">
        <v>870</v>
      </c>
      <c r="H19" s="269">
        <v>983.1</v>
      </c>
      <c r="I19" s="269"/>
      <c r="J19" s="271">
        <v>423.63</v>
      </c>
    </row>
    <row r="20" spans="1:10" ht="16.5" x14ac:dyDescent="0.6">
      <c r="A20" s="278"/>
      <c r="B20" s="674" t="s">
        <v>1552</v>
      </c>
      <c r="C20" s="674" t="s">
        <v>1553</v>
      </c>
      <c r="D20" s="269" t="s">
        <v>1554</v>
      </c>
      <c r="E20" s="269">
        <v>200</v>
      </c>
      <c r="F20" s="270">
        <v>1</v>
      </c>
      <c r="G20" s="269">
        <v>200</v>
      </c>
      <c r="H20" s="269">
        <v>200</v>
      </c>
      <c r="I20" s="269"/>
      <c r="J20" s="271">
        <v>0</v>
      </c>
    </row>
    <row r="21" spans="1:10" ht="16.5" x14ac:dyDescent="0.6">
      <c r="A21" s="278"/>
      <c r="B21" s="292" t="s">
        <v>1555</v>
      </c>
      <c r="C21" s="320"/>
      <c r="D21" s="295"/>
      <c r="E21" s="295"/>
      <c r="F21" s="296"/>
      <c r="G21" s="295"/>
      <c r="H21" s="295">
        <v>1925.28</v>
      </c>
      <c r="I21" s="295">
        <v>0</v>
      </c>
      <c r="J21" s="297">
        <f>SUM(J16:J20)</f>
        <v>1062.1599999999999</v>
      </c>
    </row>
    <row r="22" spans="1:10" ht="16.5" x14ac:dyDescent="0.6">
      <c r="A22" s="278"/>
      <c r="B22" s="246"/>
      <c r="C22" s="246"/>
      <c r="D22" s="247"/>
      <c r="E22" s="247"/>
      <c r="F22" s="267"/>
      <c r="G22" s="247"/>
      <c r="H22" s="247"/>
      <c r="I22" s="247"/>
      <c r="J22" s="248"/>
    </row>
    <row r="23" spans="1:10" ht="16.5" x14ac:dyDescent="0.6">
      <c r="A23" s="244" t="s">
        <v>1556</v>
      </c>
      <c r="B23" s="246"/>
      <c r="C23" s="274"/>
      <c r="D23" s="275"/>
      <c r="E23" s="275"/>
      <c r="F23" s="276"/>
      <c r="G23" s="275"/>
      <c r="H23" s="275"/>
      <c r="I23" s="275"/>
      <c r="J23" s="277"/>
    </row>
    <row r="24" spans="1:10" ht="16.5" x14ac:dyDescent="0.6">
      <c r="A24" s="278"/>
      <c r="B24" s="674"/>
      <c r="C24" s="675"/>
      <c r="D24" s="269"/>
      <c r="E24" s="269"/>
      <c r="F24" s="270"/>
      <c r="G24" s="269"/>
      <c r="H24" s="269"/>
      <c r="I24" s="269"/>
      <c r="J24" s="271"/>
    </row>
    <row r="25" spans="1:10" ht="16.5" x14ac:dyDescent="0.6">
      <c r="A25" s="278"/>
      <c r="B25" s="674" t="s">
        <v>1557</v>
      </c>
      <c r="C25" s="675" t="s">
        <v>1549</v>
      </c>
      <c r="D25" s="269" t="s">
        <v>776</v>
      </c>
      <c r="E25" s="269">
        <v>30</v>
      </c>
      <c r="F25" s="270">
        <v>8</v>
      </c>
      <c r="G25" s="269">
        <v>240</v>
      </c>
      <c r="H25" s="269">
        <v>271.2</v>
      </c>
      <c r="I25" s="269"/>
      <c r="J25" s="271">
        <v>0</v>
      </c>
    </row>
    <row r="26" spans="1:10" ht="16.5" x14ac:dyDescent="0.6">
      <c r="A26" s="278"/>
      <c r="B26" s="274" t="s">
        <v>1558</v>
      </c>
      <c r="C26" s="321" t="s">
        <v>1549</v>
      </c>
      <c r="D26" s="275" t="s">
        <v>1559</v>
      </c>
      <c r="E26" s="275">
        <v>20</v>
      </c>
      <c r="F26" s="276">
        <v>5</v>
      </c>
      <c r="G26" s="275">
        <v>100</v>
      </c>
      <c r="H26" s="275">
        <v>113</v>
      </c>
      <c r="I26" s="275"/>
      <c r="J26" s="277">
        <v>0</v>
      </c>
    </row>
    <row r="27" spans="1:10" ht="16.5" x14ac:dyDescent="0.6">
      <c r="A27" s="278"/>
      <c r="B27" s="292" t="s">
        <v>1560</v>
      </c>
      <c r="C27" s="320"/>
      <c r="D27" s="295"/>
      <c r="E27" s="295"/>
      <c r="F27" s="296"/>
      <c r="G27" s="295"/>
      <c r="H27" s="295">
        <v>384.2</v>
      </c>
      <c r="I27" s="295">
        <v>0</v>
      </c>
      <c r="J27" s="297">
        <v>0</v>
      </c>
    </row>
    <row r="28" spans="1:10" ht="16.5" x14ac:dyDescent="0.6">
      <c r="A28" s="278"/>
      <c r="B28" s="246"/>
      <c r="C28" s="246"/>
      <c r="D28" s="247"/>
      <c r="E28" s="247"/>
      <c r="F28" s="267"/>
      <c r="G28" s="247"/>
      <c r="H28" s="247"/>
      <c r="I28" s="247"/>
      <c r="J28" s="248"/>
    </row>
    <row r="29" spans="1:10" ht="16.5" x14ac:dyDescent="0.6">
      <c r="A29" s="244" t="s">
        <v>1561</v>
      </c>
      <c r="B29" s="246"/>
      <c r="C29" s="274"/>
      <c r="D29" s="275"/>
      <c r="E29" s="275"/>
      <c r="F29" s="276"/>
      <c r="G29" s="275"/>
      <c r="H29" s="275"/>
      <c r="I29" s="275"/>
      <c r="J29" s="277"/>
    </row>
    <row r="30" spans="1:10" ht="16.5" x14ac:dyDescent="0.6">
      <c r="A30" s="278"/>
      <c r="B30" s="674" t="s">
        <v>1562</v>
      </c>
      <c r="C30" s="675" t="s">
        <v>1563</v>
      </c>
      <c r="D30" s="269" t="s">
        <v>1564</v>
      </c>
      <c r="E30" s="269">
        <v>180</v>
      </c>
      <c r="F30" s="270">
        <v>12</v>
      </c>
      <c r="G30" s="269">
        <v>2160</v>
      </c>
      <c r="H30" s="269">
        <v>2440.8000000000002</v>
      </c>
      <c r="I30" s="269"/>
      <c r="J30" s="271"/>
    </row>
    <row r="31" spans="1:10" ht="16.5" x14ac:dyDescent="0.6">
      <c r="A31" s="278"/>
      <c r="B31" s="674" t="s">
        <v>1565</v>
      </c>
      <c r="C31" s="321" t="s">
        <v>1566</v>
      </c>
      <c r="D31" s="275" t="s">
        <v>1567</v>
      </c>
      <c r="E31" s="275">
        <v>80</v>
      </c>
      <c r="F31" s="276">
        <v>12</v>
      </c>
      <c r="G31" s="275">
        <v>960</v>
      </c>
      <c r="H31" s="275">
        <v>1084.8</v>
      </c>
      <c r="I31" s="275"/>
      <c r="J31" s="277"/>
    </row>
    <row r="32" spans="1:10" ht="16.5" x14ac:dyDescent="0.6">
      <c r="A32" s="278"/>
      <c r="B32" s="674" t="s">
        <v>1568</v>
      </c>
      <c r="C32" s="674" t="s">
        <v>1566</v>
      </c>
      <c r="D32" s="269" t="s">
        <v>1569</v>
      </c>
      <c r="E32" s="269">
        <v>80</v>
      </c>
      <c r="F32" s="270">
        <v>12</v>
      </c>
      <c r="G32" s="269">
        <v>960</v>
      </c>
      <c r="H32" s="269">
        <v>1084.8</v>
      </c>
      <c r="I32" s="269"/>
      <c r="J32" s="271"/>
    </row>
    <row r="33" spans="1:10" ht="16.5" x14ac:dyDescent="0.6">
      <c r="A33" s="278"/>
      <c r="B33" s="674" t="s">
        <v>1570</v>
      </c>
      <c r="C33" s="674" t="s">
        <v>1566</v>
      </c>
      <c r="D33" s="269" t="s">
        <v>1571</v>
      </c>
      <c r="E33" s="269">
        <v>10</v>
      </c>
      <c r="F33" s="270">
        <v>12</v>
      </c>
      <c r="G33" s="269">
        <v>120</v>
      </c>
      <c r="H33" s="269">
        <v>135.6</v>
      </c>
      <c r="I33" s="269"/>
      <c r="J33" s="271"/>
    </row>
    <row r="34" spans="1:10" ht="16.5" x14ac:dyDescent="0.6">
      <c r="A34" s="278"/>
      <c r="B34" s="674" t="s">
        <v>1572</v>
      </c>
      <c r="C34" s="274" t="s">
        <v>1566</v>
      </c>
      <c r="D34" s="275" t="s">
        <v>1573</v>
      </c>
      <c r="E34" s="275">
        <v>230</v>
      </c>
      <c r="F34" s="276">
        <v>12</v>
      </c>
      <c r="G34" s="275">
        <v>2760</v>
      </c>
      <c r="H34" s="275">
        <v>3118.8</v>
      </c>
      <c r="I34" s="275"/>
      <c r="J34" s="277"/>
    </row>
    <row r="35" spans="1:10" ht="16.5" x14ac:dyDescent="0.6">
      <c r="A35" s="278"/>
      <c r="B35" s="674" t="s">
        <v>1574</v>
      </c>
      <c r="C35" s="674" t="s">
        <v>1566</v>
      </c>
      <c r="D35" s="269" t="s">
        <v>1575</v>
      </c>
      <c r="E35" s="269">
        <v>20</v>
      </c>
      <c r="F35" s="270">
        <v>12</v>
      </c>
      <c r="G35" s="269">
        <v>240</v>
      </c>
      <c r="H35" s="269">
        <v>271.2</v>
      </c>
      <c r="I35" s="269"/>
      <c r="J35" s="271"/>
    </row>
    <row r="36" spans="1:10" ht="16.5" x14ac:dyDescent="0.6">
      <c r="A36" s="278"/>
      <c r="B36" s="674" t="s">
        <v>1576</v>
      </c>
      <c r="C36" s="274" t="s">
        <v>1566</v>
      </c>
      <c r="D36" s="275" t="s">
        <v>1577</v>
      </c>
      <c r="E36" s="275">
        <v>150</v>
      </c>
      <c r="F36" s="276">
        <v>12</v>
      </c>
      <c r="G36" s="275">
        <v>1800</v>
      </c>
      <c r="H36" s="275">
        <v>2034</v>
      </c>
      <c r="I36" s="275"/>
      <c r="J36" s="277"/>
    </row>
    <row r="37" spans="1:10" ht="16.5" x14ac:dyDescent="0.6">
      <c r="A37" s="278"/>
      <c r="B37" s="674" t="s">
        <v>1578</v>
      </c>
      <c r="C37" s="674" t="s">
        <v>1566</v>
      </c>
      <c r="D37" s="269" t="s">
        <v>1579</v>
      </c>
      <c r="E37" s="269">
        <v>90</v>
      </c>
      <c r="F37" s="270">
        <v>12</v>
      </c>
      <c r="G37" s="269">
        <v>1080</v>
      </c>
      <c r="H37" s="269">
        <v>1220.4000000000001</v>
      </c>
      <c r="I37" s="269"/>
      <c r="J37" s="271"/>
    </row>
    <row r="38" spans="1:10" ht="16.5" x14ac:dyDescent="0.6">
      <c r="A38" s="278"/>
      <c r="B38" s="292" t="s">
        <v>1580</v>
      </c>
      <c r="C38" s="320"/>
      <c r="D38" s="295"/>
      <c r="E38" s="295"/>
      <c r="F38" s="296"/>
      <c r="G38" s="295"/>
      <c r="H38" s="295">
        <v>11390.4</v>
      </c>
      <c r="I38" s="295">
        <v>0</v>
      </c>
      <c r="J38" s="297">
        <v>8538.25</v>
      </c>
    </row>
    <row r="39" spans="1:10" ht="16.5" x14ac:dyDescent="0.6">
      <c r="A39" s="278"/>
      <c r="B39" s="274"/>
      <c r="C39" s="246"/>
      <c r="D39" s="247"/>
      <c r="E39" s="247"/>
      <c r="F39" s="267"/>
      <c r="G39" s="247"/>
      <c r="H39" s="247"/>
      <c r="I39" s="247"/>
      <c r="J39" s="248"/>
    </row>
    <row r="40" spans="1:10" ht="16.5" x14ac:dyDescent="0.6">
      <c r="A40" s="244" t="s">
        <v>1581</v>
      </c>
      <c r="B40" s="246"/>
      <c r="C40" s="274"/>
      <c r="D40" s="275"/>
      <c r="E40" s="275"/>
      <c r="F40" s="276"/>
      <c r="G40" s="275"/>
      <c r="H40" s="275"/>
      <c r="I40" s="275"/>
      <c r="J40" s="277"/>
    </row>
    <row r="41" spans="1:10" ht="16.5" x14ac:dyDescent="0.6">
      <c r="A41" s="278"/>
      <c r="B41" s="674" t="s">
        <v>1582</v>
      </c>
      <c r="C41" s="674" t="s">
        <v>1583</v>
      </c>
      <c r="D41" s="269" t="s">
        <v>1584</v>
      </c>
      <c r="E41" s="269">
        <v>5</v>
      </c>
      <c r="F41" s="270">
        <v>48</v>
      </c>
      <c r="G41" s="269">
        <v>240</v>
      </c>
      <c r="H41" s="269">
        <v>271.2</v>
      </c>
      <c r="I41" s="269"/>
      <c r="J41" s="271">
        <v>233.31</v>
      </c>
    </row>
    <row r="42" spans="1:10" ht="16.5" x14ac:dyDescent="0.6">
      <c r="A42" s="278"/>
      <c r="B42" s="674" t="s">
        <v>1585</v>
      </c>
      <c r="C42" s="674" t="s">
        <v>1586</v>
      </c>
      <c r="D42" s="269" t="s">
        <v>1587</v>
      </c>
      <c r="E42" s="269">
        <v>50</v>
      </c>
      <c r="F42" s="270">
        <v>1</v>
      </c>
      <c r="G42" s="269">
        <v>50</v>
      </c>
      <c r="H42" s="269">
        <v>50</v>
      </c>
      <c r="I42" s="269"/>
      <c r="J42" s="271">
        <v>0</v>
      </c>
    </row>
    <row r="43" spans="1:10" ht="16.5" x14ac:dyDescent="0.6">
      <c r="A43" s="278"/>
      <c r="B43" s="674" t="s">
        <v>1588</v>
      </c>
      <c r="C43" s="274" t="s">
        <v>1589</v>
      </c>
      <c r="D43" s="275" t="s">
        <v>1590</v>
      </c>
      <c r="E43" s="275">
        <v>10</v>
      </c>
      <c r="F43" s="276">
        <v>12</v>
      </c>
      <c r="G43" s="275">
        <v>120</v>
      </c>
      <c r="H43" s="275">
        <v>135.6</v>
      </c>
      <c r="I43" s="275"/>
      <c r="J43" s="277">
        <v>65.290000000000006</v>
      </c>
    </row>
    <row r="44" spans="1:10" ht="16.5" x14ac:dyDescent="0.6">
      <c r="A44" s="278"/>
      <c r="B44" s="674" t="s">
        <v>1591</v>
      </c>
      <c r="C44" s="274" t="s">
        <v>1589</v>
      </c>
      <c r="D44" s="269" t="s">
        <v>1592</v>
      </c>
      <c r="E44" s="275">
        <v>9.9499999999999993</v>
      </c>
      <c r="F44" s="276">
        <v>12</v>
      </c>
      <c r="G44" s="275">
        <v>119.4</v>
      </c>
      <c r="H44" s="275">
        <v>134.91999999999999</v>
      </c>
      <c r="I44" s="275"/>
      <c r="J44" s="277">
        <v>74.37</v>
      </c>
    </row>
    <row r="45" spans="1:10" ht="16.5" x14ac:dyDescent="0.6">
      <c r="A45" s="278"/>
      <c r="B45" s="674" t="s">
        <v>1593</v>
      </c>
      <c r="C45" s="274" t="s">
        <v>1589</v>
      </c>
      <c r="D45" s="275" t="s">
        <v>1594</v>
      </c>
      <c r="E45" s="275">
        <v>20</v>
      </c>
      <c r="F45" s="276">
        <v>12</v>
      </c>
      <c r="G45" s="275">
        <v>240</v>
      </c>
      <c r="H45" s="275">
        <v>271.2</v>
      </c>
      <c r="I45" s="275"/>
      <c r="J45" s="277">
        <v>73.3</v>
      </c>
    </row>
    <row r="46" spans="1:10" ht="16.5" x14ac:dyDescent="0.6">
      <c r="A46" s="278"/>
    </row>
    <row r="47" spans="1:10" ht="16.5" x14ac:dyDescent="0.6">
      <c r="A47" s="278"/>
      <c r="B47" s="1413" t="s">
        <v>1595</v>
      </c>
      <c r="C47" s="320"/>
      <c r="D47" s="1414"/>
      <c r="E47" s="295"/>
      <c r="F47" s="296"/>
      <c r="G47" s="295"/>
      <c r="H47" s="295">
        <v>862.92</v>
      </c>
      <c r="I47" s="295">
        <v>0</v>
      </c>
      <c r="J47" s="297">
        <f>SUM(J41:J45)</f>
        <v>446.27000000000004</v>
      </c>
    </row>
    <row r="48" spans="1:10" ht="16.5" x14ac:dyDescent="0.6">
      <c r="A48" s="278" t="s">
        <v>1596</v>
      </c>
      <c r="B48" s="246"/>
      <c r="C48" s="246"/>
      <c r="D48" s="247"/>
      <c r="E48" s="247"/>
      <c r="F48" s="267"/>
      <c r="G48" s="247"/>
      <c r="H48" s="247"/>
      <c r="I48" s="247"/>
      <c r="J48" s="248"/>
    </row>
    <row r="49" spans="1:10" ht="16.5" x14ac:dyDescent="0.6">
      <c r="A49" s="244"/>
      <c r="B49" s="246" t="s">
        <v>1597</v>
      </c>
      <c r="C49" s="246" t="s">
        <v>1598</v>
      </c>
      <c r="D49" s="247" t="s">
        <v>1599</v>
      </c>
      <c r="E49" s="247">
        <v>3</v>
      </c>
      <c r="F49" s="267">
        <v>60</v>
      </c>
      <c r="G49" s="247">
        <v>180</v>
      </c>
      <c r="H49" s="247">
        <v>203.4</v>
      </c>
      <c r="I49" s="247"/>
      <c r="J49" s="248"/>
    </row>
    <row r="50" spans="1:10" ht="16.5" x14ac:dyDescent="0.6">
      <c r="A50" s="278"/>
    </row>
    <row r="51" spans="1:10" ht="16.5" x14ac:dyDescent="0.6">
      <c r="A51" s="278"/>
      <c r="B51" s="292" t="s">
        <v>1600</v>
      </c>
      <c r="C51" s="320"/>
      <c r="D51" s="295"/>
      <c r="E51" s="295"/>
      <c r="F51" s="296"/>
      <c r="G51" s="295"/>
      <c r="H51" s="295">
        <v>203.4</v>
      </c>
      <c r="I51" s="295">
        <v>0</v>
      </c>
      <c r="J51" s="297">
        <v>0</v>
      </c>
    </row>
    <row r="52" spans="1:10" ht="16.5" x14ac:dyDescent="0.6">
      <c r="A52" s="278"/>
      <c r="B52" s="274"/>
      <c r="C52" s="321" t="s">
        <v>84</v>
      </c>
      <c r="D52" s="275"/>
      <c r="E52" s="275"/>
      <c r="F52" s="276"/>
      <c r="G52" s="275"/>
      <c r="H52" s="275">
        <v>17064.490000000002</v>
      </c>
      <c r="I52" s="275">
        <v>0</v>
      </c>
      <c r="J52" s="277">
        <v>10117.030000000001</v>
      </c>
    </row>
    <row r="53" spans="1:10" ht="16.5" x14ac:dyDescent="0.6">
      <c r="A53" s="278"/>
      <c r="B53" s="274"/>
      <c r="C53" s="246"/>
      <c r="D53" s="247"/>
      <c r="E53" s="247"/>
      <c r="F53" s="267"/>
      <c r="G53" s="247"/>
      <c r="H53" s="247"/>
      <c r="I53" s="247"/>
      <c r="J53" s="248"/>
    </row>
    <row r="54" spans="1:10" ht="16.5" x14ac:dyDescent="0.6">
      <c r="A54" s="278" t="s">
        <v>85</v>
      </c>
      <c r="B54" s="274"/>
      <c r="C54" s="246"/>
      <c r="D54" s="247"/>
      <c r="E54" s="247"/>
      <c r="F54" s="267"/>
      <c r="G54" s="247"/>
      <c r="H54" s="247"/>
      <c r="I54" s="247"/>
      <c r="J54" s="248"/>
    </row>
    <row r="55" spans="1:10" ht="16.5" x14ac:dyDescent="0.6">
      <c r="A55" s="1417" t="s">
        <v>1601</v>
      </c>
      <c r="B55" s="1418" t="s">
        <v>86</v>
      </c>
      <c r="C55" s="1418"/>
      <c r="D55" s="203"/>
      <c r="E55" s="203"/>
      <c r="F55" s="204"/>
      <c r="G55" s="203"/>
      <c r="H55" s="203">
        <v>0</v>
      </c>
      <c r="I55" s="203">
        <v>0</v>
      </c>
      <c r="J55" s="205">
        <v>0</v>
      </c>
    </row>
    <row r="56" spans="1:10" ht="16.5" x14ac:dyDescent="0.6">
      <c r="A56" s="278" t="s">
        <v>1601</v>
      </c>
      <c r="B56" s="241" t="s">
        <v>87</v>
      </c>
      <c r="C56" s="241"/>
      <c r="D56" s="242"/>
      <c r="E56" s="242"/>
      <c r="F56" s="242"/>
      <c r="G56" s="242"/>
      <c r="H56" s="242">
        <v>17064.490000000002</v>
      </c>
      <c r="I56" s="242">
        <v>0</v>
      </c>
      <c r="J56" s="243">
        <v>10117.030000000001</v>
      </c>
    </row>
    <row r="57" spans="1:10" ht="16.5" x14ac:dyDescent="0.6">
      <c r="A57" s="278" t="s">
        <v>1601</v>
      </c>
      <c r="B57" s="246" t="s">
        <v>88</v>
      </c>
      <c r="C57" s="246"/>
      <c r="D57" s="247"/>
      <c r="E57" s="247"/>
      <c r="F57" s="247"/>
      <c r="G57" s="247"/>
      <c r="H57" s="247">
        <v>-17064.490000000002</v>
      </c>
      <c r="I57" s="247">
        <v>0</v>
      </c>
      <c r="J57" s="248">
        <v>-10117.030000000001</v>
      </c>
    </row>
    <row r="58" spans="1:10" ht="16.5" x14ac:dyDescent="0.6">
      <c r="A58" s="278"/>
      <c r="B58" s="251"/>
      <c r="C58" s="251"/>
      <c r="D58" s="252"/>
      <c r="E58" s="252"/>
      <c r="F58" s="252"/>
      <c r="G58" s="252"/>
      <c r="H58" s="252"/>
      <c r="I58" s="252"/>
      <c r="J58" s="253"/>
    </row>
    <row r="60" spans="1:10" x14ac:dyDescent="0.45">
      <c r="I60" s="1400" t="s">
        <v>1602</v>
      </c>
    </row>
    <row r="61" spans="1:10" x14ac:dyDescent="0.45">
      <c r="I61" t="s">
        <v>1603</v>
      </c>
      <c r="J61">
        <v>78.03</v>
      </c>
    </row>
    <row r="62" spans="1:10" x14ac:dyDescent="0.45">
      <c r="I62" t="s">
        <v>1604</v>
      </c>
      <c r="J62">
        <v>175</v>
      </c>
    </row>
    <row r="63" spans="1:10" x14ac:dyDescent="0.45">
      <c r="I63" t="s">
        <v>1605</v>
      </c>
      <c r="J63">
        <v>221.23</v>
      </c>
    </row>
  </sheetData>
  <mergeCells count="2">
    <mergeCell ref="A1:J1"/>
    <mergeCell ref="A4:C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1FEDF-F4D4-47EA-A1C5-F7197762AE60}">
  <dimension ref="A1:J102"/>
  <sheetViews>
    <sheetView topLeftCell="A6" zoomScale="70" zoomScaleNormal="70" workbookViewId="0">
      <selection activeCell="J102" sqref="J102"/>
    </sheetView>
  </sheetViews>
  <sheetFormatPr defaultColWidth="8.86328125" defaultRowHeight="14.25" x14ac:dyDescent="0.45"/>
  <cols>
    <col min="1" max="1" width="32.265625" bestFit="1" customWidth="1"/>
    <col min="2" max="2" width="44.86328125" bestFit="1" customWidth="1"/>
    <col min="3" max="3" width="37.3984375" customWidth="1"/>
    <col min="4" max="4" width="43.86328125" customWidth="1"/>
    <col min="5" max="5" width="12" bestFit="1" customWidth="1"/>
    <col min="6" max="6" width="9.265625" bestFit="1" customWidth="1"/>
    <col min="7" max="7" width="12.265625" customWidth="1"/>
    <col min="8" max="8" width="13.265625" bestFit="1" customWidth="1"/>
    <col min="9" max="9" width="12.3984375" bestFit="1" customWidth="1"/>
    <col min="10" max="10" width="11.59765625" bestFit="1" customWidth="1"/>
  </cols>
  <sheetData>
    <row r="1" spans="1:10" x14ac:dyDescent="0.45">
      <c r="A1" s="1474"/>
      <c r="B1" s="1465" t="s">
        <v>1606</v>
      </c>
      <c r="C1" s="1466"/>
      <c r="D1" s="1466"/>
      <c r="E1" s="1466"/>
      <c r="F1" s="1466"/>
      <c r="G1" s="1466"/>
      <c r="H1" s="1466"/>
      <c r="I1" s="1466"/>
      <c r="J1" s="1467"/>
    </row>
    <row r="2" spans="1:10" x14ac:dyDescent="0.45">
      <c r="A2" s="1474"/>
      <c r="B2" s="1468"/>
      <c r="C2" s="1469"/>
      <c r="D2" s="1469"/>
      <c r="E2" s="1469"/>
      <c r="F2" s="1469"/>
      <c r="G2" s="1469"/>
      <c r="H2" s="1469"/>
      <c r="I2" s="1469"/>
      <c r="J2" s="1470"/>
    </row>
    <row r="3" spans="1:10" x14ac:dyDescent="0.45">
      <c r="A3" s="1474"/>
      <c r="B3" s="1468"/>
      <c r="C3" s="1469"/>
      <c r="D3" s="1469"/>
      <c r="E3" s="1469"/>
      <c r="F3" s="1469"/>
      <c r="G3" s="1469"/>
      <c r="H3" s="1469"/>
      <c r="I3" s="1469"/>
      <c r="J3" s="1470"/>
    </row>
    <row r="4" spans="1:10" ht="98.85" customHeight="1" x14ac:dyDescent="0.45">
      <c r="A4" s="1474"/>
      <c r="B4" s="1471"/>
      <c r="C4" s="1472"/>
      <c r="D4" s="1472"/>
      <c r="E4" s="1472"/>
      <c r="F4" s="1472"/>
      <c r="G4" s="1472"/>
      <c r="H4" s="1472"/>
      <c r="I4" s="1472"/>
      <c r="J4" s="1473"/>
    </row>
    <row r="5" spans="1:10" ht="18.75" customHeight="1" x14ac:dyDescent="0.6">
      <c r="A5" s="254"/>
      <c r="B5" s="200" t="s">
        <v>90</v>
      </c>
      <c r="C5" s="198" t="s">
        <v>91</v>
      </c>
      <c r="D5" s="255" t="s">
        <v>92</v>
      </c>
      <c r="E5" s="256" t="s">
        <v>93</v>
      </c>
      <c r="F5" s="257" t="s">
        <v>94</v>
      </c>
      <c r="G5" s="258" t="s">
        <v>95</v>
      </c>
      <c r="H5" s="258" t="s">
        <v>96</v>
      </c>
      <c r="I5" s="258" t="s">
        <v>217</v>
      </c>
      <c r="J5" s="259" t="s">
        <v>218</v>
      </c>
    </row>
    <row r="6" spans="1:10" ht="22.5" customHeight="1" x14ac:dyDescent="0.6">
      <c r="A6" s="22"/>
      <c r="B6" s="23"/>
      <c r="C6" s="260"/>
      <c r="D6" s="261"/>
      <c r="E6" s="262"/>
      <c r="F6" s="263"/>
      <c r="G6" s="262"/>
      <c r="H6" s="262"/>
      <c r="I6" s="262"/>
      <c r="J6" s="264"/>
    </row>
    <row r="7" spans="1:10" ht="16.5" x14ac:dyDescent="0.6">
      <c r="A7" s="1475" t="s">
        <v>7</v>
      </c>
      <c r="B7" s="1476"/>
      <c r="C7" s="1476"/>
      <c r="D7" s="203"/>
      <c r="E7" s="203"/>
      <c r="F7" s="204"/>
      <c r="G7" s="203"/>
      <c r="H7" s="203"/>
      <c r="I7" s="203"/>
      <c r="J7" s="205"/>
    </row>
    <row r="8" spans="1:10" ht="18.75" x14ac:dyDescent="0.7">
      <c r="A8" s="324" t="s">
        <v>1607</v>
      </c>
      <c r="B8" s="81"/>
      <c r="C8" s="27"/>
      <c r="D8" s="105"/>
      <c r="E8" s="105"/>
      <c r="F8" s="106"/>
      <c r="G8" s="105"/>
      <c r="H8" s="105"/>
      <c r="I8" s="105"/>
      <c r="J8" s="325"/>
    </row>
    <row r="9" spans="1:10" ht="18.75" x14ac:dyDescent="0.7">
      <c r="A9" s="326"/>
      <c r="B9" s="283" t="str">
        <f ca="1">CONCATENATE(_xlfn.SHEET(),"-",ROW())</f>
        <v>17-9</v>
      </c>
      <c r="C9" s="327" t="s">
        <v>1608</v>
      </c>
      <c r="D9" s="283" t="s">
        <v>1609</v>
      </c>
      <c r="E9" s="283">
        <v>70</v>
      </c>
      <c r="F9" s="305">
        <v>50</v>
      </c>
      <c r="G9" s="283">
        <f>E9*F9</f>
        <v>3500</v>
      </c>
      <c r="H9" s="283">
        <f>G9</f>
        <v>3500</v>
      </c>
      <c r="I9" s="283">
        <v>0</v>
      </c>
      <c r="J9" s="1341">
        <v>0</v>
      </c>
    </row>
    <row r="10" spans="1:10" ht="18.75" x14ac:dyDescent="0.7">
      <c r="A10" s="326"/>
      <c r="B10" s="1415"/>
      <c r="C10" s="328"/>
      <c r="D10" s="288"/>
      <c r="E10" s="288"/>
      <c r="F10" s="307"/>
      <c r="G10" s="288"/>
      <c r="H10" s="288"/>
      <c r="I10" s="288"/>
      <c r="J10" s="1344"/>
    </row>
    <row r="11" spans="1:10" ht="18.75" x14ac:dyDescent="0.7">
      <c r="A11" s="326"/>
      <c r="B11" s="329" t="s">
        <v>1610</v>
      </c>
      <c r="C11" s="330"/>
      <c r="D11" s="1343"/>
      <c r="E11" s="1343"/>
      <c r="F11" s="331"/>
      <c r="G11" s="1343"/>
      <c r="H11" s="10">
        <f>SUM(H9:H9)</f>
        <v>3500</v>
      </c>
      <c r="I11" s="10">
        <f>SUM(I8:I9)</f>
        <v>0</v>
      </c>
      <c r="J11" s="11">
        <f>SUM(J8:J9)</f>
        <v>0</v>
      </c>
    </row>
    <row r="12" spans="1:10" ht="18.75" x14ac:dyDescent="0.7">
      <c r="A12" s="326"/>
      <c r="B12" s="332"/>
      <c r="C12" s="328"/>
      <c r="D12" s="288"/>
      <c r="E12" s="288"/>
      <c r="F12" s="307"/>
      <c r="G12" s="288"/>
      <c r="H12" s="333"/>
      <c r="I12" s="333"/>
      <c r="J12" s="334"/>
    </row>
    <row r="13" spans="1:10" ht="18.75" x14ac:dyDescent="0.7">
      <c r="A13" s="324" t="s">
        <v>1611</v>
      </c>
      <c r="B13" s="81"/>
      <c r="C13" s="27"/>
      <c r="D13" s="288"/>
      <c r="E13" s="288"/>
      <c r="F13" s="307"/>
      <c r="G13" s="288"/>
      <c r="H13" s="288"/>
      <c r="I13" s="288"/>
      <c r="J13" s="1344"/>
    </row>
    <row r="14" spans="1:10" ht="18.75" x14ac:dyDescent="0.7">
      <c r="A14" s="324"/>
      <c r="B14" s="335" t="str">
        <f ca="1">CONCATENATE(_xlfn.SHEET(),"-",ROW())</f>
        <v>17-14</v>
      </c>
      <c r="C14" s="335" t="s">
        <v>1612</v>
      </c>
      <c r="D14" s="283"/>
      <c r="E14" s="283">
        <v>35</v>
      </c>
      <c r="F14" s="305">
        <v>30</v>
      </c>
      <c r="G14" s="283">
        <f>F14*E14</f>
        <v>1050</v>
      </c>
      <c r="H14" s="283">
        <f>G14</f>
        <v>1050</v>
      </c>
      <c r="I14" s="283">
        <v>1225</v>
      </c>
      <c r="J14" s="283">
        <v>1225</v>
      </c>
    </row>
    <row r="15" spans="1:10" ht="18.75" x14ac:dyDescent="0.7">
      <c r="A15" s="324"/>
      <c r="B15" s="336" t="str">
        <f ca="1">CONCATENATE(_xlfn.SHEET(),"-",ROW())</f>
        <v>17-15</v>
      </c>
      <c r="C15" s="336" t="s">
        <v>1613</v>
      </c>
      <c r="D15" s="288"/>
      <c r="E15" s="288">
        <v>65</v>
      </c>
      <c r="F15" s="307">
        <v>30</v>
      </c>
      <c r="G15" s="288">
        <f>E15*F15</f>
        <v>1950</v>
      </c>
      <c r="H15" s="288">
        <f>G15</f>
        <v>1950</v>
      </c>
      <c r="I15" s="288">
        <f>715+1120</f>
        <v>1835</v>
      </c>
      <c r="J15" s="288">
        <f>715+1120</f>
        <v>1835</v>
      </c>
    </row>
    <row r="16" spans="1:10" ht="18.75" x14ac:dyDescent="0.7">
      <c r="A16" s="326"/>
      <c r="B16" s="283" t="str">
        <f ca="1">CONCATENATE(_xlfn.SHEET(),"-",ROW())</f>
        <v>17-16</v>
      </c>
      <c r="C16" s="327" t="s">
        <v>1614</v>
      </c>
      <c r="D16" s="283"/>
      <c r="E16" s="283">
        <v>30</v>
      </c>
      <c r="F16" s="305">
        <v>50</v>
      </c>
      <c r="G16" s="283">
        <f>E16*F16</f>
        <v>1500</v>
      </c>
      <c r="H16" s="283">
        <f>G16</f>
        <v>1500</v>
      </c>
      <c r="I16" s="283">
        <v>990</v>
      </c>
      <c r="J16" s="283">
        <v>990</v>
      </c>
    </row>
    <row r="17" spans="1:10" ht="18.75" x14ac:dyDescent="0.7">
      <c r="A17" s="326"/>
      <c r="B17" s="288" t="str">
        <f ca="1">CONCATENATE(_xlfn.SHEET(),"-",ROW())</f>
        <v>17-17</v>
      </c>
      <c r="C17" s="328" t="s">
        <v>277</v>
      </c>
      <c r="D17" s="288" t="s">
        <v>1615</v>
      </c>
      <c r="E17" s="288">
        <v>2000</v>
      </c>
      <c r="F17" s="307">
        <v>1</v>
      </c>
      <c r="G17" s="288">
        <f>E17*F17</f>
        <v>2000</v>
      </c>
      <c r="H17" s="288">
        <f>G17</f>
        <v>2000</v>
      </c>
      <c r="I17" s="288">
        <v>2000</v>
      </c>
      <c r="J17" s="288">
        <v>2000</v>
      </c>
    </row>
    <row r="18" spans="1:10" ht="18.75" x14ac:dyDescent="0.7">
      <c r="A18" s="326"/>
      <c r="B18" s="336"/>
      <c r="C18" s="328"/>
      <c r="D18" s="288"/>
      <c r="E18" s="288"/>
      <c r="F18" s="307"/>
      <c r="G18" s="288"/>
      <c r="H18" s="288"/>
      <c r="I18" s="288"/>
      <c r="J18" s="1344"/>
    </row>
    <row r="19" spans="1:10" ht="18.75" x14ac:dyDescent="0.7">
      <c r="A19" s="324"/>
      <c r="B19" s="337" t="s">
        <v>1616</v>
      </c>
      <c r="C19" s="338"/>
      <c r="D19" s="10"/>
      <c r="E19" s="10"/>
      <c r="F19" s="9"/>
      <c r="G19" s="10"/>
      <c r="H19" s="10">
        <f>SUM(H14:H18)</f>
        <v>6500</v>
      </c>
      <c r="I19" s="10">
        <f>SUM(I9:I18)</f>
        <v>6050</v>
      </c>
      <c r="J19" s="11">
        <f>SUM(J9:J18)</f>
        <v>6050</v>
      </c>
    </row>
    <row r="20" spans="1:10" ht="18.75" x14ac:dyDescent="0.7">
      <c r="A20" s="324"/>
      <c r="B20" s="81"/>
      <c r="C20" s="81"/>
      <c r="D20" s="333"/>
      <c r="E20" s="333"/>
      <c r="F20" s="339"/>
      <c r="G20" s="333"/>
      <c r="H20" s="333"/>
      <c r="I20" s="333"/>
      <c r="J20" s="334"/>
    </row>
    <row r="21" spans="1:10" ht="18.75" x14ac:dyDescent="0.7">
      <c r="A21" s="324"/>
      <c r="B21" s="81"/>
      <c r="C21" s="81" t="s">
        <v>46</v>
      </c>
      <c r="D21" s="333"/>
      <c r="E21" s="333"/>
      <c r="F21" s="339"/>
      <c r="G21" s="333"/>
      <c r="H21" s="333">
        <f>H19+H11</f>
        <v>10000</v>
      </c>
      <c r="I21" s="333">
        <f>I11+I19</f>
        <v>6050</v>
      </c>
      <c r="J21" s="334">
        <f>J11+J19</f>
        <v>6050</v>
      </c>
    </row>
    <row r="22" spans="1:10" ht="16.5" x14ac:dyDescent="0.6">
      <c r="A22" s="244"/>
      <c r="B22" s="246"/>
      <c r="C22" s="246"/>
      <c r="D22" s="247"/>
      <c r="E22" s="247"/>
      <c r="F22" s="267"/>
      <c r="G22" s="247"/>
      <c r="H22" s="247"/>
      <c r="I22" s="247"/>
      <c r="J22" s="248"/>
    </row>
    <row r="23" spans="1:10" ht="16.5" x14ac:dyDescent="0.6">
      <c r="A23" s="1417" t="s">
        <v>47</v>
      </c>
      <c r="B23" s="1418"/>
      <c r="C23" s="1418"/>
      <c r="D23" s="203"/>
      <c r="E23" s="272"/>
      <c r="F23" s="273"/>
      <c r="G23" s="272"/>
      <c r="H23" s="272"/>
      <c r="I23" s="272"/>
      <c r="J23" s="205"/>
    </row>
    <row r="24" spans="1:10" ht="18.75" x14ac:dyDescent="0.45">
      <c r="A24" s="340" t="s">
        <v>1617</v>
      </c>
      <c r="B24" s="341"/>
      <c r="C24" s="342"/>
      <c r="D24" s="343"/>
      <c r="E24" s="343"/>
      <c r="F24" s="344"/>
      <c r="G24" s="343"/>
      <c r="H24" s="343"/>
      <c r="I24" s="343"/>
      <c r="J24" s="345"/>
    </row>
    <row r="25" spans="1:10" ht="18.75" x14ac:dyDescent="0.7">
      <c r="A25" s="340"/>
      <c r="B25" s="283" t="str">
        <f t="shared" ref="B25:B27" ca="1" si="0">CONCATENATE(_xlfn.SHEET(),"-",ROW())</f>
        <v>17-25</v>
      </c>
      <c r="C25" s="346" t="s">
        <v>1618</v>
      </c>
      <c r="D25" s="347"/>
      <c r="E25" s="347">
        <v>45</v>
      </c>
      <c r="F25" s="348">
        <v>40</v>
      </c>
      <c r="G25" s="347">
        <f t="shared" ref="G25:G27" si="1">E25*F25</f>
        <v>1800</v>
      </c>
      <c r="H25" s="347">
        <f t="shared" ref="H25:H27" si="2">G25*1.13</f>
        <v>2033.9999999999998</v>
      </c>
      <c r="I25" s="347">
        <v>0</v>
      </c>
      <c r="J25" s="347">
        <v>0</v>
      </c>
    </row>
    <row r="26" spans="1:10" ht="18.75" x14ac:dyDescent="0.7">
      <c r="A26" s="340" t="s">
        <v>66</v>
      </c>
      <c r="B26" s="288" t="str">
        <f t="shared" ca="1" si="0"/>
        <v>17-26</v>
      </c>
      <c r="C26" s="349" t="s">
        <v>1619</v>
      </c>
      <c r="D26" s="343"/>
      <c r="E26" s="343">
        <v>1000</v>
      </c>
      <c r="F26" s="344">
        <v>1</v>
      </c>
      <c r="G26" s="343">
        <f t="shared" si="1"/>
        <v>1000</v>
      </c>
      <c r="H26" s="343">
        <f t="shared" si="2"/>
        <v>1130</v>
      </c>
      <c r="I26" s="343">
        <v>0</v>
      </c>
      <c r="J26" s="343">
        <v>0</v>
      </c>
    </row>
    <row r="27" spans="1:10" ht="18.75" x14ac:dyDescent="0.7">
      <c r="A27" s="340"/>
      <c r="B27" s="283" t="str">
        <f t="shared" ca="1" si="0"/>
        <v>17-27</v>
      </c>
      <c r="C27" s="346" t="s">
        <v>1620</v>
      </c>
      <c r="D27" s="347"/>
      <c r="E27" s="347">
        <v>200</v>
      </c>
      <c r="F27" s="348">
        <v>1</v>
      </c>
      <c r="G27" s="347">
        <f t="shared" si="1"/>
        <v>200</v>
      </c>
      <c r="H27" s="347">
        <f t="shared" si="2"/>
        <v>225.99999999999997</v>
      </c>
      <c r="I27" s="347">
        <v>0</v>
      </c>
      <c r="J27" s="347">
        <v>0</v>
      </c>
    </row>
    <row r="28" spans="1:10" ht="18.75" x14ac:dyDescent="0.45">
      <c r="A28" s="340"/>
      <c r="B28" s="350"/>
      <c r="C28" s="349"/>
      <c r="D28" s="343"/>
      <c r="E28" s="343"/>
      <c r="F28" s="344"/>
      <c r="G28" s="343"/>
      <c r="H28" s="343"/>
      <c r="I28" s="343"/>
      <c r="J28" s="345"/>
    </row>
    <row r="29" spans="1:10" ht="18.75" x14ac:dyDescent="0.45">
      <c r="A29" s="351"/>
      <c r="B29" s="352" t="s">
        <v>1621</v>
      </c>
      <c r="C29" s="353"/>
      <c r="D29" s="354"/>
      <c r="E29" s="354"/>
      <c r="F29" s="355"/>
      <c r="G29" s="354"/>
      <c r="H29" s="354">
        <f>SUM(H25:H27)</f>
        <v>3390</v>
      </c>
      <c r="I29" s="354">
        <f>SUM(I25:I28)</f>
        <v>0</v>
      </c>
      <c r="J29" s="356">
        <f>SUM(J25:J28)</f>
        <v>0</v>
      </c>
    </row>
    <row r="30" spans="1:10" ht="18.75" x14ac:dyDescent="0.45">
      <c r="A30" s="351"/>
      <c r="B30" s="350"/>
      <c r="C30" s="357"/>
      <c r="D30" s="358"/>
      <c r="E30" s="358"/>
      <c r="F30" s="359"/>
      <c r="G30" s="358"/>
      <c r="H30" s="358"/>
      <c r="I30" s="358"/>
      <c r="J30" s="360"/>
    </row>
    <row r="31" spans="1:10" ht="18.75" x14ac:dyDescent="0.45">
      <c r="A31" s="340" t="s">
        <v>1622</v>
      </c>
      <c r="B31" s="341"/>
      <c r="C31" s="342"/>
      <c r="D31" s="343"/>
      <c r="E31" s="343"/>
      <c r="F31" s="344"/>
      <c r="G31" s="343"/>
      <c r="H31" s="343"/>
      <c r="I31" s="343"/>
      <c r="J31" s="345"/>
    </row>
    <row r="32" spans="1:10" ht="18.75" x14ac:dyDescent="0.7">
      <c r="A32" s="340"/>
      <c r="B32" s="283" t="str">
        <f ca="1">CONCATENATE(_xlfn.SHEET(),"-",ROW())</f>
        <v>17-32</v>
      </c>
      <c r="C32" s="346" t="s">
        <v>677</v>
      </c>
      <c r="D32" s="347" t="s">
        <v>1623</v>
      </c>
      <c r="E32" s="347">
        <f>9.99*3</f>
        <v>29.97</v>
      </c>
      <c r="F32" s="348">
        <v>12</v>
      </c>
      <c r="G32" s="347">
        <f>E32*F32</f>
        <v>359.64</v>
      </c>
      <c r="H32" s="347">
        <f>G32*1.13</f>
        <v>406.39319999999992</v>
      </c>
      <c r="I32" s="347">
        <f>15.23*12</f>
        <v>182.76</v>
      </c>
      <c r="J32" s="347">
        <f>15.23*12</f>
        <v>182.76</v>
      </c>
    </row>
    <row r="33" spans="1:10" ht="18.75" x14ac:dyDescent="0.7">
      <c r="A33" s="340"/>
      <c r="B33" s="1407" t="str">
        <f ca="1">CONCATENATE(_xlfn.SHEET(),"-",ROW())</f>
        <v>17-33</v>
      </c>
      <c r="C33" s="1408" t="s">
        <v>1624</v>
      </c>
      <c r="D33" s="1409" t="s">
        <v>1625</v>
      </c>
      <c r="E33" s="1409">
        <v>12.99</v>
      </c>
      <c r="F33" s="1410">
        <v>1</v>
      </c>
      <c r="G33" s="1409">
        <f>E33*F33</f>
        <v>12.99</v>
      </c>
      <c r="H33" s="1409">
        <f>G33*1.13</f>
        <v>14.678699999999999</v>
      </c>
      <c r="I33" s="1409">
        <v>0</v>
      </c>
      <c r="J33" s="1409">
        <v>0</v>
      </c>
    </row>
    <row r="34" spans="1:10" ht="18.75" x14ac:dyDescent="0.45">
      <c r="A34" s="340"/>
      <c r="B34" s="350"/>
      <c r="C34" s="349"/>
      <c r="D34" s="343"/>
      <c r="E34" s="343"/>
      <c r="F34" s="344"/>
      <c r="G34" s="343"/>
      <c r="H34" s="343"/>
      <c r="I34" s="343"/>
      <c r="J34" s="345"/>
    </row>
    <row r="35" spans="1:10" ht="18.75" x14ac:dyDescent="0.45">
      <c r="A35" s="351"/>
      <c r="B35" s="352" t="s">
        <v>1626</v>
      </c>
      <c r="C35" s="353"/>
      <c r="D35" s="354"/>
      <c r="E35" s="354"/>
      <c r="F35" s="355"/>
      <c r="G35" s="354"/>
      <c r="H35" s="354">
        <f>SUM(H32:H33)</f>
        <v>421.07189999999991</v>
      </c>
      <c r="I35" s="354">
        <f>SUM(I32:I34)</f>
        <v>182.76</v>
      </c>
      <c r="J35" s="356">
        <f>SUM(J32:J34)</f>
        <v>182.76</v>
      </c>
    </row>
    <row r="36" spans="1:10" ht="18.75" x14ac:dyDescent="0.45">
      <c r="A36" s="351"/>
      <c r="B36" s="350"/>
      <c r="C36" s="357"/>
      <c r="D36" s="358"/>
      <c r="E36" s="358"/>
      <c r="F36" s="359"/>
      <c r="G36" s="358"/>
      <c r="H36" s="358"/>
      <c r="I36" s="358"/>
      <c r="J36" s="360"/>
    </row>
    <row r="37" spans="1:10" ht="18.75" x14ac:dyDescent="0.45">
      <c r="A37" s="351"/>
      <c r="B37" s="350"/>
      <c r="C37" s="357"/>
      <c r="D37" s="358"/>
      <c r="E37" s="358"/>
      <c r="F37" s="359"/>
      <c r="G37" s="358"/>
      <c r="H37" s="358"/>
      <c r="I37" s="358"/>
      <c r="J37" s="360"/>
    </row>
    <row r="38" spans="1:10" ht="18.75" x14ac:dyDescent="0.7">
      <c r="A38" s="324" t="s">
        <v>1611</v>
      </c>
      <c r="B38" s="246"/>
      <c r="C38" s="274"/>
      <c r="D38" s="275"/>
      <c r="E38" s="275"/>
      <c r="F38" s="276"/>
      <c r="G38" s="275"/>
      <c r="H38" s="275"/>
      <c r="I38" s="275"/>
      <c r="J38" s="277"/>
    </row>
    <row r="39" spans="1:10" ht="18.75" x14ac:dyDescent="0.7">
      <c r="A39" s="244"/>
      <c r="B39" s="336" t="str">
        <f ca="1">CONCATENATE(_xlfn.SHEET(),"-",ROW())</f>
        <v>17-39</v>
      </c>
      <c r="C39" s="336" t="s">
        <v>1627</v>
      </c>
      <c r="D39" s="288" t="s">
        <v>1628</v>
      </c>
      <c r="E39" s="288">
        <v>300</v>
      </c>
      <c r="F39" s="276">
        <v>1</v>
      </c>
      <c r="G39" s="288">
        <f>E39*F39</f>
        <v>300</v>
      </c>
      <c r="H39" s="288">
        <f>G39*1.13</f>
        <v>338.99999999999994</v>
      </c>
      <c r="I39" s="275">
        <v>0</v>
      </c>
      <c r="J39" s="275">
        <v>0</v>
      </c>
    </row>
    <row r="40" spans="1:10" ht="18.75" x14ac:dyDescent="0.7">
      <c r="A40" s="278"/>
      <c r="B40" s="283" t="str">
        <f t="shared" ref="B40:B49" ca="1" si="3">CONCATENATE(_xlfn.SHEET(),"-",ROW())</f>
        <v>17-40</v>
      </c>
      <c r="C40" s="346" t="s">
        <v>523</v>
      </c>
      <c r="D40" s="347" t="s">
        <v>1629</v>
      </c>
      <c r="E40" s="347">
        <v>500</v>
      </c>
      <c r="F40" s="348">
        <v>1</v>
      </c>
      <c r="G40" s="347">
        <f t="shared" ref="G40:G52" si="4">E40*F40</f>
        <v>500</v>
      </c>
      <c r="H40" s="347">
        <f>G40*1.13</f>
        <v>565</v>
      </c>
      <c r="I40" s="347">
        <v>220</v>
      </c>
      <c r="J40" s="347">
        <v>220</v>
      </c>
    </row>
    <row r="41" spans="1:10" ht="18.75" x14ac:dyDescent="0.7">
      <c r="A41" s="278"/>
      <c r="B41" s="288" t="str">
        <f t="shared" ca="1" si="3"/>
        <v>17-41</v>
      </c>
      <c r="C41" s="349" t="s">
        <v>385</v>
      </c>
      <c r="D41" s="343" t="s">
        <v>1630</v>
      </c>
      <c r="E41" s="343">
        <v>2072</v>
      </c>
      <c r="F41" s="344">
        <v>1</v>
      </c>
      <c r="G41" s="343">
        <f t="shared" si="4"/>
        <v>2072</v>
      </c>
      <c r="H41" s="343">
        <f>G41*1.13</f>
        <v>2341.3599999999997</v>
      </c>
      <c r="I41" s="343">
        <v>3616</v>
      </c>
      <c r="J41" s="343">
        <v>3616</v>
      </c>
    </row>
    <row r="42" spans="1:10" ht="18.75" x14ac:dyDescent="0.7">
      <c r="A42" s="278"/>
      <c r="B42" s="283" t="str">
        <f t="shared" ca="1" si="3"/>
        <v>17-42</v>
      </c>
      <c r="C42" s="346" t="s">
        <v>796</v>
      </c>
      <c r="D42" s="347" t="s">
        <v>1631</v>
      </c>
      <c r="E42" s="347">
        <v>150</v>
      </c>
      <c r="F42" s="348">
        <v>1</v>
      </c>
      <c r="G42" s="347">
        <f t="shared" si="4"/>
        <v>150</v>
      </c>
      <c r="H42" s="347">
        <f>G42*1.13</f>
        <v>169.49999999999997</v>
      </c>
      <c r="I42" s="347">
        <v>0</v>
      </c>
      <c r="J42" s="347">
        <v>0</v>
      </c>
    </row>
    <row r="43" spans="1:10" ht="18.75" x14ac:dyDescent="0.7">
      <c r="A43" s="278"/>
      <c r="B43" s="288" t="str">
        <f t="shared" ca="1" si="3"/>
        <v>17-43</v>
      </c>
      <c r="C43" s="349" t="s">
        <v>1632</v>
      </c>
      <c r="D43" s="343"/>
      <c r="E43" s="343">
        <v>2.2000000000000002</v>
      </c>
      <c r="F43" s="344">
        <v>300</v>
      </c>
      <c r="G43" s="343">
        <f t="shared" si="4"/>
        <v>660</v>
      </c>
      <c r="H43" s="343">
        <f t="shared" ref="H43:H52" si="5">G43*1.13</f>
        <v>745.8</v>
      </c>
      <c r="I43" s="343">
        <v>0</v>
      </c>
      <c r="J43" s="343">
        <v>0</v>
      </c>
    </row>
    <row r="44" spans="1:10" ht="18.75" x14ac:dyDescent="0.7">
      <c r="A44" s="278"/>
      <c r="B44" s="283" t="str">
        <f t="shared" ca="1" si="3"/>
        <v>17-44</v>
      </c>
      <c r="C44" s="346" t="s">
        <v>1633</v>
      </c>
      <c r="D44" s="347"/>
      <c r="E44" s="347">
        <v>2</v>
      </c>
      <c r="F44" s="348">
        <v>300</v>
      </c>
      <c r="G44" s="347">
        <f t="shared" si="4"/>
        <v>600</v>
      </c>
      <c r="H44" s="347">
        <f t="shared" si="5"/>
        <v>677.99999999999989</v>
      </c>
      <c r="I44" s="347">
        <v>0</v>
      </c>
      <c r="J44" s="347">
        <v>0</v>
      </c>
    </row>
    <row r="45" spans="1:10" ht="18.75" x14ac:dyDescent="0.7">
      <c r="A45" s="278"/>
      <c r="B45" s="288" t="str">
        <f t="shared" ca="1" si="3"/>
        <v>17-45</v>
      </c>
      <c r="C45" s="349" t="s">
        <v>1634</v>
      </c>
      <c r="D45" s="343"/>
      <c r="E45" s="343">
        <v>7.2</v>
      </c>
      <c r="F45" s="344">
        <v>300</v>
      </c>
      <c r="G45" s="343">
        <f t="shared" si="4"/>
        <v>2160</v>
      </c>
      <c r="H45" s="343">
        <f t="shared" si="5"/>
        <v>2440.7999999999997</v>
      </c>
      <c r="I45" s="343">
        <v>0</v>
      </c>
      <c r="J45" s="343">
        <v>0</v>
      </c>
    </row>
    <row r="46" spans="1:10" ht="18.75" x14ac:dyDescent="0.7">
      <c r="A46" s="278"/>
      <c r="B46" s="283" t="str">
        <f t="shared" ca="1" si="3"/>
        <v>17-46</v>
      </c>
      <c r="C46" s="346" t="s">
        <v>1635</v>
      </c>
      <c r="D46" s="347"/>
      <c r="E46" s="347">
        <v>0.21</v>
      </c>
      <c r="F46" s="348">
        <v>100</v>
      </c>
      <c r="G46" s="347">
        <f t="shared" si="4"/>
        <v>21</v>
      </c>
      <c r="H46" s="347">
        <f t="shared" si="5"/>
        <v>23.729999999999997</v>
      </c>
      <c r="I46" s="347">
        <v>0</v>
      </c>
      <c r="J46" s="347">
        <v>0</v>
      </c>
    </row>
    <row r="47" spans="1:10" ht="18.75" x14ac:dyDescent="0.7">
      <c r="A47" s="361"/>
      <c r="B47" s="288" t="str">
        <f t="shared" ca="1" si="3"/>
        <v>17-47</v>
      </c>
      <c r="C47" s="349" t="s">
        <v>1636</v>
      </c>
      <c r="D47" s="343"/>
      <c r="E47" s="343">
        <v>80</v>
      </c>
      <c r="F47" s="344">
        <v>3</v>
      </c>
      <c r="G47" s="343">
        <f t="shared" si="4"/>
        <v>240</v>
      </c>
      <c r="H47" s="343">
        <f t="shared" si="5"/>
        <v>271.2</v>
      </c>
      <c r="I47" s="343">
        <v>219.07</v>
      </c>
      <c r="J47" s="343">
        <v>219.07</v>
      </c>
    </row>
    <row r="48" spans="1:10" ht="18.75" x14ac:dyDescent="0.7">
      <c r="A48" s="361"/>
      <c r="B48" s="283" t="str">
        <f t="shared" ca="1" si="3"/>
        <v>17-48</v>
      </c>
      <c r="C48" s="346" t="s">
        <v>1097</v>
      </c>
      <c r="D48" s="347" t="s">
        <v>1637</v>
      </c>
      <c r="E48" s="347">
        <v>80</v>
      </c>
      <c r="F48" s="348">
        <v>2</v>
      </c>
      <c r="G48" s="347">
        <f t="shared" si="4"/>
        <v>160</v>
      </c>
      <c r="H48" s="347">
        <f t="shared" si="5"/>
        <v>180.79999999999998</v>
      </c>
      <c r="I48" s="347">
        <v>262</v>
      </c>
      <c r="J48" s="347">
        <v>262</v>
      </c>
    </row>
    <row r="49" spans="1:10" ht="18.75" x14ac:dyDescent="0.7">
      <c r="A49" s="361"/>
      <c r="B49" s="288" t="str">
        <f t="shared" ca="1" si="3"/>
        <v>17-49</v>
      </c>
      <c r="C49" s="349" t="s">
        <v>1638</v>
      </c>
      <c r="D49" s="343" t="s">
        <v>1639</v>
      </c>
      <c r="E49" s="343">
        <v>100</v>
      </c>
      <c r="F49" s="344">
        <v>2</v>
      </c>
      <c r="G49" s="343">
        <f t="shared" si="4"/>
        <v>200</v>
      </c>
      <c r="H49" s="343">
        <f t="shared" si="5"/>
        <v>225.99999999999997</v>
      </c>
      <c r="I49" s="343">
        <v>0</v>
      </c>
      <c r="J49" s="343">
        <v>0</v>
      </c>
    </row>
    <row r="50" spans="1:10" ht="18.75" x14ac:dyDescent="0.7">
      <c r="A50" s="278"/>
      <c r="B50" s="283" t="str">
        <f ca="1">CONCATENATE(_xlfn.SHEET(),"-",ROW())</f>
        <v>17-50</v>
      </c>
      <c r="C50" s="346" t="s">
        <v>1640</v>
      </c>
      <c r="D50" s="347" t="s">
        <v>1641</v>
      </c>
      <c r="E50" s="347">
        <v>1</v>
      </c>
      <c r="F50" s="348">
        <v>75</v>
      </c>
      <c r="G50" s="347">
        <f t="shared" si="4"/>
        <v>75</v>
      </c>
      <c r="H50" s="347">
        <f t="shared" si="5"/>
        <v>84.749999999999986</v>
      </c>
      <c r="I50" s="347">
        <v>83</v>
      </c>
      <c r="J50" s="347">
        <v>83</v>
      </c>
    </row>
    <row r="51" spans="1:10" ht="18.75" x14ac:dyDescent="0.7">
      <c r="A51" s="278"/>
      <c r="B51" s="288" t="str">
        <f ca="1">CONCATENATE(_xlfn.SHEET(),"-",ROW())</f>
        <v>17-51</v>
      </c>
      <c r="C51" s="349" t="s">
        <v>1642</v>
      </c>
      <c r="D51" s="343" t="s">
        <v>1643</v>
      </c>
      <c r="E51" s="343">
        <v>30</v>
      </c>
      <c r="F51" s="344">
        <v>30</v>
      </c>
      <c r="G51" s="343">
        <f t="shared" si="4"/>
        <v>900</v>
      </c>
      <c r="H51" s="343">
        <f t="shared" si="5"/>
        <v>1016.9999999999999</v>
      </c>
      <c r="I51" s="343">
        <v>0</v>
      </c>
      <c r="J51" s="343">
        <v>0</v>
      </c>
    </row>
    <row r="52" spans="1:10" ht="18.75" x14ac:dyDescent="0.7">
      <c r="A52" s="278"/>
      <c r="B52" s="283" t="str">
        <f ca="1">CONCATENATE(_xlfn.SHEET(),"-",ROW())</f>
        <v>17-52</v>
      </c>
      <c r="C52" s="346" t="s">
        <v>1644</v>
      </c>
      <c r="D52" s="347" t="s">
        <v>1645</v>
      </c>
      <c r="E52" s="347">
        <v>8</v>
      </c>
      <c r="F52" s="348">
        <v>50</v>
      </c>
      <c r="G52" s="347">
        <f t="shared" si="4"/>
        <v>400</v>
      </c>
      <c r="H52" s="347">
        <f t="shared" si="5"/>
        <v>451.99999999999994</v>
      </c>
      <c r="I52" s="347">
        <f>638.4+31.92</f>
        <v>670.31999999999994</v>
      </c>
      <c r="J52" s="347">
        <f>638.4+31.92</f>
        <v>670.31999999999994</v>
      </c>
    </row>
    <row r="53" spans="1:10" ht="16.5" x14ac:dyDescent="0.6">
      <c r="A53" s="278"/>
    </row>
    <row r="54" spans="1:10" ht="16.5" x14ac:dyDescent="0.6">
      <c r="A54" s="278"/>
      <c r="B54" s="292" t="s">
        <v>1646</v>
      </c>
      <c r="C54" s="320"/>
      <c r="D54" s="295"/>
      <c r="E54" s="295"/>
      <c r="F54" s="296"/>
      <c r="G54" s="295"/>
      <c r="H54" s="295">
        <f>SUM(H39:H52)</f>
        <v>9534.9399999999987</v>
      </c>
      <c r="I54" s="295">
        <f>SUM(I39:I52)</f>
        <v>5070.3899999999994</v>
      </c>
      <c r="J54" s="297">
        <f>SUM(J39:J52)</f>
        <v>5070.3899999999994</v>
      </c>
    </row>
    <row r="55" spans="1:10" ht="16.5" x14ac:dyDescent="0.6">
      <c r="A55" s="278"/>
      <c r="B55" s="274"/>
      <c r="C55" s="274"/>
      <c r="D55" s="275"/>
      <c r="E55" s="275"/>
      <c r="F55" s="276"/>
      <c r="G55" s="275"/>
      <c r="H55" s="275"/>
      <c r="I55" s="275"/>
      <c r="J55" s="277"/>
    </row>
    <row r="56" spans="1:10" s="308" customFormat="1" ht="18.75" x14ac:dyDescent="0.7">
      <c r="A56" s="362" t="s">
        <v>999</v>
      </c>
      <c r="B56" s="363"/>
      <c r="C56" s="364"/>
      <c r="D56" s="365"/>
      <c r="E56" s="365"/>
      <c r="F56" s="366"/>
      <c r="G56" s="365"/>
      <c r="H56" s="365"/>
      <c r="I56" s="365"/>
      <c r="J56" s="367"/>
    </row>
    <row r="57" spans="1:10" s="308" customFormat="1" ht="18.75" x14ac:dyDescent="0.7">
      <c r="A57" s="368"/>
      <c r="B57" s="283" t="str">
        <f t="shared" ref="B57:B59" ca="1" si="6">CONCATENATE(_xlfn.SHEET(),"-",ROW())</f>
        <v>17-57</v>
      </c>
      <c r="C57" s="369" t="s">
        <v>1647</v>
      </c>
      <c r="D57" s="370" t="s">
        <v>1648</v>
      </c>
      <c r="E57" s="370">
        <v>6</v>
      </c>
      <c r="F57" s="371">
        <v>60</v>
      </c>
      <c r="G57" s="370">
        <f t="shared" ref="G57:G61" si="7">E57*F57</f>
        <v>360</v>
      </c>
      <c r="H57" s="370">
        <f t="shared" ref="H57:H61" si="8">G57*1.13</f>
        <v>406.79999999999995</v>
      </c>
      <c r="I57" s="370">
        <v>0</v>
      </c>
      <c r="J57" s="370">
        <v>0</v>
      </c>
    </row>
    <row r="58" spans="1:10" s="308" customFormat="1" ht="18.75" x14ac:dyDescent="0.7">
      <c r="A58" s="368"/>
      <c r="B58" s="288" t="str">
        <f t="shared" ca="1" si="6"/>
        <v>17-58</v>
      </c>
      <c r="C58" s="373" t="s">
        <v>523</v>
      </c>
      <c r="D58" s="365" t="s">
        <v>1649</v>
      </c>
      <c r="E58" s="365">
        <v>2</v>
      </c>
      <c r="F58" s="366">
        <v>60</v>
      </c>
      <c r="G58" s="365">
        <f t="shared" si="7"/>
        <v>120</v>
      </c>
      <c r="H58" s="365">
        <f t="shared" si="8"/>
        <v>135.6</v>
      </c>
      <c r="I58" s="365">
        <v>90.81</v>
      </c>
      <c r="J58" s="365">
        <v>90.81</v>
      </c>
    </row>
    <row r="59" spans="1:10" s="308" customFormat="1" ht="18.75" x14ac:dyDescent="0.7">
      <c r="A59" s="368"/>
      <c r="B59" s="283" t="str">
        <f t="shared" ca="1" si="6"/>
        <v>17-59</v>
      </c>
      <c r="C59" s="369" t="s">
        <v>328</v>
      </c>
      <c r="D59" s="370" t="s">
        <v>1650</v>
      </c>
      <c r="E59" s="370">
        <v>2.5</v>
      </c>
      <c r="F59" s="371">
        <v>60</v>
      </c>
      <c r="G59" s="370">
        <f t="shared" si="7"/>
        <v>150</v>
      </c>
      <c r="H59" s="370">
        <f t="shared" si="8"/>
        <v>169.49999999999997</v>
      </c>
      <c r="I59" s="370">
        <v>161.47</v>
      </c>
      <c r="J59" s="370">
        <v>161.47</v>
      </c>
    </row>
    <row r="60" spans="1:10" ht="18.75" x14ac:dyDescent="0.7">
      <c r="A60" s="368"/>
      <c r="B60" s="288" t="str">
        <f ca="1">CONCATENATE(_xlfn.SHEET(),"-",ROW())</f>
        <v>17-60</v>
      </c>
      <c r="C60" s="373" t="s">
        <v>79</v>
      </c>
      <c r="D60" s="365" t="s">
        <v>1651</v>
      </c>
      <c r="E60" s="365">
        <v>70</v>
      </c>
      <c r="F60" s="366">
        <v>1</v>
      </c>
      <c r="G60" s="365">
        <f t="shared" si="7"/>
        <v>70</v>
      </c>
      <c r="H60" s="365">
        <f t="shared" si="8"/>
        <v>79.099999999999994</v>
      </c>
      <c r="I60" s="365">
        <v>0</v>
      </c>
      <c r="J60" s="365">
        <v>0</v>
      </c>
    </row>
    <row r="61" spans="1:10" ht="18.75" x14ac:dyDescent="0.7">
      <c r="A61" s="368"/>
      <c r="B61" s="283" t="str">
        <f ca="1">CONCATENATE(_xlfn.SHEET(),"-",ROW())</f>
        <v>17-61</v>
      </c>
      <c r="C61" s="369" t="s">
        <v>328</v>
      </c>
      <c r="D61" s="370" t="s">
        <v>1652</v>
      </c>
      <c r="E61" s="370">
        <v>13.5</v>
      </c>
      <c r="F61" s="371">
        <v>25</v>
      </c>
      <c r="G61" s="370">
        <f t="shared" si="7"/>
        <v>337.5</v>
      </c>
      <c r="H61" s="370">
        <f t="shared" si="8"/>
        <v>381.37499999999994</v>
      </c>
      <c r="I61" s="370"/>
      <c r="J61" s="372"/>
    </row>
    <row r="62" spans="1:10" ht="18.75" x14ac:dyDescent="0.7">
      <c r="A62" s="368"/>
      <c r="B62" s="374"/>
      <c r="C62" s="364"/>
      <c r="D62" s="365"/>
      <c r="E62" s="365"/>
      <c r="F62" s="366"/>
      <c r="G62" s="365"/>
      <c r="H62" s="365"/>
      <c r="I62" s="365"/>
      <c r="J62" s="367"/>
    </row>
    <row r="63" spans="1:10" ht="18.75" x14ac:dyDescent="0.7">
      <c r="A63" s="368"/>
      <c r="B63" s="329" t="s">
        <v>1653</v>
      </c>
      <c r="C63" s="375"/>
      <c r="D63" s="10"/>
      <c r="E63" s="10"/>
      <c r="F63" s="9"/>
      <c r="G63" s="10"/>
      <c r="H63" s="10">
        <f>SUM(H57:H61)</f>
        <v>1172.375</v>
      </c>
      <c r="I63" s="10">
        <f>SUM(I57:I61)</f>
        <v>252.28</v>
      </c>
      <c r="J63" s="11">
        <f>SUM(J55:J62)</f>
        <v>252.28</v>
      </c>
    </row>
    <row r="64" spans="1:10" ht="18.75" x14ac:dyDescent="0.7">
      <c r="A64" s="368"/>
      <c r="B64" s="332"/>
      <c r="C64" s="376"/>
      <c r="D64" s="333"/>
      <c r="E64" s="333"/>
      <c r="F64" s="339"/>
      <c r="G64" s="333"/>
      <c r="H64" s="333"/>
      <c r="I64" s="333"/>
      <c r="J64" s="334"/>
    </row>
    <row r="65" spans="1:10" ht="18.75" x14ac:dyDescent="0.7">
      <c r="A65" s="362" t="s">
        <v>1654</v>
      </c>
      <c r="B65" s="363"/>
      <c r="C65" s="364"/>
      <c r="D65" s="365"/>
      <c r="E65" s="365"/>
      <c r="F65" s="366"/>
      <c r="G65" s="365"/>
      <c r="H65" s="365"/>
      <c r="I65" s="365"/>
      <c r="J65" s="367"/>
    </row>
    <row r="66" spans="1:10" ht="18.75" x14ac:dyDescent="0.7">
      <c r="A66" s="368"/>
      <c r="B66" s="283" t="str">
        <f t="shared" ref="B66:B70" ca="1" si="9">CONCATENATE(_xlfn.SHEET(),"-",ROW())</f>
        <v>17-66</v>
      </c>
      <c r="C66" s="369" t="s">
        <v>1655</v>
      </c>
      <c r="D66" s="370" t="s">
        <v>1656</v>
      </c>
      <c r="E66" s="370">
        <v>5.5</v>
      </c>
      <c r="F66" s="371">
        <v>6</v>
      </c>
      <c r="G66" s="370">
        <f t="shared" ref="G66:G70" si="10">E66*F66</f>
        <v>33</v>
      </c>
      <c r="H66" s="370">
        <f t="shared" ref="H66:H70" si="11">G66*1.13</f>
        <v>37.29</v>
      </c>
      <c r="I66" s="370">
        <v>88.1</v>
      </c>
      <c r="J66" s="370">
        <v>88.1</v>
      </c>
    </row>
    <row r="67" spans="1:10" ht="18.75" x14ac:dyDescent="0.7">
      <c r="A67" s="368"/>
      <c r="B67" s="288" t="str">
        <f t="shared" ca="1" si="9"/>
        <v>17-67</v>
      </c>
      <c r="C67" s="373" t="s">
        <v>347</v>
      </c>
      <c r="D67" s="365" t="s">
        <v>328</v>
      </c>
      <c r="E67" s="365">
        <v>2.5</v>
      </c>
      <c r="F67" s="366">
        <v>40</v>
      </c>
      <c r="G67" s="365">
        <f t="shared" si="10"/>
        <v>100</v>
      </c>
      <c r="H67" s="365">
        <f t="shared" si="11"/>
        <v>112.99999999999999</v>
      </c>
      <c r="I67" s="365">
        <v>0</v>
      </c>
      <c r="J67" s="365">
        <v>0</v>
      </c>
    </row>
    <row r="68" spans="1:10" ht="18.75" x14ac:dyDescent="0.7">
      <c r="A68" s="368"/>
      <c r="B68" s="283" t="str">
        <f t="shared" ca="1" si="9"/>
        <v>17-68</v>
      </c>
      <c r="C68" s="369" t="s">
        <v>1657</v>
      </c>
      <c r="D68" s="370" t="s">
        <v>1658</v>
      </c>
      <c r="E68" s="370">
        <v>0</v>
      </c>
      <c r="F68" s="371">
        <v>50</v>
      </c>
      <c r="G68" s="370">
        <f t="shared" si="10"/>
        <v>0</v>
      </c>
      <c r="H68" s="370">
        <f t="shared" si="11"/>
        <v>0</v>
      </c>
      <c r="I68" s="370">
        <v>0</v>
      </c>
      <c r="J68" s="370">
        <v>0</v>
      </c>
    </row>
    <row r="69" spans="1:10" ht="18.75" x14ac:dyDescent="0.7">
      <c r="A69" s="368"/>
      <c r="B69" s="288" t="str">
        <f t="shared" ca="1" si="9"/>
        <v>17-69</v>
      </c>
      <c r="C69" s="373" t="s">
        <v>1659</v>
      </c>
      <c r="D69" s="365"/>
      <c r="E69" s="365">
        <v>50</v>
      </c>
      <c r="F69" s="366">
        <v>2</v>
      </c>
      <c r="G69" s="365">
        <f t="shared" si="10"/>
        <v>100</v>
      </c>
      <c r="H69" s="365">
        <f t="shared" si="11"/>
        <v>112.99999999999999</v>
      </c>
      <c r="I69" s="365">
        <v>0</v>
      </c>
      <c r="J69" s="365">
        <v>0</v>
      </c>
    </row>
    <row r="70" spans="1:10" ht="18.75" x14ac:dyDescent="0.7">
      <c r="A70" s="368"/>
      <c r="B70" s="283" t="str">
        <f t="shared" ca="1" si="9"/>
        <v>17-70</v>
      </c>
      <c r="C70" s="369" t="s">
        <v>1660</v>
      </c>
      <c r="D70" s="370"/>
      <c r="E70" s="370">
        <v>0</v>
      </c>
      <c r="F70" s="371">
        <v>3</v>
      </c>
      <c r="G70" s="370">
        <f t="shared" si="10"/>
        <v>0</v>
      </c>
      <c r="H70" s="370">
        <f t="shared" si="11"/>
        <v>0</v>
      </c>
      <c r="I70" s="370">
        <f>67.74+29.74</f>
        <v>97.47999999999999</v>
      </c>
      <c r="J70" s="370">
        <f>67.74+29.74</f>
        <v>97.47999999999999</v>
      </c>
    </row>
    <row r="71" spans="1:10" ht="18.75" x14ac:dyDescent="0.7">
      <c r="A71" s="368"/>
      <c r="B71" s="288"/>
      <c r="C71" s="373"/>
      <c r="D71" s="365"/>
      <c r="E71" s="365"/>
      <c r="F71" s="366"/>
      <c r="G71" s="365"/>
      <c r="H71" s="365"/>
      <c r="I71" s="365"/>
      <c r="J71" s="367"/>
    </row>
    <row r="72" spans="1:10" ht="18.75" x14ac:dyDescent="0.7">
      <c r="A72" s="368"/>
      <c r="B72" s="329" t="s">
        <v>1661</v>
      </c>
      <c r="C72" s="375"/>
      <c r="D72" s="10"/>
      <c r="E72" s="10"/>
      <c r="F72" s="9"/>
      <c r="G72" s="10"/>
      <c r="H72" s="10">
        <f>SUM(H66:H70)</f>
        <v>263.28999999999996</v>
      </c>
      <c r="I72" s="10">
        <f>SUM(I66:I70)</f>
        <v>185.57999999999998</v>
      </c>
      <c r="J72" s="11">
        <f>SUM(J64:J70)</f>
        <v>185.57999999999998</v>
      </c>
    </row>
    <row r="73" spans="1:10" ht="18.75" x14ac:dyDescent="0.7">
      <c r="A73" s="368"/>
      <c r="B73" s="332"/>
      <c r="C73" s="376"/>
      <c r="D73" s="333"/>
      <c r="E73" s="333"/>
      <c r="F73" s="339"/>
      <c r="G73" s="333"/>
      <c r="H73" s="333"/>
      <c r="I73" s="333"/>
      <c r="J73" s="334"/>
    </row>
    <row r="74" spans="1:10" ht="18.75" x14ac:dyDescent="0.7">
      <c r="A74" s="362" t="s">
        <v>1662</v>
      </c>
      <c r="B74" s="363"/>
      <c r="C74" s="364"/>
      <c r="D74" s="365"/>
      <c r="E74" s="365"/>
      <c r="F74" s="366"/>
      <c r="G74" s="365"/>
      <c r="H74" s="365"/>
      <c r="I74" s="365"/>
      <c r="J74" s="367"/>
    </row>
    <row r="75" spans="1:10" ht="18.75" x14ac:dyDescent="0.7">
      <c r="A75" s="368"/>
      <c r="B75" s="283" t="str">
        <f ca="1">CONCATENATE(_xlfn.SHEET(),"-",ROW())</f>
        <v>17-75</v>
      </c>
      <c r="C75" s="369" t="s">
        <v>1663</v>
      </c>
      <c r="D75" s="370" t="s">
        <v>1664</v>
      </c>
      <c r="E75" s="370">
        <v>0</v>
      </c>
      <c r="F75" s="371">
        <v>1</v>
      </c>
      <c r="G75" s="370">
        <f>E75*F75</f>
        <v>0</v>
      </c>
      <c r="H75" s="370">
        <f>G75*1.13</f>
        <v>0</v>
      </c>
      <c r="I75" s="370">
        <v>0</v>
      </c>
      <c r="J75" s="372">
        <v>0</v>
      </c>
    </row>
    <row r="76" spans="1:10" ht="18.75" x14ac:dyDescent="0.7">
      <c r="A76" s="368"/>
      <c r="B76" s="374"/>
      <c r="C76" s="364"/>
      <c r="D76" s="365"/>
      <c r="E76" s="365"/>
      <c r="F76" s="366"/>
      <c r="G76" s="365"/>
      <c r="H76" s="365"/>
      <c r="I76" s="365"/>
      <c r="J76" s="367"/>
    </row>
    <row r="77" spans="1:10" ht="18.75" x14ac:dyDescent="0.7">
      <c r="A77" s="368"/>
      <c r="B77" s="329" t="s">
        <v>1665</v>
      </c>
      <c r="C77" s="375"/>
      <c r="D77" s="10"/>
      <c r="E77" s="10"/>
      <c r="F77" s="9"/>
      <c r="G77" s="10"/>
      <c r="H77" s="10">
        <f>SUM(H75:H75)</f>
        <v>0</v>
      </c>
      <c r="I77" s="10">
        <f>SUM(I73:I76)</f>
        <v>0</v>
      </c>
      <c r="J77" s="11">
        <f>SUM(J73:J76)</f>
        <v>0</v>
      </c>
    </row>
    <row r="78" spans="1:10" ht="16.5" x14ac:dyDescent="0.6">
      <c r="A78" s="278"/>
      <c r="B78" s="274"/>
      <c r="C78" s="274"/>
      <c r="D78" s="275"/>
      <c r="E78" s="275"/>
      <c r="F78" s="276"/>
      <c r="G78" s="275"/>
      <c r="H78" s="275"/>
      <c r="I78" s="275"/>
      <c r="J78" s="277"/>
    </row>
    <row r="79" spans="1:10" ht="18.75" x14ac:dyDescent="0.7">
      <c r="A79" s="324" t="s">
        <v>1666</v>
      </c>
      <c r="B79" s="81"/>
      <c r="C79" s="27"/>
      <c r="D79" s="288"/>
      <c r="E79" s="288"/>
      <c r="F79" s="307"/>
      <c r="G79" s="288"/>
      <c r="H79" s="288"/>
      <c r="I79" s="288"/>
      <c r="J79" s="1344"/>
    </row>
    <row r="80" spans="1:10" ht="18.75" x14ac:dyDescent="0.7">
      <c r="A80" s="326"/>
      <c r="B80" s="283" t="str">
        <f t="shared" ref="B80:B81" ca="1" si="12">CONCATENATE(_xlfn.SHEET(),"-",ROW())</f>
        <v>17-80</v>
      </c>
      <c r="C80" s="327" t="s">
        <v>1667</v>
      </c>
      <c r="D80" s="283" t="s">
        <v>1668</v>
      </c>
      <c r="E80" s="283">
        <v>45</v>
      </c>
      <c r="F80" s="305">
        <v>28</v>
      </c>
      <c r="G80" s="283">
        <f t="shared" ref="G80:G82" si="13">E80*F80</f>
        <v>1260</v>
      </c>
      <c r="H80" s="283">
        <f t="shared" ref="H80:H82" si="14">G80*1.13</f>
        <v>1423.8</v>
      </c>
      <c r="I80" s="283"/>
      <c r="J80" s="283"/>
    </row>
    <row r="81" spans="1:10" ht="18.75" x14ac:dyDescent="0.7">
      <c r="A81" s="326"/>
      <c r="B81" s="288" t="str">
        <f t="shared" ca="1" si="12"/>
        <v>17-81</v>
      </c>
      <c r="C81" s="336" t="s">
        <v>1669</v>
      </c>
      <c r="D81" s="288"/>
      <c r="E81" s="288">
        <v>50</v>
      </c>
      <c r="F81" s="307">
        <v>1</v>
      </c>
      <c r="G81" s="288">
        <f t="shared" si="13"/>
        <v>50</v>
      </c>
      <c r="H81" s="288">
        <f t="shared" si="14"/>
        <v>56.499999999999993</v>
      </c>
      <c r="I81" s="288">
        <v>0</v>
      </c>
      <c r="J81" s="288">
        <v>0</v>
      </c>
    </row>
    <row r="82" spans="1:10" ht="18.75" x14ac:dyDescent="0.7">
      <c r="A82" s="326"/>
      <c r="B82" s="283" t="str">
        <f ca="1">CONCATENATE(_xlfn.SHEET(),"-",ROW())</f>
        <v>17-82</v>
      </c>
      <c r="C82" s="335" t="s">
        <v>1670</v>
      </c>
      <c r="D82" s="283"/>
      <c r="E82" s="283">
        <v>35</v>
      </c>
      <c r="F82" s="305">
        <v>6</v>
      </c>
      <c r="G82" s="283">
        <f t="shared" si="13"/>
        <v>210</v>
      </c>
      <c r="H82" s="283">
        <f t="shared" si="14"/>
        <v>237.29999999999998</v>
      </c>
      <c r="I82" s="283">
        <v>100</v>
      </c>
      <c r="J82" s="283">
        <v>100</v>
      </c>
    </row>
    <row r="83" spans="1:10" ht="18.75" x14ac:dyDescent="0.7">
      <c r="A83" s="326"/>
      <c r="B83" s="27"/>
      <c r="C83" s="27"/>
      <c r="D83" s="377"/>
      <c r="E83" s="288"/>
      <c r="F83" s="307"/>
      <c r="G83" s="288"/>
      <c r="H83" s="288"/>
      <c r="I83" s="288"/>
      <c r="J83" s="1344"/>
    </row>
    <row r="84" spans="1:10" ht="18.75" x14ac:dyDescent="0.7">
      <c r="A84" s="278"/>
      <c r="B84" s="337" t="s">
        <v>1671</v>
      </c>
      <c r="C84" s="338"/>
      <c r="D84" s="10"/>
      <c r="E84" s="10"/>
      <c r="F84" s="9"/>
      <c r="G84" s="10"/>
      <c r="H84" s="10">
        <f>SUM(H78:H83)</f>
        <v>1717.6</v>
      </c>
      <c r="I84" s="10">
        <f>SUM(I78:I83)</f>
        <v>100</v>
      </c>
      <c r="J84" s="11">
        <f>SUM(J78:J83)</f>
        <v>100</v>
      </c>
    </row>
    <row r="85" spans="1:10" ht="18.75" x14ac:dyDescent="0.7">
      <c r="A85" s="278"/>
      <c r="B85" s="81"/>
      <c r="C85" s="81"/>
      <c r="D85" s="333"/>
      <c r="E85" s="333"/>
      <c r="F85" s="339"/>
      <c r="G85" s="333"/>
      <c r="H85" s="333"/>
      <c r="I85" s="333"/>
      <c r="J85" s="334"/>
    </row>
    <row r="86" spans="1:10" ht="18.75" x14ac:dyDescent="0.7">
      <c r="A86" s="324" t="s">
        <v>1672</v>
      </c>
      <c r="B86" s="81"/>
      <c r="C86" s="27"/>
      <c r="D86" s="288"/>
      <c r="E86" s="288"/>
      <c r="F86" s="307"/>
      <c r="G86" s="288"/>
      <c r="H86" s="288"/>
      <c r="I86" s="288"/>
      <c r="J86" s="1344"/>
    </row>
    <row r="87" spans="1:10" ht="18.75" x14ac:dyDescent="0.7">
      <c r="A87" s="326" t="s">
        <v>66</v>
      </c>
      <c r="B87" s="283" t="str">
        <f ca="1">CONCATENATE(_xlfn.SHEET(),"-",ROW())</f>
        <v>17-87</v>
      </c>
      <c r="C87" s="335" t="s">
        <v>347</v>
      </c>
      <c r="D87" s="283" t="s">
        <v>1673</v>
      </c>
      <c r="E87" s="283">
        <v>1.99</v>
      </c>
      <c r="F87" s="305">
        <v>50</v>
      </c>
      <c r="G87" s="283">
        <f t="shared" ref="G87:G88" si="15">E87*F87</f>
        <v>99.5</v>
      </c>
      <c r="H87" s="283">
        <f t="shared" ref="H87:H88" si="16">G87*1.13</f>
        <v>112.43499999999999</v>
      </c>
      <c r="I87" s="283">
        <v>0</v>
      </c>
      <c r="J87" s="283">
        <v>0</v>
      </c>
    </row>
    <row r="88" spans="1:10" ht="18.75" x14ac:dyDescent="0.7">
      <c r="A88" s="326"/>
      <c r="B88" s="288" t="str">
        <f ca="1">CONCATENATE(_xlfn.SHEET(),"-",ROW())</f>
        <v>17-88</v>
      </c>
      <c r="C88" s="336" t="s">
        <v>1656</v>
      </c>
      <c r="D88" s="288" t="s">
        <v>1674</v>
      </c>
      <c r="E88" s="288">
        <v>1.5</v>
      </c>
      <c r="F88" s="307">
        <v>100</v>
      </c>
      <c r="G88" s="288">
        <f t="shared" si="15"/>
        <v>150</v>
      </c>
      <c r="H88" s="288">
        <f t="shared" si="16"/>
        <v>169.49999999999997</v>
      </c>
      <c r="I88" s="288">
        <v>0</v>
      </c>
      <c r="J88" s="288">
        <v>0</v>
      </c>
    </row>
    <row r="89" spans="1:10" ht="18.75" x14ac:dyDescent="0.7">
      <c r="A89" s="326"/>
      <c r="B89" s="288"/>
      <c r="C89" s="336"/>
      <c r="D89" s="288"/>
      <c r="E89" s="288"/>
      <c r="F89" s="307"/>
      <c r="G89" s="288"/>
      <c r="H89" s="288"/>
      <c r="I89" s="288"/>
      <c r="J89" s="1344"/>
    </row>
    <row r="90" spans="1:10" ht="18.75" x14ac:dyDescent="0.7">
      <c r="A90" s="326"/>
      <c r="B90" s="337" t="s">
        <v>1675</v>
      </c>
      <c r="C90" s="338"/>
      <c r="D90" s="10"/>
      <c r="E90" s="10"/>
      <c r="F90" s="9"/>
      <c r="G90" s="10"/>
      <c r="H90" s="10">
        <f>SUM(H87:H87)</f>
        <v>112.43499999999999</v>
      </c>
      <c r="I90" s="10">
        <f>SUM(I85:I87)</f>
        <v>0</v>
      </c>
      <c r="J90" s="11">
        <f>SUM(J85:J87)</f>
        <v>0</v>
      </c>
    </row>
    <row r="91" spans="1:10" ht="18.75" x14ac:dyDescent="0.7">
      <c r="A91" s="326"/>
      <c r="B91" s="81"/>
      <c r="C91" s="81"/>
      <c r="D91" s="333"/>
      <c r="E91" s="333"/>
      <c r="F91" s="339"/>
      <c r="G91" s="333"/>
      <c r="H91" s="333"/>
      <c r="I91" s="333"/>
      <c r="J91" s="334"/>
    </row>
    <row r="92" spans="1:10" ht="18.75" x14ac:dyDescent="0.7">
      <c r="A92" s="324" t="s">
        <v>1676</v>
      </c>
      <c r="B92" s="81"/>
      <c r="C92" s="81"/>
      <c r="D92" s="333"/>
      <c r="E92" s="333"/>
      <c r="F92" s="339"/>
      <c r="G92" s="333"/>
      <c r="H92" s="333"/>
      <c r="I92" s="333"/>
      <c r="J92" s="334"/>
    </row>
    <row r="93" spans="1:10" ht="18.75" x14ac:dyDescent="0.7">
      <c r="A93" s="278"/>
      <c r="B93" s="283" t="str">
        <f ca="1">CONCATENATE(_xlfn.SHEET(),"-",ROW())</f>
        <v>17-93</v>
      </c>
      <c r="C93" s="335" t="s">
        <v>1677</v>
      </c>
      <c r="D93" s="283"/>
      <c r="E93" s="283">
        <v>350</v>
      </c>
      <c r="F93" s="305">
        <v>1</v>
      </c>
      <c r="G93" s="283">
        <f t="shared" ref="G93" si="17">E93*F93</f>
        <v>350</v>
      </c>
      <c r="H93" s="283">
        <f t="shared" ref="H93" si="18">G93*1.13</f>
        <v>395.49999999999994</v>
      </c>
      <c r="I93" s="283">
        <v>0</v>
      </c>
      <c r="J93" s="283">
        <v>0</v>
      </c>
    </row>
    <row r="94" spans="1:10" ht="18.75" x14ac:dyDescent="0.7">
      <c r="A94" s="278"/>
      <c r="B94" s="288"/>
      <c r="C94" s="336"/>
      <c r="D94" s="288"/>
      <c r="E94" s="288"/>
      <c r="F94" s="307"/>
      <c r="G94" s="288"/>
      <c r="H94" s="288"/>
      <c r="I94" s="288"/>
      <c r="J94" s="1344"/>
    </row>
    <row r="95" spans="1:10" ht="18.75" x14ac:dyDescent="0.7">
      <c r="A95" s="278"/>
      <c r="B95" s="337" t="s">
        <v>1675</v>
      </c>
      <c r="C95" s="338"/>
      <c r="D95" s="10"/>
      <c r="E95" s="10"/>
      <c r="F95" s="9"/>
      <c r="G95" s="10"/>
      <c r="H95" s="10">
        <f>H93</f>
        <v>395.49999999999994</v>
      </c>
      <c r="I95" s="10">
        <f>SUM(I90:I92)</f>
        <v>0</v>
      </c>
      <c r="J95" s="11">
        <f>SUM(J90:J92)</f>
        <v>0</v>
      </c>
    </row>
    <row r="96" spans="1:10" ht="18.75" x14ac:dyDescent="0.7">
      <c r="A96" s="278"/>
      <c r="B96" s="27"/>
      <c r="C96" s="378"/>
      <c r="D96" s="288"/>
      <c r="E96" s="288"/>
      <c r="F96" s="307"/>
      <c r="G96" s="288"/>
      <c r="H96" s="288"/>
      <c r="I96" s="288"/>
      <c r="J96" s="1344"/>
    </row>
    <row r="97" spans="1:10" ht="18.75" x14ac:dyDescent="0.7">
      <c r="A97" s="278"/>
      <c r="B97" s="27"/>
      <c r="C97" s="81" t="s">
        <v>84</v>
      </c>
      <c r="D97" s="333"/>
      <c r="E97" s="333"/>
      <c r="F97" s="339"/>
      <c r="G97" s="333"/>
      <c r="H97" s="333">
        <f>H90+H84+H77+H72+H63+H54+H35+H29+H93</f>
        <v>17007.211899999998</v>
      </c>
      <c r="I97" s="333">
        <f>I29+I54+I63+I84</f>
        <v>5422.6699999999992</v>
      </c>
      <c r="J97" s="334">
        <f>J29+J54+J63+J84+J35+J72+J77+J90+J95</f>
        <v>5791.0099999999993</v>
      </c>
    </row>
    <row r="98" spans="1:10" ht="18.75" x14ac:dyDescent="0.7">
      <c r="A98" s="278"/>
      <c r="B98" s="27"/>
      <c r="C98" s="81"/>
      <c r="D98" s="333"/>
      <c r="E98" s="333"/>
      <c r="F98" s="339"/>
      <c r="G98" s="333"/>
      <c r="H98" s="333"/>
      <c r="I98" s="333"/>
      <c r="J98" s="334"/>
    </row>
    <row r="99" spans="1:10" ht="18.75" x14ac:dyDescent="0.7">
      <c r="A99" s="1417" t="s">
        <v>85</v>
      </c>
      <c r="B99" s="379"/>
      <c r="C99" s="379"/>
      <c r="D99" s="380"/>
      <c r="E99" s="380"/>
      <c r="F99" s="381"/>
      <c r="G99" s="380"/>
      <c r="H99" s="380"/>
      <c r="I99" s="380"/>
      <c r="J99" s="382"/>
    </row>
    <row r="100" spans="1:10" ht="18.75" x14ac:dyDescent="0.7">
      <c r="A100" s="244"/>
      <c r="B100" s="383" t="s">
        <v>86</v>
      </c>
      <c r="C100" s="383"/>
      <c r="D100" s="384"/>
      <c r="E100" s="384"/>
      <c r="F100" s="384"/>
      <c r="G100" s="384"/>
      <c r="H100" s="384">
        <f>H21</f>
        <v>10000</v>
      </c>
      <c r="I100" s="384">
        <f>I21</f>
        <v>6050</v>
      </c>
      <c r="J100" s="385">
        <f>J21</f>
        <v>6050</v>
      </c>
    </row>
    <row r="101" spans="1:10" ht="18.75" x14ac:dyDescent="0.7">
      <c r="A101" s="244"/>
      <c r="B101" s="81" t="s">
        <v>87</v>
      </c>
      <c r="C101" s="81"/>
      <c r="D101" s="333"/>
      <c r="E101" s="333"/>
      <c r="F101" s="333"/>
      <c r="G101" s="333"/>
      <c r="H101" s="333">
        <f>H97</f>
        <v>17007.211899999998</v>
      </c>
      <c r="I101" s="333">
        <f>I97</f>
        <v>5422.6699999999992</v>
      </c>
      <c r="J101" s="334">
        <f>J97</f>
        <v>5791.0099999999993</v>
      </c>
    </row>
    <row r="102" spans="1:10" ht="18.75" x14ac:dyDescent="0.7">
      <c r="A102" s="323"/>
      <c r="B102" s="386" t="s">
        <v>88</v>
      </c>
      <c r="C102" s="386"/>
      <c r="D102" s="387"/>
      <c r="E102" s="387"/>
      <c r="F102" s="387"/>
      <c r="G102" s="387"/>
      <c r="H102" s="387">
        <f>H100-H101</f>
        <v>-7007.2118999999984</v>
      </c>
      <c r="I102" s="387">
        <f>I100-I101</f>
        <v>627.33000000000084</v>
      </c>
      <c r="J102" s="388">
        <f>J100-J101</f>
        <v>258.99000000000069</v>
      </c>
    </row>
  </sheetData>
  <mergeCells count="3">
    <mergeCell ref="A7:C7"/>
    <mergeCell ref="A1:A4"/>
    <mergeCell ref="B1:J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622B-3F96-5846-BF57-B2D3449ED9E8}">
  <dimension ref="A1:J28"/>
  <sheetViews>
    <sheetView topLeftCell="A14" workbookViewId="0">
      <selection activeCell="D19" sqref="D19"/>
    </sheetView>
  </sheetViews>
  <sheetFormatPr defaultColWidth="11.3984375" defaultRowHeight="14.25" x14ac:dyDescent="0.45"/>
  <cols>
    <col min="1" max="1" width="21.3984375" customWidth="1"/>
    <col min="3" max="3" width="31.3984375" customWidth="1"/>
    <col min="4" max="4" width="38.3984375" bestFit="1" customWidth="1"/>
    <col min="7" max="7" width="8.86328125" bestFit="1" customWidth="1"/>
    <col min="8" max="8" width="17" customWidth="1"/>
    <col min="9" max="9" width="9.73046875" bestFit="1" customWidth="1"/>
    <col min="10" max="10" width="9.3984375" bestFit="1" customWidth="1"/>
  </cols>
  <sheetData>
    <row r="1" spans="1:10" ht="25.5" x14ac:dyDescent="0.45">
      <c r="A1" s="1127" t="s">
        <v>1678</v>
      </c>
      <c r="B1" s="1126"/>
      <c r="C1" s="1126"/>
      <c r="D1" s="1125"/>
      <c r="E1" s="1125"/>
      <c r="F1" s="1125"/>
      <c r="G1" s="1125"/>
      <c r="H1" s="1125"/>
      <c r="I1" s="1125"/>
      <c r="J1" s="1124"/>
    </row>
    <row r="2" spans="1:10" ht="16.5" x14ac:dyDescent="0.6">
      <c r="A2" s="1123"/>
      <c r="B2" s="1122" t="s">
        <v>90</v>
      </c>
      <c r="C2" s="1121" t="s">
        <v>91</v>
      </c>
      <c r="D2" s="1120" t="s">
        <v>92</v>
      </c>
      <c r="E2" s="1119" t="s">
        <v>93</v>
      </c>
      <c r="F2" s="1118" t="s">
        <v>94</v>
      </c>
      <c r="G2" s="1117" t="s">
        <v>95</v>
      </c>
      <c r="H2" s="1117" t="s">
        <v>96</v>
      </c>
      <c r="I2" s="1117" t="s">
        <v>217</v>
      </c>
      <c r="J2" s="1116" t="s">
        <v>218</v>
      </c>
    </row>
    <row r="3" spans="1:10" ht="16.5" x14ac:dyDescent="0.6">
      <c r="A3" s="1115"/>
      <c r="B3" s="1114"/>
      <c r="C3" s="1113"/>
      <c r="D3" s="1112"/>
      <c r="E3" s="1110"/>
      <c r="F3" s="1111"/>
      <c r="G3" s="1110"/>
      <c r="H3" s="1110"/>
      <c r="I3" s="1110"/>
      <c r="J3" s="1109"/>
    </row>
    <row r="4" spans="1:10" ht="16.5" x14ac:dyDescent="0.6">
      <c r="A4" s="1530" t="s">
        <v>7</v>
      </c>
      <c r="B4" s="1531"/>
      <c r="C4" s="1531"/>
      <c r="D4" s="1065"/>
      <c r="E4" s="1065"/>
      <c r="F4" s="1066"/>
      <c r="G4" s="1065"/>
      <c r="H4" s="1065"/>
      <c r="I4" s="1065"/>
      <c r="J4" s="1064"/>
    </row>
    <row r="5" spans="1:10" ht="18.75" x14ac:dyDescent="0.7">
      <c r="A5" s="1108"/>
      <c r="B5" s="1107"/>
      <c r="C5" s="1107"/>
      <c r="D5" s="1100"/>
      <c r="E5" s="1100"/>
      <c r="F5" s="1101"/>
      <c r="G5" s="1100"/>
      <c r="H5" s="1100"/>
      <c r="I5" s="1100"/>
      <c r="J5" s="1099"/>
    </row>
    <row r="6" spans="1:10" ht="19.149999999999999" x14ac:dyDescent="0.65">
      <c r="A6" s="1103"/>
      <c r="B6" s="1102"/>
      <c r="C6" s="1102" t="s">
        <v>46</v>
      </c>
      <c r="D6" s="1105"/>
      <c r="E6" s="1105"/>
      <c r="F6" s="1106"/>
      <c r="G6" s="1105"/>
      <c r="H6" s="1105">
        <v>0</v>
      </c>
      <c r="I6" s="1105">
        <v>0</v>
      </c>
      <c r="J6" s="1104">
        <v>0</v>
      </c>
    </row>
    <row r="7" spans="1:10" ht="19.5" x14ac:dyDescent="0.7">
      <c r="A7" s="1103"/>
      <c r="B7" s="1102"/>
      <c r="C7" s="1102"/>
      <c r="D7" s="1100"/>
      <c r="E7" s="1100"/>
      <c r="F7" s="1101"/>
      <c r="G7" s="1100"/>
      <c r="H7" s="1100"/>
      <c r="I7" s="1100"/>
      <c r="J7" s="1099"/>
    </row>
    <row r="8" spans="1:10" ht="16.5" x14ac:dyDescent="0.6">
      <c r="A8" s="1530" t="s">
        <v>47</v>
      </c>
      <c r="B8" s="1531"/>
      <c r="C8" s="1531"/>
      <c r="D8" s="1065"/>
      <c r="E8" s="1097"/>
      <c r="F8" s="1098"/>
      <c r="G8" s="1097"/>
      <c r="H8" s="1097"/>
      <c r="I8" s="1097"/>
      <c r="J8" s="1064"/>
    </row>
    <row r="9" spans="1:10" ht="31.35" customHeight="1" x14ac:dyDescent="0.6">
      <c r="A9" s="1060" t="s">
        <v>1679</v>
      </c>
      <c r="B9" s="1059"/>
      <c r="C9" s="1059"/>
      <c r="D9" s="1058"/>
      <c r="E9" s="1058"/>
      <c r="F9" s="1067"/>
      <c r="G9" s="1058"/>
      <c r="H9" s="1058"/>
      <c r="I9" s="1058"/>
      <c r="J9" s="1057"/>
    </row>
    <row r="10" spans="1:10" ht="31.35" customHeight="1" x14ac:dyDescent="0.6">
      <c r="A10" s="1096"/>
      <c r="B10" s="1084" t="s">
        <v>1680</v>
      </c>
      <c r="C10" s="1095" t="s">
        <v>1681</v>
      </c>
      <c r="D10" s="1080" t="s">
        <v>1682</v>
      </c>
      <c r="E10" s="1080">
        <v>40</v>
      </c>
      <c r="F10" s="1081">
        <v>26</v>
      </c>
      <c r="G10" s="1080">
        <f>E10*F10</f>
        <v>1040</v>
      </c>
      <c r="H10" s="1080">
        <f>G10*1.13</f>
        <v>1175.1999999999998</v>
      </c>
      <c r="I10" s="1080" t="s">
        <v>536</v>
      </c>
      <c r="J10" s="1079" t="s">
        <v>536</v>
      </c>
    </row>
    <row r="11" spans="1:10" ht="49.35" customHeight="1" x14ac:dyDescent="0.6">
      <c r="A11" s="1096"/>
      <c r="B11" s="1085">
        <v>16.02</v>
      </c>
      <c r="C11" s="1095" t="s">
        <v>1683</v>
      </c>
      <c r="D11" s="1080" t="s">
        <v>1684</v>
      </c>
      <c r="E11" s="1080">
        <f>15*100</f>
        <v>1500</v>
      </c>
      <c r="F11" s="1081">
        <v>1</v>
      </c>
      <c r="G11" s="1080">
        <f>E11*F11</f>
        <v>1500</v>
      </c>
      <c r="H11" s="1080">
        <f>G11*1.13</f>
        <v>1694.9999999999998</v>
      </c>
      <c r="I11" s="1080"/>
      <c r="J11" s="1079"/>
    </row>
    <row r="12" spans="1:10" ht="51" customHeight="1" x14ac:dyDescent="0.6">
      <c r="A12" s="1060"/>
      <c r="B12" s="1094">
        <v>16.03</v>
      </c>
      <c r="C12" s="1093" t="s">
        <v>1685</v>
      </c>
      <c r="D12" s="1092" t="s">
        <v>1686</v>
      </c>
      <c r="E12" s="1090">
        <f>7*8</f>
        <v>56</v>
      </c>
      <c r="F12" s="1091">
        <v>6</v>
      </c>
      <c r="G12" s="1090">
        <f>E12*F12</f>
        <v>336</v>
      </c>
      <c r="H12" s="1090">
        <f>G12*1.13</f>
        <v>379.67999999999995</v>
      </c>
      <c r="I12" s="1080">
        <v>84.41</v>
      </c>
      <c r="J12" s="1080">
        <v>84.41</v>
      </c>
    </row>
    <row r="13" spans="1:10" ht="72" customHeight="1" x14ac:dyDescent="0.6">
      <c r="A13" s="1060"/>
      <c r="B13" s="1094">
        <v>16.04</v>
      </c>
      <c r="C13" s="1093" t="s">
        <v>1687</v>
      </c>
      <c r="D13" s="1092" t="s">
        <v>1688</v>
      </c>
      <c r="E13" s="1090">
        <f>7*7</f>
        <v>49</v>
      </c>
      <c r="F13" s="1091">
        <v>16</v>
      </c>
      <c r="G13" s="1090">
        <f>E13*F13</f>
        <v>784</v>
      </c>
      <c r="H13" s="1090">
        <f>G13*1.13</f>
        <v>885.92</v>
      </c>
      <c r="I13" s="1080">
        <v>55.9</v>
      </c>
      <c r="J13" s="1080">
        <v>55.9</v>
      </c>
    </row>
    <row r="14" spans="1:10" ht="16.5" x14ac:dyDescent="0.6">
      <c r="A14" s="1060"/>
      <c r="B14" s="1089"/>
      <c r="C14" s="1088"/>
      <c r="D14" s="1086"/>
      <c r="E14" s="1086"/>
      <c r="F14" s="1087"/>
      <c r="G14" s="1086"/>
      <c r="H14" s="1086"/>
      <c r="I14" s="1071"/>
      <c r="J14" s="1070"/>
    </row>
    <row r="15" spans="1:10" ht="16.5" x14ac:dyDescent="0.6">
      <c r="A15" s="1069"/>
      <c r="B15" s="1078" t="s">
        <v>1689</v>
      </c>
      <c r="C15" s="1077"/>
      <c r="D15" s="1075"/>
      <c r="E15" s="1075"/>
      <c r="F15" s="1076"/>
      <c r="G15" s="1075"/>
      <c r="H15" s="1075">
        <f>SUM(H10:H13)</f>
        <v>4135.7999999999993</v>
      </c>
      <c r="I15" s="1075">
        <f>SUM(I10:I12)</f>
        <v>84.41</v>
      </c>
      <c r="J15" s="1074">
        <f>SUM(J10:J12)</f>
        <v>84.41</v>
      </c>
    </row>
    <row r="16" spans="1:10" ht="16.5" x14ac:dyDescent="0.6">
      <c r="A16" s="1069"/>
      <c r="B16" s="1059"/>
      <c r="C16" s="1059"/>
      <c r="D16" s="1058"/>
      <c r="E16" s="1058"/>
      <c r="F16" s="1067"/>
      <c r="G16" s="1058"/>
      <c r="H16" s="1058"/>
      <c r="I16" s="1058"/>
      <c r="J16" s="1057"/>
    </row>
    <row r="17" spans="1:10" ht="16.5" x14ac:dyDescent="0.6">
      <c r="A17" s="1060" t="s">
        <v>1690</v>
      </c>
      <c r="B17" s="1059"/>
      <c r="C17" s="1059"/>
      <c r="D17" s="1058"/>
      <c r="E17" s="1058"/>
      <c r="F17" s="1067"/>
      <c r="G17" s="1058"/>
      <c r="H17" s="1058"/>
      <c r="I17" s="1058"/>
      <c r="J17" s="1057"/>
    </row>
    <row r="18" spans="1:10" ht="50.25" x14ac:dyDescent="0.7">
      <c r="A18" s="1069" t="s">
        <v>66</v>
      </c>
      <c r="B18" s="1085">
        <f>B13+0.01</f>
        <v>16.05</v>
      </c>
      <c r="C18" s="1084" t="s">
        <v>1691</v>
      </c>
      <c r="D18" s="1083" t="s">
        <v>1692</v>
      </c>
      <c r="E18" s="1082">
        <v>372.75</v>
      </c>
      <c r="F18" s="1081">
        <v>2</v>
      </c>
      <c r="G18" s="1080">
        <f>E18*F18</f>
        <v>745.5</v>
      </c>
      <c r="H18" s="1080">
        <f>G18*1.13</f>
        <v>842.41499999999996</v>
      </c>
      <c r="I18" s="1080">
        <f>'[2]Frozen Pivot'!B519</f>
        <v>0</v>
      </c>
      <c r="J18" s="1079">
        <v>0</v>
      </c>
    </row>
    <row r="19" spans="1:10" ht="33" x14ac:dyDescent="0.6">
      <c r="A19" s="1060"/>
      <c r="B19" s="1059">
        <v>16.059999999999999</v>
      </c>
      <c r="C19" s="1059" t="s">
        <v>1693</v>
      </c>
      <c r="D19" s="1412" t="s">
        <v>1694</v>
      </c>
      <c r="E19" s="1058"/>
      <c r="F19" s="1067"/>
      <c r="G19" s="1058"/>
      <c r="H19" s="1058"/>
      <c r="I19" s="1058">
        <v>12.99</v>
      </c>
      <c r="J19" s="1057">
        <v>12.99</v>
      </c>
    </row>
    <row r="20" spans="1:10" ht="16.5" x14ac:dyDescent="0.6">
      <c r="A20" s="1060"/>
      <c r="B20" s="1078" t="s">
        <v>1695</v>
      </c>
      <c r="C20" s="1077"/>
      <c r="D20" s="1075"/>
      <c r="E20" s="1075"/>
      <c r="F20" s="1076"/>
      <c r="G20" s="1075"/>
      <c r="H20" s="1075">
        <f>H18</f>
        <v>842.41499999999996</v>
      </c>
      <c r="I20" s="1075">
        <f>I18+I19</f>
        <v>12.99</v>
      </c>
      <c r="J20" s="1074">
        <f>J18+J19</f>
        <v>12.99</v>
      </c>
    </row>
    <row r="21" spans="1:10" ht="16.5" x14ac:dyDescent="0.6">
      <c r="A21" s="1060"/>
      <c r="B21" s="1059"/>
      <c r="C21" s="1059"/>
      <c r="D21" s="1058"/>
      <c r="E21" s="1058"/>
      <c r="F21" s="1067"/>
      <c r="G21" s="1058"/>
      <c r="H21" s="1058"/>
      <c r="I21" s="1058"/>
      <c r="J21" s="1057"/>
    </row>
    <row r="22" spans="1:10" ht="16.5" x14ac:dyDescent="0.6">
      <c r="A22" s="1069"/>
      <c r="B22" s="1068"/>
      <c r="C22" s="1073"/>
      <c r="D22" s="1071"/>
      <c r="E22" s="1071"/>
      <c r="F22" s="1072"/>
      <c r="G22" s="1071"/>
      <c r="H22" s="1071"/>
      <c r="I22" s="1071"/>
      <c r="J22" s="1070"/>
    </row>
    <row r="23" spans="1:10" ht="16.5" x14ac:dyDescent="0.6">
      <c r="A23" s="1069"/>
      <c r="B23" s="1068"/>
      <c r="C23" s="1059" t="s">
        <v>84</v>
      </c>
      <c r="D23" s="1058"/>
      <c r="E23" s="1058"/>
      <c r="F23" s="1067"/>
      <c r="G23" s="1058"/>
      <c r="H23" s="1058">
        <f>H15+H20</f>
        <v>4978.2149999999992</v>
      </c>
      <c r="I23" s="1058">
        <f>I15+I20</f>
        <v>97.399999999999991</v>
      </c>
      <c r="J23" s="1057">
        <f>J15+J20</f>
        <v>97.399999999999991</v>
      </c>
    </row>
    <row r="24" spans="1:10" ht="16.5" x14ac:dyDescent="0.6">
      <c r="A24" s="1069"/>
      <c r="B24" s="1068"/>
      <c r="C24" s="1059"/>
      <c r="D24" s="1058"/>
      <c r="E24" s="1058"/>
      <c r="F24" s="1067"/>
      <c r="G24" s="1058"/>
      <c r="H24" s="1058"/>
      <c r="I24" s="1058"/>
      <c r="J24" s="1057"/>
    </row>
    <row r="25" spans="1:10" ht="16.5" x14ac:dyDescent="0.6">
      <c r="A25" s="1530" t="s">
        <v>85</v>
      </c>
      <c r="B25" s="1531"/>
      <c r="C25" s="1531"/>
      <c r="D25" s="1065"/>
      <c r="E25" s="1065"/>
      <c r="F25" s="1066"/>
      <c r="G25" s="1065"/>
      <c r="H25" s="1065"/>
      <c r="I25" s="1065"/>
      <c r="J25" s="1064"/>
    </row>
    <row r="26" spans="1:10" ht="16.5" x14ac:dyDescent="0.6">
      <c r="A26" s="1060"/>
      <c r="B26" s="1063" t="s">
        <v>86</v>
      </c>
      <c r="C26" s="1063"/>
      <c r="D26" s="1062"/>
      <c r="E26" s="1062"/>
      <c r="F26" s="1062"/>
      <c r="G26" s="1062"/>
      <c r="H26" s="1062">
        <v>0</v>
      </c>
      <c r="I26" s="1062">
        <v>0</v>
      </c>
      <c r="J26" s="1061">
        <v>0</v>
      </c>
    </row>
    <row r="27" spans="1:10" ht="16.5" x14ac:dyDescent="0.6">
      <c r="A27" s="1060"/>
      <c r="B27" s="1059" t="s">
        <v>87</v>
      </c>
      <c r="C27" s="1059"/>
      <c r="D27" s="1058"/>
      <c r="E27" s="1058"/>
      <c r="F27" s="1058"/>
      <c r="G27" s="1058"/>
      <c r="H27" s="1058">
        <f>H23</f>
        <v>4978.2149999999992</v>
      </c>
      <c r="I27" s="1058">
        <f>I23</f>
        <v>97.399999999999991</v>
      </c>
      <c r="J27" s="1057">
        <f>J23</f>
        <v>97.399999999999991</v>
      </c>
    </row>
    <row r="28" spans="1:10" ht="16.5" x14ac:dyDescent="0.6">
      <c r="A28" s="1056"/>
      <c r="B28" s="1055" t="s">
        <v>88</v>
      </c>
      <c r="C28" s="1055"/>
      <c r="D28" s="1054"/>
      <c r="E28" s="1054"/>
      <c r="F28" s="1054"/>
      <c r="G28" s="1054"/>
      <c r="H28" s="1054">
        <f>H26-H27</f>
        <v>-4978.2149999999992</v>
      </c>
      <c r="I28" s="1054">
        <f>I26-I27</f>
        <v>-97.399999999999991</v>
      </c>
      <c r="J28" s="1053">
        <f>J26-J27</f>
        <v>-97.399999999999991</v>
      </c>
    </row>
  </sheetData>
  <mergeCells count="3">
    <mergeCell ref="A4:C4"/>
    <mergeCell ref="A8:C8"/>
    <mergeCell ref="A25:C2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8FA9F-91C8-4D65-80B9-840B7440E6E2}">
  <dimension ref="A1:V144"/>
  <sheetViews>
    <sheetView tabSelected="1" topLeftCell="A2" zoomScale="80" zoomScaleNormal="80" zoomScalePageLayoutView="106" workbookViewId="0">
      <selection activeCell="I3" sqref="I3"/>
    </sheetView>
  </sheetViews>
  <sheetFormatPr defaultColWidth="12.265625" defaultRowHeight="15.75" x14ac:dyDescent="0.5"/>
  <cols>
    <col min="1" max="1" width="12.265625" style="1128"/>
    <col min="2" max="2" width="12.3984375" style="1128" bestFit="1" customWidth="1"/>
    <col min="3" max="3" width="48.265625" style="1128" customWidth="1"/>
    <col min="4" max="4" width="54.86328125" style="1128" customWidth="1"/>
    <col min="5" max="6" width="12.3984375" style="1128" bestFit="1" customWidth="1"/>
    <col min="7" max="7" width="13.86328125" style="1128" bestFit="1" customWidth="1"/>
    <col min="8" max="8" width="18.86328125" style="1128" bestFit="1" customWidth="1"/>
    <col min="9" max="9" width="18.73046875" style="1128" customWidth="1"/>
    <col min="10" max="16384" width="12.265625" style="1128"/>
  </cols>
  <sheetData>
    <row r="1" spans="1:9" ht="28.5" x14ac:dyDescent="0.95">
      <c r="A1" s="1443" t="s">
        <v>89</v>
      </c>
      <c r="B1" s="1444"/>
      <c r="C1" s="1444"/>
      <c r="D1" s="1444"/>
      <c r="E1" s="1444"/>
      <c r="F1" s="1444"/>
      <c r="G1" s="1444"/>
      <c r="H1" s="1444"/>
      <c r="I1" s="1445"/>
    </row>
    <row r="2" spans="1:9" ht="18.75" x14ac:dyDescent="0.7">
      <c r="A2" s="1247"/>
      <c r="B2" s="1248" t="s">
        <v>90</v>
      </c>
      <c r="C2" s="1249" t="s">
        <v>91</v>
      </c>
      <c r="D2" s="1250" t="s">
        <v>92</v>
      </c>
      <c r="E2" s="1251" t="s">
        <v>93</v>
      </c>
      <c r="F2" s="1252" t="s">
        <v>94</v>
      </c>
      <c r="G2" s="1253" t="s">
        <v>95</v>
      </c>
      <c r="H2" s="1254" t="s">
        <v>96</v>
      </c>
      <c r="I2" s="1255" t="s">
        <v>218</v>
      </c>
    </row>
    <row r="3" spans="1:9" ht="18.75" x14ac:dyDescent="0.7">
      <c r="A3" s="1256"/>
      <c r="B3" s="1257"/>
      <c r="C3" s="1257"/>
      <c r="D3" s="1258"/>
      <c r="E3" s="1258"/>
      <c r="F3" s="1259"/>
      <c r="G3" s="1258"/>
      <c r="H3" s="1100"/>
      <c r="I3" s="1099"/>
    </row>
    <row r="4" spans="1:9" ht="18.75" x14ac:dyDescent="0.7">
      <c r="A4" s="1446" t="s">
        <v>7</v>
      </c>
      <c r="B4" s="1447"/>
      <c r="C4" s="1447"/>
      <c r="D4" s="1260"/>
      <c r="E4" s="1260"/>
      <c r="F4" s="1261"/>
      <c r="G4" s="1260"/>
      <c r="H4" s="1260"/>
      <c r="I4" s="1262"/>
    </row>
    <row r="5" spans="1:9" ht="18.75" x14ac:dyDescent="0.7">
      <c r="A5" s="1108" t="s">
        <v>8</v>
      </c>
      <c r="B5" s="1107"/>
      <c r="C5" s="1263"/>
      <c r="D5" s="1264"/>
      <c r="E5" s="1264"/>
      <c r="F5" s="1265"/>
      <c r="G5" s="1264"/>
      <c r="H5" s="1264"/>
      <c r="I5" s="1266"/>
    </row>
    <row r="6" spans="1:9" ht="18.75" x14ac:dyDescent="0.7">
      <c r="A6" s="1108" t="s">
        <v>49</v>
      </c>
      <c r="B6" s="1257"/>
      <c r="C6" s="1263"/>
      <c r="D6" s="1264"/>
      <c r="E6" s="1264"/>
      <c r="F6" s="1265"/>
      <c r="G6" s="1264"/>
      <c r="H6" s="1264"/>
      <c r="I6" s="1266"/>
    </row>
    <row r="7" spans="1:9" ht="18.75" x14ac:dyDescent="0.7">
      <c r="A7" s="1108"/>
      <c r="B7" s="1267">
        <v>0.01</v>
      </c>
      <c r="C7" s="1267" t="s">
        <v>97</v>
      </c>
      <c r="D7" s="1268" t="s">
        <v>98</v>
      </c>
      <c r="E7" s="1269">
        <v>356.25</v>
      </c>
      <c r="F7" s="1270">
        <v>6</v>
      </c>
      <c r="G7" s="1269">
        <v>2137.5</v>
      </c>
      <c r="H7" s="1269">
        <f>G7</f>
        <v>2137.5</v>
      </c>
      <c r="I7" s="1269">
        <f>H7</f>
        <v>2137.5</v>
      </c>
    </row>
    <row r="8" spans="1:9" ht="18.75" x14ac:dyDescent="0.7">
      <c r="A8" s="1271" t="s">
        <v>99</v>
      </c>
      <c r="B8" s="1272"/>
      <c r="C8" s="1273"/>
      <c r="D8" s="1274"/>
      <c r="E8" s="1275"/>
      <c r="F8" s="1276"/>
      <c r="G8" s="1275"/>
      <c r="H8" s="1275"/>
      <c r="I8" s="1277"/>
    </row>
    <row r="9" spans="1:9" ht="18.75" x14ac:dyDescent="0.7">
      <c r="A9" s="1108"/>
      <c r="B9" s="1267">
        <v>0.02</v>
      </c>
      <c r="C9" s="1278" t="s">
        <v>100</v>
      </c>
      <c r="D9" s="1268" t="s">
        <v>101</v>
      </c>
      <c r="E9" s="1269"/>
      <c r="F9" s="1270"/>
      <c r="G9" s="1269">
        <f>(10485.18-7755.5)*1.4</f>
        <v>3821.5520000000001</v>
      </c>
      <c r="H9" s="1269">
        <f>G9</f>
        <v>3821.5520000000001</v>
      </c>
      <c r="I9" s="1269">
        <v>2707.39</v>
      </c>
    </row>
    <row r="10" spans="1:9" ht="18.75" x14ac:dyDescent="0.7">
      <c r="A10" s="1271" t="s">
        <v>11</v>
      </c>
      <c r="B10" s="1279"/>
      <c r="C10" s="1273"/>
      <c r="D10" s="1274"/>
      <c r="E10" s="1275"/>
      <c r="F10" s="1276"/>
      <c r="G10" s="1275"/>
      <c r="H10" s="1275"/>
      <c r="I10" s="1277"/>
    </row>
    <row r="11" spans="1:9" ht="18.75" x14ac:dyDescent="0.7">
      <c r="A11" s="1108"/>
      <c r="B11" s="1267">
        <v>0.03</v>
      </c>
      <c r="C11" s="1278" t="s">
        <v>102</v>
      </c>
      <c r="D11" s="1268" t="s">
        <v>103</v>
      </c>
      <c r="E11" s="1269"/>
      <c r="F11" s="1270"/>
      <c r="G11" s="1269">
        <v>700</v>
      </c>
      <c r="H11" s="1269">
        <f>G11</f>
        <v>700</v>
      </c>
      <c r="I11" s="1210">
        <v>178.35</v>
      </c>
    </row>
    <row r="12" spans="1:9" ht="18.75" x14ac:dyDescent="0.7">
      <c r="A12" s="1271" t="s">
        <v>12</v>
      </c>
      <c r="B12" s="1272"/>
      <c r="C12" s="1273"/>
      <c r="D12" s="1274" t="s">
        <v>66</v>
      </c>
      <c r="E12" s="1275"/>
      <c r="F12" s="1276"/>
      <c r="G12" s="1275"/>
      <c r="H12" s="1275"/>
      <c r="I12" s="1277"/>
    </row>
    <row r="13" spans="1:9" ht="18.75" x14ac:dyDescent="0.7">
      <c r="A13" s="1108"/>
      <c r="B13" s="1267">
        <v>0.04</v>
      </c>
      <c r="C13" s="1278" t="s">
        <v>104</v>
      </c>
      <c r="D13" s="1268" t="s">
        <v>105</v>
      </c>
      <c r="E13" s="1269">
        <v>3201.45</v>
      </c>
      <c r="F13" s="1270">
        <v>12</v>
      </c>
      <c r="G13" s="1269">
        <f>F13*E13</f>
        <v>38417.399999999994</v>
      </c>
      <c r="H13" s="1269">
        <f>G13</f>
        <v>38417.399999999994</v>
      </c>
      <c r="I13" s="1269">
        <f>H13</f>
        <v>38417.399999999994</v>
      </c>
    </row>
    <row r="14" spans="1:9" ht="18.75" x14ac:dyDescent="0.7">
      <c r="A14" s="1271" t="s">
        <v>13</v>
      </c>
      <c r="B14" s="1272"/>
      <c r="C14" s="1273"/>
      <c r="D14" s="1274"/>
      <c r="E14" s="1275"/>
      <c r="F14" s="1276"/>
      <c r="G14" s="1275"/>
      <c r="H14" s="1275"/>
      <c r="I14" s="1277"/>
    </row>
    <row r="15" spans="1:9" ht="18.75" x14ac:dyDescent="0.7">
      <c r="A15" s="1108"/>
      <c r="B15" s="1267">
        <v>0.05</v>
      </c>
      <c r="C15" s="1278" t="s">
        <v>106</v>
      </c>
      <c r="D15" s="1268" t="s">
        <v>107</v>
      </c>
      <c r="E15" s="1269">
        <v>8000</v>
      </c>
      <c r="F15" s="1270">
        <v>1</v>
      </c>
      <c r="G15" s="1269">
        <f>F15*E15</f>
        <v>8000</v>
      </c>
      <c r="H15" s="1269">
        <f>G15</f>
        <v>8000</v>
      </c>
      <c r="I15" s="1210"/>
    </row>
    <row r="16" spans="1:9" ht="18.75" x14ac:dyDescent="0.7">
      <c r="A16" s="1271" t="s">
        <v>108</v>
      </c>
      <c r="B16" s="1272"/>
      <c r="C16" s="1272"/>
      <c r="D16" s="1274"/>
      <c r="E16" s="1275"/>
      <c r="F16" s="1276"/>
      <c r="G16" s="1275"/>
      <c r="H16" s="1275"/>
      <c r="I16" s="1277"/>
    </row>
    <row r="17" spans="1:9" ht="18.75" x14ac:dyDescent="0.7">
      <c r="A17" s="1108"/>
      <c r="B17" s="1267">
        <v>0.06</v>
      </c>
      <c r="C17" s="1278" t="s">
        <v>108</v>
      </c>
      <c r="D17" s="1268" t="s">
        <v>109</v>
      </c>
      <c r="E17" s="1269">
        <v>62.64</v>
      </c>
      <c r="F17" s="1270">
        <v>3200</v>
      </c>
      <c r="G17" s="1269">
        <f>F17*E17</f>
        <v>200448</v>
      </c>
      <c r="H17" s="1269">
        <f>G17</f>
        <v>200448</v>
      </c>
      <c r="I17" s="1210">
        <v>246882.5</v>
      </c>
    </row>
    <row r="18" spans="1:9" ht="18.75" x14ac:dyDescent="0.7">
      <c r="A18" s="1271" t="s">
        <v>110</v>
      </c>
      <c r="B18" s="1272"/>
      <c r="C18" s="1272"/>
      <c r="D18" s="1274"/>
      <c r="E18" s="1275"/>
      <c r="F18" s="1276"/>
      <c r="G18" s="1275"/>
      <c r="H18" s="1275"/>
      <c r="I18" s="1277"/>
    </row>
    <row r="19" spans="1:9" ht="18.75" x14ac:dyDescent="0.7">
      <c r="A19" s="1108"/>
      <c r="B19" s="1267">
        <v>7.0000000000000007E-2</v>
      </c>
      <c r="C19" s="1278" t="s">
        <v>111</v>
      </c>
      <c r="D19" s="1268" t="s">
        <v>112</v>
      </c>
      <c r="E19" s="1269"/>
      <c r="F19" s="1270"/>
      <c r="G19" s="1269">
        <v>4999.5</v>
      </c>
      <c r="H19" s="1269">
        <f>G19</f>
        <v>4999.5</v>
      </c>
      <c r="I19" s="1269">
        <f>H19</f>
        <v>4999.5</v>
      </c>
    </row>
    <row r="20" spans="1:9" ht="18.75" x14ac:dyDescent="0.7">
      <c r="A20" s="1271"/>
      <c r="B20" s="1279">
        <v>0.08</v>
      </c>
      <c r="C20" s="1273" t="s">
        <v>113</v>
      </c>
      <c r="D20" s="1274" t="s">
        <v>112</v>
      </c>
      <c r="E20" s="1275"/>
      <c r="F20" s="1276"/>
      <c r="G20" s="1275">
        <f>7302.5*0.95</f>
        <v>6937.375</v>
      </c>
      <c r="H20" s="1275">
        <f>G20</f>
        <v>6937.375</v>
      </c>
      <c r="I20" s="1275">
        <f>H20</f>
        <v>6937.375</v>
      </c>
    </row>
    <row r="21" spans="1:9" ht="18.75" x14ac:dyDescent="0.7">
      <c r="A21" s="1108" t="s">
        <v>114</v>
      </c>
      <c r="B21" s="1263"/>
      <c r="C21" s="1280"/>
      <c r="D21" s="1281"/>
      <c r="E21" s="1264"/>
      <c r="F21" s="1265"/>
      <c r="G21" s="1264"/>
      <c r="H21" s="1264"/>
      <c r="I21" s="1266"/>
    </row>
    <row r="22" spans="1:9" ht="18.75" x14ac:dyDescent="0.7">
      <c r="A22" s="1108"/>
      <c r="B22" s="1267">
        <v>0.09</v>
      </c>
      <c r="C22" s="1278" t="s">
        <v>115</v>
      </c>
      <c r="D22" s="1268"/>
      <c r="E22" s="1269"/>
      <c r="F22" s="1270"/>
      <c r="G22" s="1269">
        <v>3147</v>
      </c>
      <c r="H22" s="1269">
        <f>G22</f>
        <v>3147</v>
      </c>
      <c r="I22" s="1269">
        <f>H22</f>
        <v>3147</v>
      </c>
    </row>
    <row r="23" spans="1:9" ht="18.75" x14ac:dyDescent="0.7">
      <c r="A23" s="1108"/>
      <c r="B23" s="1279"/>
      <c r="C23" s="1273"/>
      <c r="D23" s="1274"/>
      <c r="E23" s="1275"/>
      <c r="F23" s="1276"/>
      <c r="G23" s="1275"/>
      <c r="H23" s="1275"/>
      <c r="I23" s="1277"/>
    </row>
    <row r="24" spans="1:9" ht="18.75" x14ac:dyDescent="0.7">
      <c r="A24" s="1108"/>
      <c r="B24" s="1282" t="s">
        <v>17</v>
      </c>
      <c r="C24" s="1283"/>
      <c r="D24" s="1284"/>
      <c r="E24" s="1285"/>
      <c r="F24" s="1286"/>
      <c r="G24" s="1285"/>
      <c r="H24" s="1287">
        <f>SUM(H6:H22)</f>
        <v>268608.32699999999</v>
      </c>
      <c r="I24" s="1288">
        <f>SUM(I6:I22)</f>
        <v>305407.01500000001</v>
      </c>
    </row>
    <row r="25" spans="1:9" ht="18.75" x14ac:dyDescent="0.7">
      <c r="A25" s="1108"/>
      <c r="B25" s="1257"/>
      <c r="C25" s="1257"/>
      <c r="D25" s="1289"/>
      <c r="E25" s="1100"/>
      <c r="F25" s="1101"/>
      <c r="G25" s="1100"/>
      <c r="H25" s="1100"/>
      <c r="I25" s="1099"/>
    </row>
    <row r="26" spans="1:9" ht="18.75" x14ac:dyDescent="0.7">
      <c r="A26" s="1108" t="s">
        <v>36</v>
      </c>
      <c r="B26" s="1107"/>
      <c r="C26" s="1263"/>
      <c r="D26" s="1281"/>
      <c r="E26" s="1264"/>
      <c r="F26" s="1265"/>
      <c r="G26" s="1264"/>
      <c r="H26" s="1264"/>
      <c r="I26" s="1266"/>
    </row>
    <row r="27" spans="1:9" ht="18.75" x14ac:dyDescent="0.7">
      <c r="A27" s="1108" t="s">
        <v>37</v>
      </c>
      <c r="B27" s="1107"/>
      <c r="C27" s="1263"/>
      <c r="D27" s="1281"/>
      <c r="E27" s="1264"/>
      <c r="F27" s="1265"/>
      <c r="G27" s="1264"/>
      <c r="H27" s="1264"/>
      <c r="I27" s="1266"/>
    </row>
    <row r="28" spans="1:9" ht="18.75" x14ac:dyDescent="0.7">
      <c r="A28" s="1108"/>
      <c r="B28" s="1290">
        <f>B22+0.01</f>
        <v>9.9999999999999992E-2</v>
      </c>
      <c r="C28" s="1278" t="s">
        <v>116</v>
      </c>
      <c r="D28" s="1268" t="s">
        <v>117</v>
      </c>
      <c r="E28" s="1269">
        <v>1235.9000000000001</v>
      </c>
      <c r="F28" s="1270">
        <v>12</v>
      </c>
      <c r="G28" s="1269">
        <f>F28*E28</f>
        <v>14830.800000000001</v>
      </c>
      <c r="H28" s="1269">
        <f>G28*1.13</f>
        <v>16758.804</v>
      </c>
      <c r="I28" s="1269">
        <f>H28*1.13</f>
        <v>18937.448519999998</v>
      </c>
    </row>
    <row r="29" spans="1:9" ht="18.75" x14ac:dyDescent="0.7">
      <c r="A29" s="1108" t="s">
        <v>38</v>
      </c>
      <c r="B29" s="1107"/>
      <c r="C29" s="1107"/>
      <c r="D29" s="1281"/>
      <c r="E29" s="1264"/>
      <c r="F29" s="1265"/>
      <c r="G29" s="1291"/>
      <c r="H29" s="1291"/>
      <c r="I29" s="1292"/>
    </row>
    <row r="30" spans="1:9" ht="18.75" x14ac:dyDescent="0.7">
      <c r="A30" s="1108"/>
      <c r="B30" s="1290">
        <f>B28+0.01</f>
        <v>0.10999999999999999</v>
      </c>
      <c r="C30" s="1278" t="s">
        <v>118</v>
      </c>
      <c r="D30" s="1268" t="s">
        <v>117</v>
      </c>
      <c r="E30" s="1269">
        <v>2627.05</v>
      </c>
      <c r="F30" s="1270">
        <v>12</v>
      </c>
      <c r="G30" s="1269">
        <f>F30*E30</f>
        <v>31524.600000000002</v>
      </c>
      <c r="H30" s="1269">
        <f>G30*1.13</f>
        <v>35622.798000000003</v>
      </c>
      <c r="I30" s="1269">
        <f>H30*1.13</f>
        <v>40253.761740000002</v>
      </c>
    </row>
    <row r="31" spans="1:9" ht="18.75" x14ac:dyDescent="0.7">
      <c r="A31" s="1108" t="s">
        <v>39</v>
      </c>
      <c r="B31" s="1107"/>
      <c r="C31" s="1280"/>
      <c r="D31" s="1281"/>
      <c r="E31" s="1264"/>
      <c r="F31" s="1265"/>
      <c r="G31" s="1291"/>
      <c r="H31" s="1291"/>
      <c r="I31" s="1292"/>
    </row>
    <row r="32" spans="1:9" ht="18.75" x14ac:dyDescent="0.7">
      <c r="A32" s="1108"/>
      <c r="B32" s="1290">
        <f>B30+0.01</f>
        <v>0.11999999999999998</v>
      </c>
      <c r="C32" s="1278" t="s">
        <v>119</v>
      </c>
      <c r="D32" s="1268" t="s">
        <v>117</v>
      </c>
      <c r="E32" s="1269">
        <v>1255.1199999999999</v>
      </c>
      <c r="F32" s="1270">
        <v>12</v>
      </c>
      <c r="G32" s="1269">
        <f>F32*E32</f>
        <v>15061.439999999999</v>
      </c>
      <c r="H32" s="1269">
        <f>G32</f>
        <v>15061.439999999999</v>
      </c>
      <c r="I32" s="1269">
        <f>H32</f>
        <v>15061.439999999999</v>
      </c>
    </row>
    <row r="33" spans="1:9" ht="18.75" x14ac:dyDescent="0.7">
      <c r="A33" s="1108" t="s">
        <v>40</v>
      </c>
      <c r="B33" s="1107"/>
      <c r="C33" s="1107"/>
      <c r="D33" s="1281"/>
      <c r="E33" s="1264"/>
      <c r="F33" s="1265"/>
      <c r="G33" s="1291"/>
      <c r="H33" s="1291"/>
      <c r="I33" s="1292"/>
    </row>
    <row r="34" spans="1:9" ht="18.75" x14ac:dyDescent="0.7">
      <c r="A34" s="1108"/>
      <c r="B34" s="1290">
        <f>B32+0.01</f>
        <v>0.12999999999999998</v>
      </c>
      <c r="C34" s="1278" t="s">
        <v>120</v>
      </c>
      <c r="D34" s="1268" t="s">
        <v>117</v>
      </c>
      <c r="E34" s="1269">
        <v>258.51</v>
      </c>
      <c r="F34" s="1270">
        <v>12</v>
      </c>
      <c r="G34" s="1269">
        <f>F34*E34</f>
        <v>3102.12</v>
      </c>
      <c r="H34" s="1269">
        <f>G34</f>
        <v>3102.12</v>
      </c>
      <c r="I34" s="1269">
        <f>H34</f>
        <v>3102.12</v>
      </c>
    </row>
    <row r="35" spans="1:9" ht="18.75" x14ac:dyDescent="0.7">
      <c r="A35" s="1108" t="s">
        <v>41</v>
      </c>
      <c r="B35" s="1107"/>
      <c r="C35" s="1280"/>
      <c r="D35" s="1281"/>
      <c r="E35" s="1264"/>
      <c r="F35" s="1265"/>
      <c r="G35" s="1291"/>
      <c r="H35" s="1291"/>
      <c r="I35" s="1292"/>
    </row>
    <row r="36" spans="1:9" ht="18.75" x14ac:dyDescent="0.7">
      <c r="A36" s="1108"/>
      <c r="B36" s="1290">
        <f>B34+0.01</f>
        <v>0.13999999999999999</v>
      </c>
      <c r="C36" s="1278" t="s">
        <v>121</v>
      </c>
      <c r="D36" s="1268" t="s">
        <v>117</v>
      </c>
      <c r="E36" s="1269">
        <v>263.89</v>
      </c>
      <c r="F36" s="1270">
        <v>12</v>
      </c>
      <c r="G36" s="1269">
        <f>F36*E36</f>
        <v>3166.68</v>
      </c>
      <c r="H36" s="1269">
        <f>G36</f>
        <v>3166.68</v>
      </c>
      <c r="I36" s="1269">
        <f>H36</f>
        <v>3166.68</v>
      </c>
    </row>
    <row r="37" spans="1:9" ht="18.75" x14ac:dyDescent="0.7">
      <c r="A37" s="1108" t="s">
        <v>42</v>
      </c>
      <c r="B37" s="1107"/>
      <c r="C37" s="1280"/>
      <c r="D37" s="1281"/>
      <c r="E37" s="1264"/>
      <c r="F37" s="1265"/>
      <c r="G37" s="1291"/>
      <c r="H37" s="1291"/>
      <c r="I37" s="1292"/>
    </row>
    <row r="38" spans="1:9" ht="18.75" x14ac:dyDescent="0.7">
      <c r="A38" s="1108"/>
      <c r="B38" s="1290">
        <f>B36+0.01</f>
        <v>0.15</v>
      </c>
      <c r="C38" s="1278" t="s">
        <v>122</v>
      </c>
      <c r="D38" s="1268" t="s">
        <v>117</v>
      </c>
      <c r="E38" s="1269">
        <v>60</v>
      </c>
      <c r="F38" s="1270">
        <v>12</v>
      </c>
      <c r="G38" s="1269">
        <f>F38*E38</f>
        <v>720</v>
      </c>
      <c r="H38" s="1269">
        <f>G38</f>
        <v>720</v>
      </c>
      <c r="I38" s="1269">
        <f>H38</f>
        <v>720</v>
      </c>
    </row>
    <row r="39" spans="1:9" ht="18.75" x14ac:dyDescent="0.7">
      <c r="A39" s="1108" t="s">
        <v>43</v>
      </c>
      <c r="B39" s="1107"/>
      <c r="C39" s="1280"/>
      <c r="D39" s="1281"/>
      <c r="E39" s="1264"/>
      <c r="F39" s="1265"/>
      <c r="G39" s="1291"/>
      <c r="H39" s="1291"/>
      <c r="I39" s="1292"/>
    </row>
    <row r="40" spans="1:9" ht="18.75" x14ac:dyDescent="0.7">
      <c r="A40" s="1108"/>
      <c r="B40" s="1267">
        <v>0.16</v>
      </c>
      <c r="C40" s="1278" t="s">
        <v>123</v>
      </c>
      <c r="D40" s="1268" t="s">
        <v>117</v>
      </c>
      <c r="E40" s="1269">
        <v>238.33</v>
      </c>
      <c r="F40" s="1270">
        <v>12</v>
      </c>
      <c r="G40" s="1269">
        <f>F40*E40</f>
        <v>2859.96</v>
      </c>
      <c r="H40" s="1269">
        <f>G40</f>
        <v>2859.96</v>
      </c>
      <c r="I40" s="1269">
        <f>H40</f>
        <v>2859.96</v>
      </c>
    </row>
    <row r="41" spans="1:9" ht="18.75" x14ac:dyDescent="0.7">
      <c r="A41" s="1108" t="s">
        <v>124</v>
      </c>
      <c r="B41" s="1107"/>
      <c r="C41" s="1280"/>
      <c r="D41" s="1281"/>
      <c r="E41" s="1264"/>
      <c r="F41" s="1265"/>
      <c r="G41" s="1291"/>
      <c r="H41" s="1291"/>
      <c r="I41" s="1292"/>
    </row>
    <row r="42" spans="1:9" ht="18.75" x14ac:dyDescent="0.7">
      <c r="A42" s="1108"/>
      <c r="B42" s="1267">
        <v>0.17</v>
      </c>
      <c r="C42" s="1278" t="s">
        <v>122</v>
      </c>
      <c r="D42" s="1268" t="s">
        <v>117</v>
      </c>
      <c r="E42" s="1269">
        <v>150</v>
      </c>
      <c r="F42" s="1270">
        <v>12</v>
      </c>
      <c r="G42" s="1269">
        <f>F42*E42</f>
        <v>1800</v>
      </c>
      <c r="H42" s="1269">
        <f>G42</f>
        <v>1800</v>
      </c>
      <c r="I42" s="1269">
        <f>H42</f>
        <v>1800</v>
      </c>
    </row>
    <row r="43" spans="1:9" ht="18.75" x14ac:dyDescent="0.7">
      <c r="A43" s="1271"/>
      <c r="B43" s="1279"/>
      <c r="C43" s="1273"/>
      <c r="D43" s="1274"/>
      <c r="E43" s="1275"/>
      <c r="F43" s="1276"/>
      <c r="G43" s="1275"/>
      <c r="H43" s="1275"/>
      <c r="I43" s="1277"/>
    </row>
    <row r="44" spans="1:9" ht="18.75" x14ac:dyDescent="0.7">
      <c r="A44" s="1108"/>
      <c r="B44" s="1282" t="s">
        <v>45</v>
      </c>
      <c r="C44" s="1283"/>
      <c r="D44" s="1293"/>
      <c r="E44" s="1287"/>
      <c r="F44" s="1294"/>
      <c r="G44" s="1287"/>
      <c r="H44" s="1287">
        <f>SUM(H28:H42)</f>
        <v>79091.801999999996</v>
      </c>
      <c r="I44" s="1288">
        <f>SUM(I28:I42)</f>
        <v>85901.41025999999</v>
      </c>
    </row>
    <row r="45" spans="1:9" ht="18.75" x14ac:dyDescent="0.7">
      <c r="A45" s="1108"/>
      <c r="B45" s="1257"/>
      <c r="C45" s="1257"/>
      <c r="D45" s="1289"/>
      <c r="E45" s="1100"/>
      <c r="F45" s="1101"/>
      <c r="G45" s="1100"/>
      <c r="H45" s="1100"/>
      <c r="I45" s="1099"/>
    </row>
    <row r="46" spans="1:9" ht="19.149999999999999" x14ac:dyDescent="0.65">
      <c r="A46" s="1103"/>
      <c r="B46" s="1295"/>
      <c r="C46" s="1295" t="s">
        <v>46</v>
      </c>
      <c r="D46" s="1296"/>
      <c r="E46" s="1105"/>
      <c r="F46" s="1106"/>
      <c r="G46" s="1105"/>
      <c r="H46" s="1105">
        <f>H44+H24</f>
        <v>347700.12899999996</v>
      </c>
      <c r="I46" s="1104">
        <f>I44+I24</f>
        <v>391308.42525999999</v>
      </c>
    </row>
    <row r="47" spans="1:9" ht="19.5" x14ac:dyDescent="0.7">
      <c r="A47" s="1103"/>
      <c r="B47" s="1295"/>
      <c r="C47" s="1295"/>
      <c r="D47" s="1289"/>
      <c r="E47" s="1100"/>
      <c r="F47" s="1101"/>
      <c r="G47" s="1100"/>
      <c r="H47" s="1100"/>
      <c r="I47" s="1099"/>
    </row>
    <row r="48" spans="1:9" ht="18.75" x14ac:dyDescent="0.7">
      <c r="A48" s="1446" t="s">
        <v>47</v>
      </c>
      <c r="B48" s="1447"/>
      <c r="C48" s="1447"/>
      <c r="D48" s="1297"/>
      <c r="E48" s="1260"/>
      <c r="F48" s="1261"/>
      <c r="G48" s="1260"/>
      <c r="H48" s="1260"/>
      <c r="I48" s="1262"/>
    </row>
    <row r="49" spans="1:9" ht="18.75" x14ac:dyDescent="0.7">
      <c r="A49" s="1108" t="s">
        <v>125</v>
      </c>
      <c r="B49" s="1107"/>
      <c r="C49" s="1263"/>
      <c r="D49" s="1281"/>
      <c r="E49" s="1264"/>
      <c r="F49" s="1265"/>
      <c r="G49" s="1264"/>
      <c r="H49" s="1264"/>
      <c r="I49" s="1266"/>
    </row>
    <row r="50" spans="1:9" ht="18.75" x14ac:dyDescent="0.7">
      <c r="A50" s="1108" t="s">
        <v>49</v>
      </c>
      <c r="B50" s="1257"/>
      <c r="C50" s="1263"/>
      <c r="D50" s="1281"/>
      <c r="E50" s="1264"/>
      <c r="F50" s="1265"/>
      <c r="G50" s="1264"/>
      <c r="H50" s="1264"/>
      <c r="I50" s="1266"/>
    </row>
    <row r="51" spans="1:9" ht="18.75" x14ac:dyDescent="0.7">
      <c r="A51" s="1108"/>
      <c r="B51" s="1267">
        <v>0.18</v>
      </c>
      <c r="C51" s="1278" t="s">
        <v>126</v>
      </c>
      <c r="D51" s="1268" t="s">
        <v>127</v>
      </c>
      <c r="E51" s="1269">
        <f>AVERAGE(221.43,295.31,304.38,421.32,655.78)</f>
        <v>379.64400000000001</v>
      </c>
      <c r="F51" s="1270">
        <v>6</v>
      </c>
      <c r="G51" s="1269">
        <f>F51*E51</f>
        <v>2277.864</v>
      </c>
      <c r="H51" s="1269">
        <f>G51</f>
        <v>2277.864</v>
      </c>
      <c r="I51" s="1210">
        <f>221.35*F51</f>
        <v>1328.1</v>
      </c>
    </row>
    <row r="52" spans="1:9" ht="18.75" x14ac:dyDescent="0.7">
      <c r="A52" s="1108" t="s">
        <v>50</v>
      </c>
      <c r="B52" s="1107"/>
      <c r="C52" s="1280"/>
      <c r="D52" s="1281"/>
      <c r="E52" s="1264"/>
      <c r="F52" s="1265"/>
      <c r="G52" s="1275"/>
      <c r="H52" s="1275"/>
      <c r="I52" s="1277"/>
    </row>
    <row r="53" spans="1:9" ht="18.75" x14ac:dyDescent="0.7">
      <c r="A53" s="1271"/>
      <c r="B53" s="1267">
        <v>0.19</v>
      </c>
      <c r="C53" s="1278" t="s">
        <v>128</v>
      </c>
      <c r="D53" s="1268" t="s">
        <v>129</v>
      </c>
      <c r="E53" s="1269">
        <f>35.19+372.84</f>
        <v>408.03</v>
      </c>
      <c r="F53" s="1270">
        <v>12</v>
      </c>
      <c r="G53" s="1269">
        <f>F53*E53</f>
        <v>4896.3599999999997</v>
      </c>
      <c r="H53" s="1269">
        <f>G53</f>
        <v>4896.3599999999997</v>
      </c>
      <c r="I53" s="1269">
        <f>H53</f>
        <v>4896.3599999999997</v>
      </c>
    </row>
    <row r="54" spans="1:9" ht="18.75" x14ac:dyDescent="0.7">
      <c r="A54" s="1271"/>
      <c r="B54" s="1298">
        <f>B53+0.01</f>
        <v>0.2</v>
      </c>
      <c r="C54" s="1280" t="s">
        <v>130</v>
      </c>
      <c r="D54" s="1281" t="s">
        <v>131</v>
      </c>
      <c r="E54" s="1264">
        <v>50.96</v>
      </c>
      <c r="F54" s="1265">
        <v>25</v>
      </c>
      <c r="G54" s="1275">
        <f>F54*E54</f>
        <v>1274</v>
      </c>
      <c r="H54" s="1275">
        <f>G54</f>
        <v>1274</v>
      </c>
      <c r="I54" s="1277">
        <v>829</v>
      </c>
    </row>
    <row r="55" spans="1:9" ht="18.75" x14ac:dyDescent="0.7">
      <c r="A55" s="1271"/>
      <c r="B55" s="1267">
        <v>0.21</v>
      </c>
      <c r="C55" s="1278" t="s">
        <v>132</v>
      </c>
      <c r="D55" s="1268" t="s">
        <v>133</v>
      </c>
      <c r="E55" s="1269"/>
      <c r="F55" s="1270"/>
      <c r="G55" s="1269">
        <v>3990</v>
      </c>
      <c r="H55" s="1269">
        <v>3990</v>
      </c>
      <c r="I55" s="1210">
        <v>0</v>
      </c>
    </row>
    <row r="56" spans="1:9" ht="18.75" x14ac:dyDescent="0.7">
      <c r="A56" s="1108" t="s">
        <v>11</v>
      </c>
      <c r="B56" s="1263"/>
      <c r="C56" s="1280"/>
      <c r="D56" s="1281"/>
      <c r="E56" s="1264"/>
      <c r="F56" s="1265"/>
      <c r="G56" s="1275"/>
      <c r="H56" s="1275"/>
      <c r="I56" s="1277"/>
    </row>
    <row r="57" spans="1:9" ht="18.75" x14ac:dyDescent="0.7">
      <c r="A57" s="1108"/>
      <c r="B57" s="1267">
        <v>0.22</v>
      </c>
      <c r="C57" s="1278" t="s">
        <v>134</v>
      </c>
      <c r="D57" s="1268" t="s">
        <v>135</v>
      </c>
      <c r="E57" s="1269"/>
      <c r="F57" s="1270"/>
      <c r="G57" s="1269">
        <v>350</v>
      </c>
      <c r="H57" s="1269">
        <f>G57*1</f>
        <v>350</v>
      </c>
      <c r="I57" s="1269">
        <v>0</v>
      </c>
    </row>
    <row r="58" spans="1:9" ht="18.75" x14ac:dyDescent="0.7">
      <c r="A58" s="1108" t="s">
        <v>51</v>
      </c>
      <c r="B58" s="1107"/>
      <c r="C58" s="1280"/>
      <c r="D58" s="1281"/>
      <c r="E58" s="1264"/>
      <c r="F58" s="1265"/>
      <c r="G58" s="1275"/>
      <c r="H58" s="1275"/>
      <c r="I58" s="1277"/>
    </row>
    <row r="59" spans="1:9" ht="18.75" x14ac:dyDescent="0.7">
      <c r="A59" s="1108"/>
      <c r="B59" s="1267">
        <v>0.23</v>
      </c>
      <c r="C59" s="1278" t="s">
        <v>136</v>
      </c>
      <c r="D59" s="1268" t="s">
        <v>137</v>
      </c>
      <c r="E59" s="1269">
        <v>50</v>
      </c>
      <c r="F59" s="1270">
        <v>14</v>
      </c>
      <c r="G59" s="1269">
        <f>F59*E59</f>
        <v>700</v>
      </c>
      <c r="H59" s="1269">
        <f>G59</f>
        <v>700</v>
      </c>
      <c r="I59" s="1210">
        <v>0</v>
      </c>
    </row>
    <row r="60" spans="1:9" ht="18.75" x14ac:dyDescent="0.7">
      <c r="A60" s="1108" t="s">
        <v>52</v>
      </c>
      <c r="B60" s="1107"/>
      <c r="C60" s="1280"/>
      <c r="D60" s="1281"/>
      <c r="E60" s="1264"/>
      <c r="F60" s="1265"/>
      <c r="G60" s="1275"/>
      <c r="H60" s="1275"/>
      <c r="I60" s="1277"/>
    </row>
    <row r="61" spans="1:9" ht="18.75" x14ac:dyDescent="0.7">
      <c r="A61" s="1108"/>
      <c r="B61" s="1267">
        <v>0.24</v>
      </c>
      <c r="C61" s="1278" t="s">
        <v>138</v>
      </c>
      <c r="D61" s="1268" t="s">
        <v>139</v>
      </c>
      <c r="E61" s="1269"/>
      <c r="F61" s="1270"/>
      <c r="G61" s="1269"/>
      <c r="H61" s="1269">
        <v>14084.61</v>
      </c>
      <c r="I61" s="1269">
        <v>14084.61</v>
      </c>
    </row>
    <row r="62" spans="1:9" ht="18.75" x14ac:dyDescent="0.7">
      <c r="A62" s="1108" t="s">
        <v>53</v>
      </c>
      <c r="B62" s="1279"/>
      <c r="C62" s="1273"/>
      <c r="D62" s="1274"/>
      <c r="E62" s="1275"/>
      <c r="F62" s="1276"/>
      <c r="G62" s="1275"/>
      <c r="H62" s="1275"/>
      <c r="I62" s="1277"/>
    </row>
    <row r="63" spans="1:9" ht="18.75" x14ac:dyDescent="0.7">
      <c r="A63" s="1108"/>
      <c r="B63" s="1267">
        <v>0.25</v>
      </c>
      <c r="C63" s="1278" t="s">
        <v>140</v>
      </c>
      <c r="D63" s="1268" t="s">
        <v>139</v>
      </c>
      <c r="E63" s="1269"/>
      <c r="F63" s="1270"/>
      <c r="G63" s="1269"/>
      <c r="H63" s="1269">
        <v>10000</v>
      </c>
      <c r="I63" s="1269">
        <v>10000</v>
      </c>
    </row>
    <row r="64" spans="1:9" ht="18.75" x14ac:dyDescent="0.7">
      <c r="A64" s="1271"/>
      <c r="B64" s="1279"/>
      <c r="C64" s="1273"/>
      <c r="D64" s="1274"/>
      <c r="E64" s="1275"/>
      <c r="F64" s="1276"/>
      <c r="G64" s="1275"/>
      <c r="H64" s="1275"/>
      <c r="I64" s="1277"/>
    </row>
    <row r="65" spans="1:22" ht="18.75" x14ac:dyDescent="0.7">
      <c r="A65" s="1108"/>
      <c r="B65" s="1282" t="s">
        <v>141</v>
      </c>
      <c r="C65" s="1283"/>
      <c r="D65" s="1293"/>
      <c r="E65" s="1287"/>
      <c r="F65" s="1294"/>
      <c r="G65" s="1287"/>
      <c r="H65" s="1287">
        <f>SUM(H51:H63)</f>
        <v>37572.834000000003</v>
      </c>
      <c r="I65" s="1288">
        <f>SUM(I51:I63)</f>
        <v>31138.07</v>
      </c>
    </row>
    <row r="66" spans="1:22" ht="18.75" x14ac:dyDescent="0.7">
      <c r="A66" s="1108"/>
      <c r="B66" s="1257"/>
      <c r="C66" s="1257"/>
      <c r="D66" s="1289"/>
      <c r="E66" s="1100"/>
      <c r="F66" s="1101"/>
      <c r="G66" s="1100"/>
      <c r="H66" s="1100"/>
      <c r="I66" s="1099"/>
    </row>
    <row r="67" spans="1:22" ht="18.75" x14ac:dyDescent="0.7">
      <c r="A67" s="1108" t="s">
        <v>58</v>
      </c>
      <c r="B67" s="1107"/>
      <c r="C67" s="1263"/>
      <c r="D67" s="1281"/>
      <c r="E67" s="1264"/>
      <c r="F67" s="1265"/>
      <c r="G67" s="1264"/>
      <c r="H67" s="1264"/>
      <c r="I67" s="1266"/>
    </row>
    <row r="68" spans="1:22" ht="18.75" x14ac:dyDescent="0.7">
      <c r="A68" s="1108" t="s">
        <v>59</v>
      </c>
      <c r="B68" s="1107"/>
      <c r="C68" s="1263"/>
      <c r="D68" s="1281"/>
      <c r="E68" s="1264"/>
      <c r="F68" s="1265"/>
      <c r="G68" s="1264"/>
      <c r="H68" s="1264"/>
      <c r="I68" s="1266"/>
      <c r="K68" s="1291"/>
      <c r="L68" s="1291"/>
      <c r="M68" s="1291"/>
      <c r="N68" s="1291"/>
      <c r="O68" s="1291"/>
      <c r="P68" s="1291"/>
      <c r="Q68" s="1291"/>
      <c r="R68" s="1291"/>
      <c r="S68" s="1291"/>
      <c r="T68" s="1291"/>
      <c r="U68" s="1291"/>
      <c r="V68" s="1291"/>
    </row>
    <row r="69" spans="1:22" ht="18.75" x14ac:dyDescent="0.7">
      <c r="A69" s="1108"/>
      <c r="B69" s="1267">
        <v>0.26</v>
      </c>
      <c r="C69" s="1278" t="s">
        <v>142</v>
      </c>
      <c r="D69" s="1268" t="s">
        <v>143</v>
      </c>
      <c r="E69" s="1269">
        <v>55</v>
      </c>
      <c r="F69" s="1270">
        <v>13</v>
      </c>
      <c r="G69" s="1269">
        <f>F69*E69</f>
        <v>715</v>
      </c>
      <c r="H69" s="1269">
        <f>G69</f>
        <v>715</v>
      </c>
      <c r="I69" s="1210">
        <v>715</v>
      </c>
      <c r="Q69" s="1291"/>
      <c r="R69" s="1291"/>
      <c r="S69" s="1291"/>
      <c r="T69" s="1291"/>
      <c r="U69" s="1291"/>
      <c r="V69" s="1291"/>
    </row>
    <row r="70" spans="1:22" ht="18.75" x14ac:dyDescent="0.7">
      <c r="A70" s="1108"/>
      <c r="B70" s="1279">
        <v>0.27</v>
      </c>
      <c r="C70" s="1146" t="s">
        <v>142</v>
      </c>
      <c r="D70" s="1299" t="s">
        <v>144</v>
      </c>
      <c r="E70" s="1138">
        <v>50</v>
      </c>
      <c r="F70" s="1139">
        <v>8</v>
      </c>
      <c r="G70" s="1138">
        <f>F70*E70</f>
        <v>400</v>
      </c>
      <c r="H70" s="1138">
        <f>F70*E70</f>
        <v>400</v>
      </c>
      <c r="I70" s="1266">
        <v>400</v>
      </c>
      <c r="Q70" s="276"/>
      <c r="R70" s="275"/>
      <c r="S70" s="275"/>
      <c r="T70" s="275"/>
      <c r="U70" s="275"/>
      <c r="V70" s="1291"/>
    </row>
    <row r="71" spans="1:22" ht="18.75" x14ac:dyDescent="0.7">
      <c r="A71" s="1108"/>
      <c r="B71" s="1267">
        <v>0.28000000000000003</v>
      </c>
      <c r="C71" s="1278" t="s">
        <v>145</v>
      </c>
      <c r="D71" s="1300" t="s">
        <v>146</v>
      </c>
      <c r="E71" s="1301">
        <v>80</v>
      </c>
      <c r="F71" s="1302">
        <v>24</v>
      </c>
      <c r="G71" s="1301">
        <f>E71*F71</f>
        <v>1920</v>
      </c>
      <c r="H71" s="1301">
        <f>G71</f>
        <v>1920</v>
      </c>
      <c r="I71" s="1210">
        <v>1920</v>
      </c>
      <c r="K71" s="1291"/>
      <c r="L71" s="1291"/>
      <c r="M71" s="1291"/>
      <c r="N71" s="1291"/>
      <c r="O71" s="1291"/>
      <c r="P71" s="1291"/>
      <c r="Q71" s="1291"/>
      <c r="R71" s="1291"/>
      <c r="S71" s="1291"/>
      <c r="T71" s="1291"/>
      <c r="U71" s="1291"/>
      <c r="V71" s="1291"/>
    </row>
    <row r="72" spans="1:22" ht="18.75" x14ac:dyDescent="0.7">
      <c r="A72" s="1108"/>
      <c r="B72" s="1279">
        <v>0.28999999999999998</v>
      </c>
      <c r="C72" s="1280" t="s">
        <v>147</v>
      </c>
      <c r="D72" s="1281" t="s">
        <v>148</v>
      </c>
      <c r="E72" s="1264">
        <v>735</v>
      </c>
      <c r="F72" s="1265">
        <v>16</v>
      </c>
      <c r="G72" s="1275">
        <f>F72*E72</f>
        <v>11760</v>
      </c>
      <c r="H72" s="1264">
        <f>G72</f>
        <v>11760</v>
      </c>
      <c r="I72" s="1210">
        <v>11760</v>
      </c>
      <c r="K72" s="1291"/>
      <c r="L72" s="1291"/>
      <c r="M72" s="1291"/>
      <c r="N72" s="1291"/>
      <c r="O72" s="1291"/>
      <c r="P72" s="1291"/>
      <c r="Q72" s="1291"/>
      <c r="R72" s="1291"/>
      <c r="S72" s="1291"/>
      <c r="T72" s="1291"/>
      <c r="U72" s="1291"/>
      <c r="V72" s="1291"/>
    </row>
    <row r="73" spans="1:22" ht="18.75" x14ac:dyDescent="0.7">
      <c r="A73" s="1108"/>
      <c r="B73" s="1290">
        <v>0.3</v>
      </c>
      <c r="C73" s="1278" t="s">
        <v>149</v>
      </c>
      <c r="D73" s="1300" t="s">
        <v>148</v>
      </c>
      <c r="E73" s="1301">
        <v>735</v>
      </c>
      <c r="F73" s="1302">
        <v>16</v>
      </c>
      <c r="G73" s="1301">
        <f>F73*E73</f>
        <v>11760</v>
      </c>
      <c r="H73" s="1301">
        <f>G73</f>
        <v>11760</v>
      </c>
      <c r="I73" s="1210">
        <v>11760</v>
      </c>
    </row>
    <row r="74" spans="1:22" ht="18.75" x14ac:dyDescent="0.7">
      <c r="A74" s="1108"/>
      <c r="B74" s="1303" t="s">
        <v>150</v>
      </c>
      <c r="C74" s="1280" t="s">
        <v>151</v>
      </c>
      <c r="D74" s="1281" t="s">
        <v>148</v>
      </c>
      <c r="E74" s="1264">
        <v>735</v>
      </c>
      <c r="F74" s="1265">
        <v>16</v>
      </c>
      <c r="G74" s="1275">
        <f t="shared" ref="G74" si="0">F74*E74</f>
        <v>11760</v>
      </c>
      <c r="H74" s="1264">
        <f t="shared" ref="H74" si="1">G74</f>
        <v>11760</v>
      </c>
      <c r="I74" s="1266">
        <v>11760</v>
      </c>
    </row>
    <row r="75" spans="1:22" ht="18.75" x14ac:dyDescent="0.7">
      <c r="A75" s="1108" t="s">
        <v>60</v>
      </c>
      <c r="B75" s="1263"/>
      <c r="C75" s="1280"/>
      <c r="D75" s="1281"/>
      <c r="E75" s="1264"/>
      <c r="F75" s="1265"/>
      <c r="G75" s="1275"/>
      <c r="H75" s="1264"/>
      <c r="I75" s="1266"/>
    </row>
    <row r="76" spans="1:22" ht="18.75" x14ac:dyDescent="0.7">
      <c r="A76" s="1108"/>
      <c r="B76" s="1267">
        <v>0.32</v>
      </c>
      <c r="C76" s="1278" t="s">
        <v>152</v>
      </c>
      <c r="D76" s="1268" t="s">
        <v>153</v>
      </c>
      <c r="E76" s="1269"/>
      <c r="F76" s="1270"/>
      <c r="G76" s="1269"/>
      <c r="H76" s="1269">
        <f>712.3*2.4</f>
        <v>1709.5199999999998</v>
      </c>
      <c r="I76" s="1269">
        <f>712.3*2.4</f>
        <v>1709.5199999999998</v>
      </c>
    </row>
    <row r="77" spans="1:22" ht="18.75" x14ac:dyDescent="0.7">
      <c r="A77" s="1108" t="s">
        <v>61</v>
      </c>
      <c r="B77" s="1263"/>
      <c r="C77" s="1280"/>
      <c r="D77" s="1281"/>
      <c r="E77" s="1264"/>
      <c r="F77" s="1265"/>
      <c r="G77" s="1275"/>
      <c r="H77" s="1264"/>
      <c r="I77" s="1266"/>
    </row>
    <row r="78" spans="1:22" ht="18.75" x14ac:dyDescent="0.7">
      <c r="A78" s="1108"/>
      <c r="B78" s="1267">
        <v>0.33</v>
      </c>
      <c r="C78" s="1278" t="s">
        <v>154</v>
      </c>
      <c r="D78" s="1268" t="s">
        <v>153</v>
      </c>
      <c r="E78" s="1269"/>
      <c r="F78" s="1270"/>
      <c r="G78" s="1269"/>
      <c r="H78" s="1269">
        <f>1284.13*2.4</f>
        <v>3081.9120000000003</v>
      </c>
      <c r="I78" s="1269">
        <f>1284.13*2.4</f>
        <v>3081.9120000000003</v>
      </c>
    </row>
    <row r="79" spans="1:22" ht="18.75" x14ac:dyDescent="0.7">
      <c r="A79" s="1108" t="s">
        <v>62</v>
      </c>
      <c r="B79" s="1107"/>
      <c r="C79" s="1107"/>
      <c r="D79" s="1281"/>
      <c r="E79" s="1264"/>
      <c r="F79" s="1265"/>
      <c r="G79" s="1275"/>
      <c r="H79" s="1264"/>
      <c r="I79" s="1266"/>
    </row>
    <row r="80" spans="1:22" ht="18.75" x14ac:dyDescent="0.7">
      <c r="A80" s="1108"/>
      <c r="B80" s="1267">
        <v>0.34</v>
      </c>
      <c r="C80" s="1278" t="s">
        <v>155</v>
      </c>
      <c r="D80" s="1268" t="s">
        <v>156</v>
      </c>
      <c r="E80" s="1269">
        <v>6420.93</v>
      </c>
      <c r="F80" s="1270">
        <v>1</v>
      </c>
      <c r="G80" s="1269">
        <f>F80*E80</f>
        <v>6420.93</v>
      </c>
      <c r="H80" s="1269">
        <f>G80</f>
        <v>6420.93</v>
      </c>
      <c r="I80" s="1269">
        <f>H80</f>
        <v>6420.93</v>
      </c>
    </row>
    <row r="81" spans="1:9" ht="18.75" x14ac:dyDescent="0.7">
      <c r="A81" s="1108"/>
      <c r="B81" s="1279">
        <v>0.35</v>
      </c>
      <c r="C81" s="1273" t="s">
        <v>157</v>
      </c>
      <c r="D81" s="1274" t="s">
        <v>156</v>
      </c>
      <c r="E81" s="1275">
        <v>6420.93</v>
      </c>
      <c r="F81" s="1276">
        <v>1</v>
      </c>
      <c r="G81" s="1275">
        <f t="shared" ref="G81:G82" si="2">F81*E81</f>
        <v>6420.93</v>
      </c>
      <c r="H81" s="1275">
        <f t="shared" ref="H81:I82" si="3">G81</f>
        <v>6420.93</v>
      </c>
      <c r="I81" s="1277"/>
    </row>
    <row r="82" spans="1:9" ht="18.75" x14ac:dyDescent="0.7">
      <c r="A82" s="1108"/>
      <c r="B82" s="1267">
        <v>0.36</v>
      </c>
      <c r="C82" s="1278" t="s">
        <v>21</v>
      </c>
      <c r="D82" s="1268" t="s">
        <v>156</v>
      </c>
      <c r="E82" s="1269">
        <v>6420.93</v>
      </c>
      <c r="F82" s="1270">
        <v>1</v>
      </c>
      <c r="G82" s="1269">
        <f t="shared" si="2"/>
        <v>6420.93</v>
      </c>
      <c r="H82" s="1269">
        <f t="shared" si="3"/>
        <v>6420.93</v>
      </c>
      <c r="I82" s="1269">
        <f t="shared" si="3"/>
        <v>6420.93</v>
      </c>
    </row>
    <row r="83" spans="1:9" ht="18.75" x14ac:dyDescent="0.7">
      <c r="A83" s="1108"/>
      <c r="B83" s="1279">
        <v>0.37</v>
      </c>
      <c r="C83" s="1263" t="s">
        <v>158</v>
      </c>
      <c r="D83" s="1281" t="s">
        <v>159</v>
      </c>
      <c r="E83" s="1264">
        <v>735</v>
      </c>
      <c r="F83" s="1265">
        <v>3</v>
      </c>
      <c r="G83" s="1275">
        <f>F83*E83</f>
        <v>2205</v>
      </c>
      <c r="H83" s="1264">
        <f>G83</f>
        <v>2205</v>
      </c>
      <c r="I83" s="1266">
        <v>2205</v>
      </c>
    </row>
    <row r="84" spans="1:9" ht="18.75" x14ac:dyDescent="0.7">
      <c r="A84" s="1108"/>
      <c r="B84" s="1304"/>
      <c r="C84" s="1304"/>
      <c r="D84" s="1300"/>
      <c r="E84" s="1301"/>
      <c r="F84" s="1302"/>
      <c r="G84" s="1301"/>
      <c r="H84" s="1301"/>
      <c r="I84" s="1305"/>
    </row>
    <row r="85" spans="1:9" ht="18.75" x14ac:dyDescent="0.7">
      <c r="A85" s="1108"/>
      <c r="B85" s="1282" t="s">
        <v>63</v>
      </c>
      <c r="C85" s="1283"/>
      <c r="D85" s="1293"/>
      <c r="E85" s="1287"/>
      <c r="F85" s="1294"/>
      <c r="G85" s="1287"/>
      <c r="H85" s="1287">
        <f>SUM(H69:H83)</f>
        <v>64574.222000000002</v>
      </c>
      <c r="I85" s="1288">
        <f>SUM(I69:I83)</f>
        <v>58153.292000000001</v>
      </c>
    </row>
    <row r="86" spans="1:9" ht="18.75" x14ac:dyDescent="0.7">
      <c r="A86" s="1108"/>
      <c r="B86" s="1263"/>
      <c r="C86" s="1263"/>
      <c r="D86" s="1281"/>
      <c r="E86" s="1264"/>
      <c r="F86" s="1265"/>
      <c r="G86" s="1264"/>
      <c r="H86" s="1264"/>
      <c r="I86" s="1266"/>
    </row>
    <row r="87" spans="1:9" ht="18.75" x14ac:dyDescent="0.7">
      <c r="A87" s="1108" t="s">
        <v>64</v>
      </c>
      <c r="B87" s="1107"/>
      <c r="C87" s="1107"/>
      <c r="D87" s="1281"/>
      <c r="E87" s="1264"/>
      <c r="F87" s="1265"/>
      <c r="G87" s="1264"/>
      <c r="H87" s="1264"/>
      <c r="I87" s="1266"/>
    </row>
    <row r="88" spans="1:9" ht="18.75" x14ac:dyDescent="0.7">
      <c r="A88" s="1108" t="s">
        <v>65</v>
      </c>
      <c r="B88" s="1107"/>
      <c r="C88" s="1263"/>
      <c r="D88" s="1281"/>
      <c r="E88" s="1264"/>
      <c r="F88" s="1265"/>
      <c r="G88" s="1264"/>
      <c r="H88" s="1264"/>
      <c r="I88" s="1266"/>
    </row>
    <row r="89" spans="1:9" ht="18.75" x14ac:dyDescent="0.7">
      <c r="A89" s="1108"/>
      <c r="B89" s="1267">
        <v>0.38</v>
      </c>
      <c r="C89" s="1278" t="s">
        <v>160</v>
      </c>
      <c r="D89" s="1268" t="s">
        <v>161</v>
      </c>
      <c r="E89" s="1269">
        <f>AVERAGE(2064.04,2288.27,1953.68,1779.92,1525.53,1665.38,1703.49,1827.05,1512.8,2148.42)</f>
        <v>1846.8579999999997</v>
      </c>
      <c r="F89" s="1270">
        <v>12</v>
      </c>
      <c r="G89" s="1269">
        <f>F89*E89</f>
        <v>22162.295999999995</v>
      </c>
      <c r="H89" s="1269">
        <f>G89*1.13</f>
        <v>25043.394479999992</v>
      </c>
      <c r="I89" s="1210">
        <v>22621</v>
      </c>
    </row>
    <row r="90" spans="1:9" ht="18.75" x14ac:dyDescent="0.7">
      <c r="A90" s="1108"/>
      <c r="B90" s="1279">
        <v>0.39</v>
      </c>
      <c r="C90" s="1280" t="s">
        <v>162</v>
      </c>
      <c r="D90" s="1281" t="s">
        <v>163</v>
      </c>
      <c r="E90" s="1264"/>
      <c r="F90" s="1265"/>
      <c r="G90" s="1275"/>
      <c r="H90" s="1264">
        <f>6780*1.2</f>
        <v>8136</v>
      </c>
      <c r="I90" s="1266"/>
    </row>
    <row r="91" spans="1:9" ht="18.75" x14ac:dyDescent="0.7">
      <c r="A91" s="1108"/>
      <c r="B91" s="1290">
        <v>0.4</v>
      </c>
      <c r="C91" s="1278" t="s">
        <v>164</v>
      </c>
      <c r="D91" s="1268" t="s">
        <v>165</v>
      </c>
      <c r="E91" s="1269">
        <v>500</v>
      </c>
      <c r="F91" s="1270">
        <v>15</v>
      </c>
      <c r="G91" s="1269"/>
      <c r="H91" s="1269">
        <f>E91*F91</f>
        <v>7500</v>
      </c>
      <c r="I91" s="1210"/>
    </row>
    <row r="92" spans="1:9" ht="18.75" x14ac:dyDescent="0.7">
      <c r="A92" s="1108" t="s">
        <v>166</v>
      </c>
      <c r="B92" s="1107"/>
      <c r="C92" s="1107"/>
      <c r="D92" s="1281"/>
      <c r="E92" s="1264"/>
      <c r="F92" s="1265"/>
      <c r="G92" s="1275"/>
      <c r="H92" s="1264"/>
      <c r="I92" s="1266"/>
    </row>
    <row r="93" spans="1:9" ht="18.75" x14ac:dyDescent="0.7">
      <c r="A93" s="1108"/>
      <c r="B93" s="1279">
        <v>0.41</v>
      </c>
      <c r="C93" s="1267" t="s">
        <v>167</v>
      </c>
      <c r="D93" s="1268" t="s">
        <v>168</v>
      </c>
      <c r="E93" s="1269"/>
      <c r="F93" s="1270"/>
      <c r="G93" s="1269"/>
      <c r="H93" s="1269">
        <v>54301.98</v>
      </c>
      <c r="I93" s="1210">
        <v>64000</v>
      </c>
    </row>
    <row r="94" spans="1:9" ht="18.75" x14ac:dyDescent="0.7">
      <c r="A94" s="1108"/>
      <c r="B94" s="1267">
        <v>0.42</v>
      </c>
      <c r="C94" s="1263" t="s">
        <v>167</v>
      </c>
      <c r="D94" s="1281" t="s">
        <v>169</v>
      </c>
      <c r="E94" s="1264"/>
      <c r="F94" s="1265"/>
      <c r="G94" s="1275"/>
      <c r="H94" s="1264">
        <v>3708.83</v>
      </c>
      <c r="I94" s="1266"/>
    </row>
    <row r="95" spans="1:9" ht="18.75" x14ac:dyDescent="0.7">
      <c r="A95" s="1108"/>
      <c r="B95" s="1263">
        <v>0.43</v>
      </c>
      <c r="C95" s="1267" t="s">
        <v>167</v>
      </c>
      <c r="D95" s="1268" t="s">
        <v>170</v>
      </c>
      <c r="E95" s="1301">
        <v>136.15</v>
      </c>
      <c r="F95" s="1302">
        <v>12</v>
      </c>
      <c r="G95" s="1301">
        <f>F95*E95</f>
        <v>1633.8000000000002</v>
      </c>
      <c r="H95" s="1301">
        <f>G95*1.13</f>
        <v>1846.194</v>
      </c>
      <c r="I95" s="1210"/>
    </row>
    <row r="96" spans="1:9" ht="18.75" x14ac:dyDescent="0.7">
      <c r="A96" s="1306" t="s">
        <v>68</v>
      </c>
      <c r="B96" s="1263"/>
      <c r="C96" s="1263"/>
      <c r="D96" s="1281"/>
      <c r="E96" s="1264"/>
      <c r="F96" s="1265"/>
      <c r="G96" s="1275"/>
      <c r="H96" s="1264"/>
      <c r="I96" s="1266"/>
    </row>
    <row r="97" spans="1:9" ht="18.75" x14ac:dyDescent="0.7">
      <c r="A97" s="1108"/>
      <c r="B97" s="1267">
        <v>0.44</v>
      </c>
      <c r="C97" s="1263" t="s">
        <v>171</v>
      </c>
      <c r="D97" s="1281" t="s">
        <v>172</v>
      </c>
      <c r="E97" s="1264">
        <v>144</v>
      </c>
      <c r="F97" s="1265">
        <v>12</v>
      </c>
      <c r="G97" s="1275">
        <f>F97*E97</f>
        <v>1728</v>
      </c>
      <c r="H97" s="1275">
        <f>G97*1.13</f>
        <v>1952.6399999999999</v>
      </c>
      <c r="I97" s="1277"/>
    </row>
    <row r="98" spans="1:9" ht="18.75" x14ac:dyDescent="0.7">
      <c r="A98" s="1307"/>
      <c r="B98" s="1267">
        <v>0.45</v>
      </c>
      <c r="C98" s="1267" t="s">
        <v>173</v>
      </c>
      <c r="D98" s="1268" t="s">
        <v>174</v>
      </c>
      <c r="E98" s="1269">
        <v>21316.11</v>
      </c>
      <c r="F98" s="1270"/>
      <c r="G98" s="1269"/>
      <c r="H98" s="1269">
        <v>20280</v>
      </c>
      <c r="I98" s="1210"/>
    </row>
    <row r="99" spans="1:9" ht="18.75" x14ac:dyDescent="0.7">
      <c r="A99" s="1108" t="s">
        <v>69</v>
      </c>
      <c r="B99" s="1107"/>
      <c r="C99" s="1107"/>
      <c r="D99" s="1281"/>
      <c r="E99" s="1264"/>
      <c r="F99" s="1265"/>
      <c r="G99" s="1275"/>
      <c r="H99" s="1264"/>
      <c r="I99" s="1266"/>
    </row>
    <row r="100" spans="1:9" ht="18.75" x14ac:dyDescent="0.7">
      <c r="A100" s="1307"/>
      <c r="B100" s="1263">
        <v>0.46</v>
      </c>
      <c r="C100" s="1267" t="s">
        <v>175</v>
      </c>
      <c r="D100" s="1268" t="s">
        <v>176</v>
      </c>
      <c r="E100" s="1269">
        <v>24.896999999999998</v>
      </c>
      <c r="F100" s="1270">
        <v>12</v>
      </c>
      <c r="G100" s="1269">
        <f>F100*E100</f>
        <v>298.76400000000001</v>
      </c>
      <c r="H100" s="1269">
        <f>G100</f>
        <v>298.76400000000001</v>
      </c>
      <c r="I100" s="1210"/>
    </row>
    <row r="101" spans="1:9" ht="18.75" x14ac:dyDescent="0.7">
      <c r="A101" s="1307"/>
      <c r="B101" s="1267">
        <v>0.47</v>
      </c>
      <c r="C101" s="1263" t="s">
        <v>175</v>
      </c>
      <c r="D101" s="1281" t="s">
        <v>177</v>
      </c>
      <c r="E101" s="1264">
        <v>30</v>
      </c>
      <c r="F101" s="1265">
        <v>12</v>
      </c>
      <c r="G101" s="1275">
        <f>F101*E101</f>
        <v>360</v>
      </c>
      <c r="H101" s="1275">
        <f>G101</f>
        <v>360</v>
      </c>
      <c r="I101" s="1277"/>
    </row>
    <row r="102" spans="1:9" ht="18.75" x14ac:dyDescent="0.7">
      <c r="A102" s="1307"/>
      <c r="B102" s="1267">
        <v>0.48</v>
      </c>
      <c r="C102" s="1267" t="s">
        <v>178</v>
      </c>
      <c r="D102" s="1268" t="s">
        <v>179</v>
      </c>
      <c r="E102" s="1269">
        <v>25</v>
      </c>
      <c r="F102" s="1270">
        <v>12</v>
      </c>
      <c r="G102" s="1269">
        <f>F102*E102</f>
        <v>300</v>
      </c>
      <c r="H102" s="1269">
        <f>G102</f>
        <v>300</v>
      </c>
      <c r="I102" s="1210"/>
    </row>
    <row r="103" spans="1:9" ht="18.75" x14ac:dyDescent="0.7">
      <c r="A103" s="1108" t="s">
        <v>180</v>
      </c>
      <c r="B103" s="1263"/>
      <c r="C103" s="1263"/>
      <c r="D103" s="1281"/>
      <c r="E103" s="1264"/>
      <c r="F103" s="1265"/>
      <c r="G103" s="1275"/>
      <c r="H103" s="1264"/>
      <c r="I103" s="1266"/>
    </row>
    <row r="104" spans="1:9" ht="18.75" x14ac:dyDescent="0.7">
      <c r="A104" s="1307"/>
      <c r="B104" s="1263">
        <v>0.49</v>
      </c>
      <c r="C104" s="1267" t="s">
        <v>181</v>
      </c>
      <c r="D104" s="1268" t="s">
        <v>182</v>
      </c>
      <c r="E104" s="1269">
        <v>4000</v>
      </c>
      <c r="F104" s="1270">
        <v>1</v>
      </c>
      <c r="G104" s="1269">
        <f>E104</f>
        <v>4000</v>
      </c>
      <c r="H104" s="1269">
        <f>G104</f>
        <v>4000</v>
      </c>
      <c r="I104" s="1210"/>
    </row>
    <row r="105" spans="1:9" ht="18.75" x14ac:dyDescent="0.7">
      <c r="A105" s="1307"/>
      <c r="B105" s="1298">
        <v>0.5</v>
      </c>
      <c r="C105" s="1263" t="s">
        <v>183</v>
      </c>
      <c r="D105" s="1281" t="s">
        <v>184</v>
      </c>
      <c r="E105" s="1264">
        <v>1453.68</v>
      </c>
      <c r="F105" s="1265">
        <v>1</v>
      </c>
      <c r="G105" s="1275">
        <f>F105*E105</f>
        <v>1453.68</v>
      </c>
      <c r="H105" s="1264">
        <f>G105</f>
        <v>1453.68</v>
      </c>
      <c r="I105" s="1266"/>
    </row>
    <row r="106" spans="1:9" ht="18.75" x14ac:dyDescent="0.7">
      <c r="A106" s="1307"/>
      <c r="B106" s="1267"/>
      <c r="C106" s="1267"/>
      <c r="D106" s="1268"/>
      <c r="E106" s="1269"/>
      <c r="F106" s="1270"/>
      <c r="G106" s="1269"/>
      <c r="H106" s="1269"/>
      <c r="I106" s="1210"/>
    </row>
    <row r="107" spans="1:9" ht="18.75" x14ac:dyDescent="0.7">
      <c r="A107" s="1108" t="s">
        <v>71</v>
      </c>
      <c r="B107" s="1263"/>
      <c r="C107" s="1263"/>
      <c r="D107" s="1281"/>
      <c r="E107" s="1264"/>
      <c r="F107" s="1265"/>
      <c r="G107" s="1275"/>
      <c r="H107" s="1264"/>
      <c r="I107" s="1266"/>
    </row>
    <row r="108" spans="1:9" ht="18.75" x14ac:dyDescent="0.7">
      <c r="A108" s="1108"/>
      <c r="B108" s="1267">
        <v>0.51</v>
      </c>
      <c r="C108" s="1263" t="s">
        <v>185</v>
      </c>
      <c r="D108" s="1281" t="s">
        <v>186</v>
      </c>
      <c r="E108" s="1264">
        <v>80</v>
      </c>
      <c r="F108" s="1265">
        <v>12</v>
      </c>
      <c r="G108" s="1275">
        <f>F108*E108</f>
        <v>960</v>
      </c>
      <c r="H108" s="1264">
        <f>G108</f>
        <v>960</v>
      </c>
      <c r="I108" s="1266"/>
    </row>
    <row r="109" spans="1:9" ht="18.75" x14ac:dyDescent="0.7">
      <c r="A109" s="1307"/>
      <c r="B109" s="1279">
        <v>0.52</v>
      </c>
      <c r="C109" s="1267" t="s">
        <v>187</v>
      </c>
      <c r="D109" s="1268" t="s">
        <v>188</v>
      </c>
      <c r="E109" s="1308"/>
      <c r="F109" s="1267"/>
      <c r="G109" s="1269"/>
      <c r="H109" s="1269">
        <v>1800</v>
      </c>
      <c r="I109" s="1210"/>
    </row>
    <row r="110" spans="1:9" ht="18.75" x14ac:dyDescent="0.7">
      <c r="A110" s="1108"/>
      <c r="B110" s="1267">
        <v>0.53</v>
      </c>
      <c r="C110" s="1263" t="s">
        <v>187</v>
      </c>
      <c r="D110" s="1281" t="s">
        <v>189</v>
      </c>
      <c r="E110" s="1309"/>
      <c r="F110" s="1265"/>
      <c r="G110" s="1275"/>
      <c r="H110" s="1264">
        <v>200</v>
      </c>
      <c r="I110" s="1266"/>
    </row>
    <row r="111" spans="1:9" ht="18.75" x14ac:dyDescent="0.7">
      <c r="A111" s="1307"/>
      <c r="B111" s="1333">
        <v>0.54</v>
      </c>
      <c r="C111" s="1267" t="s">
        <v>190</v>
      </c>
      <c r="D111" s="1268" t="s">
        <v>191</v>
      </c>
      <c r="E111" s="1269">
        <v>40</v>
      </c>
      <c r="F111" s="1270">
        <v>4</v>
      </c>
      <c r="G111" s="1269">
        <f>F111*E111</f>
        <v>160</v>
      </c>
      <c r="H111" s="1269">
        <f>G111</f>
        <v>160</v>
      </c>
      <c r="I111" s="1210"/>
    </row>
    <row r="112" spans="1:9" ht="18.75" x14ac:dyDescent="0.7">
      <c r="A112" s="1108"/>
      <c r="B112" s="1263"/>
      <c r="C112" s="1263"/>
      <c r="D112" s="1281"/>
      <c r="E112" s="1264"/>
      <c r="F112" s="1265"/>
      <c r="G112" s="1275"/>
      <c r="H112" s="1264"/>
      <c r="I112" s="1266"/>
    </row>
    <row r="113" spans="1:9" ht="18.75" x14ac:dyDescent="0.7">
      <c r="A113" s="1108"/>
      <c r="B113" s="1282" t="s">
        <v>72</v>
      </c>
      <c r="C113" s="1283"/>
      <c r="D113" s="1293"/>
      <c r="E113" s="1287"/>
      <c r="F113" s="1294"/>
      <c r="G113" s="1310"/>
      <c r="H113" s="1287">
        <f>SUM(H89:H112)</f>
        <v>132301.48248000001</v>
      </c>
      <c r="I113" s="1288">
        <f>SUM(I89:I112)</f>
        <v>86621</v>
      </c>
    </row>
    <row r="114" spans="1:9" ht="18.75" x14ac:dyDescent="0.7">
      <c r="A114" s="1108"/>
      <c r="B114" s="1263"/>
      <c r="C114" s="1263"/>
      <c r="D114" s="1281"/>
      <c r="E114" s="1264"/>
      <c r="F114" s="1265"/>
      <c r="G114" s="1275"/>
      <c r="H114" s="1264"/>
      <c r="I114" s="1266"/>
    </row>
    <row r="115" spans="1:9" ht="18.75" x14ac:dyDescent="0.7">
      <c r="A115" s="1108" t="s">
        <v>73</v>
      </c>
      <c r="B115" s="1107"/>
      <c r="C115" s="1263"/>
      <c r="D115" s="1281"/>
      <c r="E115" s="1264"/>
      <c r="F115" s="1265"/>
      <c r="G115" s="1275"/>
      <c r="H115" s="1264"/>
      <c r="I115" s="1266"/>
    </row>
    <row r="116" spans="1:9" ht="18.75" x14ac:dyDescent="0.7">
      <c r="A116" s="1108" t="s">
        <v>74</v>
      </c>
      <c r="B116" s="1257"/>
      <c r="C116" s="1263"/>
      <c r="D116" s="1281"/>
      <c r="E116" s="1264"/>
      <c r="F116" s="1265"/>
      <c r="G116" s="1275"/>
      <c r="H116" s="1264"/>
      <c r="I116" s="1266"/>
    </row>
    <row r="117" spans="1:9" ht="18.75" x14ac:dyDescent="0.7">
      <c r="A117" s="1108"/>
      <c r="B117" s="1267">
        <v>0.55000000000000004</v>
      </c>
      <c r="C117" s="1278" t="s">
        <v>192</v>
      </c>
      <c r="D117" s="1268" t="s">
        <v>193</v>
      </c>
      <c r="E117" s="1269">
        <v>500</v>
      </c>
      <c r="F117" s="1270"/>
      <c r="G117" s="1269"/>
      <c r="H117" s="1269">
        <f>E117</f>
        <v>500</v>
      </c>
      <c r="I117" s="1210">
        <v>100</v>
      </c>
    </row>
    <row r="118" spans="1:9" ht="18.75" x14ac:dyDescent="0.7">
      <c r="A118" s="1108" t="s">
        <v>75</v>
      </c>
      <c r="B118" s="1263"/>
      <c r="C118" s="1263"/>
      <c r="D118" s="1281"/>
      <c r="E118" s="1264"/>
      <c r="F118" s="1265"/>
      <c r="G118" s="1275"/>
      <c r="H118" s="1264"/>
      <c r="I118" s="1266"/>
    </row>
    <row r="119" spans="1:9" ht="18.75" x14ac:dyDescent="0.7">
      <c r="A119" s="1108"/>
      <c r="B119" s="1267">
        <v>0.56000000000000005</v>
      </c>
      <c r="C119" s="1267" t="s">
        <v>194</v>
      </c>
      <c r="D119" s="1268" t="s">
        <v>195</v>
      </c>
      <c r="E119" s="1269">
        <v>70</v>
      </c>
      <c r="F119" s="1270">
        <v>12</v>
      </c>
      <c r="G119" s="1269">
        <f>F119*E119</f>
        <v>840</v>
      </c>
      <c r="H119" s="1269">
        <f>G119*1.13</f>
        <v>949.19999999999993</v>
      </c>
      <c r="I119" s="1210">
        <v>0</v>
      </c>
    </row>
    <row r="120" spans="1:9" ht="18.75" x14ac:dyDescent="0.7">
      <c r="A120" s="1108" t="s">
        <v>76</v>
      </c>
      <c r="B120" s="1107"/>
      <c r="C120" s="1263"/>
      <c r="D120" s="1281"/>
      <c r="E120" s="1264"/>
      <c r="F120" s="1265"/>
      <c r="G120" s="1275"/>
      <c r="H120" s="1264"/>
      <c r="I120" s="1266"/>
    </row>
    <row r="121" spans="1:9" ht="18.75" x14ac:dyDescent="0.7">
      <c r="A121" s="1108"/>
      <c r="B121" s="1267">
        <f>B119+0.01</f>
        <v>0.57000000000000006</v>
      </c>
      <c r="C121" s="1267" t="s">
        <v>196</v>
      </c>
      <c r="D121" s="1268" t="s">
        <v>197</v>
      </c>
      <c r="E121" s="1269"/>
      <c r="F121" s="1270"/>
      <c r="G121" s="1269"/>
      <c r="H121" s="1269">
        <v>500</v>
      </c>
      <c r="I121" s="1269">
        <v>500</v>
      </c>
    </row>
    <row r="122" spans="1:9" ht="18.75" x14ac:dyDescent="0.7">
      <c r="A122" s="1108" t="s">
        <v>77</v>
      </c>
      <c r="B122" s="1107"/>
      <c r="C122" s="1263"/>
      <c r="D122" s="1281"/>
      <c r="E122" s="1264"/>
      <c r="F122" s="1265"/>
      <c r="G122" s="1275"/>
      <c r="H122" s="1264"/>
      <c r="I122" s="1266"/>
    </row>
    <row r="123" spans="1:9" ht="18.75" x14ac:dyDescent="0.7">
      <c r="A123" s="1108"/>
      <c r="B123" s="1267">
        <f>B121+0.01</f>
        <v>0.58000000000000007</v>
      </c>
      <c r="C123" s="1267" t="s">
        <v>198</v>
      </c>
      <c r="D123" s="1268" t="s">
        <v>199</v>
      </c>
      <c r="E123" s="1269">
        <v>100</v>
      </c>
      <c r="F123" s="1270">
        <v>12</v>
      </c>
      <c r="G123" s="1269">
        <f>E123*F123</f>
        <v>1200</v>
      </c>
      <c r="H123" s="1269">
        <f>G123*1.13</f>
        <v>1355.9999999999998</v>
      </c>
      <c r="I123" s="1210">
        <v>0</v>
      </c>
    </row>
    <row r="124" spans="1:9" ht="18.75" x14ac:dyDescent="0.7">
      <c r="A124" s="1108" t="s">
        <v>78</v>
      </c>
      <c r="B124" s="1107"/>
      <c r="C124" s="1263"/>
      <c r="D124" s="1281"/>
      <c r="E124" s="1264"/>
      <c r="F124" s="1265"/>
      <c r="G124" s="1275"/>
      <c r="H124" s="1264"/>
      <c r="I124" s="1266"/>
    </row>
    <row r="125" spans="1:9" ht="18.75" x14ac:dyDescent="0.7">
      <c r="A125" s="1108"/>
      <c r="B125" s="1304">
        <f>B123+0.01</f>
        <v>0.59000000000000008</v>
      </c>
      <c r="C125" s="1304" t="s">
        <v>200</v>
      </c>
      <c r="D125" s="1300" t="s">
        <v>201</v>
      </c>
      <c r="E125" s="1301"/>
      <c r="F125" s="1302"/>
      <c r="G125" s="1301"/>
      <c r="H125" s="1301">
        <v>1500</v>
      </c>
      <c r="I125" s="1301">
        <v>1500</v>
      </c>
    </row>
    <row r="126" spans="1:9" ht="18.75" x14ac:dyDescent="0.7">
      <c r="A126" s="1108" t="s">
        <v>79</v>
      </c>
      <c r="B126" s="1257"/>
      <c r="C126" s="1263"/>
      <c r="D126" s="1281"/>
      <c r="E126" s="1264"/>
      <c r="F126" s="1265"/>
      <c r="G126" s="1275"/>
      <c r="H126" s="1264"/>
      <c r="I126" s="1266"/>
    </row>
    <row r="127" spans="1:9" ht="18.75" x14ac:dyDescent="0.7">
      <c r="A127" s="1108"/>
      <c r="B127" s="1267">
        <f>B125+0.01</f>
        <v>0.60000000000000009</v>
      </c>
      <c r="C127" s="1267" t="s">
        <v>202</v>
      </c>
      <c r="D127" s="1268" t="s">
        <v>203</v>
      </c>
      <c r="E127" s="1269"/>
      <c r="F127" s="1270"/>
      <c r="G127" s="1269"/>
      <c r="H127" s="1269">
        <v>1000</v>
      </c>
      <c r="I127" s="1210">
        <v>5430.38</v>
      </c>
    </row>
    <row r="128" spans="1:9" ht="18.75" x14ac:dyDescent="0.7">
      <c r="A128" s="1108" t="s">
        <v>80</v>
      </c>
      <c r="B128" s="1107"/>
      <c r="C128" s="1263"/>
      <c r="D128" s="1281"/>
      <c r="E128" s="1264"/>
      <c r="F128" s="1265"/>
      <c r="G128" s="1275"/>
      <c r="H128" s="1264"/>
      <c r="I128" s="1266"/>
    </row>
    <row r="129" spans="1:9" ht="18.75" x14ac:dyDescent="0.7">
      <c r="A129" s="1108"/>
      <c r="B129" s="1290">
        <f>B127+0.01</f>
        <v>0.6100000000000001</v>
      </c>
      <c r="C129" s="1267" t="s">
        <v>204</v>
      </c>
      <c r="D129" s="1268" t="s">
        <v>205</v>
      </c>
      <c r="E129" s="1269"/>
      <c r="F129" s="1270"/>
      <c r="G129" s="1269"/>
      <c r="H129" s="1269">
        <v>750</v>
      </c>
      <c r="I129" s="1210">
        <v>0</v>
      </c>
    </row>
    <row r="130" spans="1:9" ht="18.75" x14ac:dyDescent="0.7">
      <c r="A130" s="1108" t="s">
        <v>206</v>
      </c>
      <c r="B130" s="1107"/>
      <c r="C130" s="1263"/>
      <c r="D130" s="1281"/>
      <c r="E130" s="1264"/>
      <c r="F130" s="1265"/>
      <c r="G130" s="1275"/>
      <c r="H130" s="1264"/>
      <c r="I130" s="1266"/>
    </row>
    <row r="131" spans="1:9" ht="18.75" x14ac:dyDescent="0.7">
      <c r="A131" s="1108"/>
      <c r="B131" s="1267">
        <f>B129+0.01</f>
        <v>0.62000000000000011</v>
      </c>
      <c r="C131" s="1267" t="s">
        <v>207</v>
      </c>
      <c r="D131" s="1268" t="s">
        <v>208</v>
      </c>
      <c r="E131" s="1269"/>
      <c r="F131" s="1270"/>
      <c r="G131" s="1269"/>
      <c r="H131" s="1269">
        <v>1000</v>
      </c>
      <c r="I131" s="1269">
        <v>1000</v>
      </c>
    </row>
    <row r="132" spans="1:9" ht="18.75" x14ac:dyDescent="0.7">
      <c r="A132" s="1108"/>
      <c r="B132" s="1279">
        <f>B131+0.01</f>
        <v>0.63000000000000012</v>
      </c>
      <c r="C132" s="1279" t="s">
        <v>209</v>
      </c>
      <c r="D132" s="1274" t="s">
        <v>210</v>
      </c>
      <c r="E132" s="1275">
        <v>70</v>
      </c>
      <c r="F132" s="1276">
        <v>5</v>
      </c>
      <c r="G132" s="1275">
        <f>F132*E132</f>
        <v>350</v>
      </c>
      <c r="H132" s="1275">
        <f>G132</f>
        <v>350</v>
      </c>
      <c r="I132" s="1277"/>
    </row>
    <row r="133" spans="1:9" ht="18.75" x14ac:dyDescent="0.7">
      <c r="A133" s="1108"/>
      <c r="B133" s="1267">
        <f>B132+0.01</f>
        <v>0.64000000000000012</v>
      </c>
      <c r="C133" s="1267" t="s">
        <v>211</v>
      </c>
      <c r="D133" s="1268" t="s">
        <v>212</v>
      </c>
      <c r="E133" s="1269">
        <v>70</v>
      </c>
      <c r="F133" s="1270">
        <v>10</v>
      </c>
      <c r="G133" s="1301">
        <f>F133*E133</f>
        <v>700</v>
      </c>
      <c r="H133" s="1269">
        <v>700</v>
      </c>
      <c r="I133" s="1210"/>
    </row>
    <row r="134" spans="1:9" ht="18.75" x14ac:dyDescent="0.7">
      <c r="A134" s="1108" t="s">
        <v>213</v>
      </c>
      <c r="B134" s="1107"/>
      <c r="C134" s="1263"/>
      <c r="D134" s="1281"/>
      <c r="E134" s="1264"/>
      <c r="F134" s="1265"/>
      <c r="G134" s="1275"/>
      <c r="H134" s="1264"/>
      <c r="I134" s="1266"/>
    </row>
    <row r="135" spans="1:9" ht="18.75" x14ac:dyDescent="0.7">
      <c r="A135" s="1108"/>
      <c r="B135" s="1267">
        <f>B133+0.01</f>
        <v>0.65000000000000013</v>
      </c>
      <c r="C135" s="1267" t="s">
        <v>214</v>
      </c>
      <c r="D135" s="1268" t="s">
        <v>215</v>
      </c>
      <c r="E135" s="1269"/>
      <c r="F135" s="1270"/>
      <c r="G135" s="1269"/>
      <c r="H135" s="1269">
        <v>3187.41</v>
      </c>
      <c r="I135" s="1210">
        <v>3500</v>
      </c>
    </row>
    <row r="136" spans="1:9" ht="18.75" x14ac:dyDescent="0.7">
      <c r="A136" s="1108"/>
      <c r="B136" s="1257"/>
      <c r="C136" s="1263"/>
      <c r="D136" s="1264"/>
      <c r="E136" s="1264"/>
      <c r="F136" s="1265"/>
      <c r="G136" s="1275"/>
      <c r="H136" s="1264"/>
      <c r="I136" s="1266"/>
    </row>
    <row r="137" spans="1:9" ht="18.75" x14ac:dyDescent="0.7">
      <c r="A137" s="1108"/>
      <c r="B137" s="1282" t="s">
        <v>83</v>
      </c>
      <c r="C137" s="1283"/>
      <c r="D137" s="1287"/>
      <c r="E137" s="1287"/>
      <c r="F137" s="1294"/>
      <c r="G137" s="1287"/>
      <c r="H137" s="1287">
        <f>SUM(H117:H136)</f>
        <v>11792.61</v>
      </c>
      <c r="I137" s="1288">
        <f>SUM(I117:I136)</f>
        <v>12030.380000000001</v>
      </c>
    </row>
    <row r="138" spans="1:9" ht="18.75" x14ac:dyDescent="0.7">
      <c r="A138" s="1311"/>
      <c r="B138" s="1312"/>
      <c r="C138" s="1313"/>
      <c r="D138" s="1100"/>
      <c r="E138" s="1100"/>
      <c r="F138" s="1101"/>
      <c r="G138" s="1100"/>
      <c r="H138" s="1100"/>
      <c r="I138" s="1099"/>
    </row>
    <row r="139" spans="1:9" ht="19.149999999999999" x14ac:dyDescent="0.65">
      <c r="A139" s="1314"/>
      <c r="B139" s="1315"/>
      <c r="C139" s="1316" t="s">
        <v>84</v>
      </c>
      <c r="D139" s="1105"/>
      <c r="E139" s="1105"/>
      <c r="F139" s="1106"/>
      <c r="G139" s="1105"/>
      <c r="H139" s="1105">
        <f>SUM(H65+H85+H113+H137)</f>
        <v>246241.14848000003</v>
      </c>
      <c r="I139" s="1104">
        <f>SUM(I65+I85+I113+I137)</f>
        <v>187942.742</v>
      </c>
    </row>
    <row r="140" spans="1:9" ht="19.149999999999999" x14ac:dyDescent="0.65">
      <c r="A140" s="1314"/>
      <c r="B140" s="1315"/>
      <c r="C140" s="1316"/>
      <c r="D140" s="1105"/>
      <c r="E140" s="1105"/>
      <c r="F140" s="1106"/>
      <c r="G140" s="1105"/>
      <c r="H140" s="1105"/>
      <c r="I140" s="1104"/>
    </row>
    <row r="141" spans="1:9" ht="20.25" x14ac:dyDescent="0.7">
      <c r="A141" s="1448" t="s">
        <v>85</v>
      </c>
      <c r="B141" s="1449"/>
      <c r="C141" s="1449"/>
      <c r="D141" s="1317"/>
      <c r="E141" s="1317"/>
      <c r="F141" s="1318"/>
      <c r="G141" s="1317"/>
      <c r="H141" s="1319"/>
      <c r="I141" s="1320"/>
    </row>
    <row r="142" spans="1:9" ht="20.25" x14ac:dyDescent="0.7">
      <c r="A142" s="1321"/>
      <c r="B142" s="1322" t="s">
        <v>86</v>
      </c>
      <c r="C142" s="1322"/>
      <c r="D142" s="1323"/>
      <c r="E142" s="1323"/>
      <c r="F142" s="1323"/>
      <c r="G142" s="1323"/>
      <c r="H142" s="1324">
        <f>H46</f>
        <v>347700.12899999996</v>
      </c>
      <c r="I142" s="1325">
        <f>I46</f>
        <v>391308.42525999999</v>
      </c>
    </row>
    <row r="143" spans="1:9" ht="20.25" x14ac:dyDescent="0.7">
      <c r="A143" s="1321"/>
      <c r="B143" s="1326" t="s">
        <v>87</v>
      </c>
      <c r="C143" s="1326"/>
      <c r="D143" s="1327"/>
      <c r="E143" s="1327"/>
      <c r="F143" s="1327"/>
      <c r="G143" s="1327"/>
      <c r="H143" s="1327">
        <f>H139</f>
        <v>246241.14848000003</v>
      </c>
      <c r="I143" s="1328">
        <f>I139</f>
        <v>187942.742</v>
      </c>
    </row>
    <row r="144" spans="1:9" ht="20.25" x14ac:dyDescent="0.7">
      <c r="A144" s="1329"/>
      <c r="B144" s="1330" t="s">
        <v>88</v>
      </c>
      <c r="C144" s="1330"/>
      <c r="D144" s="1331"/>
      <c r="E144" s="1331"/>
      <c r="F144" s="1331"/>
      <c r="G144" s="1331"/>
      <c r="H144" s="1331">
        <f>H142-H143</f>
        <v>101458.98051999992</v>
      </c>
      <c r="I144" s="1332">
        <f>I142-I143</f>
        <v>203365.68325999999</v>
      </c>
    </row>
  </sheetData>
  <mergeCells count="4">
    <mergeCell ref="A1:I1"/>
    <mergeCell ref="A4:C4"/>
    <mergeCell ref="A48:C48"/>
    <mergeCell ref="A141:C141"/>
  </mergeCells>
  <pageMargins left="0.75" right="0.75" top="1" bottom="1" header="0.5" footer="0.5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D1E6-96B4-4C17-BDCB-0F5963FAE8B1}">
  <dimension ref="A1:J362"/>
  <sheetViews>
    <sheetView topLeftCell="D1" zoomScale="60" zoomScaleNormal="60" workbookViewId="0">
      <selection activeCell="B10" sqref="B10"/>
    </sheetView>
  </sheetViews>
  <sheetFormatPr defaultColWidth="8.86328125" defaultRowHeight="14.25" x14ac:dyDescent="0.45"/>
  <cols>
    <col min="1" max="1" width="51.3984375" bestFit="1" customWidth="1"/>
    <col min="2" max="2" width="52.3984375" bestFit="1" customWidth="1"/>
    <col min="3" max="3" width="38.265625" bestFit="1" customWidth="1"/>
    <col min="4" max="4" width="184.1328125" bestFit="1" customWidth="1"/>
    <col min="5" max="5" width="11" bestFit="1" customWidth="1"/>
    <col min="7" max="7" width="11.3984375" bestFit="1" customWidth="1"/>
    <col min="8" max="8" width="13.73046875" bestFit="1" customWidth="1"/>
    <col min="9" max="9" width="12.73046875" bestFit="1" customWidth="1"/>
    <col min="10" max="10" width="13.73046875" bestFit="1" customWidth="1"/>
  </cols>
  <sheetData>
    <row r="1" spans="1:10" ht="16.5" x14ac:dyDescent="0.6">
      <c r="A1" s="1459" t="s">
        <v>216</v>
      </c>
      <c r="B1" s="1459"/>
      <c r="C1" s="1459"/>
      <c r="D1" s="1459"/>
      <c r="E1" s="1459"/>
      <c r="F1" s="1459"/>
      <c r="G1" s="1459"/>
      <c r="H1" s="1459"/>
      <c r="I1" s="1459"/>
      <c r="J1" s="1459"/>
    </row>
    <row r="2" spans="1:10" ht="16.5" x14ac:dyDescent="0.6">
      <c r="A2" s="492"/>
      <c r="B2" s="687" t="s">
        <v>90</v>
      </c>
      <c r="C2" s="494" t="s">
        <v>91</v>
      </c>
      <c r="D2" s="688" t="s">
        <v>92</v>
      </c>
      <c r="E2" s="496" t="s">
        <v>93</v>
      </c>
      <c r="F2" s="497" t="s">
        <v>94</v>
      </c>
      <c r="G2" s="498" t="s">
        <v>95</v>
      </c>
      <c r="H2" s="498" t="s">
        <v>96</v>
      </c>
      <c r="I2" s="498" t="s">
        <v>217</v>
      </c>
      <c r="J2" s="499" t="s">
        <v>218</v>
      </c>
    </row>
    <row r="3" spans="1:10" ht="16.5" x14ac:dyDescent="0.6">
      <c r="A3" s="500"/>
      <c r="B3" s="689"/>
      <c r="C3" s="502"/>
      <c r="D3" s="690"/>
      <c r="E3" s="504"/>
      <c r="F3" s="505"/>
      <c r="G3" s="504"/>
      <c r="H3" s="504"/>
      <c r="I3" s="504"/>
      <c r="J3" s="506"/>
    </row>
    <row r="4" spans="1:10" ht="16.5" x14ac:dyDescent="0.6">
      <c r="A4" s="1460" t="s">
        <v>7</v>
      </c>
      <c r="B4" s="1460"/>
      <c r="C4" s="1460"/>
      <c r="D4" s="691"/>
      <c r="E4" s="507"/>
      <c r="F4" s="508"/>
      <c r="G4" s="507"/>
      <c r="H4" s="507"/>
      <c r="I4" s="507"/>
      <c r="J4" s="509"/>
    </row>
    <row r="5" spans="1:10" ht="16.5" x14ac:dyDescent="0.6">
      <c r="A5" s="510" t="s">
        <v>219</v>
      </c>
      <c r="B5" s="692"/>
      <c r="C5" s="520"/>
      <c r="D5" s="693"/>
      <c r="E5" s="693"/>
      <c r="F5" s="694"/>
      <c r="G5" s="693"/>
      <c r="H5" s="693"/>
      <c r="I5" s="693"/>
      <c r="J5" s="695"/>
    </row>
    <row r="6" spans="1:10" ht="16.5" x14ac:dyDescent="0.6">
      <c r="A6" s="696"/>
      <c r="B6" s="697">
        <v>9.0009999999999994</v>
      </c>
      <c r="C6" s="698" t="s">
        <v>220</v>
      </c>
      <c r="D6" s="699" t="s">
        <v>221</v>
      </c>
      <c r="E6" s="699">
        <v>20</v>
      </c>
      <c r="F6" s="700">
        <v>20</v>
      </c>
      <c r="G6" s="699">
        <v>400</v>
      </c>
      <c r="H6" s="699">
        <v>452</v>
      </c>
      <c r="I6" s="701"/>
      <c r="J6" s="701"/>
    </row>
    <row r="7" spans="1:10" ht="16.5" x14ac:dyDescent="0.6">
      <c r="A7" s="696"/>
      <c r="B7" s="697">
        <v>9.0020000000000007</v>
      </c>
      <c r="C7" s="702" t="s">
        <v>222</v>
      </c>
      <c r="D7" s="703" t="s">
        <v>223</v>
      </c>
      <c r="E7" s="703">
        <v>30</v>
      </c>
      <c r="F7" s="704">
        <v>24</v>
      </c>
      <c r="G7" s="703">
        <v>720</v>
      </c>
      <c r="H7" s="521">
        <v>813.6</v>
      </c>
      <c r="I7" s="705">
        <v>450</v>
      </c>
      <c r="J7" s="705"/>
    </row>
    <row r="8" spans="1:10" ht="16.5" x14ac:dyDescent="0.6">
      <c r="A8" s="696"/>
      <c r="B8" s="697">
        <v>9.0030000000000001</v>
      </c>
      <c r="C8" s="706" t="s">
        <v>224</v>
      </c>
      <c r="D8" s="699" t="s">
        <v>225</v>
      </c>
      <c r="E8" s="699">
        <v>30</v>
      </c>
      <c r="F8" s="700">
        <v>1</v>
      </c>
      <c r="G8" s="699">
        <v>30</v>
      </c>
      <c r="H8" s="699">
        <v>33.9</v>
      </c>
      <c r="I8" s="701"/>
      <c r="J8" s="707">
        <v>0</v>
      </c>
    </row>
    <row r="9" spans="1:10" ht="16.5" x14ac:dyDescent="0.6">
      <c r="A9" s="696"/>
      <c r="B9" s="697">
        <v>9.0039999999999996</v>
      </c>
      <c r="C9" s="702" t="s">
        <v>226</v>
      </c>
      <c r="D9" s="703" t="s">
        <v>227</v>
      </c>
      <c r="E9" s="703">
        <v>5</v>
      </c>
      <c r="F9" s="704">
        <v>80</v>
      </c>
      <c r="G9" s="703">
        <v>400</v>
      </c>
      <c r="H9" s="521">
        <v>452</v>
      </c>
      <c r="I9" s="705"/>
      <c r="J9" s="705">
        <v>0</v>
      </c>
    </row>
    <row r="10" spans="1:10" ht="16.5" x14ac:dyDescent="0.6">
      <c r="A10" s="696"/>
      <c r="B10" s="697">
        <v>9.0050000000000008</v>
      </c>
      <c r="C10" s="698" t="s">
        <v>228</v>
      </c>
      <c r="D10" s="699" t="s">
        <v>229</v>
      </c>
      <c r="E10" s="699">
        <v>20</v>
      </c>
      <c r="F10" s="700">
        <v>20</v>
      </c>
      <c r="G10" s="699">
        <v>400</v>
      </c>
      <c r="H10" s="699">
        <v>452</v>
      </c>
      <c r="I10" s="701"/>
      <c r="J10" s="707"/>
    </row>
    <row r="11" spans="1:10" ht="16.5" x14ac:dyDescent="0.6">
      <c r="A11" s="696"/>
      <c r="B11" s="708"/>
      <c r="C11" s="702"/>
      <c r="D11" s="703"/>
      <c r="E11" s="703"/>
      <c r="F11" s="704"/>
      <c r="G11" s="703"/>
      <c r="H11" s="703"/>
      <c r="I11" s="703"/>
      <c r="J11" s="705"/>
    </row>
    <row r="12" spans="1:10" ht="16.5" x14ac:dyDescent="0.6">
      <c r="A12" s="519"/>
      <c r="B12" s="709" t="s">
        <v>230</v>
      </c>
      <c r="C12" s="710"/>
      <c r="D12" s="711"/>
      <c r="E12" s="711"/>
      <c r="F12" s="712"/>
      <c r="G12" s="711"/>
      <c r="H12" s="711">
        <v>2203.5</v>
      </c>
      <c r="I12" s="711">
        <v>450</v>
      </c>
      <c r="J12" s="713">
        <v>0</v>
      </c>
    </row>
    <row r="13" spans="1:10" ht="16.5" x14ac:dyDescent="0.6">
      <c r="A13" s="519"/>
      <c r="B13" s="714"/>
      <c r="C13" s="715"/>
      <c r="D13" s="716"/>
      <c r="E13" s="716"/>
      <c r="F13" s="717"/>
      <c r="G13" s="716"/>
      <c r="H13" s="503"/>
      <c r="I13" s="503"/>
      <c r="J13" s="506"/>
    </row>
    <row r="14" spans="1:10" ht="16.5" x14ac:dyDescent="0.6">
      <c r="A14" s="510" t="s">
        <v>231</v>
      </c>
      <c r="B14" s="718"/>
      <c r="C14" s="520"/>
      <c r="D14" s="693"/>
      <c r="E14" s="693"/>
      <c r="F14" s="694"/>
      <c r="G14" s="693"/>
      <c r="H14" s="693"/>
      <c r="I14" s="693"/>
      <c r="J14" s="695"/>
    </row>
    <row r="15" spans="1:10" ht="16.5" x14ac:dyDescent="0.6">
      <c r="A15" s="719"/>
      <c r="B15" s="697">
        <v>9.0060000000000002</v>
      </c>
      <c r="C15" s="720" t="s">
        <v>232</v>
      </c>
      <c r="D15" s="721" t="s">
        <v>233</v>
      </c>
      <c r="E15" s="721">
        <v>400</v>
      </c>
      <c r="F15" s="722">
        <v>1</v>
      </c>
      <c r="G15" s="721">
        <v>400</v>
      </c>
      <c r="H15" s="721">
        <v>400</v>
      </c>
      <c r="I15" s="723"/>
      <c r="J15" s="724">
        <v>0</v>
      </c>
    </row>
    <row r="16" spans="1:10" ht="16.5" x14ac:dyDescent="0.6">
      <c r="A16" s="510"/>
      <c r="B16" s="725"/>
      <c r="C16" s="726"/>
      <c r="D16" s="727"/>
      <c r="E16" s="727"/>
      <c r="F16" s="728"/>
      <c r="G16" s="727"/>
      <c r="H16" s="727"/>
      <c r="I16" s="729"/>
      <c r="J16" s="730"/>
    </row>
    <row r="17" spans="1:10" ht="16.5" x14ac:dyDescent="0.6">
      <c r="A17" s="519"/>
      <c r="B17" s="731" t="s">
        <v>234</v>
      </c>
      <c r="C17" s="732"/>
      <c r="D17" s="711"/>
      <c r="E17" s="711"/>
      <c r="F17" s="712"/>
      <c r="G17" s="711"/>
      <c r="H17" s="711">
        <v>400</v>
      </c>
      <c r="I17" s="711">
        <v>0</v>
      </c>
      <c r="J17" s="713">
        <v>0</v>
      </c>
    </row>
    <row r="18" spans="1:10" ht="16.5" x14ac:dyDescent="0.6">
      <c r="A18" s="519"/>
      <c r="B18" s="714"/>
      <c r="C18" s="715"/>
      <c r="D18" s="716"/>
      <c r="E18" s="716"/>
      <c r="F18" s="717"/>
      <c r="G18" s="716"/>
      <c r="H18" s="503"/>
      <c r="I18" s="503"/>
      <c r="J18" s="506"/>
    </row>
    <row r="19" spans="1:10" ht="16.5" x14ac:dyDescent="0.6">
      <c r="A19" s="510" t="s">
        <v>235</v>
      </c>
      <c r="B19" s="718"/>
      <c r="C19" s="520"/>
      <c r="D19" s="693"/>
      <c r="E19" s="693"/>
      <c r="F19" s="694"/>
      <c r="G19" s="693"/>
      <c r="H19" s="693"/>
      <c r="I19" s="693"/>
      <c r="J19" s="695"/>
    </row>
    <row r="20" spans="1:10" ht="16.5" x14ac:dyDescent="0.6">
      <c r="A20" s="719"/>
      <c r="B20" s="697">
        <v>9.0069999999999997</v>
      </c>
      <c r="C20" s="720" t="s">
        <v>236</v>
      </c>
      <c r="D20" s="721"/>
      <c r="E20" s="721">
        <v>10</v>
      </c>
      <c r="F20" s="722">
        <v>53</v>
      </c>
      <c r="G20" s="721">
        <v>525</v>
      </c>
      <c r="H20" s="721">
        <v>593.25</v>
      </c>
      <c r="I20" s="701"/>
      <c r="J20" s="733"/>
    </row>
    <row r="21" spans="1:10" ht="16.5" x14ac:dyDescent="0.6">
      <c r="A21" s="719"/>
      <c r="B21" s="697">
        <v>9.0079999999999991</v>
      </c>
      <c r="C21" s="734" t="s">
        <v>237</v>
      </c>
      <c r="D21" s="703" t="s">
        <v>66</v>
      </c>
      <c r="E21" s="703">
        <v>30</v>
      </c>
      <c r="F21" s="704">
        <v>20</v>
      </c>
      <c r="G21" s="735">
        <v>600</v>
      </c>
      <c r="H21" s="727">
        <v>678</v>
      </c>
      <c r="I21" s="705"/>
      <c r="J21" s="736"/>
    </row>
    <row r="22" spans="1:10" ht="16.5" x14ac:dyDescent="0.6">
      <c r="A22" s="696"/>
      <c r="B22" s="697">
        <v>9.0090000000000003</v>
      </c>
      <c r="C22" s="698" t="s">
        <v>238</v>
      </c>
      <c r="D22" s="699"/>
      <c r="E22" s="699">
        <v>5</v>
      </c>
      <c r="F22" s="700">
        <v>100</v>
      </c>
      <c r="G22" s="721">
        <v>500</v>
      </c>
      <c r="H22" s="721">
        <v>565</v>
      </c>
      <c r="I22" s="701"/>
      <c r="J22" s="733"/>
    </row>
    <row r="23" spans="1:10" ht="16.5" x14ac:dyDescent="0.6">
      <c r="A23" s="696"/>
      <c r="B23" s="697">
        <v>9.01</v>
      </c>
      <c r="C23" s="702" t="s">
        <v>239</v>
      </c>
      <c r="D23" s="703"/>
      <c r="E23" s="703">
        <v>1</v>
      </c>
      <c r="F23" s="704">
        <v>100</v>
      </c>
      <c r="G23" s="735">
        <v>100</v>
      </c>
      <c r="H23" s="727">
        <v>113</v>
      </c>
      <c r="I23" s="705"/>
      <c r="J23" s="736"/>
    </row>
    <row r="24" spans="1:10" ht="16.5" x14ac:dyDescent="0.6">
      <c r="A24" s="696"/>
      <c r="B24" s="697">
        <v>9.0109999999999992</v>
      </c>
      <c r="C24" s="698" t="s">
        <v>240</v>
      </c>
      <c r="D24" s="699"/>
      <c r="E24" s="699">
        <v>5</v>
      </c>
      <c r="F24" s="700">
        <v>150</v>
      </c>
      <c r="G24" s="721">
        <v>750</v>
      </c>
      <c r="H24" s="721">
        <v>847.5</v>
      </c>
      <c r="I24" s="701"/>
      <c r="J24" s="733"/>
    </row>
    <row r="25" spans="1:10" ht="16.5" x14ac:dyDescent="0.6">
      <c r="A25" s="696"/>
      <c r="B25" s="697">
        <v>9.0120000000000005</v>
      </c>
      <c r="C25" s="702" t="s">
        <v>241</v>
      </c>
      <c r="D25" s="703"/>
      <c r="E25" s="703">
        <v>5</v>
      </c>
      <c r="F25" s="704">
        <v>60</v>
      </c>
      <c r="G25" s="735">
        <v>300</v>
      </c>
      <c r="H25" s="727">
        <v>339</v>
      </c>
      <c r="I25" s="705"/>
      <c r="J25" s="736"/>
    </row>
    <row r="26" spans="1:10" ht="16.5" x14ac:dyDescent="0.6">
      <c r="A26" s="696"/>
      <c r="B26" s="697">
        <v>9.0129999999999999</v>
      </c>
      <c r="C26" s="698" t="s">
        <v>242</v>
      </c>
      <c r="D26" s="699"/>
      <c r="E26" s="699">
        <v>20</v>
      </c>
      <c r="F26" s="700">
        <v>40</v>
      </c>
      <c r="G26" s="721">
        <v>800</v>
      </c>
      <c r="H26" s="721">
        <v>904</v>
      </c>
      <c r="I26" s="701"/>
      <c r="J26" s="733"/>
    </row>
    <row r="27" spans="1:10" ht="16.5" x14ac:dyDescent="0.6">
      <c r="A27" s="696"/>
      <c r="B27" s="697">
        <v>9.0139999999999993</v>
      </c>
      <c r="C27" s="702" t="s">
        <v>243</v>
      </c>
      <c r="D27" s="703"/>
      <c r="E27" s="703">
        <v>5</v>
      </c>
      <c r="F27" s="704">
        <v>115</v>
      </c>
      <c r="G27" s="735">
        <v>575</v>
      </c>
      <c r="H27" s="727">
        <v>649.75</v>
      </c>
      <c r="I27" s="703"/>
      <c r="J27" s="705"/>
    </row>
    <row r="28" spans="1:10" ht="16.5" x14ac:dyDescent="0.6">
      <c r="A28" s="519"/>
      <c r="B28" s="725"/>
      <c r="C28" s="737"/>
      <c r="D28" s="521"/>
      <c r="E28" s="521"/>
      <c r="F28" s="522"/>
      <c r="G28" s="727"/>
      <c r="H28" s="727"/>
      <c r="I28" s="521"/>
      <c r="J28" s="523"/>
    </row>
    <row r="29" spans="1:10" ht="16.5" x14ac:dyDescent="0.6">
      <c r="A29" s="519"/>
      <c r="B29" s="738" t="s">
        <v>244</v>
      </c>
      <c r="C29" s="739"/>
      <c r="D29" s="740"/>
      <c r="E29" s="711"/>
      <c r="F29" s="712"/>
      <c r="G29" s="711"/>
      <c r="H29" s="711">
        <v>4689.5</v>
      </c>
      <c r="I29" s="711">
        <v>0</v>
      </c>
      <c r="J29" s="713">
        <v>0</v>
      </c>
    </row>
    <row r="30" spans="1:10" ht="16.5" x14ac:dyDescent="0.6">
      <c r="A30" s="519"/>
      <c r="B30" s="714"/>
      <c r="C30" s="715"/>
      <c r="D30" s="716"/>
      <c r="E30" s="716"/>
      <c r="F30" s="717"/>
      <c r="G30" s="716"/>
      <c r="H30" s="503"/>
      <c r="I30" s="503"/>
      <c r="J30" s="506"/>
    </row>
    <row r="31" spans="1:10" ht="16.5" x14ac:dyDescent="0.6">
      <c r="A31" s="510" t="s">
        <v>245</v>
      </c>
      <c r="B31" s="718"/>
      <c r="C31" s="520"/>
      <c r="D31" s="521"/>
      <c r="E31" s="521"/>
      <c r="F31" s="522"/>
      <c r="G31" s="521"/>
      <c r="H31" s="521"/>
      <c r="I31" s="521"/>
      <c r="J31" s="523"/>
    </row>
    <row r="32" spans="1:10" ht="16.5" x14ac:dyDescent="0.6">
      <c r="A32" s="741" t="s">
        <v>246</v>
      </c>
      <c r="B32" s="742"/>
      <c r="C32" s="743"/>
      <c r="D32" s="744"/>
      <c r="E32" s="744"/>
      <c r="F32" s="745"/>
      <c r="G32" s="744"/>
      <c r="H32" s="744"/>
      <c r="I32" s="746"/>
      <c r="J32" s="747"/>
    </row>
    <row r="33" spans="1:10" ht="16.5" x14ac:dyDescent="0.6">
      <c r="A33" s="748"/>
      <c r="B33" s="697">
        <v>9.0150000000000006</v>
      </c>
      <c r="C33" s="749" t="s">
        <v>247</v>
      </c>
      <c r="D33" s="750" t="s">
        <v>248</v>
      </c>
      <c r="E33" s="750">
        <v>5</v>
      </c>
      <c r="F33" s="751">
        <v>330</v>
      </c>
      <c r="G33" s="750">
        <v>1650</v>
      </c>
      <c r="H33" s="750">
        <v>1864.5</v>
      </c>
      <c r="I33" s="707"/>
      <c r="J33" s="752">
        <v>0</v>
      </c>
    </row>
    <row r="34" spans="1:10" ht="16.5" x14ac:dyDescent="0.6">
      <c r="A34" s="748"/>
      <c r="B34" s="697">
        <v>9.016</v>
      </c>
      <c r="C34" s="1362" t="s">
        <v>249</v>
      </c>
      <c r="D34" s="1362" t="s">
        <v>250</v>
      </c>
      <c r="E34" s="1363">
        <v>1</v>
      </c>
      <c r="F34" s="1362">
        <v>50</v>
      </c>
      <c r="G34" s="753">
        <v>50</v>
      </c>
      <c r="H34" s="754">
        <v>56.5</v>
      </c>
      <c r="I34" s="523"/>
      <c r="J34" s="755">
        <v>0</v>
      </c>
    </row>
    <row r="35" spans="1:10" ht="16.5" x14ac:dyDescent="0.6">
      <c r="A35" s="748"/>
      <c r="B35" s="756"/>
      <c r="C35" s="1362"/>
      <c r="D35" s="1362"/>
      <c r="E35" s="1363"/>
      <c r="F35" s="1362"/>
      <c r="G35" s="753"/>
      <c r="H35" s="754"/>
      <c r="I35" s="757"/>
      <c r="J35" s="758"/>
    </row>
    <row r="36" spans="1:10" ht="16.5" x14ac:dyDescent="0.6">
      <c r="A36" s="748"/>
      <c r="B36" s="759" t="s">
        <v>251</v>
      </c>
      <c r="C36" s="760"/>
      <c r="D36" s="761"/>
      <c r="E36" s="761"/>
      <c r="F36" s="762"/>
      <c r="G36" s="761"/>
      <c r="H36" s="763">
        <v>1921</v>
      </c>
      <c r="I36" s="763">
        <v>0</v>
      </c>
      <c r="J36" s="764">
        <v>0</v>
      </c>
    </row>
    <row r="37" spans="1:10" ht="16.5" x14ac:dyDescent="0.6">
      <c r="A37" s="765"/>
      <c r="B37" s="766"/>
      <c r="C37" s="767"/>
      <c r="D37" s="746"/>
      <c r="E37" s="746"/>
      <c r="F37" s="768"/>
      <c r="G37" s="746"/>
      <c r="H37" s="769"/>
      <c r="I37" s="769"/>
      <c r="J37" s="770"/>
    </row>
    <row r="38" spans="1:10" ht="16.5" x14ac:dyDescent="0.6">
      <c r="A38" s="741" t="s">
        <v>252</v>
      </c>
      <c r="B38" s="766"/>
      <c r="C38" s="767"/>
      <c r="D38" s="746"/>
      <c r="E38" s="746"/>
      <c r="F38" s="768"/>
      <c r="G38" s="746"/>
      <c r="H38" s="769"/>
      <c r="I38" s="769"/>
      <c r="J38" s="770"/>
    </row>
    <row r="39" spans="1:10" ht="16.5" x14ac:dyDescent="0.6">
      <c r="A39" s="748"/>
      <c r="B39" s="697">
        <v>9.0169999999999995</v>
      </c>
      <c r="C39" s="771" t="s">
        <v>253</v>
      </c>
      <c r="D39" s="772" t="s">
        <v>254</v>
      </c>
      <c r="E39" s="750">
        <v>5</v>
      </c>
      <c r="F39" s="751" t="s">
        <v>255</v>
      </c>
      <c r="G39" s="750">
        <v>375</v>
      </c>
      <c r="H39" s="750">
        <v>423.75</v>
      </c>
      <c r="I39" s="752"/>
      <c r="J39" s="752">
        <v>0</v>
      </c>
    </row>
    <row r="40" spans="1:10" ht="16.5" x14ac:dyDescent="0.6">
      <c r="A40" s="748"/>
      <c r="B40" s="756"/>
      <c r="C40" s="773"/>
      <c r="D40" s="774"/>
      <c r="E40" s="775"/>
      <c r="F40" s="776"/>
      <c r="G40" s="775"/>
      <c r="H40" s="775"/>
      <c r="I40" s="775"/>
      <c r="J40" s="777"/>
    </row>
    <row r="41" spans="1:10" ht="16.5" x14ac:dyDescent="0.6">
      <c r="A41" s="748"/>
      <c r="B41" s="778" t="s">
        <v>256</v>
      </c>
      <c r="C41" s="779"/>
      <c r="D41" s="780"/>
      <c r="E41" s="780"/>
      <c r="F41" s="781"/>
      <c r="G41" s="782"/>
      <c r="H41" s="782">
        <v>423.75</v>
      </c>
      <c r="I41" s="782">
        <v>0</v>
      </c>
      <c r="J41" s="783">
        <v>0</v>
      </c>
    </row>
    <row r="42" spans="1:10" ht="16.5" x14ac:dyDescent="0.6">
      <c r="A42" s="765"/>
      <c r="B42" s="766"/>
      <c r="C42" s="767"/>
      <c r="D42" s="746"/>
      <c r="E42" s="746"/>
      <c r="F42" s="768"/>
      <c r="G42" s="746"/>
      <c r="H42" s="746"/>
      <c r="I42" s="746"/>
      <c r="J42" s="747"/>
    </row>
    <row r="43" spans="1:10" ht="16.5" x14ac:dyDescent="0.6">
      <c r="A43" s="741" t="s">
        <v>257</v>
      </c>
      <c r="B43" s="742"/>
      <c r="C43" s="743"/>
      <c r="D43" s="744"/>
      <c r="E43" s="744"/>
      <c r="F43" s="745"/>
      <c r="G43" s="744"/>
      <c r="H43" s="744"/>
      <c r="I43" s="769"/>
      <c r="J43" s="770"/>
    </row>
    <row r="44" spans="1:10" ht="16.5" x14ac:dyDescent="0.6">
      <c r="A44" s="748"/>
      <c r="B44" s="697">
        <v>9.0180000000000007</v>
      </c>
      <c r="C44" s="749" t="s">
        <v>258</v>
      </c>
      <c r="D44" s="784" t="s">
        <v>259</v>
      </c>
      <c r="E44" s="750">
        <v>5</v>
      </c>
      <c r="F44" s="751">
        <v>15</v>
      </c>
      <c r="G44" s="750">
        <v>75</v>
      </c>
      <c r="H44" s="784">
        <v>84.75</v>
      </c>
      <c r="I44" s="785"/>
      <c r="J44" s="785">
        <v>0</v>
      </c>
    </row>
    <row r="45" spans="1:10" ht="16.5" x14ac:dyDescent="0.6">
      <c r="A45" s="748"/>
      <c r="B45" s="697">
        <v>9.0190000000000001</v>
      </c>
      <c r="C45" s="786" t="s">
        <v>260</v>
      </c>
      <c r="D45" s="787" t="s">
        <v>259</v>
      </c>
      <c r="E45" s="787">
        <v>5</v>
      </c>
      <c r="F45" s="788">
        <v>15</v>
      </c>
      <c r="G45" s="787">
        <v>75</v>
      </c>
      <c r="H45" s="787">
        <v>84.75</v>
      </c>
      <c r="I45" s="777"/>
      <c r="J45" s="777">
        <v>0</v>
      </c>
    </row>
    <row r="46" spans="1:10" ht="16.5" x14ac:dyDescent="0.6">
      <c r="A46" s="748"/>
      <c r="B46" s="756"/>
      <c r="C46" s="786"/>
      <c r="D46" s="787"/>
      <c r="E46" s="787"/>
      <c r="F46" s="788"/>
      <c r="G46" s="787"/>
      <c r="H46" s="787"/>
      <c r="I46" s="787"/>
      <c r="J46" s="755"/>
    </row>
    <row r="47" spans="1:10" ht="16.5" x14ac:dyDescent="0.6">
      <c r="A47" s="789"/>
      <c r="B47" s="759" t="s">
        <v>261</v>
      </c>
      <c r="C47" s="760"/>
      <c r="D47" s="761"/>
      <c r="E47" s="761"/>
      <c r="F47" s="762"/>
      <c r="G47" s="761"/>
      <c r="H47" s="763">
        <v>169.5</v>
      </c>
      <c r="I47" s="763">
        <v>0</v>
      </c>
      <c r="J47" s="764">
        <v>0</v>
      </c>
    </row>
    <row r="48" spans="1:10" ht="16.5" x14ac:dyDescent="0.6">
      <c r="A48" s="790"/>
      <c r="B48" s="766"/>
      <c r="C48" s="767"/>
      <c r="D48" s="746"/>
      <c r="E48" s="746"/>
      <c r="F48" s="768"/>
      <c r="G48" s="746"/>
      <c r="H48" s="769"/>
      <c r="I48" s="769"/>
      <c r="J48" s="770"/>
    </row>
    <row r="49" spans="1:10" ht="16.5" x14ac:dyDescent="0.6">
      <c r="A49" s="741" t="s">
        <v>262</v>
      </c>
      <c r="B49" s="718"/>
      <c r="C49" s="791"/>
      <c r="D49" s="787"/>
      <c r="E49" s="787"/>
      <c r="F49" s="787"/>
      <c r="G49" s="787"/>
      <c r="H49" s="787"/>
      <c r="I49" s="787"/>
      <c r="J49" s="755"/>
    </row>
    <row r="50" spans="1:10" ht="16.5" x14ac:dyDescent="0.6">
      <c r="A50" s="748"/>
      <c r="B50" s="697">
        <v>9.02</v>
      </c>
      <c r="C50" s="749" t="s">
        <v>253</v>
      </c>
      <c r="D50" s="784" t="s">
        <v>263</v>
      </c>
      <c r="E50" s="750">
        <v>5</v>
      </c>
      <c r="F50" s="751">
        <v>30</v>
      </c>
      <c r="G50" s="750">
        <v>150</v>
      </c>
      <c r="H50" s="784">
        <v>169.5</v>
      </c>
      <c r="I50" s="785"/>
      <c r="J50" s="785">
        <v>0</v>
      </c>
    </row>
    <row r="51" spans="1:10" ht="16.5" x14ac:dyDescent="0.6">
      <c r="A51" s="748"/>
      <c r="B51" s="756"/>
      <c r="C51" s="792"/>
      <c r="D51" s="787"/>
      <c r="E51" s="775"/>
      <c r="F51" s="776"/>
      <c r="G51" s="775"/>
      <c r="H51" s="787"/>
      <c r="I51" s="775"/>
      <c r="J51" s="777"/>
    </row>
    <row r="52" spans="1:10" ht="16.5" x14ac:dyDescent="0.6">
      <c r="A52" s="748"/>
      <c r="B52" s="759" t="s">
        <v>264</v>
      </c>
      <c r="C52" s="760"/>
      <c r="D52" s="761"/>
      <c r="E52" s="761"/>
      <c r="F52" s="762"/>
      <c r="G52" s="761"/>
      <c r="H52" s="763">
        <v>169.5</v>
      </c>
      <c r="I52" s="763">
        <v>0</v>
      </c>
      <c r="J52" s="764">
        <v>0</v>
      </c>
    </row>
    <row r="53" spans="1:10" ht="16.5" x14ac:dyDescent="0.6">
      <c r="A53" s="765"/>
      <c r="B53" s="766"/>
      <c r="C53" s="767"/>
      <c r="D53" s="746"/>
      <c r="E53" s="746"/>
      <c r="F53" s="768"/>
      <c r="G53" s="746"/>
      <c r="H53" s="769"/>
      <c r="I53" s="769"/>
      <c r="J53" s="770"/>
    </row>
    <row r="54" spans="1:10" ht="16.5" x14ac:dyDescent="0.6">
      <c r="A54" s="741" t="s">
        <v>265</v>
      </c>
      <c r="B54" s="742"/>
      <c r="C54" s="743"/>
      <c r="D54" s="746"/>
      <c r="E54" s="746"/>
      <c r="F54" s="768"/>
      <c r="G54" s="746"/>
      <c r="H54" s="746"/>
      <c r="I54" s="746"/>
      <c r="J54" s="747"/>
    </row>
    <row r="55" spans="1:10" ht="16.5" x14ac:dyDescent="0.6">
      <c r="A55" s="793"/>
      <c r="B55" s="697">
        <v>9.0210000000000008</v>
      </c>
      <c r="C55" s="794" t="s">
        <v>266</v>
      </c>
      <c r="D55" s="784" t="s">
        <v>267</v>
      </c>
      <c r="E55" s="784">
        <v>3</v>
      </c>
      <c r="F55" s="795">
        <v>50</v>
      </c>
      <c r="G55" s="784">
        <v>150</v>
      </c>
      <c r="H55" s="784">
        <v>169.5</v>
      </c>
      <c r="I55" s="752"/>
      <c r="J55" s="752">
        <v>0</v>
      </c>
    </row>
    <row r="56" spans="1:10" ht="16.5" x14ac:dyDescent="0.6">
      <c r="A56" s="793"/>
      <c r="B56" s="697">
        <v>9.0220000000000002</v>
      </c>
      <c r="C56" s="796" t="s">
        <v>268</v>
      </c>
      <c r="D56" s="746" t="s">
        <v>267</v>
      </c>
      <c r="E56" s="746">
        <v>4</v>
      </c>
      <c r="F56" s="768">
        <v>50</v>
      </c>
      <c r="G56" s="746">
        <v>200</v>
      </c>
      <c r="H56" s="746">
        <v>226</v>
      </c>
      <c r="I56" s="755"/>
      <c r="J56" s="755">
        <v>0</v>
      </c>
    </row>
    <row r="57" spans="1:10" ht="16.5" x14ac:dyDescent="0.6">
      <c r="A57" s="793"/>
      <c r="B57" s="697">
        <v>9.0229999999999997</v>
      </c>
      <c r="C57" s="794" t="s">
        <v>269</v>
      </c>
      <c r="D57" s="784" t="s">
        <v>270</v>
      </c>
      <c r="E57" s="784">
        <v>0.5</v>
      </c>
      <c r="F57" s="795">
        <v>75</v>
      </c>
      <c r="G57" s="784">
        <v>37.5</v>
      </c>
      <c r="H57" s="784">
        <v>42.38</v>
      </c>
      <c r="I57" s="752"/>
      <c r="J57" s="752">
        <v>0</v>
      </c>
    </row>
    <row r="58" spans="1:10" ht="16.5" x14ac:dyDescent="0.6">
      <c r="A58" s="793"/>
      <c r="B58" s="797"/>
      <c r="C58" s="786"/>
      <c r="D58" s="787"/>
      <c r="E58" s="787"/>
      <c r="F58" s="788"/>
      <c r="G58" s="787"/>
      <c r="H58" s="787"/>
      <c r="I58" s="787"/>
      <c r="J58" s="755"/>
    </row>
    <row r="59" spans="1:10" ht="16.5" x14ac:dyDescent="0.6">
      <c r="A59" s="798"/>
      <c r="B59" s="759" t="s">
        <v>271</v>
      </c>
      <c r="C59" s="799"/>
      <c r="D59" s="763"/>
      <c r="E59" s="763"/>
      <c r="F59" s="800"/>
      <c r="G59" s="763"/>
      <c r="H59" s="763">
        <v>437.88</v>
      </c>
      <c r="I59" s="763">
        <v>0</v>
      </c>
      <c r="J59" s="764">
        <v>0</v>
      </c>
    </row>
    <row r="60" spans="1:10" ht="16.5" x14ac:dyDescent="0.6">
      <c r="A60" s="510"/>
      <c r="B60" s="718"/>
      <c r="C60" s="511"/>
      <c r="D60" s="514"/>
      <c r="E60" s="514"/>
      <c r="F60" s="515"/>
      <c r="G60" s="514"/>
      <c r="H60" s="514"/>
      <c r="I60" s="514"/>
      <c r="J60" s="516"/>
    </row>
    <row r="61" spans="1:10" ht="16.5" x14ac:dyDescent="0.6">
      <c r="A61" s="510"/>
      <c r="B61" s="801" t="s">
        <v>272</v>
      </c>
      <c r="C61" s="802"/>
      <c r="D61" s="803"/>
      <c r="E61" s="803"/>
      <c r="F61" s="804"/>
      <c r="G61" s="803"/>
      <c r="H61" s="805">
        <v>3121.63</v>
      </c>
      <c r="I61" s="803">
        <v>0</v>
      </c>
      <c r="J61" s="806">
        <v>0</v>
      </c>
    </row>
    <row r="62" spans="1:10" ht="16.5" x14ac:dyDescent="0.6">
      <c r="A62" s="511"/>
      <c r="B62" s="766"/>
      <c r="C62" s="807"/>
      <c r="D62" s="769"/>
      <c r="E62" s="769"/>
      <c r="F62" s="808"/>
      <c r="G62" s="769"/>
      <c r="H62" s="514"/>
      <c r="I62" s="769"/>
      <c r="J62" s="770"/>
    </row>
    <row r="63" spans="1:10" ht="16.5" x14ac:dyDescent="0.6">
      <c r="A63" s="510" t="s">
        <v>273</v>
      </c>
      <c r="B63" s="692"/>
      <c r="C63" s="520"/>
      <c r="D63" s="693"/>
      <c r="E63" s="693"/>
      <c r="F63" s="694"/>
      <c r="G63" s="693"/>
      <c r="H63" s="693"/>
      <c r="I63" s="693"/>
      <c r="J63" s="695"/>
    </row>
    <row r="64" spans="1:10" ht="16.5" x14ac:dyDescent="0.6">
      <c r="A64" s="719"/>
      <c r="B64" s="697">
        <v>9.0239999999999991</v>
      </c>
      <c r="C64" s="697" t="s">
        <v>232</v>
      </c>
      <c r="D64" s="809" t="s">
        <v>274</v>
      </c>
      <c r="E64" s="810">
        <v>1200</v>
      </c>
      <c r="F64" s="811">
        <v>1</v>
      </c>
      <c r="G64" s="810">
        <v>1200</v>
      </c>
      <c r="H64" s="810">
        <v>1200</v>
      </c>
      <c r="I64" s="812"/>
      <c r="J64" s="813"/>
    </row>
    <row r="65" spans="1:10" ht="16.5" x14ac:dyDescent="0.6">
      <c r="A65" s="510"/>
      <c r="B65" s="814"/>
      <c r="C65" s="814"/>
      <c r="D65" s="815"/>
      <c r="E65" s="816"/>
      <c r="F65" s="817"/>
      <c r="G65" s="816"/>
      <c r="H65" s="816"/>
      <c r="I65" s="818"/>
      <c r="J65" s="819"/>
    </row>
    <row r="66" spans="1:10" ht="16.5" x14ac:dyDescent="0.6">
      <c r="A66" s="519"/>
      <c r="B66" s="820" t="s">
        <v>275</v>
      </c>
      <c r="C66" s="821"/>
      <c r="D66" s="822"/>
      <c r="E66" s="822"/>
      <c r="F66" s="823"/>
      <c r="G66" s="822"/>
      <c r="H66" s="822">
        <v>1200</v>
      </c>
      <c r="I66" s="822">
        <v>0</v>
      </c>
      <c r="J66" s="824">
        <v>0</v>
      </c>
    </row>
    <row r="67" spans="1:10" ht="16.5" x14ac:dyDescent="0.6">
      <c r="A67" s="825"/>
      <c r="B67" s="826"/>
      <c r="C67" s="827"/>
      <c r="D67" s="828"/>
      <c r="E67" s="828"/>
      <c r="F67" s="829"/>
      <c r="G67" s="828"/>
      <c r="H67" s="828"/>
      <c r="I67" s="828"/>
      <c r="J67" s="830"/>
    </row>
    <row r="68" spans="1:10" ht="16.5" x14ac:dyDescent="0.6">
      <c r="A68" s="510" t="s">
        <v>276</v>
      </c>
      <c r="B68" s="692"/>
      <c r="C68" s="520"/>
      <c r="D68" s="693"/>
      <c r="E68" s="693"/>
      <c r="F68" s="694"/>
      <c r="G68" s="693"/>
      <c r="H68" s="693"/>
      <c r="I68" s="693"/>
      <c r="J68" s="695"/>
    </row>
    <row r="69" spans="1:10" ht="16.5" x14ac:dyDescent="0.6">
      <c r="A69" s="719"/>
      <c r="B69" s="697">
        <v>9.0250000000000004</v>
      </c>
      <c r="C69" s="697" t="s">
        <v>277</v>
      </c>
      <c r="D69" s="809" t="s">
        <v>278</v>
      </c>
      <c r="E69" s="810">
        <v>200</v>
      </c>
      <c r="F69" s="811">
        <v>1</v>
      </c>
      <c r="G69" s="810">
        <v>200</v>
      </c>
      <c r="H69" s="810">
        <v>200</v>
      </c>
      <c r="I69" s="812"/>
      <c r="J69" s="813"/>
    </row>
    <row r="70" spans="1:10" ht="16.5" x14ac:dyDescent="0.6">
      <c r="A70" s="510"/>
      <c r="B70" s="814"/>
      <c r="C70" s="814"/>
      <c r="D70" s="815"/>
      <c r="E70" s="816"/>
      <c r="F70" s="817"/>
      <c r="G70" s="816"/>
      <c r="H70" s="816"/>
      <c r="I70" s="818"/>
      <c r="J70" s="819"/>
    </row>
    <row r="71" spans="1:10" ht="16.5" x14ac:dyDescent="0.6">
      <c r="A71" s="519"/>
      <c r="B71" s="820" t="s">
        <v>279</v>
      </c>
      <c r="C71" s="821"/>
      <c r="D71" s="822"/>
      <c r="E71" s="822"/>
      <c r="F71" s="823"/>
      <c r="G71" s="822"/>
      <c r="H71" s="822">
        <v>200</v>
      </c>
      <c r="I71" s="822">
        <v>0</v>
      </c>
      <c r="J71" s="824">
        <v>0</v>
      </c>
    </row>
    <row r="72" spans="1:10" ht="16.5" x14ac:dyDescent="0.6">
      <c r="A72" s="519"/>
      <c r="B72" s="831"/>
      <c r="C72" s="715"/>
      <c r="D72" s="503"/>
      <c r="E72" s="716"/>
      <c r="F72" s="717"/>
      <c r="G72" s="716"/>
      <c r="H72" s="503"/>
      <c r="I72" s="503"/>
      <c r="J72" s="506"/>
    </row>
    <row r="73" spans="1:10" ht="18.75" x14ac:dyDescent="0.7">
      <c r="A73" s="1450"/>
      <c r="B73" s="1450"/>
      <c r="C73" s="1462" t="s">
        <v>46</v>
      </c>
      <c r="D73" s="1463"/>
      <c r="E73" s="1463"/>
      <c r="F73" s="1463"/>
      <c r="G73" s="1464"/>
      <c r="H73" s="832">
        <v>11814.63</v>
      </c>
      <c r="I73" s="833">
        <v>450</v>
      </c>
      <c r="J73" s="1392">
        <v>0</v>
      </c>
    </row>
    <row r="74" spans="1:10" ht="18.75" x14ac:dyDescent="0.7">
      <c r="A74" s="1461"/>
      <c r="B74" s="1461"/>
      <c r="C74" s="1456"/>
      <c r="D74" s="1456"/>
      <c r="E74" s="1456"/>
      <c r="F74" s="1456"/>
      <c r="G74" s="1456"/>
      <c r="H74" s="1456"/>
      <c r="I74" s="1456"/>
      <c r="J74" s="1458"/>
    </row>
    <row r="75" spans="1:10" ht="16.5" x14ac:dyDescent="0.6">
      <c r="A75" s="835" t="s">
        <v>47</v>
      </c>
      <c r="B75" s="836"/>
      <c r="C75" s="837"/>
      <c r="D75" s="838"/>
      <c r="E75" s="839"/>
      <c r="F75" s="840"/>
      <c r="G75" s="839"/>
      <c r="H75" s="839"/>
      <c r="I75" s="839"/>
      <c r="J75" s="841"/>
    </row>
    <row r="76" spans="1:10" ht="16.5" x14ac:dyDescent="0.6">
      <c r="A76" s="510" t="s">
        <v>219</v>
      </c>
      <c r="B76" s="692"/>
      <c r="C76" s="842"/>
      <c r="D76" s="843"/>
      <c r="E76" s="514"/>
      <c r="F76" s="515"/>
      <c r="G76" s="514"/>
      <c r="H76" s="514"/>
      <c r="I76" s="514"/>
      <c r="J76" s="516"/>
    </row>
    <row r="77" spans="1:10" ht="16.5" x14ac:dyDescent="0.6">
      <c r="A77" s="741" t="s">
        <v>280</v>
      </c>
      <c r="B77" s="692"/>
      <c r="C77" s="520"/>
      <c r="D77" s="521"/>
      <c r="E77" s="521"/>
      <c r="F77" s="522"/>
      <c r="G77" s="521"/>
      <c r="H77" s="521"/>
      <c r="I77" s="521"/>
      <c r="J77" s="523"/>
    </row>
    <row r="78" spans="1:10" ht="16.5" x14ac:dyDescent="0.6">
      <c r="A78" s="696"/>
      <c r="B78" s="697">
        <v>9.0259999999999998</v>
      </c>
      <c r="C78" s="844" t="s">
        <v>281</v>
      </c>
      <c r="D78" s="845" t="s">
        <v>282</v>
      </c>
      <c r="E78" s="845">
        <v>25</v>
      </c>
      <c r="F78" s="846">
        <v>1</v>
      </c>
      <c r="G78" s="845">
        <v>25</v>
      </c>
      <c r="H78" s="845">
        <v>28.25</v>
      </c>
      <c r="I78" s="847"/>
      <c r="J78" s="847">
        <v>0</v>
      </c>
    </row>
    <row r="79" spans="1:10" ht="16.5" x14ac:dyDescent="0.6">
      <c r="A79" s="696"/>
      <c r="B79" s="697">
        <v>9.0269999999999992</v>
      </c>
      <c r="C79" s="702" t="s">
        <v>283</v>
      </c>
      <c r="D79" s="703" t="s">
        <v>284</v>
      </c>
      <c r="E79" s="703">
        <v>325</v>
      </c>
      <c r="F79" s="704">
        <v>1</v>
      </c>
      <c r="G79" s="703">
        <v>325</v>
      </c>
      <c r="H79" s="703">
        <v>367.25</v>
      </c>
      <c r="I79" s="705"/>
      <c r="J79" s="705">
        <v>0</v>
      </c>
    </row>
    <row r="80" spans="1:10" ht="16.5" x14ac:dyDescent="0.6">
      <c r="A80" s="696"/>
      <c r="B80" s="848"/>
      <c r="C80" s="849"/>
      <c r="D80" s="703"/>
      <c r="E80" s="703"/>
      <c r="F80" s="704"/>
      <c r="G80" s="703"/>
      <c r="H80" s="703"/>
      <c r="I80" s="703"/>
      <c r="J80" s="705"/>
    </row>
    <row r="81" spans="1:10" ht="16.5" x14ac:dyDescent="0.6">
      <c r="A81" s="519"/>
      <c r="B81" s="850" t="s">
        <v>285</v>
      </c>
      <c r="C81" s="533"/>
      <c r="D81" s="534"/>
      <c r="E81" s="534"/>
      <c r="F81" s="535"/>
      <c r="G81" s="534"/>
      <c r="H81" s="534">
        <v>395.5</v>
      </c>
      <c r="I81" s="534">
        <v>0</v>
      </c>
      <c r="J81" s="536"/>
    </row>
    <row r="82" spans="1:10" ht="16.5" x14ac:dyDescent="0.6">
      <c r="A82" s="519"/>
      <c r="B82" s="692"/>
      <c r="C82" s="511"/>
      <c r="D82" s="514"/>
      <c r="E82" s="514"/>
      <c r="F82" s="515"/>
      <c r="G82" s="514"/>
      <c r="H82" s="514"/>
      <c r="I82" s="514"/>
      <c r="J82" s="516"/>
    </row>
    <row r="83" spans="1:10" ht="16.5" x14ac:dyDescent="0.6">
      <c r="A83" s="851" t="s">
        <v>286</v>
      </c>
      <c r="B83" s="852"/>
      <c r="C83" s="853"/>
      <c r="D83" s="703"/>
      <c r="E83" s="703"/>
      <c r="F83" s="704"/>
      <c r="G83" s="703"/>
      <c r="H83" s="703"/>
      <c r="I83" s="703"/>
      <c r="J83" s="705"/>
    </row>
    <row r="84" spans="1:10" ht="16.5" x14ac:dyDescent="0.6">
      <c r="A84" s="696" t="s">
        <v>66</v>
      </c>
      <c r="B84" s="697">
        <v>9.0280000000000005</v>
      </c>
      <c r="C84" s="844" t="s">
        <v>287</v>
      </c>
      <c r="D84" s="845" t="s">
        <v>288</v>
      </c>
      <c r="E84" s="845">
        <v>30</v>
      </c>
      <c r="F84" s="846">
        <v>3</v>
      </c>
      <c r="G84" s="845">
        <v>90</v>
      </c>
      <c r="H84" s="845">
        <v>101.7</v>
      </c>
      <c r="I84" s="847"/>
      <c r="J84" s="847">
        <v>0</v>
      </c>
    </row>
    <row r="85" spans="1:10" ht="16.5" x14ac:dyDescent="0.6">
      <c r="A85" s="696"/>
      <c r="B85" s="697">
        <v>9.0289999999999999</v>
      </c>
      <c r="C85" s="734" t="s">
        <v>289</v>
      </c>
      <c r="D85" s="703" t="s">
        <v>290</v>
      </c>
      <c r="E85" s="703">
        <v>10</v>
      </c>
      <c r="F85" s="704">
        <v>1</v>
      </c>
      <c r="G85" s="703">
        <v>10</v>
      </c>
      <c r="H85" s="703">
        <v>11.3</v>
      </c>
      <c r="I85" s="705"/>
      <c r="J85" s="705">
        <v>0</v>
      </c>
    </row>
    <row r="86" spans="1:10" ht="16.5" x14ac:dyDescent="0.6">
      <c r="A86" s="519"/>
      <c r="B86" s="718"/>
      <c r="C86" s="520"/>
      <c r="D86" s="521"/>
      <c r="E86" s="521"/>
      <c r="F86" s="522"/>
      <c r="G86" s="521"/>
      <c r="H86" s="521"/>
      <c r="I86" s="521"/>
      <c r="J86" s="523"/>
    </row>
    <row r="87" spans="1:10" ht="16.5" x14ac:dyDescent="0.6">
      <c r="A87" s="519"/>
      <c r="B87" s="850" t="s">
        <v>291</v>
      </c>
      <c r="C87" s="533"/>
      <c r="D87" s="534"/>
      <c r="E87" s="534"/>
      <c r="F87" s="535"/>
      <c r="G87" s="534"/>
      <c r="H87" s="534">
        <v>113</v>
      </c>
      <c r="I87" s="534">
        <v>0</v>
      </c>
      <c r="J87" s="536"/>
    </row>
    <row r="88" spans="1:10" ht="16.5" x14ac:dyDescent="0.6">
      <c r="A88" s="519"/>
      <c r="B88" s="692"/>
      <c r="C88" s="511"/>
      <c r="D88" s="514"/>
      <c r="E88" s="514"/>
      <c r="F88" s="515"/>
      <c r="G88" s="514"/>
      <c r="H88" s="514"/>
      <c r="I88" s="514"/>
      <c r="J88" s="516"/>
    </row>
    <row r="89" spans="1:10" ht="16.5" x14ac:dyDescent="0.6">
      <c r="A89" s="741" t="s">
        <v>292</v>
      </c>
      <c r="B89" s="692"/>
      <c r="C89" s="520"/>
      <c r="D89" s="521"/>
      <c r="E89" s="521"/>
      <c r="F89" s="522"/>
      <c r="G89" s="521"/>
      <c r="H89" s="521"/>
      <c r="I89" s="521"/>
      <c r="J89" s="523"/>
    </row>
    <row r="90" spans="1:10" ht="16.5" x14ac:dyDescent="0.6">
      <c r="A90" s="719"/>
      <c r="B90" s="697">
        <v>9.0299999999999994</v>
      </c>
      <c r="C90" s="844" t="s">
        <v>293</v>
      </c>
      <c r="D90" s="845" t="s">
        <v>294</v>
      </c>
      <c r="E90" s="845">
        <v>200</v>
      </c>
      <c r="F90" s="846">
        <v>1</v>
      </c>
      <c r="G90" s="845">
        <v>200</v>
      </c>
      <c r="H90" s="845">
        <v>226</v>
      </c>
      <c r="I90" s="847">
        <v>100</v>
      </c>
      <c r="J90" s="847"/>
    </row>
    <row r="91" spans="1:10" ht="16.5" x14ac:dyDescent="0.6">
      <c r="A91" s="719"/>
      <c r="B91" s="697">
        <v>9.0310000000000006</v>
      </c>
      <c r="C91" s="734" t="s">
        <v>295</v>
      </c>
      <c r="D91" s="703" t="s">
        <v>296</v>
      </c>
      <c r="E91" s="703">
        <v>100</v>
      </c>
      <c r="F91" s="704">
        <v>1</v>
      </c>
      <c r="G91" s="703">
        <v>75</v>
      </c>
      <c r="H91" s="703">
        <v>84.75</v>
      </c>
      <c r="I91" s="705">
        <v>100</v>
      </c>
      <c r="J91" s="705"/>
    </row>
    <row r="92" spans="1:10" ht="16.5" x14ac:dyDescent="0.6">
      <c r="A92" s="510"/>
      <c r="B92" s="718"/>
      <c r="C92" s="520"/>
      <c r="D92" s="521"/>
      <c r="E92" s="521"/>
      <c r="F92" s="522"/>
      <c r="G92" s="521"/>
      <c r="H92" s="521"/>
      <c r="I92" s="521"/>
      <c r="J92" s="523"/>
    </row>
    <row r="93" spans="1:10" ht="16.5" x14ac:dyDescent="0.6">
      <c r="A93" s="519"/>
      <c r="B93" s="850" t="s">
        <v>297</v>
      </c>
      <c r="C93" s="533"/>
      <c r="D93" s="534"/>
      <c r="E93" s="534"/>
      <c r="F93" s="535"/>
      <c r="G93" s="534"/>
      <c r="H93" s="534">
        <v>310.75</v>
      </c>
      <c r="I93" s="534">
        <v>200</v>
      </c>
      <c r="J93" s="536"/>
    </row>
    <row r="94" spans="1:10" ht="16.5" x14ac:dyDescent="0.6">
      <c r="A94" s="519"/>
      <c r="B94" s="692"/>
      <c r="C94" s="511"/>
      <c r="D94" s="514"/>
      <c r="E94" s="514"/>
      <c r="F94" s="515"/>
      <c r="G94" s="514"/>
      <c r="H94" s="514"/>
      <c r="I94" s="514"/>
      <c r="J94" s="516"/>
    </row>
    <row r="95" spans="1:10" ht="16.5" x14ac:dyDescent="0.6">
      <c r="A95" s="741" t="s">
        <v>298</v>
      </c>
      <c r="B95" s="692"/>
      <c r="C95" s="520"/>
      <c r="D95" s="521"/>
      <c r="E95" s="521"/>
      <c r="F95" s="522"/>
      <c r="G95" s="521"/>
      <c r="H95" s="521"/>
      <c r="I95" s="521"/>
      <c r="J95" s="523"/>
    </row>
    <row r="96" spans="1:10" ht="16.5" x14ac:dyDescent="0.6">
      <c r="A96" s="696"/>
      <c r="B96" s="697">
        <v>9.032</v>
      </c>
      <c r="C96" s="844" t="s">
        <v>299</v>
      </c>
      <c r="D96" s="845" t="s">
        <v>300</v>
      </c>
      <c r="E96" s="845">
        <v>7</v>
      </c>
      <c r="F96" s="846">
        <v>43</v>
      </c>
      <c r="G96" s="845">
        <v>301</v>
      </c>
      <c r="H96" s="845">
        <v>340.13</v>
      </c>
      <c r="I96" s="847">
        <v>316.39999999999998</v>
      </c>
      <c r="J96" s="847"/>
    </row>
    <row r="97" spans="1:10" ht="16.5" x14ac:dyDescent="0.6">
      <c r="A97" s="696"/>
      <c r="B97" s="697">
        <v>9.0329999999999995</v>
      </c>
      <c r="C97" s="734" t="s">
        <v>301</v>
      </c>
      <c r="D97" s="703" t="s">
        <v>302</v>
      </c>
      <c r="E97" s="703">
        <v>220</v>
      </c>
      <c r="F97" s="704">
        <v>1</v>
      </c>
      <c r="G97" s="703">
        <v>220</v>
      </c>
      <c r="H97" s="703">
        <v>248.6</v>
      </c>
      <c r="I97" s="705">
        <v>461.04</v>
      </c>
      <c r="J97" s="705"/>
    </row>
    <row r="98" spans="1:10" ht="16.5" x14ac:dyDescent="0.6">
      <c r="A98" s="510"/>
      <c r="B98" s="718"/>
      <c r="C98" s="520"/>
      <c r="D98" s="521"/>
      <c r="E98" s="521"/>
      <c r="F98" s="522"/>
      <c r="G98" s="521"/>
      <c r="H98" s="521"/>
      <c r="I98" s="521"/>
      <c r="J98" s="523"/>
    </row>
    <row r="99" spans="1:10" ht="16.5" x14ac:dyDescent="0.6">
      <c r="A99" s="519"/>
      <c r="B99" s="850" t="s">
        <v>303</v>
      </c>
      <c r="C99" s="533"/>
      <c r="D99" s="534"/>
      <c r="E99" s="534"/>
      <c r="F99" s="535"/>
      <c r="G99" s="534"/>
      <c r="H99" s="534">
        <v>588.73</v>
      </c>
      <c r="I99" s="534">
        <v>777.44</v>
      </c>
      <c r="J99" s="536"/>
    </row>
    <row r="100" spans="1:10" ht="16.5" x14ac:dyDescent="0.6">
      <c r="A100" s="519"/>
      <c r="B100" s="692"/>
      <c r="C100" s="511"/>
      <c r="D100" s="514"/>
      <c r="E100" s="514"/>
      <c r="F100" s="515"/>
      <c r="G100" s="514"/>
      <c r="H100" s="514"/>
      <c r="I100" s="514"/>
      <c r="J100" s="516"/>
    </row>
    <row r="101" spans="1:10" ht="16.5" x14ac:dyDescent="0.6">
      <c r="A101" s="741" t="s">
        <v>304</v>
      </c>
      <c r="B101" s="692"/>
      <c r="C101" s="511"/>
      <c r="D101" s="514"/>
      <c r="E101" s="514"/>
      <c r="F101" s="515"/>
      <c r="G101" s="514"/>
      <c r="H101" s="514"/>
      <c r="I101" s="514"/>
      <c r="J101" s="516"/>
    </row>
    <row r="102" spans="1:10" ht="16.5" x14ac:dyDescent="0.6">
      <c r="A102" s="696"/>
      <c r="B102" s="697">
        <v>9.0340000000000007</v>
      </c>
      <c r="C102" s="844" t="s">
        <v>305</v>
      </c>
      <c r="D102" s="845" t="s">
        <v>306</v>
      </c>
      <c r="E102" s="845">
        <v>5</v>
      </c>
      <c r="F102" s="846">
        <v>20</v>
      </c>
      <c r="G102" s="845">
        <v>100</v>
      </c>
      <c r="H102" s="845">
        <v>113</v>
      </c>
      <c r="I102" s="847">
        <v>0</v>
      </c>
      <c r="J102" s="847"/>
    </row>
    <row r="103" spans="1:10" ht="16.5" x14ac:dyDescent="0.6">
      <c r="A103" s="719"/>
      <c r="B103" s="697">
        <v>9.0350000000000001</v>
      </c>
      <c r="C103" s="734" t="s">
        <v>225</v>
      </c>
      <c r="D103" s="703" t="s">
        <v>307</v>
      </c>
      <c r="E103" s="703">
        <v>15</v>
      </c>
      <c r="F103" s="704">
        <v>3</v>
      </c>
      <c r="G103" s="703">
        <v>45</v>
      </c>
      <c r="H103" s="703">
        <v>50.85</v>
      </c>
      <c r="I103" s="705">
        <v>0</v>
      </c>
      <c r="J103" s="705"/>
    </row>
    <row r="104" spans="1:10" ht="16.5" x14ac:dyDescent="0.6">
      <c r="A104" s="510"/>
      <c r="B104" s="718"/>
      <c r="C104" s="520"/>
      <c r="D104" s="521"/>
      <c r="E104" s="521"/>
      <c r="F104" s="522"/>
      <c r="G104" s="521"/>
      <c r="H104" s="521"/>
      <c r="I104" s="521"/>
      <c r="J104" s="523"/>
    </row>
    <row r="105" spans="1:10" ht="16.5" x14ac:dyDescent="0.6">
      <c r="A105" s="510"/>
      <c r="B105" s="854" t="s">
        <v>308</v>
      </c>
      <c r="C105" s="855"/>
      <c r="D105" s="856"/>
      <c r="E105" s="856"/>
      <c r="F105" s="857"/>
      <c r="G105" s="856"/>
      <c r="H105" s="534">
        <v>163.85</v>
      </c>
      <c r="I105" s="534">
        <v>0</v>
      </c>
      <c r="J105" s="536"/>
    </row>
    <row r="106" spans="1:10" ht="16.5" x14ac:dyDescent="0.6">
      <c r="A106" s="510"/>
      <c r="B106" s="718"/>
      <c r="C106" s="520"/>
      <c r="D106" s="521"/>
      <c r="E106" s="521"/>
      <c r="F106" s="522"/>
      <c r="G106" s="521"/>
      <c r="H106" s="514"/>
      <c r="I106" s="514"/>
      <c r="J106" s="516"/>
    </row>
    <row r="107" spans="1:10" ht="16.5" x14ac:dyDescent="0.6">
      <c r="A107" s="741" t="s">
        <v>309</v>
      </c>
      <c r="B107" s="858"/>
      <c r="C107" s="859"/>
      <c r="D107" s="726"/>
      <c r="E107" s="860"/>
      <c r="F107" s="859"/>
      <c r="G107" s="859"/>
      <c r="H107" s="859"/>
      <c r="I107" s="859"/>
      <c r="J107" s="861"/>
    </row>
    <row r="108" spans="1:10" ht="16.5" x14ac:dyDescent="0.6">
      <c r="A108" s="862"/>
      <c r="B108" s="697">
        <v>9.0359999999999996</v>
      </c>
      <c r="C108" s="863" t="s">
        <v>310</v>
      </c>
      <c r="D108" s="863" t="s">
        <v>311</v>
      </c>
      <c r="E108" s="864">
        <v>14.69</v>
      </c>
      <c r="F108" s="863">
        <v>4</v>
      </c>
      <c r="G108" s="864">
        <v>58.76</v>
      </c>
      <c r="H108" s="864">
        <v>66.400000000000006</v>
      </c>
      <c r="I108" s="865"/>
      <c r="J108" s="1393">
        <v>0</v>
      </c>
    </row>
    <row r="109" spans="1:10" ht="16.5" x14ac:dyDescent="0.6">
      <c r="A109" s="862"/>
      <c r="B109" s="697">
        <v>9.0370000000000008</v>
      </c>
      <c r="C109" s="866" t="s">
        <v>312</v>
      </c>
      <c r="D109" s="866" t="s">
        <v>313</v>
      </c>
      <c r="E109" s="735">
        <v>8.49</v>
      </c>
      <c r="F109" s="866">
        <v>5</v>
      </c>
      <c r="G109" s="735">
        <v>42.45</v>
      </c>
      <c r="H109" s="735">
        <v>47.97</v>
      </c>
      <c r="I109" s="867"/>
      <c r="J109" s="1394">
        <v>0</v>
      </c>
    </row>
    <row r="110" spans="1:10" ht="16.5" x14ac:dyDescent="0.6">
      <c r="A110" s="862"/>
      <c r="B110" s="858"/>
      <c r="C110" s="859"/>
      <c r="D110" s="726"/>
      <c r="E110" s="727"/>
      <c r="F110" s="726"/>
      <c r="G110" s="727"/>
      <c r="H110" s="727"/>
      <c r="I110" s="868"/>
      <c r="J110" s="869"/>
    </row>
    <row r="111" spans="1:10" ht="16.5" x14ac:dyDescent="0.6">
      <c r="A111" s="870"/>
      <c r="B111" s="850" t="s">
        <v>314</v>
      </c>
      <c r="C111" s="871"/>
      <c r="D111" s="872"/>
      <c r="E111" s="873"/>
      <c r="F111" s="871"/>
      <c r="G111" s="874"/>
      <c r="H111" s="875">
        <v>114.37</v>
      </c>
      <c r="I111" s="876">
        <v>0</v>
      </c>
      <c r="J111" s="1395">
        <v>0</v>
      </c>
    </row>
    <row r="112" spans="1:10" ht="16.5" x14ac:dyDescent="0.6">
      <c r="A112" s="870"/>
      <c r="B112" s="858"/>
      <c r="C112" s="859"/>
      <c r="D112" s="726"/>
      <c r="E112" s="860"/>
      <c r="F112" s="859"/>
      <c r="G112" s="729"/>
      <c r="H112" s="877"/>
      <c r="I112" s="868"/>
      <c r="J112" s="869"/>
    </row>
    <row r="113" spans="1:10" ht="16.5" x14ac:dyDescent="0.6">
      <c r="A113" s="741" t="s">
        <v>315</v>
      </c>
      <c r="B113" s="692"/>
      <c r="C113" s="520"/>
      <c r="D113" s="521"/>
      <c r="E113" s="521"/>
      <c r="F113" s="522"/>
      <c r="G113" s="521"/>
      <c r="H113" s="521"/>
      <c r="I113" s="521"/>
      <c r="J113" s="523"/>
    </row>
    <row r="114" spans="1:10" ht="16.5" x14ac:dyDescent="0.6">
      <c r="A114" s="719"/>
      <c r="B114" s="697">
        <v>9.0380000000000003</v>
      </c>
      <c r="C114" s="844" t="s">
        <v>316</v>
      </c>
      <c r="D114" s="845" t="s">
        <v>317</v>
      </c>
      <c r="E114" s="845">
        <v>150</v>
      </c>
      <c r="F114" s="846">
        <v>1</v>
      </c>
      <c r="G114" s="864">
        <v>150</v>
      </c>
      <c r="H114" s="845">
        <v>169.5</v>
      </c>
      <c r="I114" s="847"/>
      <c r="J114" s="847">
        <v>0</v>
      </c>
    </row>
    <row r="115" spans="1:10" ht="16.5" x14ac:dyDescent="0.6">
      <c r="A115" s="510"/>
      <c r="B115" s="718"/>
      <c r="C115" s="520"/>
      <c r="D115" s="521"/>
      <c r="E115" s="521"/>
      <c r="F115" s="522"/>
      <c r="G115" s="727"/>
      <c r="H115" s="521"/>
      <c r="I115" s="521"/>
      <c r="J115" s="523"/>
    </row>
    <row r="116" spans="1:10" ht="16.5" x14ac:dyDescent="0.6">
      <c r="A116" s="519"/>
      <c r="B116" s="850" t="s">
        <v>318</v>
      </c>
      <c r="C116" s="533"/>
      <c r="D116" s="534"/>
      <c r="E116" s="534"/>
      <c r="F116" s="535"/>
      <c r="G116" s="534"/>
      <c r="H116" s="534">
        <v>169.5</v>
      </c>
      <c r="I116" s="534">
        <v>0</v>
      </c>
      <c r="J116" s="536">
        <v>0</v>
      </c>
    </row>
    <row r="117" spans="1:10" ht="16.5" x14ac:dyDescent="0.6">
      <c r="A117" s="519"/>
      <c r="B117" s="692"/>
      <c r="C117" s="511"/>
      <c r="D117" s="514"/>
      <c r="E117" s="514"/>
      <c r="F117" s="515"/>
      <c r="G117" s="514"/>
      <c r="H117" s="514"/>
      <c r="I117" s="514"/>
      <c r="J117" s="516"/>
    </row>
    <row r="118" spans="1:10" ht="16.5" x14ac:dyDescent="0.6">
      <c r="A118" s="741" t="s">
        <v>228</v>
      </c>
      <c r="B118" s="692"/>
      <c r="C118" s="520"/>
      <c r="D118" s="521"/>
      <c r="E118" s="521"/>
      <c r="F118" s="522"/>
      <c r="G118" s="521"/>
      <c r="H118" s="521"/>
      <c r="I118" s="521"/>
      <c r="J118" s="523"/>
    </row>
    <row r="119" spans="1:10" ht="16.5" x14ac:dyDescent="0.6">
      <c r="A119" s="719"/>
      <c r="B119" s="697">
        <v>9.0389999999999997</v>
      </c>
      <c r="C119" s="844" t="s">
        <v>319</v>
      </c>
      <c r="D119" s="845" t="s">
        <v>320</v>
      </c>
      <c r="E119" s="845">
        <v>10</v>
      </c>
      <c r="F119" s="846">
        <v>3</v>
      </c>
      <c r="G119" s="864">
        <v>30</v>
      </c>
      <c r="H119" s="845">
        <v>33.9</v>
      </c>
      <c r="I119" s="847"/>
      <c r="J119" s="847">
        <v>0</v>
      </c>
    </row>
    <row r="120" spans="1:10" ht="18.75" x14ac:dyDescent="0.7">
      <c r="A120" s="719"/>
      <c r="B120" s="878"/>
      <c r="C120" s="853"/>
      <c r="D120" s="703"/>
      <c r="E120" s="703"/>
      <c r="F120" s="704"/>
      <c r="G120" s="735"/>
      <c r="H120" s="703"/>
      <c r="I120" s="705"/>
      <c r="J120" s="705"/>
    </row>
    <row r="121" spans="1:10" ht="16.5" x14ac:dyDescent="0.6">
      <c r="A121" s="519"/>
      <c r="B121" s="850" t="s">
        <v>321</v>
      </c>
      <c r="C121" s="533"/>
      <c r="D121" s="534"/>
      <c r="E121" s="534"/>
      <c r="F121" s="535"/>
      <c r="G121" s="534"/>
      <c r="H121" s="534">
        <v>33.9</v>
      </c>
      <c r="I121" s="536">
        <v>0</v>
      </c>
      <c r="J121" s="536">
        <v>0</v>
      </c>
    </row>
    <row r="122" spans="1:10" ht="16.5" x14ac:dyDescent="0.6">
      <c r="A122" s="519"/>
      <c r="B122" s="879"/>
      <c r="C122" s="511"/>
      <c r="D122" s="514"/>
      <c r="E122" s="514"/>
      <c r="F122" s="515"/>
      <c r="G122" s="514"/>
      <c r="H122" s="514"/>
      <c r="I122" s="516"/>
      <c r="J122" s="516"/>
    </row>
    <row r="123" spans="1:10" ht="16.5" x14ac:dyDescent="0.6">
      <c r="A123" s="741" t="s">
        <v>322</v>
      </c>
      <c r="B123" s="879"/>
      <c r="C123" s="511"/>
      <c r="D123" s="514"/>
      <c r="E123" s="514"/>
      <c r="F123" s="515"/>
      <c r="G123" s="514"/>
      <c r="H123" s="514"/>
      <c r="I123" s="516"/>
      <c r="J123" s="516"/>
    </row>
    <row r="124" spans="1:10" ht="16.5" x14ac:dyDescent="0.6">
      <c r="A124" s="519"/>
      <c r="B124" s="697">
        <v>9.0399999999999991</v>
      </c>
      <c r="C124" s="844" t="s">
        <v>134</v>
      </c>
      <c r="D124" s="845" t="s">
        <v>323</v>
      </c>
      <c r="E124" s="845">
        <v>6</v>
      </c>
      <c r="F124" s="846">
        <v>5</v>
      </c>
      <c r="G124" s="845">
        <v>30</v>
      </c>
      <c r="H124" s="845">
        <v>33.9</v>
      </c>
      <c r="I124" s="847"/>
      <c r="J124" s="880">
        <v>0</v>
      </c>
    </row>
    <row r="125" spans="1:10" ht="18.75" x14ac:dyDescent="0.7">
      <c r="A125" s="881"/>
      <c r="B125" s="692"/>
      <c r="C125" s="511"/>
      <c r="D125" s="514"/>
      <c r="E125" s="514"/>
      <c r="F125" s="515"/>
      <c r="G125" s="514"/>
      <c r="H125" s="514"/>
      <c r="I125" s="516"/>
      <c r="J125" s="516"/>
    </row>
    <row r="126" spans="1:10" ht="18.75" x14ac:dyDescent="0.7">
      <c r="A126" s="881"/>
      <c r="B126" s="882" t="s">
        <v>324</v>
      </c>
      <c r="C126" s="533"/>
      <c r="D126" s="534"/>
      <c r="E126" s="534"/>
      <c r="F126" s="535"/>
      <c r="G126" s="534"/>
      <c r="H126" s="534">
        <v>33.9</v>
      </c>
      <c r="I126" s="536"/>
      <c r="J126" s="536">
        <v>0</v>
      </c>
    </row>
    <row r="127" spans="1:10" ht="18.75" x14ac:dyDescent="0.7">
      <c r="A127" s="881"/>
      <c r="B127" s="692"/>
      <c r="C127" s="511"/>
      <c r="D127" s="514"/>
      <c r="E127" s="514"/>
      <c r="F127" s="515"/>
      <c r="G127" s="514"/>
      <c r="H127" s="514"/>
      <c r="I127" s="516"/>
      <c r="J127" s="516"/>
    </row>
    <row r="128" spans="1:10" ht="16.5" x14ac:dyDescent="0.6">
      <c r="A128" s="741" t="s">
        <v>325</v>
      </c>
      <c r="B128" s="692"/>
      <c r="C128" s="520"/>
      <c r="D128" s="521"/>
      <c r="E128" s="521"/>
      <c r="F128" s="522"/>
      <c r="G128" s="521"/>
      <c r="H128" s="521"/>
      <c r="I128" s="523"/>
      <c r="J128" s="523"/>
    </row>
    <row r="129" spans="1:10" ht="16.5" x14ac:dyDescent="0.6">
      <c r="A129" s="719"/>
      <c r="B129" s="697">
        <v>9.0410000000000004</v>
      </c>
      <c r="C129" s="883" t="s">
        <v>326</v>
      </c>
      <c r="D129" s="845" t="s">
        <v>327</v>
      </c>
      <c r="E129" s="845">
        <v>27.85</v>
      </c>
      <c r="F129" s="846">
        <v>15</v>
      </c>
      <c r="G129" s="845">
        <v>417.75</v>
      </c>
      <c r="H129" s="845">
        <v>472.06</v>
      </c>
      <c r="I129" s="847"/>
      <c r="J129" s="847">
        <v>198.13</v>
      </c>
    </row>
    <row r="130" spans="1:10" ht="16.5" x14ac:dyDescent="0.6">
      <c r="A130" s="719"/>
      <c r="B130" s="697">
        <v>9.0419999999999998</v>
      </c>
      <c r="C130" s="702" t="s">
        <v>328</v>
      </c>
      <c r="D130" s="703" t="s">
        <v>329</v>
      </c>
      <c r="E130" s="703">
        <v>15</v>
      </c>
      <c r="F130" s="704">
        <v>6</v>
      </c>
      <c r="G130" s="703">
        <v>90</v>
      </c>
      <c r="H130" s="703">
        <v>101.7</v>
      </c>
      <c r="I130" s="705">
        <v>33.880000000000003</v>
      </c>
      <c r="J130" s="705">
        <v>33.880000000000003</v>
      </c>
    </row>
    <row r="131" spans="1:10" ht="16.5" x14ac:dyDescent="0.6">
      <c r="A131" s="719"/>
      <c r="B131" s="718"/>
      <c r="C131" s="737"/>
      <c r="D131" s="521"/>
      <c r="E131" s="521"/>
      <c r="F131" s="522"/>
      <c r="G131" s="521"/>
      <c r="H131" s="521"/>
      <c r="I131" s="523"/>
      <c r="J131" s="523"/>
    </row>
    <row r="132" spans="1:10" ht="16.5" x14ac:dyDescent="0.6">
      <c r="A132" s="519"/>
      <c r="B132" s="850" t="s">
        <v>330</v>
      </c>
      <c r="C132" s="533"/>
      <c r="D132" s="534"/>
      <c r="E132" s="534"/>
      <c r="F132" s="535"/>
      <c r="G132" s="534"/>
      <c r="H132" s="534">
        <v>573.76</v>
      </c>
      <c r="I132" s="536">
        <v>33.880000000000003</v>
      </c>
      <c r="J132" s="536">
        <v>232.01</v>
      </c>
    </row>
    <row r="133" spans="1:10" ht="16.5" x14ac:dyDescent="0.6">
      <c r="A133" s="519"/>
      <c r="B133" s="879"/>
      <c r="C133" s="511"/>
      <c r="D133" s="514"/>
      <c r="E133" s="514"/>
      <c r="F133" s="515"/>
      <c r="G133" s="514"/>
      <c r="H133" s="514"/>
      <c r="I133" s="516"/>
      <c r="J133" s="516"/>
    </row>
    <row r="134" spans="1:10" ht="16.5" x14ac:dyDescent="0.6">
      <c r="A134" s="741" t="s">
        <v>331</v>
      </c>
      <c r="B134" s="879"/>
      <c r="C134" s="511"/>
      <c r="D134" s="514"/>
      <c r="E134" s="514"/>
      <c r="F134" s="515"/>
      <c r="G134" s="514"/>
      <c r="H134" s="514"/>
      <c r="I134" s="516"/>
      <c r="J134" s="516"/>
    </row>
    <row r="135" spans="1:10" ht="16.5" x14ac:dyDescent="0.6">
      <c r="A135" s="519"/>
      <c r="B135" s="697">
        <v>9.0429999999999993</v>
      </c>
      <c r="C135" s="844" t="s">
        <v>332</v>
      </c>
      <c r="D135" s="845" t="s">
        <v>333</v>
      </c>
      <c r="E135" s="845">
        <v>25</v>
      </c>
      <c r="F135" s="846">
        <v>1</v>
      </c>
      <c r="G135" s="845">
        <v>25</v>
      </c>
      <c r="H135" s="845">
        <v>28.25</v>
      </c>
      <c r="I135" s="847"/>
      <c r="J135" s="880">
        <v>0</v>
      </c>
    </row>
    <row r="136" spans="1:10" ht="18.75" x14ac:dyDescent="0.7">
      <c r="A136" s="881"/>
      <c r="B136" s="692"/>
      <c r="C136" s="511"/>
      <c r="D136" s="514"/>
      <c r="E136" s="514"/>
      <c r="F136" s="515"/>
      <c r="G136" s="514"/>
      <c r="H136" s="514"/>
      <c r="I136" s="516"/>
      <c r="J136" s="516"/>
    </row>
    <row r="137" spans="1:10" ht="18.75" x14ac:dyDescent="0.7">
      <c r="A137" s="881"/>
      <c r="B137" s="882" t="s">
        <v>334</v>
      </c>
      <c r="C137" s="533"/>
      <c r="D137" s="534"/>
      <c r="E137" s="534"/>
      <c r="F137" s="535"/>
      <c r="G137" s="534"/>
      <c r="H137" s="534">
        <v>28.25</v>
      </c>
      <c r="I137" s="536"/>
      <c r="J137" s="536">
        <v>0</v>
      </c>
    </row>
    <row r="138" spans="1:10" ht="16.5" x14ac:dyDescent="0.6">
      <c r="A138" s="741"/>
      <c r="B138" s="718"/>
      <c r="C138" s="737"/>
      <c r="D138" s="521"/>
      <c r="E138" s="521"/>
      <c r="F138" s="522"/>
      <c r="G138" s="521"/>
      <c r="H138" s="521"/>
      <c r="I138" s="523"/>
      <c r="J138" s="523"/>
    </row>
    <row r="139" spans="1:10" ht="16.5" x14ac:dyDescent="0.6">
      <c r="A139" s="519"/>
      <c r="B139" s="884" t="s">
        <v>335</v>
      </c>
      <c r="C139" s="885"/>
      <c r="D139" s="886"/>
      <c r="E139" s="805"/>
      <c r="F139" s="887"/>
      <c r="G139" s="805"/>
      <c r="H139" s="805">
        <v>2491.6</v>
      </c>
      <c r="I139" s="888">
        <v>1011.32</v>
      </c>
      <c r="J139" s="888">
        <v>232.01</v>
      </c>
    </row>
    <row r="140" spans="1:10" ht="18.75" x14ac:dyDescent="0.7">
      <c r="A140" s="881"/>
      <c r="B140" s="889"/>
      <c r="C140" s="890"/>
      <c r="D140" s="890"/>
      <c r="E140" s="890"/>
      <c r="F140" s="890"/>
      <c r="G140" s="890"/>
      <c r="H140" s="890"/>
      <c r="I140" s="834"/>
      <c r="J140" s="834"/>
    </row>
    <row r="141" spans="1:10" ht="16.5" x14ac:dyDescent="0.6">
      <c r="A141" s="510" t="s">
        <v>336</v>
      </c>
      <c r="B141" s="692"/>
      <c r="C141" s="842"/>
      <c r="D141" s="843"/>
      <c r="E141" s="514"/>
      <c r="F141" s="515"/>
      <c r="G141" s="514"/>
      <c r="H141" s="514"/>
      <c r="I141" s="516"/>
      <c r="J141" s="516"/>
    </row>
    <row r="142" spans="1:10" ht="16.5" x14ac:dyDescent="0.6">
      <c r="A142" s="696"/>
      <c r="B142" s="697">
        <v>9.0440000000000005</v>
      </c>
      <c r="C142" s="883" t="s">
        <v>337</v>
      </c>
      <c r="D142" s="845" t="s">
        <v>338</v>
      </c>
      <c r="E142" s="845">
        <v>6.3</v>
      </c>
      <c r="F142" s="846">
        <v>14</v>
      </c>
      <c r="G142" s="845">
        <v>88.2</v>
      </c>
      <c r="H142" s="845">
        <v>99.67</v>
      </c>
      <c r="I142" s="847"/>
      <c r="J142" s="847"/>
    </row>
    <row r="143" spans="1:10" ht="16.5" x14ac:dyDescent="0.6">
      <c r="A143" s="696"/>
      <c r="B143" s="697">
        <v>9.0449999999999999</v>
      </c>
      <c r="C143" s="702" t="s">
        <v>339</v>
      </c>
      <c r="D143" s="703" t="s">
        <v>340</v>
      </c>
      <c r="E143" s="703">
        <v>3.99</v>
      </c>
      <c r="F143" s="704">
        <v>6</v>
      </c>
      <c r="G143" s="703">
        <v>23.94</v>
      </c>
      <c r="H143" s="703">
        <v>27.05</v>
      </c>
      <c r="I143" s="705"/>
      <c r="J143" s="705"/>
    </row>
    <row r="144" spans="1:10" ht="16.5" x14ac:dyDescent="0.6">
      <c r="A144" s="696"/>
      <c r="B144" s="697">
        <v>9.0459999999999994</v>
      </c>
      <c r="C144" s="883" t="s">
        <v>341</v>
      </c>
      <c r="D144" s="845" t="s">
        <v>342</v>
      </c>
      <c r="E144" s="845">
        <v>4.5</v>
      </c>
      <c r="F144" s="846">
        <v>2</v>
      </c>
      <c r="G144" s="845">
        <v>9</v>
      </c>
      <c r="H144" s="845">
        <v>10.17</v>
      </c>
      <c r="I144" s="847"/>
      <c r="J144" s="847"/>
    </row>
    <row r="145" spans="1:10" ht="16.5" x14ac:dyDescent="0.6">
      <c r="A145" s="696"/>
      <c r="B145" s="697">
        <v>9.0470000000000006</v>
      </c>
      <c r="C145" s="702" t="s">
        <v>343</v>
      </c>
      <c r="D145" s="703" t="s">
        <v>344</v>
      </c>
      <c r="E145" s="703">
        <v>19.84</v>
      </c>
      <c r="F145" s="704">
        <v>1</v>
      </c>
      <c r="G145" s="703">
        <v>19.84</v>
      </c>
      <c r="H145" s="703">
        <v>22.42</v>
      </c>
      <c r="I145" s="705"/>
      <c r="J145" s="705"/>
    </row>
    <row r="146" spans="1:10" ht="16.5" x14ac:dyDescent="0.6">
      <c r="A146" s="696"/>
      <c r="B146" s="697">
        <v>9.048</v>
      </c>
      <c r="C146" s="883" t="s">
        <v>345</v>
      </c>
      <c r="D146" s="845" t="s">
        <v>346</v>
      </c>
      <c r="E146" s="845">
        <v>102</v>
      </c>
      <c r="F146" s="846">
        <v>1</v>
      </c>
      <c r="G146" s="845">
        <v>102</v>
      </c>
      <c r="H146" s="845">
        <v>115.26</v>
      </c>
      <c r="I146" s="847"/>
      <c r="J146" s="847">
        <v>214.7</v>
      </c>
    </row>
    <row r="147" spans="1:10" ht="16.5" x14ac:dyDescent="0.6">
      <c r="A147" s="696"/>
      <c r="B147" s="697">
        <v>9.0489999999999995</v>
      </c>
      <c r="C147" s="702" t="s">
        <v>347</v>
      </c>
      <c r="D147" s="703" t="s">
        <v>348</v>
      </c>
      <c r="E147" s="703">
        <v>100</v>
      </c>
      <c r="F147" s="704">
        <v>1</v>
      </c>
      <c r="G147" s="703">
        <v>100</v>
      </c>
      <c r="H147" s="703">
        <v>113</v>
      </c>
      <c r="I147" s="705"/>
      <c r="J147" s="705"/>
    </row>
    <row r="148" spans="1:10" ht="16.5" x14ac:dyDescent="0.6">
      <c r="A148" s="696"/>
      <c r="B148" s="697">
        <v>9.0500000000000007</v>
      </c>
      <c r="C148" s="883" t="s">
        <v>349</v>
      </c>
      <c r="D148" s="845" t="s">
        <v>350</v>
      </c>
      <c r="E148" s="845">
        <v>20</v>
      </c>
      <c r="F148" s="846">
        <v>1</v>
      </c>
      <c r="G148" s="845">
        <v>20</v>
      </c>
      <c r="H148" s="845">
        <v>22.6</v>
      </c>
      <c r="I148" s="847"/>
      <c r="J148" s="847">
        <v>0</v>
      </c>
    </row>
    <row r="149" spans="1:10" ht="16.5" x14ac:dyDescent="0.6">
      <c r="A149" s="853"/>
      <c r="B149" s="891"/>
      <c r="C149" s="702"/>
      <c r="D149" s="703"/>
      <c r="E149" s="703"/>
      <c r="F149" s="704"/>
      <c r="G149" s="703"/>
      <c r="H149" s="703"/>
      <c r="I149" s="705"/>
      <c r="J149" s="705"/>
    </row>
    <row r="150" spans="1:10" ht="18.75" x14ac:dyDescent="0.7">
      <c r="A150" s="881"/>
      <c r="B150" s="884" t="s">
        <v>351</v>
      </c>
      <c r="C150" s="892"/>
      <c r="D150" s="805"/>
      <c r="E150" s="805"/>
      <c r="F150" s="887"/>
      <c r="G150" s="805"/>
      <c r="H150" s="805">
        <v>410.17</v>
      </c>
      <c r="I150" s="888">
        <v>0</v>
      </c>
      <c r="J150" s="888">
        <v>214.7</v>
      </c>
    </row>
    <row r="151" spans="1:10" ht="16.5" x14ac:dyDescent="0.6">
      <c r="A151" s="519"/>
      <c r="B151" s="692"/>
      <c r="C151" s="842"/>
      <c r="D151" s="843"/>
      <c r="E151" s="514"/>
      <c r="F151" s="515"/>
      <c r="G151" s="514"/>
      <c r="H151" s="514"/>
      <c r="I151" s="506"/>
      <c r="J151" s="506"/>
    </row>
    <row r="152" spans="1:10" ht="16.5" x14ac:dyDescent="0.6">
      <c r="A152" s="719" t="s">
        <v>235</v>
      </c>
      <c r="B152" s="852"/>
      <c r="C152" s="893"/>
      <c r="D152" s="894"/>
      <c r="E152" s="895"/>
      <c r="F152" s="896"/>
      <c r="G152" s="895"/>
      <c r="H152" s="895"/>
      <c r="I152" s="897"/>
      <c r="J152" s="897"/>
    </row>
    <row r="153" spans="1:10" ht="16.5" x14ac:dyDescent="0.6">
      <c r="A153" s="851" t="s">
        <v>236</v>
      </c>
      <c r="B153" s="852"/>
      <c r="C153" s="853"/>
      <c r="D153" s="703"/>
      <c r="E153" s="703"/>
      <c r="F153" s="704"/>
      <c r="G153" s="703"/>
      <c r="H153" s="703"/>
      <c r="I153" s="705"/>
      <c r="J153" s="705"/>
    </row>
    <row r="154" spans="1:10" ht="16.5" x14ac:dyDescent="0.6">
      <c r="A154" s="696"/>
      <c r="B154" s="697">
        <v>9.0510000000000002</v>
      </c>
      <c r="C154" s="883" t="s">
        <v>352</v>
      </c>
      <c r="D154" s="845" t="s">
        <v>353</v>
      </c>
      <c r="E154" s="845">
        <v>14</v>
      </c>
      <c r="F154" s="846">
        <v>12</v>
      </c>
      <c r="G154" s="845">
        <v>168</v>
      </c>
      <c r="H154" s="845">
        <v>189.84</v>
      </c>
      <c r="I154" s="847"/>
      <c r="J154" s="847"/>
    </row>
    <row r="155" spans="1:10" ht="16.5" x14ac:dyDescent="0.6">
      <c r="A155" s="696"/>
      <c r="B155" s="697">
        <v>9.0519999999999996</v>
      </c>
      <c r="C155" s="702" t="s">
        <v>354</v>
      </c>
      <c r="D155" s="703" t="s">
        <v>355</v>
      </c>
      <c r="E155" s="703">
        <v>15.5</v>
      </c>
      <c r="F155" s="704">
        <v>3</v>
      </c>
      <c r="G155" s="703">
        <v>46.5</v>
      </c>
      <c r="H155" s="703">
        <v>52.55</v>
      </c>
      <c r="I155" s="705"/>
      <c r="J155" s="705"/>
    </row>
    <row r="156" spans="1:10" ht="16.5" x14ac:dyDescent="0.6">
      <c r="A156" s="696"/>
      <c r="B156" s="697">
        <v>9.0530000000000008</v>
      </c>
      <c r="C156" s="883" t="s">
        <v>356</v>
      </c>
      <c r="D156" s="845" t="s">
        <v>357</v>
      </c>
      <c r="E156" s="845">
        <v>214.7</v>
      </c>
      <c r="F156" s="846">
        <v>2</v>
      </c>
      <c r="G156" s="845">
        <v>429.4</v>
      </c>
      <c r="H156" s="845">
        <v>485.22</v>
      </c>
      <c r="I156" s="847"/>
      <c r="J156" s="847"/>
    </row>
    <row r="157" spans="1:10" ht="16.5" x14ac:dyDescent="0.6">
      <c r="A157" s="696"/>
      <c r="B157" s="697">
        <v>9.0540000000000003</v>
      </c>
      <c r="C157" s="898" t="s">
        <v>358</v>
      </c>
      <c r="D157" s="703" t="s">
        <v>359</v>
      </c>
      <c r="E157" s="703">
        <v>4.9000000000000004</v>
      </c>
      <c r="F157" s="704">
        <v>70</v>
      </c>
      <c r="G157" s="703">
        <v>343</v>
      </c>
      <c r="H157" s="703">
        <v>387.59</v>
      </c>
      <c r="I157" s="705"/>
      <c r="J157" s="705"/>
    </row>
    <row r="158" spans="1:10" ht="16.5" x14ac:dyDescent="0.6">
      <c r="A158" s="696"/>
      <c r="B158" s="697">
        <v>9.0549999999999997</v>
      </c>
      <c r="C158" s="899" t="s">
        <v>360</v>
      </c>
      <c r="D158" s="845" t="s">
        <v>361</v>
      </c>
      <c r="E158" s="845">
        <v>2.65</v>
      </c>
      <c r="F158" s="846">
        <v>70</v>
      </c>
      <c r="G158" s="845">
        <v>185.5</v>
      </c>
      <c r="H158" s="845">
        <v>209.62</v>
      </c>
      <c r="I158" s="847"/>
      <c r="J158" s="847"/>
    </row>
    <row r="159" spans="1:10" ht="16.5" x14ac:dyDescent="0.6">
      <c r="A159" s="696"/>
      <c r="B159" s="697">
        <v>9.0559999999999992</v>
      </c>
      <c r="C159" s="898" t="s">
        <v>362</v>
      </c>
      <c r="D159" s="703"/>
      <c r="E159" s="703">
        <v>50</v>
      </c>
      <c r="F159" s="704">
        <v>1</v>
      </c>
      <c r="G159" s="703">
        <v>50</v>
      </c>
      <c r="H159" s="703">
        <v>56.5</v>
      </c>
      <c r="I159" s="705"/>
      <c r="J159" s="705"/>
    </row>
    <row r="160" spans="1:10" ht="16.5" x14ac:dyDescent="0.6">
      <c r="A160" s="696"/>
      <c r="B160" s="900"/>
      <c r="C160" s="898"/>
      <c r="D160" s="703"/>
      <c r="E160" s="703"/>
      <c r="F160" s="704"/>
      <c r="G160" s="703"/>
      <c r="H160" s="703"/>
      <c r="I160" s="705"/>
      <c r="J160" s="705"/>
    </row>
    <row r="161" spans="1:10" ht="16.5" x14ac:dyDescent="0.6">
      <c r="A161" s="696"/>
      <c r="B161" s="901" t="s">
        <v>363</v>
      </c>
      <c r="C161" s="902"/>
      <c r="D161" s="903"/>
      <c r="E161" s="903"/>
      <c r="F161" s="904"/>
      <c r="G161" s="903"/>
      <c r="H161" s="903">
        <v>1381.31</v>
      </c>
      <c r="I161" s="905">
        <v>0</v>
      </c>
      <c r="J161" s="905">
        <v>0</v>
      </c>
    </row>
    <row r="162" spans="1:10" ht="16.5" x14ac:dyDescent="0.6">
      <c r="A162" s="696"/>
      <c r="B162" s="852"/>
      <c r="C162" s="906"/>
      <c r="D162" s="895"/>
      <c r="E162" s="895"/>
      <c r="F162" s="896"/>
      <c r="G162" s="895"/>
      <c r="H162" s="895"/>
      <c r="I162" s="897"/>
      <c r="J162" s="897"/>
    </row>
    <row r="163" spans="1:10" ht="16.5" x14ac:dyDescent="0.6">
      <c r="A163" s="851" t="s">
        <v>364</v>
      </c>
      <c r="B163" s="852"/>
      <c r="C163" s="853"/>
      <c r="D163" s="703"/>
      <c r="E163" s="703"/>
      <c r="F163" s="704"/>
      <c r="G163" s="703"/>
      <c r="H163" s="703"/>
      <c r="I163" s="705"/>
      <c r="J163" s="705"/>
    </row>
    <row r="164" spans="1:10" ht="16.5" x14ac:dyDescent="0.6">
      <c r="A164" s="907"/>
      <c r="B164" s="697">
        <v>9.0570000000000004</v>
      </c>
      <c r="C164" s="883" t="s">
        <v>365</v>
      </c>
      <c r="D164" s="845" t="s">
        <v>366</v>
      </c>
      <c r="E164" s="845">
        <v>20</v>
      </c>
      <c r="F164" s="846">
        <v>2</v>
      </c>
      <c r="G164" s="845">
        <v>40</v>
      </c>
      <c r="H164" s="845">
        <v>45.2</v>
      </c>
      <c r="I164" s="847"/>
      <c r="J164" s="847"/>
    </row>
    <row r="165" spans="1:10" ht="16.5" x14ac:dyDescent="0.6">
      <c r="A165" s="907"/>
      <c r="B165" s="852"/>
      <c r="C165" s="702"/>
      <c r="D165" s="703"/>
      <c r="E165" s="703"/>
      <c r="F165" s="704"/>
      <c r="G165" s="703"/>
      <c r="H165" s="703"/>
      <c r="I165" s="705"/>
      <c r="J165" s="705"/>
    </row>
    <row r="166" spans="1:10" ht="16.5" x14ac:dyDescent="0.6">
      <c r="A166" s="696"/>
      <c r="B166" s="901" t="s">
        <v>367</v>
      </c>
      <c r="C166" s="908"/>
      <c r="D166" s="903"/>
      <c r="E166" s="903"/>
      <c r="F166" s="904"/>
      <c r="G166" s="903"/>
      <c r="H166" s="903">
        <v>45.2</v>
      </c>
      <c r="I166" s="905">
        <v>0</v>
      </c>
      <c r="J166" s="905">
        <v>0</v>
      </c>
    </row>
    <row r="167" spans="1:10" ht="16.5" x14ac:dyDescent="0.6">
      <c r="A167" s="696"/>
      <c r="B167" s="852"/>
      <c r="C167" s="909"/>
      <c r="D167" s="895"/>
      <c r="E167" s="895"/>
      <c r="F167" s="896"/>
      <c r="G167" s="895"/>
      <c r="H167" s="895"/>
      <c r="I167" s="897"/>
      <c r="J167" s="897"/>
    </row>
    <row r="168" spans="1:10" ht="16.5" x14ac:dyDescent="0.6">
      <c r="A168" s="851" t="s">
        <v>368</v>
      </c>
      <c r="B168" s="852"/>
      <c r="C168" s="853"/>
      <c r="D168" s="703"/>
      <c r="E168" s="703"/>
      <c r="F168" s="704"/>
      <c r="G168" s="703"/>
      <c r="H168" s="703"/>
      <c r="I168" s="705"/>
      <c r="J168" s="705"/>
    </row>
    <row r="169" spans="1:10" ht="16.5" x14ac:dyDescent="0.6">
      <c r="A169" s="851"/>
      <c r="B169" s="697">
        <v>9.0579999999999998</v>
      </c>
      <c r="C169" s="844" t="s">
        <v>365</v>
      </c>
      <c r="D169" s="845" t="s">
        <v>366</v>
      </c>
      <c r="E169" s="845">
        <v>305.5</v>
      </c>
      <c r="F169" s="846">
        <v>1</v>
      </c>
      <c r="G169" s="845">
        <v>305.5</v>
      </c>
      <c r="H169" s="845">
        <v>345.22</v>
      </c>
      <c r="I169" s="847"/>
      <c r="J169" s="847"/>
    </row>
    <row r="170" spans="1:10" ht="16.5" x14ac:dyDescent="0.6">
      <c r="A170" s="696"/>
      <c r="B170" s="900"/>
      <c r="C170" s="866"/>
      <c r="D170" s="703"/>
      <c r="E170" s="703"/>
      <c r="F170" s="704"/>
      <c r="G170" s="703"/>
      <c r="H170" s="703"/>
      <c r="I170" s="705"/>
      <c r="J170" s="705"/>
    </row>
    <row r="171" spans="1:10" ht="16.5" x14ac:dyDescent="0.6">
      <c r="A171" s="696"/>
      <c r="B171" s="901" t="s">
        <v>369</v>
      </c>
      <c r="C171" s="908"/>
      <c r="D171" s="903"/>
      <c r="E171" s="903"/>
      <c r="F171" s="904"/>
      <c r="G171" s="903"/>
      <c r="H171" s="903">
        <v>345.22</v>
      </c>
      <c r="I171" s="905">
        <v>0</v>
      </c>
      <c r="J171" s="905">
        <v>0</v>
      </c>
    </row>
    <row r="172" spans="1:10" ht="16.5" x14ac:dyDescent="0.6">
      <c r="A172" s="696"/>
      <c r="B172" s="852"/>
      <c r="C172" s="909"/>
      <c r="D172" s="895"/>
      <c r="E172" s="895"/>
      <c r="F172" s="896"/>
      <c r="G172" s="895"/>
      <c r="H172" s="895"/>
      <c r="I172" s="897"/>
      <c r="J172" s="897"/>
    </row>
    <row r="173" spans="1:10" ht="16.5" x14ac:dyDescent="0.6">
      <c r="A173" s="851" t="s">
        <v>370</v>
      </c>
      <c r="B173" s="852"/>
      <c r="C173" s="853"/>
      <c r="D173" s="853"/>
      <c r="E173" s="853"/>
      <c r="F173" s="853"/>
      <c r="G173" s="853"/>
      <c r="H173" s="853"/>
      <c r="I173" s="910"/>
      <c r="J173" s="910"/>
    </row>
    <row r="174" spans="1:10" ht="16.5" x14ac:dyDescent="0.6">
      <c r="A174" s="853"/>
      <c r="B174" s="697">
        <v>9.0589999999999993</v>
      </c>
      <c r="C174" s="844" t="s">
        <v>371</v>
      </c>
      <c r="D174" s="845" t="s">
        <v>372</v>
      </c>
      <c r="E174" s="845">
        <v>50</v>
      </c>
      <c r="F174" s="846">
        <v>1</v>
      </c>
      <c r="G174" s="845">
        <v>50</v>
      </c>
      <c r="H174" s="845">
        <v>50</v>
      </c>
      <c r="I174" s="847"/>
      <c r="J174" s="847"/>
    </row>
    <row r="175" spans="1:10" ht="16.5" x14ac:dyDescent="0.6">
      <c r="A175" s="696"/>
      <c r="B175" s="852"/>
      <c r="C175" s="866"/>
      <c r="D175" s="703"/>
      <c r="E175" s="703"/>
      <c r="F175" s="704"/>
      <c r="G175" s="703"/>
      <c r="H175" s="703"/>
      <c r="I175" s="705"/>
      <c r="J175" s="705"/>
    </row>
    <row r="176" spans="1:10" ht="16.5" x14ac:dyDescent="0.6">
      <c r="A176" s="696"/>
      <c r="B176" s="901" t="s">
        <v>373</v>
      </c>
      <c r="C176" s="908"/>
      <c r="D176" s="903"/>
      <c r="E176" s="903"/>
      <c r="F176" s="904"/>
      <c r="G176" s="903"/>
      <c r="H176" s="903">
        <v>50</v>
      </c>
      <c r="I176" s="905">
        <v>0</v>
      </c>
      <c r="J176" s="905">
        <v>0</v>
      </c>
    </row>
    <row r="177" spans="1:10" ht="16.5" x14ac:dyDescent="0.6">
      <c r="A177" s="696"/>
      <c r="B177" s="852"/>
      <c r="C177" s="909"/>
      <c r="D177" s="895"/>
      <c r="E177" s="895"/>
      <c r="F177" s="896"/>
      <c r="G177" s="895"/>
      <c r="H177" s="895"/>
      <c r="I177" s="897"/>
      <c r="J177" s="897"/>
    </row>
    <row r="178" spans="1:10" ht="16.5" x14ac:dyDescent="0.6">
      <c r="A178" s="911" t="s">
        <v>374</v>
      </c>
      <c r="B178" s="912"/>
      <c r="C178" s="913"/>
      <c r="D178" s="913"/>
      <c r="E178" s="913"/>
      <c r="F178" s="913"/>
      <c r="G178" s="913"/>
      <c r="H178" s="913"/>
      <c r="I178" s="914"/>
      <c r="J178" s="914"/>
    </row>
    <row r="179" spans="1:10" ht="16.5" x14ac:dyDescent="0.6">
      <c r="A179" s="696"/>
      <c r="B179" s="697">
        <v>9.06</v>
      </c>
      <c r="C179" s="844" t="s">
        <v>375</v>
      </c>
      <c r="D179" s="845" t="s">
        <v>376</v>
      </c>
      <c r="E179" s="845">
        <v>10</v>
      </c>
      <c r="F179" s="846">
        <v>13</v>
      </c>
      <c r="G179" s="845">
        <v>130</v>
      </c>
      <c r="H179" s="845">
        <v>146.9</v>
      </c>
      <c r="I179" s="847"/>
      <c r="J179" s="847"/>
    </row>
    <row r="180" spans="1:10" ht="16.5" x14ac:dyDescent="0.6">
      <c r="A180" s="719"/>
      <c r="B180" s="697">
        <v>9.0609999999999999</v>
      </c>
      <c r="C180" s="734" t="s">
        <v>377</v>
      </c>
      <c r="D180" s="703" t="s">
        <v>378</v>
      </c>
      <c r="E180" s="703">
        <v>5</v>
      </c>
      <c r="F180" s="704">
        <v>1</v>
      </c>
      <c r="G180" s="703">
        <v>5</v>
      </c>
      <c r="H180" s="915">
        <v>5.65</v>
      </c>
      <c r="I180" s="705"/>
      <c r="J180" s="705"/>
    </row>
    <row r="181" spans="1:10" ht="16.5" x14ac:dyDescent="0.6">
      <c r="A181" s="719"/>
      <c r="B181" s="697">
        <v>9.0619999999999994</v>
      </c>
      <c r="C181" s="844" t="s">
        <v>379</v>
      </c>
      <c r="D181" s="845" t="s">
        <v>380</v>
      </c>
      <c r="E181" s="845">
        <v>45</v>
      </c>
      <c r="F181" s="846">
        <v>12</v>
      </c>
      <c r="G181" s="845">
        <v>540</v>
      </c>
      <c r="H181" s="845">
        <v>610.20000000000005</v>
      </c>
      <c r="I181" s="847"/>
      <c r="J181" s="847"/>
    </row>
    <row r="182" spans="1:10" ht="16.5" x14ac:dyDescent="0.6">
      <c r="A182" s="719"/>
      <c r="B182" s="697">
        <v>9.0630000000000006</v>
      </c>
      <c r="C182" s="734" t="s">
        <v>381</v>
      </c>
      <c r="D182" s="703" t="s">
        <v>382</v>
      </c>
      <c r="E182" s="703">
        <v>35</v>
      </c>
      <c r="F182" s="704">
        <v>1</v>
      </c>
      <c r="G182" s="703">
        <v>35</v>
      </c>
      <c r="H182" s="915">
        <v>39.549999999999997</v>
      </c>
      <c r="I182" s="705"/>
      <c r="J182" s="705"/>
    </row>
    <row r="183" spans="1:10" ht="16.5" x14ac:dyDescent="0.6">
      <c r="A183" s="719"/>
      <c r="B183" s="697">
        <v>9.0640000000000001</v>
      </c>
      <c r="C183" s="844" t="s">
        <v>383</v>
      </c>
      <c r="D183" s="845" t="s">
        <v>384</v>
      </c>
      <c r="E183" s="845">
        <v>56</v>
      </c>
      <c r="F183" s="846">
        <v>1</v>
      </c>
      <c r="G183" s="845">
        <v>56</v>
      </c>
      <c r="H183" s="845">
        <v>63.28</v>
      </c>
      <c r="I183" s="847"/>
      <c r="J183" s="847"/>
    </row>
    <row r="184" spans="1:10" ht="16.5" x14ac:dyDescent="0.6">
      <c r="A184" s="719"/>
      <c r="B184" s="697">
        <v>9.0649999999999995</v>
      </c>
      <c r="C184" s="734" t="s">
        <v>385</v>
      </c>
      <c r="D184" s="703" t="s">
        <v>386</v>
      </c>
      <c r="E184" s="703">
        <v>131.52000000000001</v>
      </c>
      <c r="F184" s="704">
        <v>2</v>
      </c>
      <c r="G184" s="703">
        <v>263.04000000000002</v>
      </c>
      <c r="H184" s="915">
        <v>297.24</v>
      </c>
      <c r="I184" s="705"/>
      <c r="J184" s="705"/>
    </row>
    <row r="185" spans="1:10" ht="16.5" x14ac:dyDescent="0.6">
      <c r="A185" s="719"/>
      <c r="B185" s="697">
        <v>9.0660000000000007</v>
      </c>
      <c r="C185" s="844" t="s">
        <v>387</v>
      </c>
      <c r="D185" s="845" t="s">
        <v>388</v>
      </c>
      <c r="E185" s="845">
        <v>5</v>
      </c>
      <c r="F185" s="846">
        <v>28</v>
      </c>
      <c r="G185" s="845">
        <v>140</v>
      </c>
      <c r="H185" s="845">
        <v>158.19999999999999</v>
      </c>
      <c r="I185" s="847"/>
      <c r="J185" s="847"/>
    </row>
    <row r="186" spans="1:10" ht="16.5" x14ac:dyDescent="0.6">
      <c r="A186" s="719"/>
      <c r="B186" s="697">
        <v>9.0670000000000002</v>
      </c>
      <c r="C186" s="702" t="s">
        <v>389</v>
      </c>
      <c r="D186" s="703" t="s">
        <v>390</v>
      </c>
      <c r="E186" s="703">
        <v>20</v>
      </c>
      <c r="F186" s="704">
        <v>2</v>
      </c>
      <c r="G186" s="703">
        <v>40</v>
      </c>
      <c r="H186" s="915">
        <v>45.2</v>
      </c>
      <c r="I186" s="705"/>
      <c r="J186" s="705"/>
    </row>
    <row r="187" spans="1:10" ht="16.5" x14ac:dyDescent="0.6">
      <c r="A187" s="719"/>
      <c r="B187" s="697">
        <v>9.0679999999999996</v>
      </c>
      <c r="C187" s="883" t="s">
        <v>391</v>
      </c>
      <c r="D187" s="845" t="s">
        <v>392</v>
      </c>
      <c r="E187" s="845">
        <v>10</v>
      </c>
      <c r="F187" s="846">
        <v>4</v>
      </c>
      <c r="G187" s="845">
        <v>40</v>
      </c>
      <c r="H187" s="845">
        <v>45.2</v>
      </c>
      <c r="I187" s="847"/>
      <c r="J187" s="847"/>
    </row>
    <row r="188" spans="1:10" ht="16.5" x14ac:dyDescent="0.6">
      <c r="A188" s="719"/>
      <c r="B188" s="916"/>
      <c r="C188" s="702"/>
      <c r="D188" s="703"/>
      <c r="E188" s="703"/>
      <c r="F188" s="704"/>
      <c r="G188" s="703"/>
      <c r="H188" s="703"/>
      <c r="I188" s="705"/>
      <c r="J188" s="705"/>
    </row>
    <row r="189" spans="1:10" ht="16.5" x14ac:dyDescent="0.6">
      <c r="A189" s="719"/>
      <c r="B189" s="901" t="s">
        <v>393</v>
      </c>
      <c r="C189" s="908"/>
      <c r="D189" s="903"/>
      <c r="E189" s="903"/>
      <c r="F189" s="904"/>
      <c r="G189" s="903"/>
      <c r="H189" s="903">
        <v>1411.42</v>
      </c>
      <c r="I189" s="905">
        <v>0</v>
      </c>
      <c r="J189" s="905">
        <v>0</v>
      </c>
    </row>
    <row r="190" spans="1:10" ht="16.5" x14ac:dyDescent="0.6">
      <c r="A190" s="719"/>
      <c r="B190" s="852"/>
      <c r="C190" s="909"/>
      <c r="D190" s="895"/>
      <c r="E190" s="895"/>
      <c r="F190" s="896"/>
      <c r="G190" s="895"/>
      <c r="H190" s="895"/>
      <c r="I190" s="897"/>
      <c r="J190" s="897"/>
    </row>
    <row r="191" spans="1:10" ht="16.5" x14ac:dyDescent="0.6">
      <c r="A191" s="911" t="s">
        <v>394</v>
      </c>
      <c r="B191" s="912"/>
      <c r="C191" s="913"/>
      <c r="D191" s="913"/>
      <c r="E191" s="913"/>
      <c r="F191" s="913"/>
      <c r="G191" s="913"/>
      <c r="H191" s="913"/>
      <c r="I191" s="914"/>
      <c r="J191" s="914"/>
    </row>
    <row r="192" spans="1:10" ht="16.5" x14ac:dyDescent="0.6">
      <c r="A192" s="853"/>
      <c r="B192" s="697">
        <v>9.0690000000000008</v>
      </c>
      <c r="C192" s="844" t="s">
        <v>395</v>
      </c>
      <c r="D192" s="845" t="s">
        <v>396</v>
      </c>
      <c r="E192" s="845">
        <v>0</v>
      </c>
      <c r="F192" s="846">
        <v>1</v>
      </c>
      <c r="G192" s="845">
        <v>0</v>
      </c>
      <c r="H192" s="845">
        <v>0</v>
      </c>
      <c r="I192" s="847"/>
      <c r="J192" s="847"/>
    </row>
    <row r="193" spans="1:10" ht="16.5" x14ac:dyDescent="0.6">
      <c r="A193" s="696"/>
      <c r="B193" s="697">
        <v>9.07</v>
      </c>
      <c r="C193" s="866" t="s">
        <v>397</v>
      </c>
      <c r="D193" s="703" t="s">
        <v>398</v>
      </c>
      <c r="E193" s="703">
        <v>150</v>
      </c>
      <c r="F193" s="704">
        <v>1</v>
      </c>
      <c r="G193" s="703">
        <v>150</v>
      </c>
      <c r="H193" s="915">
        <v>169.5</v>
      </c>
      <c r="I193" s="705"/>
      <c r="J193" s="705"/>
    </row>
    <row r="194" spans="1:10" ht="16.5" x14ac:dyDescent="0.6">
      <c r="A194" s="853"/>
      <c r="B194" s="697">
        <v>9.0709999999999997</v>
      </c>
      <c r="C194" s="863" t="s">
        <v>399</v>
      </c>
      <c r="D194" s="845" t="s">
        <v>400</v>
      </c>
      <c r="E194" s="845">
        <v>10</v>
      </c>
      <c r="F194" s="846">
        <v>4</v>
      </c>
      <c r="G194" s="845">
        <v>40</v>
      </c>
      <c r="H194" s="845">
        <v>45.2</v>
      </c>
      <c r="I194" s="847"/>
      <c r="J194" s="847"/>
    </row>
    <row r="195" spans="1:10" ht="16.5" x14ac:dyDescent="0.6">
      <c r="A195" s="853"/>
      <c r="B195" s="852"/>
      <c r="C195" s="866"/>
      <c r="D195" s="703"/>
      <c r="E195" s="703"/>
      <c r="F195" s="704"/>
      <c r="G195" s="703"/>
      <c r="H195" s="703"/>
      <c r="I195" s="705"/>
      <c r="J195" s="705"/>
    </row>
    <row r="196" spans="1:10" ht="16.5" x14ac:dyDescent="0.6">
      <c r="A196" s="853"/>
      <c r="B196" s="901" t="s">
        <v>401</v>
      </c>
      <c r="C196" s="908"/>
      <c r="D196" s="903"/>
      <c r="E196" s="903"/>
      <c r="F196" s="904"/>
      <c r="G196" s="903"/>
      <c r="H196" s="903">
        <v>214.7</v>
      </c>
      <c r="I196" s="905">
        <v>0</v>
      </c>
      <c r="J196" s="905">
        <v>0</v>
      </c>
    </row>
    <row r="197" spans="1:10" ht="16.5" x14ac:dyDescent="0.6">
      <c r="A197" s="853"/>
      <c r="B197" s="852"/>
      <c r="C197" s="909"/>
      <c r="D197" s="895"/>
      <c r="E197" s="895"/>
      <c r="F197" s="896"/>
      <c r="G197" s="895"/>
      <c r="H197" s="895"/>
      <c r="I197" s="897"/>
      <c r="J197" s="897"/>
    </row>
    <row r="198" spans="1:10" ht="16.5" x14ac:dyDescent="0.6">
      <c r="A198" s="851" t="s">
        <v>402</v>
      </c>
      <c r="B198" s="852"/>
      <c r="C198" s="909"/>
      <c r="D198" s="895"/>
      <c r="E198" s="895"/>
      <c r="F198" s="896"/>
      <c r="G198" s="895"/>
      <c r="H198" s="895"/>
      <c r="I198" s="897"/>
      <c r="J198" s="897"/>
    </row>
    <row r="199" spans="1:10" ht="16.5" x14ac:dyDescent="0.6">
      <c r="A199" s="719"/>
      <c r="B199" s="697">
        <v>9.0719999999999992</v>
      </c>
      <c r="C199" s="844" t="s">
        <v>403</v>
      </c>
      <c r="D199" s="845" t="s">
        <v>404</v>
      </c>
      <c r="E199" s="845">
        <v>5.99</v>
      </c>
      <c r="F199" s="846">
        <v>20</v>
      </c>
      <c r="G199" s="845">
        <v>119.8</v>
      </c>
      <c r="H199" s="845">
        <v>135.37</v>
      </c>
      <c r="I199" s="847"/>
      <c r="J199" s="847"/>
    </row>
    <row r="200" spans="1:10" ht="16.5" x14ac:dyDescent="0.6">
      <c r="A200" s="696"/>
      <c r="B200" s="697">
        <v>9.0730000000000004</v>
      </c>
      <c r="C200" s="734" t="s">
        <v>405</v>
      </c>
      <c r="D200" s="703" t="s">
        <v>404</v>
      </c>
      <c r="E200" s="703">
        <v>4.79</v>
      </c>
      <c r="F200" s="704">
        <v>4</v>
      </c>
      <c r="G200" s="703">
        <v>19.16</v>
      </c>
      <c r="H200" s="703">
        <v>21.65</v>
      </c>
      <c r="I200" s="705"/>
      <c r="J200" s="705"/>
    </row>
    <row r="201" spans="1:10" ht="16.5" x14ac:dyDescent="0.6">
      <c r="A201" s="853"/>
      <c r="B201" s="697">
        <v>9.0739999999999998</v>
      </c>
      <c r="C201" s="863" t="s">
        <v>406</v>
      </c>
      <c r="D201" s="845" t="s">
        <v>407</v>
      </c>
      <c r="E201" s="845">
        <v>200</v>
      </c>
      <c r="F201" s="846">
        <v>1</v>
      </c>
      <c r="G201" s="845">
        <v>200</v>
      </c>
      <c r="H201" s="845">
        <v>226</v>
      </c>
      <c r="I201" s="847"/>
      <c r="J201" s="847"/>
    </row>
    <row r="202" spans="1:10" ht="16.5" x14ac:dyDescent="0.6">
      <c r="A202" s="719"/>
      <c r="B202" s="697">
        <v>9.0749999999999993</v>
      </c>
      <c r="C202" s="866" t="s">
        <v>408</v>
      </c>
      <c r="D202" s="703" t="s">
        <v>409</v>
      </c>
      <c r="E202" s="703">
        <v>40</v>
      </c>
      <c r="F202" s="704">
        <v>2</v>
      </c>
      <c r="G202" s="703">
        <v>80</v>
      </c>
      <c r="H202" s="915">
        <v>90.4</v>
      </c>
      <c r="I202" s="705"/>
      <c r="J202" s="705"/>
    </row>
    <row r="203" spans="1:10" ht="16.5" x14ac:dyDescent="0.6">
      <c r="A203" s="719"/>
      <c r="B203" s="852"/>
      <c r="C203" s="734"/>
      <c r="D203" s="703"/>
      <c r="E203" s="703"/>
      <c r="F203" s="704"/>
      <c r="G203" s="703"/>
      <c r="H203" s="703"/>
      <c r="I203" s="705"/>
      <c r="J203" s="705"/>
    </row>
    <row r="204" spans="1:10" ht="16.5" x14ac:dyDescent="0.6">
      <c r="A204" s="719"/>
      <c r="B204" s="901" t="s">
        <v>410</v>
      </c>
      <c r="C204" s="908"/>
      <c r="D204" s="903"/>
      <c r="E204" s="903"/>
      <c r="F204" s="904"/>
      <c r="G204" s="903"/>
      <c r="H204" s="903">
        <v>473.42</v>
      </c>
      <c r="I204" s="905">
        <v>0</v>
      </c>
      <c r="J204" s="905">
        <v>0</v>
      </c>
    </row>
    <row r="205" spans="1:10" ht="16.5" x14ac:dyDescent="0.6">
      <c r="A205" s="719"/>
      <c r="B205" s="852"/>
      <c r="C205" s="917"/>
      <c r="D205" s="918"/>
      <c r="E205" s="918"/>
      <c r="F205" s="919"/>
      <c r="G205" s="918"/>
      <c r="H205" s="918"/>
      <c r="I205" s="920"/>
      <c r="J205" s="920"/>
    </row>
    <row r="206" spans="1:10" ht="16.5" x14ac:dyDescent="0.6">
      <c r="A206" s="851" t="s">
        <v>411</v>
      </c>
      <c r="B206" s="852"/>
      <c r="C206" s="853"/>
      <c r="D206" s="853"/>
      <c r="E206" s="853"/>
      <c r="F206" s="853"/>
      <c r="G206" s="853"/>
      <c r="H206" s="853"/>
      <c r="I206" s="910"/>
      <c r="J206" s="910"/>
    </row>
    <row r="207" spans="1:10" ht="16.5" x14ac:dyDescent="0.6">
      <c r="A207" s="719"/>
      <c r="B207" s="697">
        <v>9.0760000000000005</v>
      </c>
      <c r="C207" s="883" t="s">
        <v>412</v>
      </c>
      <c r="D207" s="845" t="s">
        <v>413</v>
      </c>
      <c r="E207" s="845">
        <v>35</v>
      </c>
      <c r="F207" s="846">
        <v>13</v>
      </c>
      <c r="G207" s="845">
        <v>455</v>
      </c>
      <c r="H207" s="845">
        <v>514.15</v>
      </c>
      <c r="I207" s="847"/>
      <c r="J207" s="847"/>
    </row>
    <row r="208" spans="1:10" ht="16.5" x14ac:dyDescent="0.6">
      <c r="A208" s="853"/>
      <c r="B208" s="697">
        <v>9.077</v>
      </c>
      <c r="C208" s="898" t="s">
        <v>414</v>
      </c>
      <c r="D208" s="703" t="s">
        <v>415</v>
      </c>
      <c r="E208" s="703">
        <v>10</v>
      </c>
      <c r="F208" s="704">
        <v>1</v>
      </c>
      <c r="G208" s="703">
        <v>10</v>
      </c>
      <c r="H208" s="703">
        <v>11.3</v>
      </c>
      <c r="I208" s="705"/>
      <c r="J208" s="705"/>
    </row>
    <row r="209" spans="1:10" ht="16.5" x14ac:dyDescent="0.6">
      <c r="A209" s="719"/>
      <c r="B209" s="852"/>
      <c r="C209" s="866"/>
      <c r="D209" s="734"/>
      <c r="E209" s="921"/>
      <c r="F209" s="734"/>
      <c r="G209" s="921"/>
      <c r="H209" s="703"/>
      <c r="I209" s="705"/>
      <c r="J209" s="705"/>
    </row>
    <row r="210" spans="1:10" ht="16.5" x14ac:dyDescent="0.6">
      <c r="A210" s="719"/>
      <c r="B210" s="901" t="s">
        <v>416</v>
      </c>
      <c r="C210" s="908"/>
      <c r="D210" s="903"/>
      <c r="E210" s="903"/>
      <c r="F210" s="904"/>
      <c r="G210" s="903"/>
      <c r="H210" s="903">
        <v>525.45000000000005</v>
      </c>
      <c r="I210" s="905">
        <v>0</v>
      </c>
      <c r="J210" s="905">
        <v>0</v>
      </c>
    </row>
    <row r="211" spans="1:10" ht="16.5" x14ac:dyDescent="0.6">
      <c r="A211" s="853"/>
      <c r="B211" s="852"/>
      <c r="C211" s="909"/>
      <c r="D211" s="895"/>
      <c r="E211" s="895"/>
      <c r="F211" s="896"/>
      <c r="G211" s="895"/>
      <c r="H211" s="895"/>
      <c r="I211" s="897"/>
      <c r="J211" s="897"/>
    </row>
    <row r="212" spans="1:10" ht="16.5" x14ac:dyDescent="0.6">
      <c r="A212" s="696"/>
      <c r="B212" s="884" t="s">
        <v>417</v>
      </c>
      <c r="C212" s="885"/>
      <c r="D212" s="886"/>
      <c r="E212" s="805"/>
      <c r="F212" s="887"/>
      <c r="G212" s="805"/>
      <c r="H212" s="805">
        <v>4446.72</v>
      </c>
      <c r="I212" s="888">
        <v>0</v>
      </c>
      <c r="J212" s="888">
        <v>0</v>
      </c>
    </row>
    <row r="213" spans="1:10" ht="16.5" x14ac:dyDescent="0.6">
      <c r="A213" s="519"/>
      <c r="B213" s="692"/>
      <c r="C213" s="842"/>
      <c r="D213" s="843"/>
      <c r="E213" s="514"/>
      <c r="F213" s="515"/>
      <c r="G213" s="514"/>
      <c r="H213" s="514"/>
      <c r="I213" s="506"/>
      <c r="J213" s="506"/>
    </row>
    <row r="214" spans="1:10" ht="16.5" x14ac:dyDescent="0.6">
      <c r="A214" s="510" t="s">
        <v>245</v>
      </c>
      <c r="B214" s="692"/>
      <c r="C214" s="520"/>
      <c r="D214" s="521"/>
      <c r="E214" s="521"/>
      <c r="F214" s="522"/>
      <c r="G214" s="521"/>
      <c r="H214" s="521"/>
      <c r="I214" s="523"/>
      <c r="J214" s="523"/>
    </row>
    <row r="215" spans="1:10" ht="16.5" x14ac:dyDescent="0.6">
      <c r="A215" s="741" t="s">
        <v>265</v>
      </c>
      <c r="B215" s="922"/>
      <c r="C215" s="743"/>
      <c r="D215" s="746"/>
      <c r="E215" s="746"/>
      <c r="F215" s="768"/>
      <c r="G215" s="746"/>
      <c r="H215" s="746"/>
      <c r="I215" s="747"/>
      <c r="J215" s="747"/>
    </row>
    <row r="216" spans="1:10" ht="16.5" x14ac:dyDescent="0.6">
      <c r="A216" s="923"/>
      <c r="B216" s="697">
        <v>9.0779999999999994</v>
      </c>
      <c r="C216" s="883" t="s">
        <v>418</v>
      </c>
      <c r="D216" s="845" t="s">
        <v>419</v>
      </c>
      <c r="E216" s="845">
        <v>20</v>
      </c>
      <c r="F216" s="846">
        <v>10</v>
      </c>
      <c r="G216" s="845">
        <v>200</v>
      </c>
      <c r="H216" s="845">
        <v>226</v>
      </c>
      <c r="I216" s="847"/>
      <c r="J216" s="847"/>
    </row>
    <row r="217" spans="1:10" ht="16.5" x14ac:dyDescent="0.6">
      <c r="A217" s="923"/>
      <c r="B217" s="697">
        <v>9.0790000000000006</v>
      </c>
      <c r="C217" s="702" t="s">
        <v>420</v>
      </c>
      <c r="D217" s="703" t="s">
        <v>421</v>
      </c>
      <c r="E217" s="703">
        <v>3</v>
      </c>
      <c r="F217" s="704">
        <v>10</v>
      </c>
      <c r="G217" s="703">
        <v>30</v>
      </c>
      <c r="H217" s="703">
        <v>33.9</v>
      </c>
      <c r="I217" s="705"/>
      <c r="J217" s="705"/>
    </row>
    <row r="218" spans="1:10" ht="16.5" x14ac:dyDescent="0.6">
      <c r="A218" s="923"/>
      <c r="B218" s="697">
        <v>9.08</v>
      </c>
      <c r="C218" s="883" t="s">
        <v>422</v>
      </c>
      <c r="D218" s="845" t="s">
        <v>423</v>
      </c>
      <c r="E218" s="845">
        <v>5</v>
      </c>
      <c r="F218" s="846">
        <v>2</v>
      </c>
      <c r="G218" s="845">
        <v>10</v>
      </c>
      <c r="H218" s="845">
        <v>11.3</v>
      </c>
      <c r="I218" s="847"/>
      <c r="J218" s="847"/>
    </row>
    <row r="219" spans="1:10" ht="16.5" x14ac:dyDescent="0.6">
      <c r="A219" s="923"/>
      <c r="B219" s="697">
        <v>9.0809999999999995</v>
      </c>
      <c r="C219" s="702" t="s">
        <v>424</v>
      </c>
      <c r="D219" s="703" t="s">
        <v>425</v>
      </c>
      <c r="E219" s="703">
        <v>10</v>
      </c>
      <c r="F219" s="704">
        <v>1</v>
      </c>
      <c r="G219" s="703">
        <v>10</v>
      </c>
      <c r="H219" s="703">
        <v>11.3</v>
      </c>
      <c r="I219" s="705"/>
      <c r="J219" s="705"/>
    </row>
    <row r="220" spans="1:10" ht="16.5" x14ac:dyDescent="0.6">
      <c r="A220" s="923"/>
      <c r="B220" s="697">
        <v>9.0820000000000007</v>
      </c>
      <c r="C220" s="883" t="s">
        <v>426</v>
      </c>
      <c r="D220" s="845" t="s">
        <v>427</v>
      </c>
      <c r="E220" s="845">
        <v>20</v>
      </c>
      <c r="F220" s="846">
        <v>1</v>
      </c>
      <c r="G220" s="845">
        <v>20</v>
      </c>
      <c r="H220" s="845">
        <v>22.6</v>
      </c>
      <c r="I220" s="847"/>
      <c r="J220" s="847"/>
    </row>
    <row r="221" spans="1:10" ht="16.5" x14ac:dyDescent="0.6">
      <c r="A221" s="923"/>
      <c r="B221" s="697">
        <v>9.0830000000000002</v>
      </c>
      <c r="C221" s="702" t="s">
        <v>428</v>
      </c>
      <c r="D221" s="703" t="s">
        <v>429</v>
      </c>
      <c r="E221" s="703">
        <v>5</v>
      </c>
      <c r="F221" s="704">
        <v>3</v>
      </c>
      <c r="G221" s="703">
        <v>15</v>
      </c>
      <c r="H221" s="703">
        <v>16.95</v>
      </c>
      <c r="I221" s="705"/>
      <c r="J221" s="705"/>
    </row>
    <row r="222" spans="1:10" ht="16.5" x14ac:dyDescent="0.6">
      <c r="A222" s="923"/>
      <c r="B222" s="924"/>
      <c r="C222" s="737"/>
      <c r="D222" s="521"/>
      <c r="E222" s="521"/>
      <c r="F222" s="522"/>
      <c r="G222" s="521"/>
      <c r="H222" s="521"/>
      <c r="I222" s="523"/>
      <c r="J222" s="523"/>
    </row>
    <row r="223" spans="1:10" ht="16.5" x14ac:dyDescent="0.6">
      <c r="A223" s="748"/>
      <c r="B223" s="925" t="s">
        <v>430</v>
      </c>
      <c r="C223" s="799"/>
      <c r="D223" s="763"/>
      <c r="E223" s="763"/>
      <c r="F223" s="800"/>
      <c r="G223" s="763"/>
      <c r="H223" s="763">
        <v>322.05</v>
      </c>
      <c r="I223" s="764">
        <v>0</v>
      </c>
      <c r="J223" s="764"/>
    </row>
    <row r="224" spans="1:10" ht="16.5" x14ac:dyDescent="0.6">
      <c r="A224" s="765"/>
      <c r="B224" s="926"/>
      <c r="C224" s="807"/>
      <c r="D224" s="769"/>
      <c r="E224" s="769"/>
      <c r="F224" s="808"/>
      <c r="G224" s="769"/>
      <c r="H224" s="769"/>
      <c r="I224" s="770"/>
      <c r="J224" s="770"/>
    </row>
    <row r="225" spans="1:10" ht="16.5" x14ac:dyDescent="0.6">
      <c r="A225" s="741" t="s">
        <v>431</v>
      </c>
      <c r="B225" s="922"/>
      <c r="C225" s="743"/>
      <c r="D225" s="746"/>
      <c r="E225" s="746"/>
      <c r="F225" s="768"/>
      <c r="G225" s="746"/>
      <c r="H225" s="746"/>
      <c r="I225" s="747"/>
      <c r="J225" s="747"/>
    </row>
    <row r="226" spans="1:10" ht="16.5" x14ac:dyDescent="0.6">
      <c r="A226" s="927"/>
      <c r="B226" s="697">
        <v>9.0839999999999996</v>
      </c>
      <c r="C226" s="883" t="s">
        <v>432</v>
      </c>
      <c r="D226" s="845" t="s">
        <v>433</v>
      </c>
      <c r="E226" s="845">
        <v>1</v>
      </c>
      <c r="F226" s="846">
        <v>15</v>
      </c>
      <c r="G226" s="845">
        <v>15</v>
      </c>
      <c r="H226" s="845">
        <v>16.95</v>
      </c>
      <c r="I226" s="847"/>
      <c r="J226" s="847"/>
    </row>
    <row r="227" spans="1:10" ht="16.5" x14ac:dyDescent="0.6">
      <c r="A227" s="927"/>
      <c r="B227" s="697">
        <v>9.0850000000000009</v>
      </c>
      <c r="C227" s="702" t="s">
        <v>434</v>
      </c>
      <c r="D227" s="703" t="s">
        <v>435</v>
      </c>
      <c r="E227" s="703">
        <v>2</v>
      </c>
      <c r="F227" s="704">
        <v>10</v>
      </c>
      <c r="G227" s="703">
        <v>20</v>
      </c>
      <c r="H227" s="703">
        <v>22.6</v>
      </c>
      <c r="I227" s="705"/>
      <c r="J227" s="705"/>
    </row>
    <row r="228" spans="1:10" ht="16.5" x14ac:dyDescent="0.6">
      <c r="A228" s="927"/>
      <c r="B228" s="697">
        <v>9.0860000000000003</v>
      </c>
      <c r="C228" s="883" t="s">
        <v>436</v>
      </c>
      <c r="D228" s="845" t="s">
        <v>437</v>
      </c>
      <c r="E228" s="845">
        <v>7</v>
      </c>
      <c r="F228" s="846">
        <v>13</v>
      </c>
      <c r="G228" s="845">
        <v>91</v>
      </c>
      <c r="H228" s="845">
        <v>102.83</v>
      </c>
      <c r="I228" s="847"/>
      <c r="J228" s="847"/>
    </row>
    <row r="229" spans="1:10" ht="16.5" x14ac:dyDescent="0.6">
      <c r="A229" s="923"/>
      <c r="B229" s="697">
        <v>9.0869999999999997</v>
      </c>
      <c r="C229" s="702" t="s">
        <v>438</v>
      </c>
      <c r="D229" s="703" t="s">
        <v>439</v>
      </c>
      <c r="E229" s="703">
        <v>10</v>
      </c>
      <c r="F229" s="704">
        <v>1</v>
      </c>
      <c r="G229" s="703">
        <v>10</v>
      </c>
      <c r="H229" s="703">
        <v>11.3</v>
      </c>
      <c r="I229" s="705"/>
      <c r="J229" s="705"/>
    </row>
    <row r="230" spans="1:10" ht="16.5" x14ac:dyDescent="0.6">
      <c r="A230" s="923"/>
      <c r="B230" s="697">
        <v>9.0879999999999992</v>
      </c>
      <c r="C230" s="883" t="s">
        <v>440</v>
      </c>
      <c r="D230" s="845" t="s">
        <v>441</v>
      </c>
      <c r="E230" s="845">
        <v>27.85</v>
      </c>
      <c r="F230" s="846">
        <v>12</v>
      </c>
      <c r="G230" s="845">
        <v>334.2</v>
      </c>
      <c r="H230" s="845">
        <v>377.65</v>
      </c>
      <c r="I230" s="847"/>
      <c r="J230" s="847"/>
    </row>
    <row r="231" spans="1:10" ht="16.5" x14ac:dyDescent="0.6">
      <c r="A231" s="923"/>
      <c r="B231" s="900"/>
      <c r="C231" s="702"/>
      <c r="D231" s="703"/>
      <c r="E231" s="703"/>
      <c r="F231" s="704"/>
      <c r="G231" s="703"/>
      <c r="H231" s="703"/>
      <c r="I231" s="705"/>
      <c r="J231" s="705"/>
    </row>
    <row r="232" spans="1:10" ht="16.5" x14ac:dyDescent="0.6">
      <c r="A232" s="748"/>
      <c r="B232" s="925" t="s">
        <v>442</v>
      </c>
      <c r="C232" s="799"/>
      <c r="D232" s="763"/>
      <c r="E232" s="763"/>
      <c r="F232" s="800"/>
      <c r="G232" s="763"/>
      <c r="H232" s="763">
        <v>531.33000000000004</v>
      </c>
      <c r="I232" s="764">
        <v>0</v>
      </c>
      <c r="J232" s="764"/>
    </row>
    <row r="233" spans="1:10" ht="16.5" x14ac:dyDescent="0.6">
      <c r="A233" s="765"/>
      <c r="B233" s="928"/>
      <c r="C233" s="807"/>
      <c r="D233" s="769"/>
      <c r="E233" s="769"/>
      <c r="F233" s="808"/>
      <c r="G233" s="769"/>
      <c r="H233" s="769"/>
      <c r="I233" s="929"/>
      <c r="J233" s="929"/>
    </row>
    <row r="234" spans="1:10" ht="16.5" x14ac:dyDescent="0.6">
      <c r="A234" s="741" t="s">
        <v>443</v>
      </c>
      <c r="B234" s="922"/>
      <c r="C234" s="743"/>
      <c r="D234" s="746"/>
      <c r="E234" s="746"/>
      <c r="F234" s="768"/>
      <c r="G234" s="746"/>
      <c r="H234" s="746"/>
      <c r="I234" s="930"/>
      <c r="J234" s="930"/>
    </row>
    <row r="235" spans="1:10" ht="16.5" x14ac:dyDescent="0.6">
      <c r="A235" s="927" t="s">
        <v>66</v>
      </c>
      <c r="B235" s="697">
        <v>9.0890000000000004</v>
      </c>
      <c r="C235" s="883" t="s">
        <v>444</v>
      </c>
      <c r="D235" s="845" t="s">
        <v>445</v>
      </c>
      <c r="E235" s="845">
        <v>150</v>
      </c>
      <c r="F235" s="846">
        <v>3</v>
      </c>
      <c r="G235" s="845">
        <v>450</v>
      </c>
      <c r="H235" s="845">
        <v>508.5</v>
      </c>
      <c r="I235" s="847"/>
      <c r="J235" s="847"/>
    </row>
    <row r="236" spans="1:10" ht="16.5" x14ac:dyDescent="0.6">
      <c r="A236" s="927"/>
      <c r="B236" s="697">
        <v>9.09</v>
      </c>
      <c r="C236" s="702" t="s">
        <v>446</v>
      </c>
      <c r="D236" s="703"/>
      <c r="E236" s="703">
        <v>300</v>
      </c>
      <c r="F236" s="704">
        <v>1</v>
      </c>
      <c r="G236" s="703">
        <v>300</v>
      </c>
      <c r="H236" s="703">
        <v>339</v>
      </c>
      <c r="I236" s="705"/>
      <c r="J236" s="705"/>
    </row>
    <row r="237" spans="1:10" ht="16.5" x14ac:dyDescent="0.6">
      <c r="A237" s="927"/>
      <c r="B237" s="697">
        <v>9.0909999999999993</v>
      </c>
      <c r="C237" s="883" t="s">
        <v>447</v>
      </c>
      <c r="D237" s="845" t="s">
        <v>448</v>
      </c>
      <c r="E237" s="845">
        <v>30</v>
      </c>
      <c r="F237" s="846">
        <v>3</v>
      </c>
      <c r="G237" s="845">
        <v>180</v>
      </c>
      <c r="H237" s="845">
        <v>203.4</v>
      </c>
      <c r="I237" s="847"/>
      <c r="J237" s="847"/>
    </row>
    <row r="238" spans="1:10" ht="16.5" x14ac:dyDescent="0.6">
      <c r="A238" s="927"/>
      <c r="B238" s="697">
        <v>9.0920000000000005</v>
      </c>
      <c r="C238" s="702" t="s">
        <v>449</v>
      </c>
      <c r="D238" s="703" t="s">
        <v>450</v>
      </c>
      <c r="E238" s="703">
        <v>150</v>
      </c>
      <c r="F238" s="704">
        <v>2</v>
      </c>
      <c r="G238" s="703">
        <v>300</v>
      </c>
      <c r="H238" s="703">
        <v>339</v>
      </c>
      <c r="I238" s="705"/>
      <c r="J238" s="705"/>
    </row>
    <row r="239" spans="1:10" ht="16.5" x14ac:dyDescent="0.6">
      <c r="A239" s="927"/>
      <c r="B239" s="697">
        <v>9.093</v>
      </c>
      <c r="C239" s="883" t="s">
        <v>451</v>
      </c>
      <c r="D239" s="845" t="s">
        <v>452</v>
      </c>
      <c r="E239" s="845">
        <v>150</v>
      </c>
      <c r="F239" s="846">
        <v>4</v>
      </c>
      <c r="G239" s="845">
        <v>600</v>
      </c>
      <c r="H239" s="845">
        <v>678</v>
      </c>
      <c r="I239" s="847"/>
      <c r="J239" s="847"/>
    </row>
    <row r="240" spans="1:10" ht="16.5" x14ac:dyDescent="0.6">
      <c r="A240" s="927"/>
      <c r="B240" s="697">
        <v>9.0939999999999994</v>
      </c>
      <c r="C240" s="702" t="s">
        <v>453</v>
      </c>
      <c r="D240" s="703" t="s">
        <v>454</v>
      </c>
      <c r="E240" s="703">
        <v>3000</v>
      </c>
      <c r="F240" s="704">
        <v>1</v>
      </c>
      <c r="G240" s="703">
        <v>3000</v>
      </c>
      <c r="H240" s="703">
        <v>3390</v>
      </c>
      <c r="I240" s="705"/>
      <c r="J240" s="705"/>
    </row>
    <row r="241" spans="1:10" ht="16.5" x14ac:dyDescent="0.6">
      <c r="A241" s="927"/>
      <c r="B241" s="697">
        <v>9.0950000000000006</v>
      </c>
      <c r="C241" s="883" t="s">
        <v>455</v>
      </c>
      <c r="D241" s="845" t="s">
        <v>456</v>
      </c>
      <c r="E241" s="845">
        <v>50</v>
      </c>
      <c r="F241" s="846">
        <v>1</v>
      </c>
      <c r="G241" s="845">
        <v>50</v>
      </c>
      <c r="H241" s="845">
        <v>56.5</v>
      </c>
      <c r="I241" s="847"/>
      <c r="J241" s="847"/>
    </row>
    <row r="242" spans="1:10" ht="16.5" x14ac:dyDescent="0.6">
      <c r="A242" s="927"/>
      <c r="B242" s="697">
        <v>9.0960000000000001</v>
      </c>
      <c r="C242" s="702" t="s">
        <v>457</v>
      </c>
      <c r="D242" s="703"/>
      <c r="E242" s="703">
        <v>150</v>
      </c>
      <c r="F242" s="704">
        <v>1</v>
      </c>
      <c r="G242" s="703">
        <v>150</v>
      </c>
      <c r="H242" s="703">
        <v>169.5</v>
      </c>
      <c r="I242" s="705"/>
      <c r="J242" s="705"/>
    </row>
    <row r="243" spans="1:10" ht="16.5" x14ac:dyDescent="0.6">
      <c r="A243" s="927"/>
      <c r="B243" s="900"/>
      <c r="C243" s="702"/>
      <c r="D243" s="703"/>
      <c r="E243" s="703"/>
      <c r="F243" s="704"/>
      <c r="G243" s="703"/>
      <c r="H243" s="703"/>
      <c r="I243" s="705"/>
      <c r="J243" s="705"/>
    </row>
    <row r="244" spans="1:10" ht="16.5" x14ac:dyDescent="0.6">
      <c r="A244" s="748"/>
      <c r="B244" s="925" t="s">
        <v>458</v>
      </c>
      <c r="C244" s="799"/>
      <c r="D244" s="763"/>
      <c r="E244" s="763"/>
      <c r="F244" s="800"/>
      <c r="G244" s="763"/>
      <c r="H244" s="763">
        <v>5683.9</v>
      </c>
      <c r="I244" s="764">
        <v>0</v>
      </c>
      <c r="J244" s="764">
        <v>0</v>
      </c>
    </row>
    <row r="245" spans="1:10" ht="16.5" x14ac:dyDescent="0.6">
      <c r="A245" s="931"/>
      <c r="B245" s="924"/>
      <c r="C245" s="932"/>
      <c r="D245" s="775"/>
      <c r="E245" s="775"/>
      <c r="F245" s="776"/>
      <c r="G245" s="775"/>
      <c r="H245" s="775"/>
      <c r="I245" s="755"/>
      <c r="J245" s="755"/>
    </row>
    <row r="246" spans="1:10" ht="16.5" x14ac:dyDescent="0.6">
      <c r="A246" s="741" t="s">
        <v>331</v>
      </c>
      <c r="B246" s="924"/>
      <c r="C246" s="932"/>
      <c r="D246" s="775"/>
      <c r="E246" s="775"/>
      <c r="F246" s="776"/>
      <c r="G246" s="775"/>
      <c r="H246" s="775"/>
      <c r="I246" s="755"/>
      <c r="J246" s="755"/>
    </row>
    <row r="247" spans="1:10" ht="16.5" x14ac:dyDescent="0.6">
      <c r="A247" s="741"/>
      <c r="B247" s="697">
        <v>9.0969999999999995</v>
      </c>
      <c r="C247" s="933" t="s">
        <v>459</v>
      </c>
      <c r="D247" s="934" t="s">
        <v>460</v>
      </c>
      <c r="E247" s="934">
        <v>27.85</v>
      </c>
      <c r="F247" s="935">
        <v>14</v>
      </c>
      <c r="G247" s="934">
        <v>389.9</v>
      </c>
      <c r="H247" s="934">
        <v>389.9</v>
      </c>
      <c r="I247" s="936"/>
      <c r="J247" s="936"/>
    </row>
    <row r="248" spans="1:10" ht="16.5" x14ac:dyDescent="0.6">
      <c r="A248" s="741"/>
      <c r="B248" s="924"/>
      <c r="C248" s="932"/>
      <c r="D248" s="775"/>
      <c r="E248" s="775"/>
      <c r="F248" s="776"/>
      <c r="G248" s="775"/>
      <c r="H248" s="775"/>
      <c r="I248" s="755"/>
      <c r="J248" s="755"/>
    </row>
    <row r="249" spans="1:10" ht="16.5" x14ac:dyDescent="0.6">
      <c r="A249" s="741"/>
      <c r="B249" s="937" t="s">
        <v>334</v>
      </c>
      <c r="C249" s="938"/>
      <c r="D249" s="939"/>
      <c r="E249" s="939"/>
      <c r="F249" s="940"/>
      <c r="G249" s="939"/>
      <c r="H249" s="941">
        <v>389.9</v>
      </c>
      <c r="I249" s="942">
        <v>0</v>
      </c>
      <c r="J249" s="943"/>
    </row>
    <row r="250" spans="1:10" ht="16.5" x14ac:dyDescent="0.6">
      <c r="A250" s="741"/>
      <c r="B250" s="924"/>
      <c r="C250" s="932"/>
      <c r="D250" s="775"/>
      <c r="E250" s="775"/>
      <c r="F250" s="776"/>
      <c r="G250" s="775"/>
      <c r="H250" s="775"/>
      <c r="I250" s="755"/>
      <c r="J250" s="755"/>
    </row>
    <row r="251" spans="1:10" ht="16.5" x14ac:dyDescent="0.6">
      <c r="A251" s="519"/>
      <c r="B251" s="884" t="s">
        <v>461</v>
      </c>
      <c r="C251" s="885"/>
      <c r="D251" s="886"/>
      <c r="E251" s="805"/>
      <c r="F251" s="887"/>
      <c r="G251" s="805"/>
      <c r="H251" s="805">
        <v>6927.18</v>
      </c>
      <c r="I251" s="888">
        <v>0</v>
      </c>
      <c r="J251" s="888">
        <v>0</v>
      </c>
    </row>
    <row r="252" spans="1:10" ht="16.5" x14ac:dyDescent="0.6">
      <c r="A252" s="519"/>
      <c r="B252" s="944"/>
      <c r="C252" s="842"/>
      <c r="D252" s="843"/>
      <c r="E252" s="514"/>
      <c r="F252" s="515"/>
      <c r="G252" s="514"/>
      <c r="H252" s="514"/>
      <c r="I252" s="506"/>
      <c r="J252" s="506"/>
    </row>
    <row r="253" spans="1:10" ht="16.5" x14ac:dyDescent="0.6">
      <c r="A253" s="510" t="s">
        <v>462</v>
      </c>
      <c r="B253" s="692"/>
      <c r="C253" s="842"/>
      <c r="D253" s="843"/>
      <c r="E253" s="514"/>
      <c r="F253" s="515"/>
      <c r="G253" s="514"/>
      <c r="H253" s="514"/>
      <c r="I253" s="516"/>
      <c r="J253" s="516"/>
    </row>
    <row r="254" spans="1:10" ht="16.5" x14ac:dyDescent="0.6">
      <c r="A254" s="696"/>
      <c r="B254" s="697">
        <v>9.0980000000000008</v>
      </c>
      <c r="C254" s="883" t="s">
        <v>463</v>
      </c>
      <c r="D254" s="945" t="s">
        <v>464</v>
      </c>
      <c r="E254" s="845">
        <v>8.99</v>
      </c>
      <c r="F254" s="846">
        <v>35</v>
      </c>
      <c r="G254" s="845">
        <v>314.64999999999998</v>
      </c>
      <c r="H254" s="845">
        <v>355.55</v>
      </c>
      <c r="I254" s="847"/>
      <c r="J254" s="847">
        <v>339</v>
      </c>
    </row>
    <row r="255" spans="1:10" ht="16.5" x14ac:dyDescent="0.6">
      <c r="A255" s="696"/>
      <c r="B255" s="697">
        <v>9.0990000000000002</v>
      </c>
      <c r="C255" s="702" t="s">
        <v>465</v>
      </c>
      <c r="D255" s="946" t="s">
        <v>466</v>
      </c>
      <c r="E255" s="703">
        <v>75</v>
      </c>
      <c r="F255" s="704">
        <v>1</v>
      </c>
      <c r="G255" s="703">
        <v>75</v>
      </c>
      <c r="H255" s="703">
        <v>84.75</v>
      </c>
      <c r="I255" s="705"/>
      <c r="J255" s="705">
        <v>337.74</v>
      </c>
    </row>
    <row r="256" spans="1:10" ht="16.5" x14ac:dyDescent="0.6">
      <c r="A256" s="696"/>
      <c r="B256" s="697">
        <v>9.1</v>
      </c>
      <c r="C256" s="883" t="s">
        <v>467</v>
      </c>
      <c r="D256" s="945" t="s">
        <v>468</v>
      </c>
      <c r="E256" s="845">
        <v>50</v>
      </c>
      <c r="F256" s="846">
        <v>1</v>
      </c>
      <c r="G256" s="845">
        <v>50</v>
      </c>
      <c r="H256" s="845">
        <v>56.5</v>
      </c>
      <c r="I256" s="847"/>
      <c r="J256" s="847">
        <v>124.3</v>
      </c>
    </row>
    <row r="257" spans="1:10" ht="16.5" x14ac:dyDescent="0.6">
      <c r="A257" s="696"/>
      <c r="B257" s="697">
        <v>9.1010000000000009</v>
      </c>
      <c r="C257" s="702" t="s">
        <v>469</v>
      </c>
      <c r="D257" s="946" t="s">
        <v>470</v>
      </c>
      <c r="E257" s="703">
        <v>100</v>
      </c>
      <c r="F257" s="704">
        <v>2</v>
      </c>
      <c r="G257" s="703">
        <v>200</v>
      </c>
      <c r="H257" s="703">
        <v>226</v>
      </c>
      <c r="I257" s="705"/>
      <c r="J257" s="705">
        <v>0</v>
      </c>
    </row>
    <row r="258" spans="1:10" ht="16.5" x14ac:dyDescent="0.6">
      <c r="A258" s="696"/>
      <c r="B258" s="697">
        <v>9.1020000000000003</v>
      </c>
      <c r="C258" s="883" t="s">
        <v>471</v>
      </c>
      <c r="D258" s="945" t="s">
        <v>472</v>
      </c>
      <c r="E258" s="845">
        <v>153</v>
      </c>
      <c r="F258" s="846">
        <v>1</v>
      </c>
      <c r="G258" s="845">
        <v>153</v>
      </c>
      <c r="H258" s="845">
        <v>172.89</v>
      </c>
      <c r="I258" s="847"/>
      <c r="J258" s="847">
        <v>0</v>
      </c>
    </row>
    <row r="259" spans="1:10" ht="16.5" x14ac:dyDescent="0.6">
      <c r="A259" s="696"/>
      <c r="B259" s="697">
        <v>9.1029999999999998</v>
      </c>
      <c r="C259" s="702" t="s">
        <v>473</v>
      </c>
      <c r="D259" s="946" t="s">
        <v>474</v>
      </c>
      <c r="E259" s="703">
        <v>240</v>
      </c>
      <c r="F259" s="704">
        <v>1</v>
      </c>
      <c r="G259" s="703">
        <v>240</v>
      </c>
      <c r="H259" s="703">
        <v>271.2</v>
      </c>
      <c r="I259" s="705"/>
      <c r="J259" s="705">
        <v>0</v>
      </c>
    </row>
    <row r="260" spans="1:10" ht="16.5" x14ac:dyDescent="0.6">
      <c r="A260" s="696"/>
      <c r="B260" s="697">
        <v>9.1039999999999992</v>
      </c>
      <c r="C260" s="883" t="s">
        <v>100</v>
      </c>
      <c r="D260" s="945" t="s">
        <v>475</v>
      </c>
      <c r="E260" s="845">
        <v>30</v>
      </c>
      <c r="F260" s="846">
        <v>1</v>
      </c>
      <c r="G260" s="845">
        <v>30</v>
      </c>
      <c r="H260" s="845">
        <v>33.9</v>
      </c>
      <c r="I260" s="847"/>
      <c r="J260" s="847">
        <v>0</v>
      </c>
    </row>
    <row r="261" spans="1:10" ht="16.5" x14ac:dyDescent="0.6">
      <c r="A261" s="696"/>
      <c r="B261" s="916"/>
      <c r="C261" s="702"/>
      <c r="D261" s="946"/>
      <c r="E261" s="703"/>
      <c r="F261" s="704"/>
      <c r="G261" s="703"/>
      <c r="H261" s="703"/>
      <c r="I261" s="705"/>
      <c r="J261" s="705"/>
    </row>
    <row r="262" spans="1:10" ht="16.5" x14ac:dyDescent="0.6">
      <c r="A262" s="519"/>
      <c r="B262" s="884" t="s">
        <v>476</v>
      </c>
      <c r="C262" s="885"/>
      <c r="D262" s="886"/>
      <c r="E262" s="805"/>
      <c r="F262" s="887"/>
      <c r="G262" s="805"/>
      <c r="H262" s="805">
        <v>1200.79</v>
      </c>
      <c r="I262" s="888">
        <v>0</v>
      </c>
      <c r="J262" s="888">
        <v>801.04</v>
      </c>
    </row>
    <row r="263" spans="1:10" ht="18.75" x14ac:dyDescent="0.7">
      <c r="A263" s="890"/>
      <c r="B263" s="947"/>
      <c r="C263" s="948"/>
      <c r="D263" s="948"/>
      <c r="E263" s="948"/>
      <c r="F263" s="948"/>
      <c r="G263" s="948"/>
      <c r="H263" s="948"/>
      <c r="I263" s="949"/>
      <c r="J263" s="949"/>
    </row>
    <row r="264" spans="1:10" ht="16.5" x14ac:dyDescent="0.6">
      <c r="A264" s="510" t="s">
        <v>477</v>
      </c>
      <c r="B264" s="692"/>
      <c r="C264" s="511"/>
      <c r="D264" s="514"/>
      <c r="E264" s="514"/>
      <c r="F264" s="515"/>
      <c r="G264" s="514"/>
      <c r="H264" s="514"/>
      <c r="I264" s="516"/>
      <c r="J264" s="516"/>
    </row>
    <row r="265" spans="1:10" ht="16.5" x14ac:dyDescent="0.6">
      <c r="A265" s="741" t="s">
        <v>478</v>
      </c>
      <c r="B265" s="692"/>
      <c r="C265" s="520"/>
      <c r="D265" s="521"/>
      <c r="E265" s="521"/>
      <c r="F265" s="522"/>
      <c r="G265" s="521"/>
      <c r="H265" s="521"/>
      <c r="I265" s="523"/>
      <c r="J265" s="523"/>
    </row>
    <row r="266" spans="1:10" ht="16.5" x14ac:dyDescent="0.6">
      <c r="A266" s="907"/>
      <c r="B266" s="697">
        <v>9.1050000000000004</v>
      </c>
      <c r="C266" s="883" t="s">
        <v>310</v>
      </c>
      <c r="D266" s="845" t="s">
        <v>479</v>
      </c>
      <c r="E266" s="845">
        <v>3.99</v>
      </c>
      <c r="F266" s="846">
        <v>12</v>
      </c>
      <c r="G266" s="845">
        <v>47.88</v>
      </c>
      <c r="H266" s="845">
        <v>54.1</v>
      </c>
      <c r="I266" s="847"/>
      <c r="J266" s="847"/>
    </row>
    <row r="267" spans="1:10" ht="16.5" x14ac:dyDescent="0.6">
      <c r="A267" s="696"/>
      <c r="B267" s="697">
        <v>9.1059999999999999</v>
      </c>
      <c r="C267" s="702" t="s">
        <v>480</v>
      </c>
      <c r="D267" s="946" t="s">
        <v>481</v>
      </c>
      <c r="E267" s="703">
        <v>2.99</v>
      </c>
      <c r="F267" s="704">
        <v>4</v>
      </c>
      <c r="G267" s="703">
        <v>11.96</v>
      </c>
      <c r="H267" s="703">
        <v>13.51</v>
      </c>
      <c r="I267" s="705"/>
      <c r="J267" s="705"/>
    </row>
    <row r="268" spans="1:10" ht="16.5" x14ac:dyDescent="0.6">
      <c r="A268" s="696"/>
      <c r="B268" s="697">
        <v>9.1069999999999993</v>
      </c>
      <c r="C268" s="883" t="s">
        <v>424</v>
      </c>
      <c r="D268" s="945" t="s">
        <v>481</v>
      </c>
      <c r="E268" s="845">
        <v>2.99</v>
      </c>
      <c r="F268" s="846">
        <v>1</v>
      </c>
      <c r="G268" s="845">
        <v>2.99</v>
      </c>
      <c r="H268" s="845">
        <v>3.38</v>
      </c>
      <c r="I268" s="847"/>
      <c r="J268" s="847"/>
    </row>
    <row r="269" spans="1:10" ht="16.5" x14ac:dyDescent="0.6">
      <c r="A269" s="696"/>
      <c r="B269" s="900"/>
      <c r="C269" s="702"/>
      <c r="D269" s="946"/>
      <c r="E269" s="703"/>
      <c r="F269" s="704"/>
      <c r="G269" s="703"/>
      <c r="H269" s="703"/>
      <c r="I269" s="705"/>
      <c r="J269" s="705"/>
    </row>
    <row r="270" spans="1:10" ht="16.5" x14ac:dyDescent="0.6">
      <c r="A270" s="519"/>
      <c r="B270" s="950" t="s">
        <v>482</v>
      </c>
      <c r="C270" s="951"/>
      <c r="D270" s="534"/>
      <c r="E270" s="534"/>
      <c r="F270" s="535"/>
      <c r="G270" s="534"/>
      <c r="H270" s="534">
        <v>71</v>
      </c>
      <c r="I270" s="536">
        <v>0</v>
      </c>
      <c r="J270" s="536">
        <v>0</v>
      </c>
    </row>
    <row r="271" spans="1:10" ht="16.5" x14ac:dyDescent="0.6">
      <c r="A271" s="519"/>
      <c r="B271" s="944"/>
      <c r="C271" s="952"/>
      <c r="D271" s="514"/>
      <c r="E271" s="514"/>
      <c r="F271" s="515"/>
      <c r="G271" s="514"/>
      <c r="H271" s="514"/>
      <c r="I271" s="516"/>
      <c r="J271" s="516"/>
    </row>
    <row r="272" spans="1:10" ht="16.5" x14ac:dyDescent="0.6">
      <c r="A272" s="741" t="s">
        <v>483</v>
      </c>
      <c r="B272" s="692"/>
      <c r="C272" s="953"/>
      <c r="D272" s="521"/>
      <c r="E272" s="521"/>
      <c r="F272" s="522"/>
      <c r="G272" s="521"/>
      <c r="H272" s="521"/>
      <c r="I272" s="523"/>
      <c r="J272" s="523"/>
    </row>
    <row r="273" spans="1:10" ht="16.5" x14ac:dyDescent="0.6">
      <c r="A273" s="907"/>
      <c r="B273" s="697">
        <v>9.1080000000000005</v>
      </c>
      <c r="C273" s="883" t="s">
        <v>484</v>
      </c>
      <c r="D273" s="845" t="s">
        <v>485</v>
      </c>
      <c r="E273" s="845">
        <v>2</v>
      </c>
      <c r="F273" s="846">
        <v>15</v>
      </c>
      <c r="G273" s="845">
        <v>30</v>
      </c>
      <c r="H273" s="845">
        <v>33.9</v>
      </c>
      <c r="I273" s="847"/>
      <c r="J273" s="847"/>
    </row>
    <row r="274" spans="1:10" ht="16.5" x14ac:dyDescent="0.6">
      <c r="A274" s="907"/>
      <c r="B274" s="697">
        <v>9.109</v>
      </c>
      <c r="C274" s="702" t="s">
        <v>486</v>
      </c>
      <c r="D274" s="946" t="s">
        <v>485</v>
      </c>
      <c r="E274" s="703">
        <v>1</v>
      </c>
      <c r="F274" s="704">
        <v>5</v>
      </c>
      <c r="G274" s="703">
        <v>5</v>
      </c>
      <c r="H274" s="703">
        <v>5.65</v>
      </c>
      <c r="I274" s="705"/>
      <c r="J274" s="705"/>
    </row>
    <row r="275" spans="1:10" ht="16.5" x14ac:dyDescent="0.6">
      <c r="A275" s="907"/>
      <c r="B275" s="697">
        <v>9.11</v>
      </c>
      <c r="C275" s="883" t="s">
        <v>487</v>
      </c>
      <c r="D275" s="945" t="s">
        <v>485</v>
      </c>
      <c r="E275" s="845">
        <v>2</v>
      </c>
      <c r="F275" s="846">
        <v>10</v>
      </c>
      <c r="G275" s="845">
        <v>20</v>
      </c>
      <c r="H275" s="845">
        <v>22.6</v>
      </c>
      <c r="I275" s="847"/>
      <c r="J275" s="847"/>
    </row>
    <row r="276" spans="1:10" ht="16.5" x14ac:dyDescent="0.6">
      <c r="A276" s="954"/>
      <c r="B276" s="924"/>
      <c r="C276" s="737"/>
      <c r="D276" s="955"/>
      <c r="E276" s="521"/>
      <c r="F276" s="522"/>
      <c r="G276" s="521"/>
      <c r="H276" s="521"/>
      <c r="I276" s="523"/>
      <c r="J276" s="523"/>
    </row>
    <row r="277" spans="1:10" ht="16.5" x14ac:dyDescent="0.6">
      <c r="A277" s="519"/>
      <c r="B277" s="950" t="s">
        <v>488</v>
      </c>
      <c r="C277" s="951"/>
      <c r="D277" s="534"/>
      <c r="E277" s="534"/>
      <c r="F277" s="535"/>
      <c r="G277" s="534"/>
      <c r="H277" s="534">
        <v>62.15</v>
      </c>
      <c r="I277" s="536">
        <v>0</v>
      </c>
      <c r="J277" s="536">
        <v>0</v>
      </c>
    </row>
    <row r="278" spans="1:10" ht="16.5" x14ac:dyDescent="0.6">
      <c r="A278" s="519"/>
      <c r="B278" s="944"/>
      <c r="C278" s="952"/>
      <c r="D278" s="514"/>
      <c r="E278" s="514"/>
      <c r="F278" s="515"/>
      <c r="G278" s="514"/>
      <c r="H278" s="514"/>
      <c r="I278" s="516"/>
      <c r="J278" s="516"/>
    </row>
    <row r="279" spans="1:10" ht="16.5" x14ac:dyDescent="0.6">
      <c r="A279" s="741" t="s">
        <v>489</v>
      </c>
      <c r="B279" s="692"/>
      <c r="C279" s="953"/>
      <c r="D279" s="521"/>
      <c r="E279" s="521"/>
      <c r="F279" s="522"/>
      <c r="G279" s="521"/>
      <c r="H279" s="521"/>
      <c r="I279" s="523"/>
      <c r="J279" s="523"/>
    </row>
    <row r="280" spans="1:10" ht="16.5" x14ac:dyDescent="0.6">
      <c r="A280" s="907"/>
      <c r="B280" s="697">
        <v>9.1110000000000007</v>
      </c>
      <c r="C280" s="883" t="s">
        <v>490</v>
      </c>
      <c r="D280" s="845" t="s">
        <v>485</v>
      </c>
      <c r="E280" s="845">
        <v>2</v>
      </c>
      <c r="F280" s="846">
        <v>15</v>
      </c>
      <c r="G280" s="845">
        <v>30</v>
      </c>
      <c r="H280" s="845">
        <v>33.9</v>
      </c>
      <c r="I280" s="847"/>
      <c r="J280" s="847"/>
    </row>
    <row r="281" spans="1:10" ht="16.5" x14ac:dyDescent="0.6">
      <c r="A281" s="907"/>
      <c r="B281" s="697">
        <v>9.1120000000000001</v>
      </c>
      <c r="C281" s="702" t="s">
        <v>486</v>
      </c>
      <c r="D281" s="946" t="s">
        <v>485</v>
      </c>
      <c r="E281" s="703">
        <v>1</v>
      </c>
      <c r="F281" s="704">
        <v>5</v>
      </c>
      <c r="G281" s="703">
        <v>5</v>
      </c>
      <c r="H281" s="703">
        <v>5.65</v>
      </c>
      <c r="I281" s="705"/>
      <c r="J281" s="705"/>
    </row>
    <row r="282" spans="1:10" ht="16.5" x14ac:dyDescent="0.6">
      <c r="A282" s="907"/>
      <c r="B282" s="697">
        <v>9.1129999999999995</v>
      </c>
      <c r="C282" s="883" t="s">
        <v>487</v>
      </c>
      <c r="D282" s="945" t="s">
        <v>485</v>
      </c>
      <c r="E282" s="845">
        <v>2</v>
      </c>
      <c r="F282" s="846">
        <v>10</v>
      </c>
      <c r="G282" s="845">
        <v>20</v>
      </c>
      <c r="H282" s="845">
        <v>22.6</v>
      </c>
      <c r="I282" s="847"/>
      <c r="J282" s="847"/>
    </row>
    <row r="283" spans="1:10" ht="16.5" x14ac:dyDescent="0.6">
      <c r="A283" s="954"/>
      <c r="B283" s="924"/>
      <c r="C283" s="737"/>
      <c r="D283" s="955"/>
      <c r="E283" s="521"/>
      <c r="F283" s="522"/>
      <c r="G283" s="521"/>
      <c r="H283" s="521"/>
      <c r="I283" s="523"/>
      <c r="J283" s="523"/>
    </row>
    <row r="284" spans="1:10" ht="16.5" x14ac:dyDescent="0.6">
      <c r="A284" s="519"/>
      <c r="B284" s="950" t="s">
        <v>491</v>
      </c>
      <c r="C284" s="951"/>
      <c r="D284" s="534"/>
      <c r="E284" s="534"/>
      <c r="F284" s="535"/>
      <c r="G284" s="534"/>
      <c r="H284" s="534">
        <v>62.15</v>
      </c>
      <c r="I284" s="536">
        <v>0</v>
      </c>
      <c r="J284" s="536">
        <v>0</v>
      </c>
    </row>
    <row r="285" spans="1:10" ht="16.5" x14ac:dyDescent="0.6">
      <c r="A285" s="519"/>
      <c r="B285" s="944"/>
      <c r="C285" s="952"/>
      <c r="D285" s="514"/>
      <c r="E285" s="514"/>
      <c r="F285" s="515"/>
      <c r="G285" s="514"/>
      <c r="H285" s="514"/>
      <c r="I285" s="516"/>
      <c r="J285" s="516"/>
    </row>
    <row r="286" spans="1:10" ht="16.5" x14ac:dyDescent="0.6">
      <c r="A286" s="741" t="s">
        <v>492</v>
      </c>
      <c r="B286" s="692"/>
      <c r="C286" s="953"/>
      <c r="D286" s="521"/>
      <c r="E286" s="521"/>
      <c r="F286" s="522"/>
      <c r="G286" s="521"/>
      <c r="H286" s="521"/>
      <c r="I286" s="523"/>
      <c r="J286" s="523"/>
    </row>
    <row r="287" spans="1:10" ht="16.5" x14ac:dyDescent="0.6">
      <c r="A287" s="907"/>
      <c r="B287" s="697">
        <v>9.1140000000000008</v>
      </c>
      <c r="C287" s="883" t="s">
        <v>493</v>
      </c>
      <c r="D287" s="845" t="s">
        <v>494</v>
      </c>
      <c r="E287" s="845">
        <v>1</v>
      </c>
      <c r="F287" s="846">
        <v>150</v>
      </c>
      <c r="G287" s="845">
        <v>150</v>
      </c>
      <c r="H287" s="845">
        <v>169.5</v>
      </c>
      <c r="I287" s="847"/>
      <c r="J287" s="847"/>
    </row>
    <row r="288" spans="1:10" ht="16.5" x14ac:dyDescent="0.6">
      <c r="A288" s="907"/>
      <c r="B288" s="697">
        <v>9.1150000000000002</v>
      </c>
      <c r="C288" s="702" t="s">
        <v>495</v>
      </c>
      <c r="D288" s="946" t="s">
        <v>494</v>
      </c>
      <c r="E288" s="703">
        <v>10</v>
      </c>
      <c r="F288" s="704">
        <v>5</v>
      </c>
      <c r="G288" s="703">
        <v>50</v>
      </c>
      <c r="H288" s="703">
        <v>56.5</v>
      </c>
      <c r="I288" s="705"/>
      <c r="J288" s="705"/>
    </row>
    <row r="289" spans="1:10" ht="16.5" x14ac:dyDescent="0.6">
      <c r="A289" s="954"/>
      <c r="B289" s="924"/>
      <c r="C289" s="737"/>
      <c r="D289" s="955"/>
      <c r="E289" s="521"/>
      <c r="F289" s="522"/>
      <c r="G289" s="521"/>
      <c r="H289" s="521"/>
      <c r="I289" s="523"/>
      <c r="J289" s="523"/>
    </row>
    <row r="290" spans="1:10" ht="16.5" x14ac:dyDescent="0.6">
      <c r="A290" s="519"/>
      <c r="B290" s="950" t="s">
        <v>496</v>
      </c>
      <c r="C290" s="951"/>
      <c r="D290" s="534"/>
      <c r="E290" s="534"/>
      <c r="F290" s="535"/>
      <c r="G290" s="534"/>
      <c r="H290" s="534">
        <v>226</v>
      </c>
      <c r="I290" s="536">
        <v>0</v>
      </c>
      <c r="J290" s="536">
        <v>0</v>
      </c>
    </row>
    <row r="291" spans="1:10" ht="16.5" x14ac:dyDescent="0.6">
      <c r="A291" s="519"/>
      <c r="B291" s="944"/>
      <c r="C291" s="952"/>
      <c r="D291" s="514"/>
      <c r="E291" s="514"/>
      <c r="F291" s="515"/>
      <c r="G291" s="514"/>
      <c r="H291" s="514"/>
      <c r="I291" s="516"/>
      <c r="J291" s="516"/>
    </row>
    <row r="292" spans="1:10" ht="16.5" x14ac:dyDescent="0.6">
      <c r="A292" s="741" t="s">
        <v>497</v>
      </c>
      <c r="B292" s="692"/>
      <c r="C292" s="953"/>
      <c r="D292" s="521"/>
      <c r="E292" s="521"/>
      <c r="F292" s="522"/>
      <c r="G292" s="521"/>
      <c r="H292" s="521"/>
      <c r="I292" s="523"/>
      <c r="J292" s="523"/>
    </row>
    <row r="293" spans="1:10" ht="16.5" x14ac:dyDescent="0.6">
      <c r="A293" s="907"/>
      <c r="B293" s="697">
        <v>9.1159999999999997</v>
      </c>
      <c r="C293" s="883" t="s">
        <v>498</v>
      </c>
      <c r="D293" s="845" t="s">
        <v>494</v>
      </c>
      <c r="E293" s="845">
        <v>0.5</v>
      </c>
      <c r="F293" s="846">
        <v>150</v>
      </c>
      <c r="G293" s="845">
        <v>75</v>
      </c>
      <c r="H293" s="845">
        <v>84.75</v>
      </c>
      <c r="I293" s="847"/>
      <c r="J293" s="847"/>
    </row>
    <row r="294" spans="1:10" ht="16.5" x14ac:dyDescent="0.6">
      <c r="A294" s="907"/>
      <c r="B294" s="697">
        <v>9.1170000000000009</v>
      </c>
      <c r="C294" s="702" t="s">
        <v>499</v>
      </c>
      <c r="D294" s="946" t="s">
        <v>494</v>
      </c>
      <c r="E294" s="703">
        <v>6</v>
      </c>
      <c r="F294" s="704">
        <v>5</v>
      </c>
      <c r="G294" s="703">
        <v>30</v>
      </c>
      <c r="H294" s="703">
        <v>33.9</v>
      </c>
      <c r="I294" s="705"/>
      <c r="J294" s="705"/>
    </row>
    <row r="295" spans="1:10" ht="16.5" x14ac:dyDescent="0.6">
      <c r="A295" s="907"/>
      <c r="B295" s="697">
        <v>9.1180000000000003</v>
      </c>
      <c r="C295" s="883" t="s">
        <v>500</v>
      </c>
      <c r="D295" s="945" t="s">
        <v>485</v>
      </c>
      <c r="E295" s="845">
        <v>2</v>
      </c>
      <c r="F295" s="846">
        <v>10</v>
      </c>
      <c r="G295" s="845">
        <v>20</v>
      </c>
      <c r="H295" s="845">
        <v>22.6</v>
      </c>
      <c r="I295" s="847"/>
      <c r="J295" s="847"/>
    </row>
    <row r="296" spans="1:10" ht="16.5" x14ac:dyDescent="0.6">
      <c r="A296" s="954"/>
      <c r="B296" s="924"/>
      <c r="C296" s="737"/>
      <c r="D296" s="955"/>
      <c r="E296" s="521"/>
      <c r="F296" s="522"/>
      <c r="G296" s="521"/>
      <c r="H296" s="521"/>
      <c r="I296" s="523"/>
      <c r="J296" s="523"/>
    </row>
    <row r="297" spans="1:10" ht="16.5" x14ac:dyDescent="0.6">
      <c r="A297" s="519"/>
      <c r="B297" s="950" t="s">
        <v>501</v>
      </c>
      <c r="C297" s="951"/>
      <c r="D297" s="534"/>
      <c r="E297" s="534"/>
      <c r="F297" s="535"/>
      <c r="G297" s="534"/>
      <c r="H297" s="534">
        <v>141.25</v>
      </c>
      <c r="I297" s="536">
        <v>0</v>
      </c>
      <c r="J297" s="536">
        <v>0</v>
      </c>
    </row>
    <row r="298" spans="1:10" ht="16.5" x14ac:dyDescent="0.6">
      <c r="A298" s="519"/>
      <c r="B298" s="944"/>
      <c r="C298" s="952"/>
      <c r="D298" s="514"/>
      <c r="E298" s="514"/>
      <c r="F298" s="515"/>
      <c r="G298" s="514"/>
      <c r="H298" s="514"/>
      <c r="I298" s="516"/>
      <c r="J298" s="516"/>
    </row>
    <row r="299" spans="1:10" ht="16.5" x14ac:dyDescent="0.6">
      <c r="A299" s="741" t="s">
        <v>502</v>
      </c>
      <c r="B299" s="692"/>
      <c r="C299" s="953"/>
      <c r="D299" s="521"/>
      <c r="E299" s="521"/>
      <c r="F299" s="522"/>
      <c r="G299" s="521"/>
      <c r="H299" s="521"/>
      <c r="I299" s="523"/>
      <c r="J299" s="523"/>
    </row>
    <row r="300" spans="1:10" ht="16.5" x14ac:dyDescent="0.6">
      <c r="A300" s="907"/>
      <c r="B300" s="697">
        <v>9.1189999999999998</v>
      </c>
      <c r="C300" s="883" t="s">
        <v>503</v>
      </c>
      <c r="D300" s="845" t="s">
        <v>494</v>
      </c>
      <c r="E300" s="845">
        <v>14.97</v>
      </c>
      <c r="F300" s="846">
        <v>2</v>
      </c>
      <c r="G300" s="845">
        <v>29.94</v>
      </c>
      <c r="H300" s="845">
        <v>33.83</v>
      </c>
      <c r="I300" s="847"/>
      <c r="J300" s="847"/>
    </row>
    <row r="301" spans="1:10" ht="16.5" x14ac:dyDescent="0.6">
      <c r="A301" s="954"/>
      <c r="B301" s="924"/>
      <c r="C301" s="538"/>
      <c r="D301" s="521"/>
      <c r="E301" s="521"/>
      <c r="F301" s="522"/>
      <c r="G301" s="521"/>
      <c r="H301" s="521"/>
      <c r="I301" s="523"/>
      <c r="J301" s="523"/>
    </row>
    <row r="302" spans="1:10" ht="16.5" x14ac:dyDescent="0.6">
      <c r="A302" s="519"/>
      <c r="B302" s="950" t="s">
        <v>504</v>
      </c>
      <c r="C302" s="533"/>
      <c r="D302" s="534"/>
      <c r="E302" s="534"/>
      <c r="F302" s="535"/>
      <c r="G302" s="534"/>
      <c r="H302" s="534">
        <v>33.83</v>
      </c>
      <c r="I302" s="536">
        <v>0</v>
      </c>
      <c r="J302" s="536"/>
    </row>
    <row r="303" spans="1:10" ht="16.5" x14ac:dyDescent="0.6">
      <c r="A303" s="511"/>
      <c r="B303" s="718"/>
      <c r="C303" s="737"/>
      <c r="D303" s="521"/>
      <c r="E303" s="521"/>
      <c r="F303" s="522"/>
      <c r="G303" s="521"/>
      <c r="H303" s="521"/>
      <c r="I303" s="523"/>
      <c r="J303" s="523"/>
    </row>
    <row r="304" spans="1:10" ht="16.5" x14ac:dyDescent="0.6">
      <c r="A304" s="741" t="s">
        <v>331</v>
      </c>
      <c r="B304" s="718"/>
      <c r="C304" s="737"/>
      <c r="D304" s="521"/>
      <c r="E304" s="521"/>
      <c r="F304" s="522"/>
      <c r="G304" s="521"/>
      <c r="H304" s="521"/>
      <c r="I304" s="523"/>
      <c r="J304" s="523"/>
    </row>
    <row r="305" spans="1:10" ht="16.5" x14ac:dyDescent="0.6">
      <c r="A305" s="511"/>
      <c r="B305" s="697">
        <v>9.1199999999999992</v>
      </c>
      <c r="C305" s="883" t="s">
        <v>505</v>
      </c>
      <c r="D305" s="845" t="s">
        <v>506</v>
      </c>
      <c r="E305" s="845">
        <v>101.24</v>
      </c>
      <c r="F305" s="846">
        <v>1</v>
      </c>
      <c r="G305" s="845">
        <v>101.24</v>
      </c>
      <c r="H305" s="845">
        <v>101.24</v>
      </c>
      <c r="I305" s="847"/>
      <c r="J305" s="847"/>
    </row>
    <row r="306" spans="1:10" ht="16.5" x14ac:dyDescent="0.6">
      <c r="A306" s="520"/>
      <c r="B306" s="718"/>
      <c r="C306" s="737"/>
      <c r="D306" s="521"/>
      <c r="E306" s="521"/>
      <c r="F306" s="522"/>
      <c r="G306" s="521"/>
      <c r="H306" s="521"/>
      <c r="I306" s="523"/>
      <c r="J306" s="523"/>
    </row>
    <row r="307" spans="1:10" ht="16.5" x14ac:dyDescent="0.6">
      <c r="A307" s="520"/>
      <c r="B307" s="956" t="s">
        <v>334</v>
      </c>
      <c r="C307" s="957"/>
      <c r="D307" s="856"/>
      <c r="E307" s="856"/>
      <c r="F307" s="857"/>
      <c r="G307" s="856"/>
      <c r="H307" s="534">
        <v>101.24</v>
      </c>
      <c r="I307" s="536">
        <v>0</v>
      </c>
      <c r="J307" s="958"/>
    </row>
    <row r="308" spans="1:10" ht="16.5" x14ac:dyDescent="0.6">
      <c r="A308" s="520"/>
      <c r="B308" s="718"/>
      <c r="C308" s="737"/>
      <c r="D308" s="521"/>
      <c r="E308" s="521"/>
      <c r="F308" s="522"/>
      <c r="G308" s="521"/>
      <c r="H308" s="521"/>
      <c r="I308" s="523"/>
      <c r="J308" s="523"/>
    </row>
    <row r="309" spans="1:10" ht="16.5" x14ac:dyDescent="0.6">
      <c r="A309" s="959"/>
      <c r="B309" s="884" t="s">
        <v>507</v>
      </c>
      <c r="C309" s="885"/>
      <c r="D309" s="886"/>
      <c r="E309" s="805"/>
      <c r="F309" s="887"/>
      <c r="G309" s="805"/>
      <c r="H309" s="805">
        <v>697.62</v>
      </c>
      <c r="I309" s="888">
        <v>0</v>
      </c>
      <c r="J309" s="888">
        <v>0</v>
      </c>
    </row>
    <row r="310" spans="1:10" ht="18.75" x14ac:dyDescent="0.7">
      <c r="A310" s="1450"/>
      <c r="B310" s="1450"/>
      <c r="C310" s="1450"/>
      <c r="D310" s="1450"/>
      <c r="E310" s="1450"/>
      <c r="F310" s="1450"/>
      <c r="G310" s="1450"/>
      <c r="H310" s="1450"/>
      <c r="I310" s="1450"/>
      <c r="J310" s="1451"/>
    </row>
    <row r="311" spans="1:10" ht="16.5" x14ac:dyDescent="0.6">
      <c r="A311" s="510" t="s">
        <v>508</v>
      </c>
      <c r="B311" s="692"/>
      <c r="C311" s="520"/>
      <c r="D311" s="521"/>
      <c r="E311" s="521"/>
      <c r="F311" s="522"/>
      <c r="G311" s="521"/>
      <c r="H311" s="521"/>
      <c r="I311" s="521"/>
      <c r="J311" s="523"/>
    </row>
    <row r="312" spans="1:10" ht="16.5" x14ac:dyDescent="0.6">
      <c r="A312" s="741" t="s">
        <v>509</v>
      </c>
      <c r="B312" s="692"/>
      <c r="C312" s="520"/>
      <c r="D312" s="521"/>
      <c r="E312" s="521"/>
      <c r="F312" s="522"/>
      <c r="G312" s="521"/>
      <c r="H312" s="521"/>
      <c r="I312" s="521"/>
      <c r="J312" s="523"/>
    </row>
    <row r="313" spans="1:10" ht="16.5" x14ac:dyDescent="0.6">
      <c r="A313" s="696"/>
      <c r="B313" s="697">
        <v>9.1210000000000004</v>
      </c>
      <c r="C313" s="844" t="s">
        <v>510</v>
      </c>
      <c r="D313" s="845" t="s">
        <v>511</v>
      </c>
      <c r="E313" s="845">
        <v>700</v>
      </c>
      <c r="F313" s="846">
        <v>1</v>
      </c>
      <c r="G313" s="845">
        <v>700</v>
      </c>
      <c r="H313" s="845">
        <v>791</v>
      </c>
      <c r="I313" s="847"/>
      <c r="J313" s="847"/>
    </row>
    <row r="314" spans="1:10" ht="18.75" x14ac:dyDescent="0.6">
      <c r="A314" s="696"/>
      <c r="B314" s="697">
        <v>9.1219999999999999</v>
      </c>
      <c r="C314" s="900" t="s">
        <v>512</v>
      </c>
      <c r="D314" s="960"/>
      <c r="E314" s="961"/>
      <c r="F314" s="962">
        <v>1</v>
      </c>
      <c r="G314" s="963">
        <v>30</v>
      </c>
      <c r="H314" s="963">
        <v>33.9</v>
      </c>
      <c r="I314" s="705"/>
      <c r="J314" s="705"/>
    </row>
    <row r="315" spans="1:10" ht="16.5" x14ac:dyDescent="0.6">
      <c r="A315" s="696"/>
      <c r="B315" s="697">
        <v>9.1229999999999993</v>
      </c>
      <c r="C315" s="844" t="s">
        <v>513</v>
      </c>
      <c r="D315" s="845"/>
      <c r="E315" s="845">
        <v>16</v>
      </c>
      <c r="F315" s="846">
        <v>4</v>
      </c>
      <c r="G315" s="845">
        <v>64</v>
      </c>
      <c r="H315" s="845">
        <v>72.319999999999993</v>
      </c>
      <c r="I315" s="707"/>
      <c r="J315" s="707">
        <v>18.95</v>
      </c>
    </row>
    <row r="316" spans="1:10" ht="16.5" x14ac:dyDescent="0.6">
      <c r="A316" s="696"/>
      <c r="B316" s="697">
        <v>9.1240000000000006</v>
      </c>
      <c r="C316" s="900" t="s">
        <v>514</v>
      </c>
      <c r="D316" s="960"/>
      <c r="E316" s="960">
        <v>350</v>
      </c>
      <c r="F316" s="964">
        <v>1</v>
      </c>
      <c r="G316" s="960">
        <v>350</v>
      </c>
      <c r="H316" s="960">
        <v>395.5</v>
      </c>
      <c r="I316" s="705"/>
      <c r="J316" s="705">
        <v>0</v>
      </c>
    </row>
    <row r="317" spans="1:10" ht="16.5" x14ac:dyDescent="0.6">
      <c r="A317" s="696"/>
      <c r="B317" s="697">
        <v>9.125</v>
      </c>
      <c r="C317" s="883" t="s">
        <v>515</v>
      </c>
      <c r="D317" s="845" t="s">
        <v>516</v>
      </c>
      <c r="E317" s="845">
        <v>150</v>
      </c>
      <c r="F317" s="846">
        <v>1</v>
      </c>
      <c r="G317" s="845">
        <v>150</v>
      </c>
      <c r="H317" s="845">
        <v>169.5</v>
      </c>
      <c r="I317" s="847"/>
      <c r="J317" s="847"/>
    </row>
    <row r="318" spans="1:10" ht="18.75" x14ac:dyDescent="0.7">
      <c r="A318" s="696"/>
      <c r="B318" s="697">
        <v>9.1259999999999994</v>
      </c>
      <c r="C318" s="965" t="s">
        <v>517</v>
      </c>
      <c r="D318" s="960" t="s">
        <v>518</v>
      </c>
      <c r="E318" s="960"/>
      <c r="F318" s="964">
        <v>1</v>
      </c>
      <c r="G318" s="960">
        <v>388</v>
      </c>
      <c r="H318" s="960">
        <v>438.44</v>
      </c>
      <c r="I318" s="705"/>
      <c r="J318" s="705">
        <v>0</v>
      </c>
    </row>
    <row r="319" spans="1:10" ht="16.5" x14ac:dyDescent="0.6">
      <c r="A319" s="519"/>
      <c r="B319" s="924"/>
      <c r="C319" s="924"/>
      <c r="D319" s="915"/>
      <c r="E319" s="915"/>
      <c r="F319" s="966"/>
      <c r="G319" s="915"/>
      <c r="H319" s="915"/>
      <c r="I319" s="521"/>
      <c r="J319" s="523"/>
    </row>
    <row r="320" spans="1:10" ht="16.5" x14ac:dyDescent="0.6">
      <c r="A320" s="519"/>
      <c r="B320" s="950" t="s">
        <v>519</v>
      </c>
      <c r="C320" s="967"/>
      <c r="D320" s="534"/>
      <c r="E320" s="534"/>
      <c r="F320" s="535"/>
      <c r="G320" s="534">
        <v>1294</v>
      </c>
      <c r="H320" s="534">
        <v>1900.66</v>
      </c>
      <c r="I320" s="534">
        <v>0</v>
      </c>
      <c r="J320" s="536">
        <v>18.95</v>
      </c>
    </row>
    <row r="321" spans="1:10" ht="16.5" x14ac:dyDescent="0.6">
      <c r="A321" s="519"/>
      <c r="B321" s="944"/>
      <c r="C321" s="968"/>
      <c r="D321" s="514"/>
      <c r="E321" s="514"/>
      <c r="F321" s="515"/>
      <c r="G321" s="514"/>
      <c r="H321" s="514"/>
      <c r="I321" s="514"/>
      <c r="J321" s="516"/>
    </row>
    <row r="322" spans="1:10" ht="16.5" x14ac:dyDescent="0.6">
      <c r="A322" s="741" t="s">
        <v>520</v>
      </c>
      <c r="B322" s="692"/>
      <c r="C322" s="520"/>
      <c r="D322" s="521"/>
      <c r="E322" s="521"/>
      <c r="F322" s="522"/>
      <c r="G322" s="521"/>
      <c r="H322" s="521"/>
      <c r="I322" s="521"/>
      <c r="J322" s="523"/>
    </row>
    <row r="323" spans="1:10" ht="16.5" x14ac:dyDescent="0.6">
      <c r="A323" s="907"/>
      <c r="B323" s="697">
        <v>9.1270000000000007</v>
      </c>
      <c r="C323" s="844" t="s">
        <v>521</v>
      </c>
      <c r="D323" s="845" t="s">
        <v>522</v>
      </c>
      <c r="E323" s="845">
        <v>67</v>
      </c>
      <c r="F323" s="846">
        <v>2</v>
      </c>
      <c r="G323" s="845">
        <v>134</v>
      </c>
      <c r="H323" s="845">
        <v>151.41999999999999</v>
      </c>
      <c r="I323" s="847"/>
      <c r="J323" s="847">
        <v>169.5</v>
      </c>
    </row>
    <row r="324" spans="1:10" ht="16.5" x14ac:dyDescent="0.6">
      <c r="A324" s="907"/>
      <c r="B324" s="697">
        <v>9.1280000000000001</v>
      </c>
      <c r="C324" s="702" t="s">
        <v>523</v>
      </c>
      <c r="D324" s="703" t="s">
        <v>524</v>
      </c>
      <c r="E324" s="703">
        <v>50</v>
      </c>
      <c r="F324" s="704">
        <v>5</v>
      </c>
      <c r="G324" s="703">
        <v>250</v>
      </c>
      <c r="H324" s="703">
        <v>282.5</v>
      </c>
      <c r="I324" s="705"/>
      <c r="J324" s="705">
        <v>406.8</v>
      </c>
    </row>
    <row r="325" spans="1:10" ht="16.5" x14ac:dyDescent="0.6">
      <c r="A325" s="907"/>
      <c r="B325" s="697">
        <v>9.1289999999999996</v>
      </c>
      <c r="C325" s="844" t="s">
        <v>525</v>
      </c>
      <c r="D325" s="845" t="s">
        <v>526</v>
      </c>
      <c r="E325" s="845">
        <v>315</v>
      </c>
      <c r="F325" s="846">
        <v>1</v>
      </c>
      <c r="G325" s="845">
        <v>315</v>
      </c>
      <c r="H325" s="845">
        <v>355.95</v>
      </c>
      <c r="I325" s="847"/>
      <c r="J325" s="847">
        <v>271.2</v>
      </c>
    </row>
    <row r="326" spans="1:10" ht="16.5" x14ac:dyDescent="0.6">
      <c r="A326" s="907"/>
      <c r="B326" s="697">
        <v>9.1300000000000008</v>
      </c>
      <c r="C326" s="702" t="s">
        <v>527</v>
      </c>
      <c r="D326" s="703" t="s">
        <v>494</v>
      </c>
      <c r="E326" s="703">
        <v>10</v>
      </c>
      <c r="F326" s="704">
        <v>3</v>
      </c>
      <c r="G326" s="703">
        <v>30</v>
      </c>
      <c r="H326" s="703">
        <v>33.9</v>
      </c>
      <c r="I326" s="705"/>
      <c r="J326" s="705">
        <v>46.91</v>
      </c>
    </row>
    <row r="327" spans="1:10" ht="16.5" x14ac:dyDescent="0.6">
      <c r="A327" s="907"/>
      <c r="B327" s="900"/>
      <c r="C327" s="702"/>
      <c r="D327" s="703"/>
      <c r="E327" s="703"/>
      <c r="F327" s="704"/>
      <c r="G327" s="703"/>
      <c r="H327" s="703"/>
      <c r="I327" s="703"/>
      <c r="J327" s="705"/>
    </row>
    <row r="328" spans="1:10" ht="16.5" x14ac:dyDescent="0.6">
      <c r="A328" s="519"/>
      <c r="B328" s="950" t="s">
        <v>528</v>
      </c>
      <c r="C328" s="533"/>
      <c r="D328" s="534"/>
      <c r="E328" s="534"/>
      <c r="F328" s="535"/>
      <c r="G328" s="534">
        <v>729</v>
      </c>
      <c r="H328" s="534">
        <v>823.77</v>
      </c>
      <c r="I328" s="534">
        <v>0</v>
      </c>
      <c r="J328" s="536">
        <v>894.41</v>
      </c>
    </row>
    <row r="329" spans="1:10" ht="16.5" x14ac:dyDescent="0.6">
      <c r="A329" s="519"/>
      <c r="B329" s="944"/>
      <c r="C329" s="511"/>
      <c r="D329" s="514"/>
      <c r="E329" s="514"/>
      <c r="F329" s="515"/>
      <c r="G329" s="514"/>
      <c r="H329" s="514"/>
      <c r="I329" s="514"/>
      <c r="J329" s="516"/>
    </row>
    <row r="330" spans="1:10" ht="16.5" x14ac:dyDescent="0.6">
      <c r="A330" s="741" t="s">
        <v>529</v>
      </c>
      <c r="B330" s="692"/>
      <c r="C330" s="520"/>
      <c r="D330" s="521"/>
      <c r="E330" s="521"/>
      <c r="F330" s="522"/>
      <c r="G330" s="521"/>
      <c r="H330" s="521"/>
      <c r="I330" s="521"/>
      <c r="J330" s="523"/>
    </row>
    <row r="331" spans="1:10" ht="16.5" x14ac:dyDescent="0.6">
      <c r="A331" s="696"/>
      <c r="B331" s="697">
        <v>9.1310000000000002</v>
      </c>
      <c r="C331" s="883" t="s">
        <v>530</v>
      </c>
      <c r="D331" s="845" t="s">
        <v>531</v>
      </c>
      <c r="E331" s="845">
        <v>0.25</v>
      </c>
      <c r="F331" s="846">
        <v>300</v>
      </c>
      <c r="G331" s="845">
        <v>75</v>
      </c>
      <c r="H331" s="845">
        <v>84.75</v>
      </c>
      <c r="I331" s="847"/>
      <c r="J331" s="847">
        <v>106.5</v>
      </c>
    </row>
    <row r="332" spans="1:10" ht="16.5" x14ac:dyDescent="0.6">
      <c r="A332" s="696"/>
      <c r="B332" s="697">
        <v>9.1319999999999997</v>
      </c>
      <c r="C332" s="891" t="s">
        <v>532</v>
      </c>
      <c r="D332" s="915" t="s">
        <v>533</v>
      </c>
      <c r="E332" s="915">
        <v>0.25</v>
      </c>
      <c r="F332" s="966">
        <v>350</v>
      </c>
      <c r="G332" s="915">
        <v>87.5</v>
      </c>
      <c r="H332" s="915">
        <v>98.88</v>
      </c>
      <c r="I332" s="915"/>
      <c r="J332" s="969">
        <v>0</v>
      </c>
    </row>
    <row r="333" spans="1:10" ht="16.5" x14ac:dyDescent="0.6">
      <c r="A333" s="696"/>
      <c r="B333" s="697">
        <v>9.1329999999999991</v>
      </c>
      <c r="C333" s="883" t="s">
        <v>534</v>
      </c>
      <c r="D333" s="845" t="s">
        <v>535</v>
      </c>
      <c r="E333" s="845">
        <v>1.5</v>
      </c>
      <c r="F333" s="846">
        <v>20</v>
      </c>
      <c r="G333" s="845">
        <v>30</v>
      </c>
      <c r="H333" s="845">
        <v>33.9</v>
      </c>
      <c r="I333" s="845"/>
      <c r="J333" s="847" t="s">
        <v>536</v>
      </c>
    </row>
    <row r="334" spans="1:10" ht="16.5" x14ac:dyDescent="0.6">
      <c r="A334" s="696"/>
      <c r="B334" s="697">
        <v>9.1340000000000003</v>
      </c>
      <c r="C334" s="891" t="s">
        <v>537</v>
      </c>
      <c r="D334" s="915" t="s">
        <v>535</v>
      </c>
      <c r="E334" s="915">
        <v>1.5</v>
      </c>
      <c r="F334" s="966">
        <v>50</v>
      </c>
      <c r="G334" s="915">
        <v>75</v>
      </c>
      <c r="H334" s="915">
        <v>84.75</v>
      </c>
      <c r="I334" s="915"/>
      <c r="J334" s="969" t="s">
        <v>536</v>
      </c>
    </row>
    <row r="335" spans="1:10" ht="16.5" x14ac:dyDescent="0.6">
      <c r="A335" s="696"/>
      <c r="B335" s="900"/>
      <c r="C335" s="702"/>
      <c r="D335" s="703"/>
      <c r="E335" s="703"/>
      <c r="F335" s="704"/>
      <c r="G335" s="703"/>
      <c r="H335" s="703"/>
      <c r="I335" s="703"/>
      <c r="J335" s="705"/>
    </row>
    <row r="336" spans="1:10" ht="16.5" x14ac:dyDescent="0.6">
      <c r="A336" s="519"/>
      <c r="B336" s="950" t="s">
        <v>538</v>
      </c>
      <c r="C336" s="533"/>
      <c r="D336" s="533"/>
      <c r="E336" s="533"/>
      <c r="F336" s="533"/>
      <c r="G336" s="534">
        <v>267.5</v>
      </c>
      <c r="H336" s="534">
        <v>302.27999999999997</v>
      </c>
      <c r="I336" s="534">
        <v>0</v>
      </c>
      <c r="J336" s="536">
        <v>106.5</v>
      </c>
    </row>
    <row r="337" spans="1:10" ht="16.5" x14ac:dyDescent="0.6">
      <c r="A337" s="510"/>
      <c r="B337" s="718"/>
      <c r="C337" s="737"/>
      <c r="D337" s="521"/>
      <c r="E337" s="521"/>
      <c r="F337" s="522"/>
      <c r="G337" s="521"/>
      <c r="H337" s="521"/>
      <c r="I337" s="521"/>
      <c r="J337" s="523"/>
    </row>
    <row r="338" spans="1:10" ht="16.5" x14ac:dyDescent="0.6">
      <c r="A338" s="519"/>
      <c r="B338" s="884" t="s">
        <v>539</v>
      </c>
      <c r="C338" s="885"/>
      <c r="D338" s="886"/>
      <c r="E338" s="805"/>
      <c r="F338" s="887"/>
      <c r="G338" s="805"/>
      <c r="H338" s="805">
        <v>3026.71</v>
      </c>
      <c r="I338" s="805">
        <v>0</v>
      </c>
      <c r="J338" s="888">
        <v>1019.86</v>
      </c>
    </row>
    <row r="339" spans="1:10" ht="18.75" x14ac:dyDescent="0.7">
      <c r="A339" s="1450"/>
      <c r="B339" s="1450"/>
      <c r="C339" s="1450"/>
      <c r="D339" s="1450"/>
      <c r="E339" s="1450"/>
      <c r="F339" s="1450"/>
      <c r="G339" s="1450"/>
      <c r="H339" s="1450"/>
      <c r="I339" s="1450"/>
      <c r="J339" s="1451"/>
    </row>
    <row r="340" spans="1:10" ht="16.5" x14ac:dyDescent="0.6">
      <c r="A340" s="510" t="s">
        <v>273</v>
      </c>
      <c r="B340" s="692"/>
      <c r="C340" s="842"/>
      <c r="D340" s="843"/>
      <c r="E340" s="514"/>
      <c r="F340" s="515"/>
      <c r="G340" s="514"/>
      <c r="H340" s="514"/>
      <c r="I340" s="514"/>
      <c r="J340" s="516"/>
    </row>
    <row r="341" spans="1:10" ht="18.75" x14ac:dyDescent="0.6">
      <c r="A341" s="696"/>
      <c r="B341" s="697">
        <v>9.1349999999999998</v>
      </c>
      <c r="C341" s="883" t="s">
        <v>540</v>
      </c>
      <c r="D341" s="845" t="s">
        <v>541</v>
      </c>
      <c r="E341" s="845">
        <v>15</v>
      </c>
      <c r="F341" s="846">
        <v>80</v>
      </c>
      <c r="G341" s="845">
        <v>1200</v>
      </c>
      <c r="H341" s="845">
        <v>1356</v>
      </c>
      <c r="I341" s="847"/>
      <c r="J341" s="1396">
        <v>1949.25</v>
      </c>
    </row>
    <row r="342" spans="1:10" ht="18.75" x14ac:dyDescent="0.7">
      <c r="A342" s="696"/>
      <c r="B342" s="697">
        <v>9.1359999999999992</v>
      </c>
      <c r="C342" s="702" t="s">
        <v>542</v>
      </c>
      <c r="D342" s="703" t="s">
        <v>543</v>
      </c>
      <c r="E342" s="703">
        <v>300</v>
      </c>
      <c r="F342" s="704">
        <v>1</v>
      </c>
      <c r="G342" s="703">
        <v>300</v>
      </c>
      <c r="H342" s="703">
        <v>339</v>
      </c>
      <c r="I342" s="705"/>
      <c r="J342" s="1397">
        <v>0</v>
      </c>
    </row>
    <row r="343" spans="1:10" ht="18.75" x14ac:dyDescent="0.6">
      <c r="A343" s="696"/>
      <c r="B343" s="697">
        <v>9.1370000000000005</v>
      </c>
      <c r="C343" s="883" t="s">
        <v>544</v>
      </c>
      <c r="D343" s="845" t="s">
        <v>545</v>
      </c>
      <c r="E343" s="845">
        <v>5</v>
      </c>
      <c r="F343" s="846">
        <v>6</v>
      </c>
      <c r="G343" s="845">
        <v>30</v>
      </c>
      <c r="H343" s="845">
        <v>33.9</v>
      </c>
      <c r="I343" s="847"/>
      <c r="J343" s="1396">
        <v>15.8</v>
      </c>
    </row>
    <row r="344" spans="1:10" ht="18.75" x14ac:dyDescent="0.7">
      <c r="A344" s="696"/>
      <c r="B344" s="697">
        <v>9.1379999999999999</v>
      </c>
      <c r="C344" s="702" t="s">
        <v>546</v>
      </c>
      <c r="D344" s="703" t="s">
        <v>547</v>
      </c>
      <c r="E344" s="703">
        <v>200</v>
      </c>
      <c r="F344" s="704">
        <v>1</v>
      </c>
      <c r="G344" s="703">
        <v>200</v>
      </c>
      <c r="H344" s="703">
        <v>226</v>
      </c>
      <c r="I344" s="705"/>
      <c r="J344" s="1397">
        <v>5.65</v>
      </c>
    </row>
    <row r="345" spans="1:10" ht="18.75" x14ac:dyDescent="0.6">
      <c r="A345" s="696"/>
      <c r="B345" s="697">
        <v>9.1389999999999993</v>
      </c>
      <c r="C345" s="883" t="s">
        <v>548</v>
      </c>
      <c r="D345" s="845" t="s">
        <v>549</v>
      </c>
      <c r="E345" s="845">
        <v>1500</v>
      </c>
      <c r="F345" s="846">
        <v>1</v>
      </c>
      <c r="G345" s="845">
        <v>1500</v>
      </c>
      <c r="H345" s="845">
        <v>1695</v>
      </c>
      <c r="I345" s="847"/>
      <c r="J345" s="1396">
        <v>1778.62</v>
      </c>
    </row>
    <row r="346" spans="1:10" ht="18.75" x14ac:dyDescent="0.7">
      <c r="A346" s="853"/>
      <c r="B346" s="697">
        <v>9.14</v>
      </c>
      <c r="C346" s="702" t="s">
        <v>550</v>
      </c>
      <c r="D346" s="703" t="s">
        <v>551</v>
      </c>
      <c r="E346" s="703">
        <v>7</v>
      </c>
      <c r="F346" s="704">
        <v>13</v>
      </c>
      <c r="G346" s="703">
        <v>91</v>
      </c>
      <c r="H346" s="703">
        <v>102.83</v>
      </c>
      <c r="I346" s="705"/>
      <c r="J346" s="1397">
        <v>116.73</v>
      </c>
    </row>
    <row r="347" spans="1:10" ht="18.75" x14ac:dyDescent="0.6">
      <c r="A347" s="853"/>
      <c r="B347" s="697">
        <v>9.141</v>
      </c>
      <c r="C347" s="883" t="s">
        <v>552</v>
      </c>
      <c r="D347" s="845" t="s">
        <v>553</v>
      </c>
      <c r="E347" s="845">
        <v>8</v>
      </c>
      <c r="F347" s="846">
        <v>14</v>
      </c>
      <c r="G347" s="845">
        <v>112</v>
      </c>
      <c r="H347" s="845">
        <v>126.56</v>
      </c>
      <c r="I347" s="847"/>
      <c r="J347" s="1396">
        <v>68.81</v>
      </c>
    </row>
    <row r="348" spans="1:10" ht="18.75" x14ac:dyDescent="0.7">
      <c r="A348" s="1450"/>
      <c r="B348" s="1450"/>
      <c r="C348" s="1450"/>
      <c r="D348" s="1450"/>
      <c r="E348" s="1450"/>
      <c r="F348" s="1450"/>
      <c r="G348" s="1450"/>
      <c r="H348" s="1450"/>
      <c r="I348" s="1450"/>
      <c r="J348" s="1451"/>
    </row>
    <row r="349" spans="1:10" ht="18.75" x14ac:dyDescent="0.7">
      <c r="A349" s="878"/>
      <c r="B349" s="884" t="s">
        <v>554</v>
      </c>
      <c r="C349" s="892"/>
      <c r="D349" s="805"/>
      <c r="E349" s="805"/>
      <c r="F349" s="887"/>
      <c r="G349" s="805"/>
      <c r="H349" s="805">
        <v>3879.29</v>
      </c>
      <c r="I349" s="805">
        <v>0</v>
      </c>
      <c r="J349" s="970">
        <v>3934.86</v>
      </c>
    </row>
    <row r="350" spans="1:10" ht="18.75" x14ac:dyDescent="0.7">
      <c r="A350" s="1452"/>
      <c r="B350" s="1452"/>
      <c r="C350" s="1452"/>
      <c r="D350" s="1452"/>
      <c r="E350" s="1452"/>
      <c r="F350" s="1452"/>
      <c r="G350" s="1452"/>
      <c r="H350" s="1452"/>
      <c r="I350" s="1452"/>
      <c r="J350" s="1453"/>
    </row>
    <row r="351" spans="1:10" ht="18.75" x14ac:dyDescent="0.7">
      <c r="A351" s="971" t="s">
        <v>555</v>
      </c>
      <c r="B351" s="972"/>
      <c r="C351" s="973"/>
      <c r="D351" s="974"/>
      <c r="E351" s="975"/>
      <c r="F351" s="976"/>
      <c r="G351" s="975"/>
      <c r="H351" s="975"/>
      <c r="I351" s="975"/>
      <c r="J351" s="977"/>
    </row>
    <row r="352" spans="1:10" ht="16.5" x14ac:dyDescent="0.6">
      <c r="A352" s="696"/>
      <c r="B352" s="697">
        <v>9.1419999999999995</v>
      </c>
      <c r="C352" s="883" t="s">
        <v>556</v>
      </c>
      <c r="D352" s="945" t="s">
        <v>557</v>
      </c>
      <c r="E352" s="845">
        <v>150</v>
      </c>
      <c r="F352" s="846">
        <v>1</v>
      </c>
      <c r="G352" s="845">
        <v>150</v>
      </c>
      <c r="H352" s="845">
        <v>169.5</v>
      </c>
      <c r="I352" s="847"/>
      <c r="J352" s="847">
        <v>125</v>
      </c>
    </row>
    <row r="353" spans="1:10" ht="16.5" x14ac:dyDescent="0.6">
      <c r="A353" s="923"/>
      <c r="B353" s="697">
        <v>9.1430000000000007</v>
      </c>
      <c r="C353" s="702" t="s">
        <v>440</v>
      </c>
      <c r="D353" s="703" t="s">
        <v>558</v>
      </c>
      <c r="E353" s="703">
        <v>27.85</v>
      </c>
      <c r="F353" s="704">
        <v>12</v>
      </c>
      <c r="G353" s="703">
        <v>334.2</v>
      </c>
      <c r="H353" s="703">
        <v>377.65</v>
      </c>
      <c r="I353" s="705">
        <v>320</v>
      </c>
      <c r="J353" s="705"/>
    </row>
    <row r="354" spans="1:10" ht="16.5" x14ac:dyDescent="0.6">
      <c r="A354" s="519"/>
      <c r="B354" s="924"/>
      <c r="C354" s="737"/>
      <c r="D354" s="955"/>
      <c r="E354" s="521"/>
      <c r="F354" s="522"/>
      <c r="G354" s="521"/>
      <c r="H354" s="521"/>
      <c r="I354" s="521"/>
      <c r="J354" s="523"/>
    </row>
    <row r="355" spans="1:10" ht="16.5" x14ac:dyDescent="0.6">
      <c r="A355" s="519"/>
      <c r="B355" s="884" t="s">
        <v>559</v>
      </c>
      <c r="C355" s="885"/>
      <c r="D355" s="886"/>
      <c r="E355" s="805"/>
      <c r="F355" s="887"/>
      <c r="G355" s="805"/>
      <c r="H355" s="805">
        <v>547.15</v>
      </c>
      <c r="I355" s="805">
        <v>320</v>
      </c>
      <c r="J355" s="888">
        <v>125</v>
      </c>
    </row>
    <row r="356" spans="1:10" ht="18.75" x14ac:dyDescent="0.7">
      <c r="A356" s="1454"/>
      <c r="B356" s="1454"/>
      <c r="C356" s="1454"/>
      <c r="D356" s="1454"/>
      <c r="E356" s="1454"/>
      <c r="F356" s="1454"/>
      <c r="G356" s="1454"/>
      <c r="H356" s="1454"/>
      <c r="I356" s="1454"/>
      <c r="J356" s="1455"/>
    </row>
    <row r="357" spans="1:10" ht="18.75" x14ac:dyDescent="0.7">
      <c r="A357" s="1454"/>
      <c r="B357" s="1454"/>
      <c r="C357" s="1457" t="s">
        <v>560</v>
      </c>
      <c r="D357" s="1457"/>
      <c r="E357" s="1457"/>
      <c r="F357" s="1457"/>
      <c r="G357" s="1457"/>
      <c r="H357" s="978">
        <v>23627.22</v>
      </c>
      <c r="I357" s="979">
        <v>1331.32</v>
      </c>
      <c r="J357" s="1398">
        <v>6327.47</v>
      </c>
    </row>
    <row r="358" spans="1:10" ht="18.75" x14ac:dyDescent="0.7">
      <c r="A358" s="1456"/>
      <c r="B358" s="1456"/>
      <c r="C358" s="1456"/>
      <c r="D358" s="1456"/>
      <c r="E358" s="1456"/>
      <c r="F358" s="1456"/>
      <c r="G358" s="1456"/>
      <c r="H358" s="1456"/>
      <c r="I358" s="1456"/>
      <c r="J358" s="1458"/>
    </row>
    <row r="359" spans="1:10" ht="16.5" x14ac:dyDescent="0.6">
      <c r="A359" s="835" t="s">
        <v>85</v>
      </c>
      <c r="B359" s="980"/>
      <c r="C359" s="981"/>
      <c r="D359" s="691"/>
      <c r="E359" s="507"/>
      <c r="F359" s="508"/>
      <c r="G359" s="507"/>
      <c r="H359" s="507"/>
      <c r="I359" s="507"/>
      <c r="J359" s="509"/>
    </row>
    <row r="360" spans="1:10" ht="16.5" x14ac:dyDescent="0.6">
      <c r="A360" s="510"/>
      <c r="B360" s="982" t="s">
        <v>86</v>
      </c>
      <c r="C360" s="983"/>
      <c r="D360" s="984"/>
      <c r="E360" s="541"/>
      <c r="F360" s="541"/>
      <c r="G360" s="541"/>
      <c r="H360" s="541">
        <v>11814.63</v>
      </c>
      <c r="I360" s="541">
        <v>450</v>
      </c>
      <c r="J360" s="985">
        <v>0</v>
      </c>
    </row>
    <row r="361" spans="1:10" ht="16.5" x14ac:dyDescent="0.6">
      <c r="A361" s="510"/>
      <c r="B361" s="692" t="s">
        <v>87</v>
      </c>
      <c r="C361" s="952"/>
      <c r="D361" s="843"/>
      <c r="E361" s="514"/>
      <c r="F361" s="514"/>
      <c r="G361" s="514"/>
      <c r="H361" s="514">
        <v>23627.22</v>
      </c>
      <c r="I361" s="514">
        <v>1331.32</v>
      </c>
      <c r="J361" s="516">
        <v>6327.47</v>
      </c>
    </row>
    <row r="362" spans="1:10" ht="16.5" x14ac:dyDescent="0.6">
      <c r="A362" s="543"/>
      <c r="B362" s="986" t="s">
        <v>88</v>
      </c>
      <c r="C362" s="987"/>
      <c r="D362" s="988"/>
      <c r="E362" s="545"/>
      <c r="F362" s="545"/>
      <c r="G362" s="545"/>
      <c r="H362" s="545">
        <v>-11812.6</v>
      </c>
      <c r="I362" s="545">
        <v>-881.32</v>
      </c>
      <c r="J362" s="985">
        <v>-6327.47</v>
      </c>
    </row>
  </sheetData>
  <mergeCells count="13">
    <mergeCell ref="A310:J310"/>
    <mergeCell ref="A1:J1"/>
    <mergeCell ref="A4:C4"/>
    <mergeCell ref="A73:B74"/>
    <mergeCell ref="C73:G73"/>
    <mergeCell ref="C74:J74"/>
    <mergeCell ref="A339:J339"/>
    <mergeCell ref="A348:J348"/>
    <mergeCell ref="A350:J350"/>
    <mergeCell ref="A356:J356"/>
    <mergeCell ref="A357:B358"/>
    <mergeCell ref="C357:G357"/>
    <mergeCell ref="C358:J35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D158D-1BA0-4BEB-A389-4C71D878D84E}">
  <dimension ref="A1:L75"/>
  <sheetViews>
    <sheetView topLeftCell="D44" zoomScale="80" zoomScaleNormal="80" workbookViewId="0">
      <selection activeCell="L53" sqref="L53"/>
    </sheetView>
  </sheetViews>
  <sheetFormatPr defaultColWidth="8.86328125" defaultRowHeight="14.25" x14ac:dyDescent="0.45"/>
  <cols>
    <col min="1" max="1" width="44.265625" bestFit="1" customWidth="1"/>
    <col min="2" max="2" width="40.73046875" bestFit="1" customWidth="1"/>
    <col min="3" max="3" width="25.3984375" customWidth="1"/>
    <col min="4" max="4" width="39.265625" bestFit="1" customWidth="1"/>
    <col min="5" max="5" width="13.265625" customWidth="1"/>
    <col min="6" max="6" width="12.265625" bestFit="1" customWidth="1"/>
    <col min="7" max="7" width="14" customWidth="1"/>
    <col min="8" max="8" width="15.73046875" customWidth="1"/>
    <col min="9" max="9" width="11.86328125" bestFit="1" customWidth="1"/>
    <col min="10" max="10" width="14.86328125" bestFit="1" customWidth="1"/>
  </cols>
  <sheetData>
    <row r="1" spans="1:12" ht="14.85" customHeight="1" x14ac:dyDescent="0.45">
      <c r="A1" s="1474"/>
      <c r="B1" s="1465" t="s">
        <v>561</v>
      </c>
      <c r="C1" s="1466"/>
      <c r="D1" s="1466"/>
      <c r="E1" s="1466"/>
      <c r="F1" s="1466"/>
      <c r="G1" s="1466"/>
      <c r="H1" s="1466"/>
      <c r="I1" s="1466"/>
      <c r="J1" s="1467"/>
    </row>
    <row r="2" spans="1:12" ht="14.85" customHeight="1" x14ac:dyDescent="0.45">
      <c r="A2" s="1474"/>
      <c r="B2" s="1468"/>
      <c r="C2" s="1469"/>
      <c r="D2" s="1469"/>
      <c r="E2" s="1469"/>
      <c r="F2" s="1469"/>
      <c r="G2" s="1469"/>
      <c r="H2" s="1469"/>
      <c r="I2" s="1469"/>
      <c r="J2" s="1470"/>
    </row>
    <row r="3" spans="1:12" ht="14.85" customHeight="1" x14ac:dyDescent="0.45">
      <c r="A3" s="1474"/>
      <c r="B3" s="1468"/>
      <c r="C3" s="1469"/>
      <c r="D3" s="1469"/>
      <c r="E3" s="1469"/>
      <c r="F3" s="1469"/>
      <c r="G3" s="1469"/>
      <c r="H3" s="1469"/>
      <c r="I3" s="1469"/>
      <c r="J3" s="1470"/>
    </row>
    <row r="4" spans="1:12" ht="92.85" customHeight="1" x14ac:dyDescent="0.45">
      <c r="A4" s="1474"/>
      <c r="B4" s="1471"/>
      <c r="C4" s="1472"/>
      <c r="D4" s="1472"/>
      <c r="E4" s="1472"/>
      <c r="F4" s="1472"/>
      <c r="G4" s="1472"/>
      <c r="H4" s="1472"/>
      <c r="I4" s="1472"/>
      <c r="J4" s="1473"/>
    </row>
    <row r="5" spans="1:12" ht="14.85" customHeight="1" x14ac:dyDescent="0.6">
      <c r="A5" s="254"/>
      <c r="B5" s="200" t="s">
        <v>90</v>
      </c>
      <c r="C5" s="198" t="s">
        <v>91</v>
      </c>
      <c r="D5" s="255" t="s">
        <v>92</v>
      </c>
      <c r="E5" s="256" t="s">
        <v>93</v>
      </c>
      <c r="F5" s="257" t="s">
        <v>94</v>
      </c>
      <c r="G5" s="258" t="s">
        <v>95</v>
      </c>
      <c r="H5" s="258" t="s">
        <v>96</v>
      </c>
      <c r="I5" s="258" t="s">
        <v>217</v>
      </c>
      <c r="J5" s="259" t="s">
        <v>218</v>
      </c>
    </row>
    <row r="6" spans="1:12" ht="15.75" customHeight="1" x14ac:dyDescent="0.6">
      <c r="A6" s="22"/>
      <c r="B6" s="23"/>
      <c r="C6" s="260"/>
      <c r="D6" s="261"/>
      <c r="E6" s="262"/>
      <c r="F6" s="263"/>
      <c r="G6" s="262"/>
      <c r="H6" s="262"/>
      <c r="I6" s="262"/>
      <c r="J6" s="264"/>
    </row>
    <row r="7" spans="1:12" ht="15.75" customHeight="1" x14ac:dyDescent="0.6">
      <c r="A7" s="1475" t="s">
        <v>7</v>
      </c>
      <c r="B7" s="1476"/>
      <c r="C7" s="1476"/>
      <c r="D7" s="203"/>
      <c r="E7" s="203"/>
      <c r="F7" s="204"/>
      <c r="G7" s="203"/>
      <c r="H7" s="203"/>
      <c r="I7" s="203"/>
      <c r="J7" s="205"/>
    </row>
    <row r="8" spans="1:12" ht="15.75" customHeight="1" x14ac:dyDescent="0.6">
      <c r="A8" s="265" t="s">
        <v>562</v>
      </c>
      <c r="B8" s="266"/>
      <c r="C8" s="266"/>
      <c r="D8" s="247"/>
      <c r="E8" s="247"/>
      <c r="F8" s="267"/>
      <c r="G8" s="247"/>
      <c r="H8" s="247"/>
      <c r="I8" s="247"/>
      <c r="J8" s="248"/>
      <c r="L8" t="s">
        <v>66</v>
      </c>
    </row>
    <row r="9" spans="1:12" ht="15.75" customHeight="1" x14ac:dyDescent="0.6">
      <c r="A9" s="265"/>
      <c r="B9" s="268">
        <v>1.01</v>
      </c>
      <c r="C9" s="268" t="s">
        <v>563</v>
      </c>
      <c r="D9" s="269" t="s">
        <v>564</v>
      </c>
      <c r="E9" s="269">
        <v>1200</v>
      </c>
      <c r="F9" s="270">
        <v>1</v>
      </c>
      <c r="G9" s="269">
        <f>F9*E9</f>
        <v>1200</v>
      </c>
      <c r="H9" s="269">
        <f>G9</f>
        <v>1200</v>
      </c>
      <c r="I9" s="269"/>
      <c r="J9" s="271">
        <v>4000</v>
      </c>
    </row>
    <row r="10" spans="1:12" ht="15.75" customHeight="1" x14ac:dyDescent="0.6">
      <c r="A10" s="244"/>
      <c r="B10" s="246"/>
      <c r="C10" s="246"/>
      <c r="D10" s="247"/>
      <c r="E10" s="247"/>
      <c r="F10" s="267"/>
      <c r="G10" s="247"/>
      <c r="H10" s="247"/>
      <c r="I10" s="247"/>
      <c r="J10" s="248"/>
    </row>
    <row r="11" spans="1:12" ht="16.5" x14ac:dyDescent="0.6">
      <c r="A11" s="244"/>
      <c r="B11" s="246"/>
      <c r="C11" s="246" t="s">
        <v>46</v>
      </c>
      <c r="D11" s="247"/>
      <c r="E11" s="247"/>
      <c r="F11" s="267"/>
      <c r="G11" s="247"/>
      <c r="H11" s="247">
        <f>H9</f>
        <v>1200</v>
      </c>
      <c r="I11" s="247">
        <v>0</v>
      </c>
      <c r="J11" s="248">
        <f>SUM(J9)</f>
        <v>4000</v>
      </c>
    </row>
    <row r="12" spans="1:12" ht="16.5" x14ac:dyDescent="0.6">
      <c r="A12" s="244"/>
      <c r="B12" s="246"/>
      <c r="C12" s="246"/>
      <c r="D12" s="247"/>
      <c r="E12" s="247"/>
      <c r="F12" s="267"/>
      <c r="G12" s="247"/>
      <c r="H12" s="247"/>
      <c r="I12" s="247"/>
      <c r="J12" s="248"/>
    </row>
    <row r="13" spans="1:12" ht="16.5" x14ac:dyDescent="0.6">
      <c r="A13" s="1475" t="s">
        <v>47</v>
      </c>
      <c r="B13" s="1476"/>
      <c r="C13" s="1476"/>
      <c r="D13" s="203"/>
      <c r="E13" s="272"/>
      <c r="F13" s="273"/>
      <c r="G13" s="272"/>
      <c r="H13" s="272"/>
      <c r="I13" s="272"/>
      <c r="J13" s="205"/>
      <c r="L13" s="289"/>
    </row>
    <row r="14" spans="1:12" ht="16.5" x14ac:dyDescent="0.6">
      <c r="A14" s="244" t="s">
        <v>565</v>
      </c>
      <c r="B14" s="246"/>
      <c r="C14" s="274"/>
      <c r="D14" s="275"/>
      <c r="E14" s="275"/>
      <c r="F14" s="276"/>
      <c r="G14" s="275"/>
      <c r="H14" s="275"/>
      <c r="I14" s="275"/>
      <c r="J14" s="277"/>
    </row>
    <row r="15" spans="1:12" ht="18.75" x14ac:dyDescent="0.7">
      <c r="A15" s="278"/>
      <c r="B15" s="279" t="s">
        <v>566</v>
      </c>
      <c r="C15" s="280" t="s">
        <v>567</v>
      </c>
      <c r="D15" s="280" t="s">
        <v>568</v>
      </c>
      <c r="E15" s="281">
        <v>14</v>
      </c>
      <c r="F15" s="282">
        <v>150</v>
      </c>
      <c r="G15" s="281">
        <f>E15*F15</f>
        <v>2100</v>
      </c>
      <c r="H15" s="281">
        <f>G15</f>
        <v>2100</v>
      </c>
      <c r="I15" s="283"/>
      <c r="J15" s="271">
        <v>800</v>
      </c>
    </row>
    <row r="16" spans="1:12" ht="18.75" x14ac:dyDescent="0.7">
      <c r="A16" s="278"/>
      <c r="B16" s="284" t="s">
        <v>569</v>
      </c>
      <c r="C16" s="285" t="s">
        <v>570</v>
      </c>
      <c r="D16" s="285" t="s">
        <v>328</v>
      </c>
      <c r="E16" s="286">
        <v>3</v>
      </c>
      <c r="F16" s="287">
        <v>150</v>
      </c>
      <c r="G16" s="286">
        <f>E16*F16</f>
        <v>450</v>
      </c>
      <c r="H16" s="286">
        <f>G16*1.13</f>
        <v>508.49999999999994</v>
      </c>
      <c r="I16" s="288"/>
      <c r="J16" s="277">
        <v>504.91</v>
      </c>
    </row>
    <row r="17" spans="1:10" ht="18.75" x14ac:dyDescent="0.7">
      <c r="A17" s="278"/>
      <c r="B17" s="274"/>
      <c r="C17" s="290"/>
      <c r="D17" s="291"/>
      <c r="E17" s="275"/>
      <c r="F17" s="276"/>
      <c r="G17" s="275"/>
      <c r="H17" s="275"/>
      <c r="I17" s="275"/>
      <c r="J17" s="277"/>
    </row>
    <row r="18" spans="1:10" ht="18.75" x14ac:dyDescent="0.7">
      <c r="A18" s="278"/>
      <c r="B18" s="292" t="s">
        <v>571</v>
      </c>
      <c r="C18" s="293"/>
      <c r="D18" s="294"/>
      <c r="E18" s="295"/>
      <c r="F18" s="296"/>
      <c r="G18" s="295"/>
      <c r="H18" s="295">
        <f>SUM(H15:H16)</f>
        <v>2608.5</v>
      </c>
      <c r="I18" s="295">
        <f ca="1">SUM(I14:I36)</f>
        <v>0</v>
      </c>
      <c r="J18" s="297">
        <f>SUM(J15:J16)</f>
        <v>1304.9100000000001</v>
      </c>
    </row>
    <row r="19" spans="1:10" ht="18.75" x14ac:dyDescent="0.7">
      <c r="A19" s="244"/>
      <c r="B19" s="246"/>
      <c r="C19" s="298"/>
      <c r="D19" s="299"/>
      <c r="E19" s="247"/>
      <c r="F19" s="267"/>
      <c r="G19" s="247"/>
      <c r="H19" s="247"/>
      <c r="I19" s="247"/>
      <c r="J19" s="248"/>
    </row>
    <row r="20" spans="1:10" ht="18.75" x14ac:dyDescent="0.7">
      <c r="A20" s="244" t="s">
        <v>572</v>
      </c>
      <c r="B20" s="246"/>
      <c r="C20" s="300"/>
      <c r="D20" s="291"/>
      <c r="E20" s="275"/>
      <c r="F20" s="276"/>
      <c r="G20" s="275"/>
      <c r="H20" s="275"/>
      <c r="I20" s="275"/>
      <c r="J20" s="277"/>
    </row>
    <row r="21" spans="1:10" ht="18.75" x14ac:dyDescent="0.7">
      <c r="A21" s="301"/>
      <c r="B21" s="279" t="s">
        <v>573</v>
      </c>
      <c r="C21" s="280" t="s">
        <v>574</v>
      </c>
      <c r="D21" s="280" t="s">
        <v>575</v>
      </c>
      <c r="E21" s="281">
        <v>30</v>
      </c>
      <c r="F21" s="282">
        <v>16</v>
      </c>
      <c r="G21" s="281">
        <f>E21*F21</f>
        <v>480</v>
      </c>
      <c r="H21" s="281">
        <f>G21*1.13</f>
        <v>542.4</v>
      </c>
      <c r="I21" s="283"/>
      <c r="J21" s="271">
        <v>329.17</v>
      </c>
    </row>
    <row r="22" spans="1:10" ht="18.75" x14ac:dyDescent="0.7">
      <c r="A22" s="301"/>
      <c r="B22" s="284" t="s">
        <v>576</v>
      </c>
      <c r="C22" s="285" t="s">
        <v>577</v>
      </c>
      <c r="D22" s="285" t="s">
        <v>578</v>
      </c>
      <c r="E22" s="286">
        <v>30</v>
      </c>
      <c r="F22" s="287">
        <v>16</v>
      </c>
      <c r="G22" s="286">
        <f>F22*E22</f>
        <v>480</v>
      </c>
      <c r="H22" s="286">
        <f>G22*1.13</f>
        <v>542.4</v>
      </c>
      <c r="I22" s="288"/>
      <c r="J22" s="277">
        <v>1200</v>
      </c>
    </row>
    <row r="23" spans="1:10" ht="18.75" x14ac:dyDescent="0.7">
      <c r="A23" s="301"/>
      <c r="B23" s="279" t="s">
        <v>579</v>
      </c>
      <c r="C23" s="280" t="s">
        <v>580</v>
      </c>
      <c r="D23" s="280" t="s">
        <v>581</v>
      </c>
      <c r="E23" s="281">
        <v>400</v>
      </c>
      <c r="F23" s="282">
        <v>16</v>
      </c>
      <c r="G23" s="281">
        <f>E23*F23</f>
        <v>6400</v>
      </c>
      <c r="H23" s="281">
        <f>G23</f>
        <v>6400</v>
      </c>
      <c r="I23" s="283"/>
      <c r="J23" s="271">
        <f>50*7*16</f>
        <v>5600</v>
      </c>
    </row>
    <row r="24" spans="1:10" ht="18.75" x14ac:dyDescent="0.7">
      <c r="A24" s="301"/>
      <c r="B24" s="284" t="s">
        <v>582</v>
      </c>
      <c r="C24" s="285" t="s">
        <v>583</v>
      </c>
      <c r="D24" s="285" t="s">
        <v>584</v>
      </c>
      <c r="E24" s="286">
        <v>150</v>
      </c>
      <c r="F24" s="287">
        <v>16</v>
      </c>
      <c r="G24" s="286">
        <f>E24*F24</f>
        <v>2400</v>
      </c>
      <c r="H24" s="286">
        <f>G24</f>
        <v>2400</v>
      </c>
      <c r="I24" s="288"/>
      <c r="J24" s="277">
        <f>70+135*3+70*4</f>
        <v>755</v>
      </c>
    </row>
    <row r="25" spans="1:10" ht="18.75" x14ac:dyDescent="0.7">
      <c r="A25" s="301"/>
      <c r="B25" s="279" t="s">
        <v>585</v>
      </c>
      <c r="C25" s="280" t="s">
        <v>586</v>
      </c>
      <c r="D25" s="280" t="s">
        <v>587</v>
      </c>
      <c r="E25" s="281">
        <v>55</v>
      </c>
      <c r="F25" s="282">
        <v>24</v>
      </c>
      <c r="G25" s="281">
        <f>E25*F25</f>
        <v>1320</v>
      </c>
      <c r="H25" s="281">
        <f>G25*1.13</f>
        <v>1491.6</v>
      </c>
      <c r="I25" s="283"/>
      <c r="J25" s="271">
        <f>1308.09-117.6*1.13</f>
        <v>1175.202</v>
      </c>
    </row>
    <row r="26" spans="1:10" s="308" customFormat="1" ht="18.75" x14ac:dyDescent="0.7">
      <c r="A26" s="301"/>
      <c r="B26" s="284" t="s">
        <v>588</v>
      </c>
      <c r="C26" s="285" t="s">
        <v>589</v>
      </c>
      <c r="D26" s="285" t="s">
        <v>590</v>
      </c>
      <c r="E26" s="286">
        <v>65</v>
      </c>
      <c r="F26" s="287">
        <v>32</v>
      </c>
      <c r="G26" s="286">
        <f>E26*F26</f>
        <v>2080</v>
      </c>
      <c r="H26" s="286">
        <f>G26*1.13</f>
        <v>2350.3999999999996</v>
      </c>
      <c r="I26" s="288"/>
      <c r="J26" s="277">
        <v>2202.98</v>
      </c>
    </row>
    <row r="27" spans="1:10" ht="18.75" x14ac:dyDescent="0.7">
      <c r="A27" s="278"/>
      <c r="B27" s="279" t="s">
        <v>591</v>
      </c>
      <c r="C27" s="302" t="s">
        <v>592</v>
      </c>
      <c r="D27" s="303" t="s">
        <v>593</v>
      </c>
      <c r="E27" s="304">
        <v>15</v>
      </c>
      <c r="F27" s="305">
        <v>16</v>
      </c>
      <c r="G27" s="281">
        <f t="shared" ref="G27:G28" si="0">E27*F27</f>
        <v>240</v>
      </c>
      <c r="H27" s="281">
        <f t="shared" ref="H27:H28" si="1">G27*1.13</f>
        <v>271.2</v>
      </c>
      <c r="I27" s="283"/>
      <c r="J27" s="271">
        <f>12.5*16*1.13</f>
        <v>225.99999999999997</v>
      </c>
    </row>
    <row r="28" spans="1:10" ht="18.75" x14ac:dyDescent="0.7">
      <c r="A28" s="278"/>
      <c r="B28" s="284" t="s">
        <v>594</v>
      </c>
      <c r="C28" s="300" t="s">
        <v>595</v>
      </c>
      <c r="D28" s="291" t="s">
        <v>596</v>
      </c>
      <c r="E28" s="306">
        <v>30</v>
      </c>
      <c r="F28" s="307">
        <v>6</v>
      </c>
      <c r="G28" s="286">
        <f t="shared" si="0"/>
        <v>180</v>
      </c>
      <c r="H28" s="286">
        <f t="shared" si="1"/>
        <v>203.39999999999998</v>
      </c>
      <c r="I28" s="288"/>
      <c r="J28" s="277">
        <v>0</v>
      </c>
    </row>
    <row r="29" spans="1:10" ht="18.75" x14ac:dyDescent="0.7">
      <c r="A29" s="278"/>
      <c r="B29" s="279" t="s">
        <v>597</v>
      </c>
      <c r="C29" s="302" t="s">
        <v>598</v>
      </c>
      <c r="D29" s="303" t="s">
        <v>599</v>
      </c>
      <c r="E29" s="304">
        <v>65</v>
      </c>
      <c r="F29" s="305">
        <v>15</v>
      </c>
      <c r="G29" s="304">
        <f>F29*E29</f>
        <v>975</v>
      </c>
      <c r="H29" s="304">
        <f>G29</f>
        <v>975</v>
      </c>
      <c r="I29" s="283"/>
      <c r="J29" s="271">
        <f>H29-65</f>
        <v>910</v>
      </c>
    </row>
    <row r="30" spans="1:10" ht="18.75" x14ac:dyDescent="0.7">
      <c r="A30" s="278"/>
      <c r="B30" s="4"/>
      <c r="C30" s="300"/>
      <c r="D30" s="291"/>
      <c r="E30" s="288"/>
      <c r="F30" s="307"/>
      <c r="G30" s="288"/>
      <c r="H30" s="288"/>
      <c r="I30" s="288"/>
      <c r="J30" s="277"/>
    </row>
    <row r="31" spans="1:10" ht="18.75" x14ac:dyDescent="0.7">
      <c r="A31" s="278"/>
      <c r="B31" s="292" t="s">
        <v>600</v>
      </c>
      <c r="C31" s="309"/>
      <c r="D31" s="294"/>
      <c r="E31" s="295"/>
      <c r="F31" s="296"/>
      <c r="G31" s="295"/>
      <c r="H31" s="295">
        <f>SUM(H21:H29)</f>
        <v>15176.4</v>
      </c>
      <c r="I31" s="295">
        <f>SUM(I21:I27)</f>
        <v>0</v>
      </c>
      <c r="J31" s="297">
        <f>SUM(J21:J29)</f>
        <v>12398.351999999999</v>
      </c>
    </row>
    <row r="32" spans="1:10" ht="18.75" x14ac:dyDescent="0.7">
      <c r="A32" s="278"/>
      <c r="B32" s="274"/>
      <c r="C32" s="300"/>
      <c r="D32" s="291"/>
      <c r="E32" s="275"/>
      <c r="F32" s="276"/>
      <c r="G32" s="275"/>
      <c r="H32" s="275"/>
      <c r="I32" s="275"/>
      <c r="J32" s="277"/>
    </row>
    <row r="33" spans="1:10" ht="18.75" x14ac:dyDescent="0.7">
      <c r="A33" s="244" t="s">
        <v>601</v>
      </c>
      <c r="B33" s="274"/>
      <c r="C33" s="300"/>
      <c r="D33" s="291"/>
      <c r="E33" s="275"/>
      <c r="F33" s="276"/>
      <c r="G33" s="275"/>
      <c r="H33" s="275"/>
      <c r="I33" s="275"/>
      <c r="J33" s="277"/>
    </row>
    <row r="34" spans="1:10" ht="18.75" x14ac:dyDescent="0.7">
      <c r="A34" s="278"/>
      <c r="B34" s="310" t="s">
        <v>602</v>
      </c>
      <c r="C34" s="302" t="s">
        <v>603</v>
      </c>
      <c r="D34" s="303" t="s">
        <v>604</v>
      </c>
      <c r="E34" s="304">
        <v>50</v>
      </c>
      <c r="F34" s="311">
        <v>8</v>
      </c>
      <c r="G34" s="304">
        <f>F34*E34</f>
        <v>400</v>
      </c>
      <c r="H34" s="304">
        <f>G34</f>
        <v>400</v>
      </c>
      <c r="I34" s="269"/>
      <c r="J34" s="271">
        <f>H34</f>
        <v>400</v>
      </c>
    </row>
    <row r="35" spans="1:10" ht="18.75" x14ac:dyDescent="0.7">
      <c r="A35" s="278"/>
      <c r="B35" s="4" t="s">
        <v>605</v>
      </c>
      <c r="C35" s="300" t="s">
        <v>606</v>
      </c>
      <c r="D35" s="291" t="s">
        <v>607</v>
      </c>
      <c r="E35" s="306">
        <f>14*20</f>
        <v>280</v>
      </c>
      <c r="F35" s="312">
        <v>8</v>
      </c>
      <c r="G35" s="306">
        <f>F35*E35</f>
        <v>2240</v>
      </c>
      <c r="H35" s="306">
        <f>G35</f>
        <v>2240</v>
      </c>
      <c r="I35" s="275"/>
      <c r="J35" s="277">
        <f>H35</f>
        <v>2240</v>
      </c>
    </row>
    <row r="36" spans="1:10" ht="18.75" x14ac:dyDescent="0.7">
      <c r="A36" s="278"/>
      <c r="B36" s="310" t="s">
        <v>608</v>
      </c>
      <c r="C36" s="302" t="s">
        <v>609</v>
      </c>
      <c r="D36" s="303" t="s">
        <v>610</v>
      </c>
      <c r="E36" s="304">
        <v>30</v>
      </c>
      <c r="F36" s="311">
        <v>30</v>
      </c>
      <c r="G36" s="304">
        <f>E36*F36</f>
        <v>900</v>
      </c>
      <c r="H36" s="304">
        <f>G36*1.13</f>
        <v>1016.9999999999999</v>
      </c>
      <c r="I36" s="269"/>
      <c r="J36" s="271">
        <v>1104.2</v>
      </c>
    </row>
    <row r="37" spans="1:10" ht="18.75" x14ac:dyDescent="0.7">
      <c r="A37" s="278"/>
      <c r="B37" s="4" t="s">
        <v>611</v>
      </c>
      <c r="C37" s="300" t="s">
        <v>612</v>
      </c>
      <c r="D37" s="291" t="s">
        <v>610</v>
      </c>
      <c r="E37" s="306">
        <v>30</v>
      </c>
      <c r="F37" s="312">
        <v>28</v>
      </c>
      <c r="G37" s="306">
        <f>E37*F37</f>
        <v>840</v>
      </c>
      <c r="H37" s="306">
        <f>G37*1.13</f>
        <v>949.19999999999993</v>
      </c>
      <c r="I37" s="275"/>
      <c r="J37" s="277">
        <v>1161.33</v>
      </c>
    </row>
    <row r="38" spans="1:10" ht="18.75" x14ac:dyDescent="0.7">
      <c r="A38" s="278"/>
      <c r="B38" s="313"/>
      <c r="C38" s="300"/>
      <c r="D38" s="291"/>
      <c r="E38" s="275"/>
      <c r="F38" s="276"/>
      <c r="G38" s="275"/>
      <c r="H38" s="275"/>
      <c r="I38" s="275"/>
      <c r="J38" s="277"/>
    </row>
    <row r="39" spans="1:10" ht="18.75" x14ac:dyDescent="0.7">
      <c r="A39" s="278"/>
      <c r="B39" s="314" t="s">
        <v>613</v>
      </c>
      <c r="C39" s="309"/>
      <c r="D39" s="294"/>
      <c r="E39" s="295"/>
      <c r="F39" s="296"/>
      <c r="G39" s="295"/>
      <c r="H39" s="295">
        <f>SUM(H35:H37)</f>
        <v>4206.2</v>
      </c>
      <c r="I39" s="295">
        <f>SUM(I29:I35)</f>
        <v>0</v>
      </c>
      <c r="J39" s="297">
        <f>SUM(J34:J37)</f>
        <v>4905.53</v>
      </c>
    </row>
    <row r="40" spans="1:10" ht="18.75" x14ac:dyDescent="0.7">
      <c r="A40" s="278"/>
      <c r="B40" s="315"/>
      <c r="C40" s="298"/>
      <c r="D40" s="299"/>
      <c r="E40" s="247"/>
      <c r="F40" s="267"/>
      <c r="G40" s="247"/>
      <c r="H40" s="247"/>
      <c r="I40" s="247"/>
      <c r="J40" s="248"/>
    </row>
    <row r="41" spans="1:10" ht="18.75" x14ac:dyDescent="0.7">
      <c r="A41" s="244" t="s">
        <v>614</v>
      </c>
      <c r="B41" s="313"/>
      <c r="C41" s="300"/>
      <c r="D41" s="291"/>
      <c r="E41" s="275"/>
      <c r="F41" s="276"/>
      <c r="G41" s="275"/>
      <c r="H41" s="275"/>
      <c r="I41" s="275"/>
      <c r="J41" s="277"/>
    </row>
    <row r="42" spans="1:10" ht="18.75" x14ac:dyDescent="0.7">
      <c r="A42" s="278"/>
      <c r="B42" s="316" t="s">
        <v>615</v>
      </c>
      <c r="C42" s="302" t="s">
        <v>616</v>
      </c>
      <c r="D42" s="303" t="s">
        <v>604</v>
      </c>
      <c r="E42" s="304">
        <v>50</v>
      </c>
      <c r="F42" s="311">
        <v>8</v>
      </c>
      <c r="G42" s="304">
        <f>F42*E42</f>
        <v>400</v>
      </c>
      <c r="H42" s="304">
        <f>G42</f>
        <v>400</v>
      </c>
      <c r="I42" s="269"/>
      <c r="J42" s="271">
        <f>H42</f>
        <v>400</v>
      </c>
    </row>
    <row r="43" spans="1:10" ht="18.75" x14ac:dyDescent="0.7">
      <c r="A43" s="278"/>
      <c r="B43" s="313" t="s">
        <v>617</v>
      </c>
      <c r="C43" s="300" t="s">
        <v>618</v>
      </c>
      <c r="D43" s="291" t="s">
        <v>619</v>
      </c>
      <c r="E43" s="306">
        <f>20*5</f>
        <v>100</v>
      </c>
      <c r="F43" s="312">
        <v>8</v>
      </c>
      <c r="G43" s="306">
        <f>F43*E43</f>
        <v>800</v>
      </c>
      <c r="H43" s="306">
        <f>G43</f>
        <v>800</v>
      </c>
      <c r="I43" s="275"/>
      <c r="J43" s="277">
        <f>20*4*8</f>
        <v>640</v>
      </c>
    </row>
    <row r="44" spans="1:10" ht="18.75" x14ac:dyDescent="0.7">
      <c r="A44" s="278"/>
      <c r="B44" s="313"/>
      <c r="C44" s="300"/>
      <c r="D44" s="291"/>
      <c r="E44" s="275"/>
      <c r="F44" s="276"/>
      <c r="G44" s="275"/>
      <c r="H44" s="275"/>
      <c r="I44" s="275"/>
      <c r="J44" s="277"/>
    </row>
    <row r="45" spans="1:10" ht="18.75" x14ac:dyDescent="0.7">
      <c r="A45" s="278"/>
      <c r="B45" s="314" t="s">
        <v>620</v>
      </c>
      <c r="C45" s="309"/>
      <c r="D45" s="294"/>
      <c r="E45" s="295"/>
      <c r="F45" s="296"/>
      <c r="G45" s="295"/>
      <c r="H45" s="295">
        <f>SUM(H42:H43)</f>
        <v>1200</v>
      </c>
      <c r="I45" s="295">
        <f>SUM(I34:I41)</f>
        <v>0</v>
      </c>
      <c r="J45" s="297">
        <f>SUM(J42:J43)</f>
        <v>1040</v>
      </c>
    </row>
    <row r="46" spans="1:10" ht="18.75" x14ac:dyDescent="0.7">
      <c r="A46" s="278"/>
      <c r="B46" s="313"/>
      <c r="C46" s="300"/>
      <c r="D46" s="291"/>
      <c r="E46" s="275"/>
      <c r="F46" s="276"/>
      <c r="G46" s="275"/>
      <c r="H46" s="275"/>
      <c r="I46" s="275"/>
      <c r="J46" s="277"/>
    </row>
    <row r="47" spans="1:10" ht="18.75" x14ac:dyDescent="0.7">
      <c r="A47" s="244" t="s">
        <v>621</v>
      </c>
      <c r="B47" s="315"/>
      <c r="C47" s="300"/>
      <c r="D47" s="291"/>
      <c r="E47" s="275"/>
      <c r="F47" s="276"/>
      <c r="G47" s="275"/>
      <c r="H47" s="275"/>
      <c r="I47" s="275"/>
      <c r="J47" s="277"/>
    </row>
    <row r="48" spans="1:10" ht="18.75" x14ac:dyDescent="0.7">
      <c r="A48" s="278"/>
      <c r="B48" s="279" t="s">
        <v>622</v>
      </c>
      <c r="C48" s="280" t="s">
        <v>623</v>
      </c>
      <c r="D48" s="280" t="s">
        <v>624</v>
      </c>
      <c r="E48" s="281">
        <v>0.5</v>
      </c>
      <c r="F48" s="317">
        <v>3127</v>
      </c>
      <c r="G48" s="281">
        <f>E48*F48</f>
        <v>1563.5</v>
      </c>
      <c r="H48" s="281">
        <f>G48</f>
        <v>1563.5</v>
      </c>
      <c r="I48" s="283"/>
      <c r="J48" s="1341">
        <f>0.51*3127</f>
        <v>1594.77</v>
      </c>
    </row>
    <row r="49" spans="1:12" ht="18.75" x14ac:dyDescent="0.7">
      <c r="A49" s="278"/>
      <c r="B49" s="284" t="s">
        <v>625</v>
      </c>
      <c r="C49" s="285" t="s">
        <v>626</v>
      </c>
      <c r="D49" s="285" t="s">
        <v>627</v>
      </c>
      <c r="E49" s="286">
        <v>30</v>
      </c>
      <c r="F49" s="318">
        <v>10</v>
      </c>
      <c r="G49" s="286">
        <f>E49*F49</f>
        <v>300</v>
      </c>
      <c r="H49" s="286">
        <f>G49</f>
        <v>300</v>
      </c>
      <c r="I49" s="288"/>
      <c r="J49" s="1344">
        <v>353.13</v>
      </c>
      <c r="L49" s="289"/>
    </row>
    <row r="50" spans="1:12" ht="18.75" x14ac:dyDescent="0.7">
      <c r="A50" s="278"/>
      <c r="B50" s="313"/>
      <c r="C50" s="300"/>
      <c r="D50" s="291"/>
      <c r="E50" s="275"/>
      <c r="F50" s="276"/>
      <c r="G50" s="275"/>
      <c r="H50" s="275"/>
      <c r="I50" s="275"/>
      <c r="J50" s="277"/>
    </row>
    <row r="51" spans="1:12" ht="18.75" x14ac:dyDescent="0.7">
      <c r="A51" s="278"/>
      <c r="B51" s="314" t="s">
        <v>628</v>
      </c>
      <c r="C51" s="309"/>
      <c r="D51" s="294"/>
      <c r="E51" s="295"/>
      <c r="F51" s="296"/>
      <c r="G51" s="295"/>
      <c r="H51" s="295">
        <f>SUM(H48:H50)</f>
        <v>1863.5</v>
      </c>
      <c r="I51" s="295">
        <f>SUM(I48:I50)</f>
        <v>0</v>
      </c>
      <c r="J51" s="297">
        <f>SUM(J48:J49)</f>
        <v>1947.9</v>
      </c>
    </row>
    <row r="52" spans="1:12" ht="18.75" x14ac:dyDescent="0.7">
      <c r="A52" s="278"/>
      <c r="B52" s="313"/>
      <c r="C52" s="300"/>
      <c r="D52" s="291"/>
      <c r="E52" s="275"/>
      <c r="F52" s="276"/>
      <c r="G52" s="275"/>
      <c r="H52" s="275"/>
      <c r="I52" s="275"/>
      <c r="J52" s="277"/>
    </row>
    <row r="53" spans="1:12" ht="18.75" x14ac:dyDescent="0.7">
      <c r="A53" s="244" t="s">
        <v>629</v>
      </c>
      <c r="B53" s="315"/>
      <c r="C53" s="300"/>
      <c r="D53" s="291"/>
      <c r="E53" s="275"/>
      <c r="F53" s="276"/>
      <c r="G53" s="275"/>
      <c r="H53" s="275"/>
      <c r="I53" s="275"/>
      <c r="J53" s="277"/>
    </row>
    <row r="54" spans="1:12" ht="18.75" x14ac:dyDescent="0.7">
      <c r="A54" s="301" t="s">
        <v>630</v>
      </c>
      <c r="B54" s="313"/>
      <c r="C54" s="300"/>
      <c r="D54" s="291"/>
      <c r="E54" s="275"/>
      <c r="F54" s="276"/>
      <c r="G54" s="275"/>
      <c r="H54" s="275"/>
      <c r="I54" s="275"/>
      <c r="J54" s="277"/>
    </row>
    <row r="55" spans="1:12" ht="18.75" x14ac:dyDescent="0.7">
      <c r="A55" s="278"/>
      <c r="B55" s="316" t="s">
        <v>631</v>
      </c>
      <c r="C55" s="302" t="s">
        <v>632</v>
      </c>
      <c r="D55" s="303" t="s">
        <v>633</v>
      </c>
      <c r="E55" s="304">
        <v>398.15</v>
      </c>
      <c r="F55" s="311">
        <v>1</v>
      </c>
      <c r="G55" s="304">
        <f>F55*E55</f>
        <v>398.15</v>
      </c>
      <c r="H55" s="319">
        <f>G55*1.13</f>
        <v>449.90949999999992</v>
      </c>
      <c r="I55" s="269"/>
      <c r="J55" s="271">
        <f>13.8+192.19+208.06+25</f>
        <v>439.05</v>
      </c>
    </row>
    <row r="56" spans="1:12" ht="18.75" x14ac:dyDescent="0.7">
      <c r="A56" s="278"/>
      <c r="B56" s="313" t="s">
        <v>634</v>
      </c>
      <c r="C56" s="300" t="s">
        <v>635</v>
      </c>
      <c r="D56" s="291" t="s">
        <v>636</v>
      </c>
      <c r="E56" s="306">
        <v>100</v>
      </c>
      <c r="F56" s="312">
        <v>1</v>
      </c>
      <c r="G56" s="306">
        <f>F56*E56</f>
        <v>100</v>
      </c>
      <c r="H56" s="306">
        <f>G56</f>
        <v>100</v>
      </c>
      <c r="I56" s="275"/>
      <c r="J56" s="277">
        <v>78.75</v>
      </c>
    </row>
    <row r="57" spans="1:12" ht="18.75" x14ac:dyDescent="0.7">
      <c r="A57" s="301" t="s">
        <v>637</v>
      </c>
      <c r="B57" s="313"/>
      <c r="C57" s="300"/>
      <c r="D57" s="291"/>
      <c r="E57" s="306"/>
      <c r="F57" s="312"/>
      <c r="G57" s="306"/>
      <c r="H57" s="306"/>
      <c r="I57" s="275"/>
      <c r="J57" s="277"/>
    </row>
    <row r="58" spans="1:12" ht="18.75" x14ac:dyDescent="0.7">
      <c r="A58" s="278"/>
      <c r="B58" s="316" t="s">
        <v>638</v>
      </c>
      <c r="C58" s="302" t="s">
        <v>632</v>
      </c>
      <c r="D58" s="303" t="s">
        <v>639</v>
      </c>
      <c r="E58" s="304">
        <v>250</v>
      </c>
      <c r="F58" s="311">
        <v>1</v>
      </c>
      <c r="G58" s="304">
        <f>F58*E58</f>
        <v>250</v>
      </c>
      <c r="H58" s="304">
        <f>1.13*G58</f>
        <v>282.5</v>
      </c>
      <c r="I58" s="269"/>
      <c r="J58" s="271">
        <f>113*5+20</f>
        <v>585</v>
      </c>
    </row>
    <row r="59" spans="1:12" ht="18.75" x14ac:dyDescent="0.7">
      <c r="A59" s="278"/>
      <c r="B59" s="313" t="s">
        <v>640</v>
      </c>
      <c r="C59" s="300" t="s">
        <v>641</v>
      </c>
      <c r="D59" s="291" t="s">
        <v>642</v>
      </c>
      <c r="E59" s="306">
        <v>150</v>
      </c>
      <c r="F59" s="312">
        <v>5</v>
      </c>
      <c r="G59" s="306">
        <f>F59*E59</f>
        <v>750</v>
      </c>
      <c r="H59" s="306">
        <f>G59</f>
        <v>750</v>
      </c>
      <c r="I59" s="275"/>
      <c r="J59" s="277">
        <v>875</v>
      </c>
    </row>
    <row r="60" spans="1:12" ht="18.75" x14ac:dyDescent="0.7">
      <c r="A60" s="301" t="s">
        <v>643</v>
      </c>
      <c r="B60" s="313"/>
      <c r="C60" s="300"/>
      <c r="D60" s="291"/>
      <c r="E60" s="306"/>
      <c r="F60" s="312"/>
      <c r="G60" s="306"/>
      <c r="H60" s="306"/>
      <c r="I60" s="275"/>
      <c r="J60" s="277"/>
    </row>
    <row r="61" spans="1:12" ht="18.75" x14ac:dyDescent="0.7">
      <c r="A61" s="278"/>
      <c r="B61" s="316" t="s">
        <v>644</v>
      </c>
      <c r="C61" s="302" t="s">
        <v>632</v>
      </c>
      <c r="D61" s="303" t="s">
        <v>639</v>
      </c>
      <c r="E61" s="304">
        <v>300</v>
      </c>
      <c r="F61" s="311">
        <v>1</v>
      </c>
      <c r="G61" s="304">
        <f>F61*E61</f>
        <v>300</v>
      </c>
      <c r="H61" s="304">
        <f>1.13*G61</f>
        <v>338.99999999999994</v>
      </c>
      <c r="I61" s="269"/>
      <c r="J61" s="271">
        <v>2203.5</v>
      </c>
    </row>
    <row r="62" spans="1:12" ht="16.5" x14ac:dyDescent="0.6">
      <c r="A62" s="278"/>
      <c r="B62" s="274"/>
      <c r="C62" s="274"/>
      <c r="D62" s="275"/>
      <c r="E62" s="275"/>
      <c r="F62" s="276"/>
      <c r="G62" s="275"/>
      <c r="H62" s="275"/>
      <c r="I62" s="275"/>
      <c r="J62" s="277"/>
    </row>
    <row r="63" spans="1:12" ht="16.5" x14ac:dyDescent="0.6">
      <c r="A63" s="278"/>
      <c r="B63" s="292" t="s">
        <v>645</v>
      </c>
      <c r="C63" s="320"/>
      <c r="D63" s="295"/>
      <c r="E63" s="295"/>
      <c r="F63" s="296"/>
      <c r="G63" s="295"/>
      <c r="H63" s="295">
        <f>SUM(H55:H61)</f>
        <v>1921.4095</v>
      </c>
      <c r="I63" s="295">
        <f>SUM(I62:I62)</f>
        <v>0</v>
      </c>
      <c r="J63" s="297">
        <f>SUM(J54:J61)</f>
        <v>4181.3</v>
      </c>
    </row>
    <row r="64" spans="1:12" ht="16.5" x14ac:dyDescent="0.6">
      <c r="A64" s="278"/>
      <c r="B64" s="274"/>
      <c r="C64" s="321"/>
      <c r="D64" s="275"/>
      <c r="E64" s="275"/>
      <c r="F64" s="276"/>
      <c r="G64" s="275"/>
      <c r="H64" s="275"/>
      <c r="I64" s="275"/>
      <c r="J64" s="277"/>
    </row>
    <row r="65" spans="1:10" ht="16.5" x14ac:dyDescent="0.6">
      <c r="A65" s="244" t="s">
        <v>646</v>
      </c>
      <c r="B65" s="274"/>
      <c r="C65" s="321"/>
      <c r="D65" s="275"/>
      <c r="E65" s="275"/>
      <c r="F65" s="276"/>
      <c r="G65" s="275"/>
      <c r="H65" s="275"/>
      <c r="I65" s="275"/>
      <c r="J65" s="277"/>
    </row>
    <row r="66" spans="1:10" ht="18.75" x14ac:dyDescent="0.7">
      <c r="A66" s="278"/>
      <c r="B66" s="310" t="s">
        <v>647</v>
      </c>
      <c r="C66" s="322" t="s">
        <v>648</v>
      </c>
      <c r="D66" s="283" t="s">
        <v>649</v>
      </c>
      <c r="E66" s="283">
        <v>1500</v>
      </c>
      <c r="F66" s="305">
        <v>1</v>
      </c>
      <c r="G66" s="283">
        <f>F66*E66</f>
        <v>1500</v>
      </c>
      <c r="H66" s="283">
        <f>G66</f>
        <v>1500</v>
      </c>
      <c r="I66" s="283"/>
      <c r="J66" s="1341">
        <f>3616+10730+275.26+25+1026.15</f>
        <v>15672.41</v>
      </c>
    </row>
    <row r="67" spans="1:10" ht="16.5" x14ac:dyDescent="0.6">
      <c r="A67" s="278"/>
      <c r="B67" s="274"/>
      <c r="C67" s="321"/>
      <c r="D67" s="275"/>
      <c r="E67" s="275"/>
      <c r="F67" s="276"/>
      <c r="G67" s="275"/>
      <c r="H67" s="275"/>
      <c r="I67" s="275"/>
      <c r="J67" s="277"/>
    </row>
    <row r="68" spans="1:10" ht="16.5" x14ac:dyDescent="0.6">
      <c r="A68" s="278"/>
      <c r="B68" s="292" t="s">
        <v>650</v>
      </c>
      <c r="C68" s="320"/>
      <c r="D68" s="295"/>
      <c r="E68" s="295"/>
      <c r="F68" s="296"/>
      <c r="G68" s="295"/>
      <c r="H68" s="295">
        <f>H66</f>
        <v>1500</v>
      </c>
      <c r="I68" s="295">
        <f>SUM(I67:I67)</f>
        <v>0</v>
      </c>
      <c r="J68" s="297">
        <f>SUM(J66)</f>
        <v>15672.41</v>
      </c>
    </row>
    <row r="69" spans="1:10" ht="16.5" x14ac:dyDescent="0.6">
      <c r="A69" s="278"/>
      <c r="B69" s="274"/>
      <c r="C69" s="321"/>
      <c r="D69" s="275"/>
      <c r="E69" s="275"/>
      <c r="F69" s="276"/>
      <c r="G69" s="275"/>
      <c r="H69" s="275"/>
      <c r="I69" s="275"/>
      <c r="J69" s="277"/>
    </row>
    <row r="70" spans="1:10" ht="16.5" x14ac:dyDescent="0.6">
      <c r="A70" s="278"/>
      <c r="B70" s="274"/>
      <c r="C70" s="246" t="s">
        <v>84</v>
      </c>
      <c r="D70" s="247"/>
      <c r="E70" s="247"/>
      <c r="F70" s="267"/>
      <c r="G70" s="247"/>
      <c r="H70" s="247">
        <f>H68+H63+H51+H45+H38+H31+H18</f>
        <v>24269.809499999999</v>
      </c>
      <c r="I70" s="247">
        <f ca="1">SUM(I63+I51+I31+I18)</f>
        <v>0</v>
      </c>
      <c r="J70" s="248">
        <f>J68+J63+J51+J45+J39+J31+J18</f>
        <v>41450.402000000002</v>
      </c>
    </row>
    <row r="71" spans="1:10" ht="16.5" x14ac:dyDescent="0.6">
      <c r="A71" s="278"/>
      <c r="B71" s="274"/>
      <c r="C71" s="246"/>
      <c r="D71" s="247"/>
      <c r="E71" s="247"/>
      <c r="F71" s="267"/>
      <c r="G71" s="247"/>
      <c r="H71" s="247"/>
      <c r="I71" s="247"/>
      <c r="J71" s="248"/>
    </row>
    <row r="72" spans="1:10" ht="16.5" x14ac:dyDescent="0.6">
      <c r="A72" s="1475" t="s">
        <v>85</v>
      </c>
      <c r="B72" s="1476"/>
      <c r="C72" s="1476"/>
      <c r="D72" s="203"/>
      <c r="E72" s="203"/>
      <c r="F72" s="204"/>
      <c r="G72" s="203"/>
      <c r="H72" s="203"/>
      <c r="I72" s="203"/>
      <c r="J72" s="205"/>
    </row>
    <row r="73" spans="1:10" ht="16.5" x14ac:dyDescent="0.6">
      <c r="A73" s="244"/>
      <c r="B73" s="241" t="s">
        <v>86</v>
      </c>
      <c r="C73" s="241"/>
      <c r="D73" s="242"/>
      <c r="E73" s="242"/>
      <c r="F73" s="242"/>
      <c r="G73" s="242"/>
      <c r="H73" s="242">
        <f>H11</f>
        <v>1200</v>
      </c>
      <c r="I73" s="242">
        <f>I11</f>
        <v>0</v>
      </c>
      <c r="J73" s="243">
        <f>J11</f>
        <v>4000</v>
      </c>
    </row>
    <row r="74" spans="1:10" ht="16.5" x14ac:dyDescent="0.6">
      <c r="A74" s="244"/>
      <c r="B74" s="246" t="s">
        <v>87</v>
      </c>
      <c r="C74" s="246"/>
      <c r="D74" s="247"/>
      <c r="E74" s="247"/>
      <c r="F74" s="247"/>
      <c r="G74" s="247"/>
      <c r="H74" s="247">
        <f>H70</f>
        <v>24269.809499999999</v>
      </c>
      <c r="I74" s="247">
        <f ca="1">I70</f>
        <v>0</v>
      </c>
      <c r="J74" s="248">
        <f>J70</f>
        <v>41450.402000000002</v>
      </c>
    </row>
    <row r="75" spans="1:10" ht="16.5" x14ac:dyDescent="0.6">
      <c r="A75" s="323"/>
      <c r="B75" s="251" t="s">
        <v>88</v>
      </c>
      <c r="C75" s="251"/>
      <c r="D75" s="252"/>
      <c r="E75" s="252"/>
      <c r="F75" s="252"/>
      <c r="G75" s="252"/>
      <c r="H75" s="252">
        <f>H73-H74</f>
        <v>-23069.809499999999</v>
      </c>
      <c r="I75" s="252">
        <f t="shared" ref="I75" ca="1" si="2">I73-I74</f>
        <v>0</v>
      </c>
      <c r="J75" s="253">
        <f>J73-J74</f>
        <v>-37450.402000000002</v>
      </c>
    </row>
  </sheetData>
  <mergeCells count="5">
    <mergeCell ref="B1:J4"/>
    <mergeCell ref="A1:A4"/>
    <mergeCell ref="A7:C7"/>
    <mergeCell ref="A13:C13"/>
    <mergeCell ref="A72:C72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C37D4-B72C-445E-84BD-0A0DB896AA68}">
  <dimension ref="A1:J70"/>
  <sheetViews>
    <sheetView topLeftCell="A4" zoomScale="80" zoomScaleNormal="80" workbookViewId="0">
      <selection activeCell="Y56" sqref="Y56:Z56"/>
    </sheetView>
  </sheetViews>
  <sheetFormatPr defaultColWidth="8.86328125" defaultRowHeight="14.25" x14ac:dyDescent="0.45"/>
  <cols>
    <col min="1" max="1" width="37.73046875" bestFit="1" customWidth="1"/>
    <col min="2" max="2" width="46" bestFit="1" customWidth="1"/>
    <col min="3" max="3" width="29.1328125" bestFit="1" customWidth="1"/>
    <col min="4" max="4" width="62.3984375" bestFit="1" customWidth="1"/>
    <col min="5" max="5" width="11" bestFit="1" customWidth="1"/>
    <col min="6" max="6" width="10" bestFit="1" customWidth="1"/>
    <col min="7" max="7" width="9.73046875" bestFit="1" customWidth="1"/>
    <col min="8" max="8" width="12.265625" bestFit="1" customWidth="1"/>
    <col min="9" max="9" width="11.86328125" bestFit="1" customWidth="1"/>
  </cols>
  <sheetData>
    <row r="1" spans="1:10" ht="25.5" x14ac:dyDescent="0.45">
      <c r="A1" s="1477" t="s">
        <v>651</v>
      </c>
      <c r="B1" s="1477"/>
      <c r="C1" s="1477"/>
      <c r="D1" s="1477"/>
      <c r="E1" s="1477"/>
      <c r="F1" s="1477"/>
      <c r="G1" s="1477"/>
      <c r="H1" s="1477"/>
      <c r="I1" s="1477"/>
      <c r="J1" s="1477"/>
    </row>
    <row r="2" spans="1:10" ht="16.5" x14ac:dyDescent="0.6">
      <c r="A2" s="1355"/>
      <c r="B2" s="1356" t="s">
        <v>90</v>
      </c>
      <c r="C2" s="1357" t="s">
        <v>91</v>
      </c>
      <c r="D2" s="1358" t="s">
        <v>92</v>
      </c>
      <c r="E2" s="1358" t="s">
        <v>93</v>
      </c>
      <c r="F2" s="1359" t="s">
        <v>94</v>
      </c>
      <c r="G2" s="1360" t="s">
        <v>95</v>
      </c>
      <c r="H2" s="1360" t="s">
        <v>96</v>
      </c>
      <c r="I2" s="1360" t="s">
        <v>217</v>
      </c>
      <c r="J2" s="1361" t="s">
        <v>218</v>
      </c>
    </row>
    <row r="3" spans="1:10" ht="16.5" x14ac:dyDescent="0.6">
      <c r="A3" s="500"/>
      <c r="B3" s="501"/>
      <c r="C3" s="501"/>
      <c r="D3" s="626"/>
      <c r="E3" s="626"/>
      <c r="F3" s="627"/>
      <c r="G3" s="626"/>
      <c r="H3" s="626"/>
      <c r="I3" s="626"/>
      <c r="J3" s="628"/>
    </row>
    <row r="4" spans="1:10" ht="16.5" x14ac:dyDescent="0.6">
      <c r="A4" s="1478" t="s">
        <v>7</v>
      </c>
      <c r="B4" s="1479"/>
      <c r="C4" s="1479"/>
      <c r="D4" s="517"/>
      <c r="E4" s="517"/>
      <c r="F4" s="518"/>
      <c r="G4" s="517"/>
      <c r="H4" s="517"/>
      <c r="I4" s="517"/>
      <c r="J4" s="629"/>
    </row>
    <row r="5" spans="1:10" ht="16.5" x14ac:dyDescent="0.6">
      <c r="A5" s="630"/>
      <c r="B5" s="631"/>
      <c r="C5" s="631"/>
      <c r="D5" s="626"/>
      <c r="E5" s="626"/>
      <c r="F5" s="627"/>
      <c r="G5" s="626"/>
      <c r="H5" s="626"/>
      <c r="I5" s="626"/>
      <c r="J5" s="628"/>
    </row>
    <row r="6" spans="1:10" ht="16.5" x14ac:dyDescent="0.6">
      <c r="A6" s="630"/>
      <c r="B6" s="631"/>
      <c r="C6" s="631" t="s">
        <v>46</v>
      </c>
      <c r="D6" s="626"/>
      <c r="E6" s="626"/>
      <c r="F6" s="627"/>
      <c r="G6" s="626"/>
      <c r="H6" s="626">
        <v>0</v>
      </c>
      <c r="I6" s="626">
        <v>0</v>
      </c>
      <c r="J6" s="628">
        <v>0</v>
      </c>
    </row>
    <row r="7" spans="1:10" ht="16.5" x14ac:dyDescent="0.6">
      <c r="A7" s="630"/>
      <c r="B7" s="631"/>
      <c r="C7" s="631"/>
      <c r="D7" s="626"/>
      <c r="E7" s="626"/>
      <c r="F7" s="627"/>
      <c r="G7" s="626"/>
      <c r="H7" s="626"/>
      <c r="I7" s="626"/>
      <c r="J7" s="628"/>
    </row>
    <row r="8" spans="1:10" ht="16.5" x14ac:dyDescent="0.6">
      <c r="A8" s="1478" t="s">
        <v>47</v>
      </c>
      <c r="B8" s="1479"/>
      <c r="C8" s="1479"/>
      <c r="D8" s="517"/>
      <c r="E8" s="517"/>
      <c r="F8" s="518"/>
      <c r="G8" s="517"/>
      <c r="H8" s="517"/>
      <c r="I8" s="517"/>
      <c r="J8" s="629"/>
    </row>
    <row r="9" spans="1:10" ht="16.5" x14ac:dyDescent="0.6">
      <c r="A9" s="630" t="s">
        <v>652</v>
      </c>
      <c r="B9" s="631"/>
      <c r="C9" s="632"/>
      <c r="D9" s="633"/>
      <c r="E9" s="633"/>
      <c r="F9" s="634"/>
      <c r="G9" s="633"/>
      <c r="H9" s="633"/>
      <c r="I9" s="633"/>
      <c r="J9" s="635"/>
    </row>
    <row r="10" spans="1:10" ht="16.5" x14ac:dyDescent="0.6">
      <c r="A10" s="636"/>
      <c r="B10" s="632"/>
      <c r="C10" s="637"/>
      <c r="D10" s="633"/>
      <c r="E10" s="633"/>
      <c r="F10" s="634"/>
      <c r="G10" s="633"/>
      <c r="H10" s="633"/>
      <c r="I10" s="633"/>
      <c r="J10" s="635"/>
    </row>
    <row r="11" spans="1:10" ht="16.5" x14ac:dyDescent="0.6">
      <c r="A11" s="636"/>
      <c r="B11" s="638" t="s">
        <v>653</v>
      </c>
      <c r="C11" s="639" t="s">
        <v>654</v>
      </c>
      <c r="D11" s="640" t="s">
        <v>655</v>
      </c>
      <c r="E11" s="640">
        <v>400</v>
      </c>
      <c r="F11" s="641">
        <v>2</v>
      </c>
      <c r="G11" s="642">
        <f t="shared" ref="G11:G20" si="0">E11*F11</f>
        <v>800</v>
      </c>
      <c r="H11" s="642">
        <f t="shared" ref="H11:H20" si="1">G11</f>
        <v>800</v>
      </c>
      <c r="I11" s="640"/>
      <c r="J11" s="643"/>
    </row>
    <row r="12" spans="1:10" ht="16.5" x14ac:dyDescent="0.6">
      <c r="A12" s="636"/>
      <c r="B12" s="632" t="s">
        <v>656</v>
      </c>
      <c r="C12" s="644" t="s">
        <v>657</v>
      </c>
      <c r="D12" s="633" t="s">
        <v>658</v>
      </c>
      <c r="E12" s="633">
        <v>30</v>
      </c>
      <c r="F12" s="634">
        <v>1</v>
      </c>
      <c r="G12" s="633">
        <f t="shared" si="0"/>
        <v>30</v>
      </c>
      <c r="H12" s="633">
        <f t="shared" si="1"/>
        <v>30</v>
      </c>
      <c r="I12" s="633"/>
      <c r="J12" s="635"/>
    </row>
    <row r="13" spans="1:10" ht="16.5" x14ac:dyDescent="0.6">
      <c r="A13" s="636"/>
      <c r="B13" s="638" t="s">
        <v>659</v>
      </c>
      <c r="C13" s="639" t="s">
        <v>660</v>
      </c>
      <c r="D13" s="640" t="s">
        <v>658</v>
      </c>
      <c r="E13" s="640">
        <v>150</v>
      </c>
      <c r="F13" s="641">
        <v>2</v>
      </c>
      <c r="G13" s="642">
        <f t="shared" si="0"/>
        <v>300</v>
      </c>
      <c r="H13" s="642">
        <f t="shared" si="1"/>
        <v>300</v>
      </c>
      <c r="I13" s="640"/>
      <c r="J13" s="643"/>
    </row>
    <row r="14" spans="1:10" ht="16.5" x14ac:dyDescent="0.6">
      <c r="A14" s="636"/>
      <c r="B14" s="632" t="s">
        <v>661</v>
      </c>
      <c r="C14" s="644" t="s">
        <v>662</v>
      </c>
      <c r="D14" s="633" t="s">
        <v>658</v>
      </c>
      <c r="E14" s="633">
        <v>80</v>
      </c>
      <c r="F14" s="634">
        <v>1</v>
      </c>
      <c r="G14" s="633">
        <f t="shared" si="0"/>
        <v>80</v>
      </c>
      <c r="H14" s="633">
        <f t="shared" si="1"/>
        <v>80</v>
      </c>
      <c r="I14" s="633"/>
      <c r="J14" s="635"/>
    </row>
    <row r="15" spans="1:10" ht="16.5" x14ac:dyDescent="0.6">
      <c r="A15" s="636"/>
      <c r="B15" s="638" t="s">
        <v>663</v>
      </c>
      <c r="C15" s="645" t="s">
        <v>664</v>
      </c>
      <c r="D15" s="640" t="s">
        <v>658</v>
      </c>
      <c r="E15" s="640">
        <v>150</v>
      </c>
      <c r="F15" s="641">
        <v>2</v>
      </c>
      <c r="G15" s="642">
        <f t="shared" si="0"/>
        <v>300</v>
      </c>
      <c r="H15" s="642">
        <f t="shared" si="1"/>
        <v>300</v>
      </c>
      <c r="I15" s="640"/>
      <c r="J15" s="643"/>
    </row>
    <row r="16" spans="1:10" ht="16.5" x14ac:dyDescent="0.6">
      <c r="A16" s="636"/>
      <c r="B16" s="632" t="s">
        <v>665</v>
      </c>
      <c r="C16" s="644" t="s">
        <v>666</v>
      </c>
      <c r="D16" s="633" t="s">
        <v>658</v>
      </c>
      <c r="E16" s="633">
        <v>100</v>
      </c>
      <c r="F16" s="634">
        <v>1</v>
      </c>
      <c r="G16" s="633">
        <f t="shared" si="0"/>
        <v>100</v>
      </c>
      <c r="H16" s="633">
        <f t="shared" si="1"/>
        <v>100</v>
      </c>
      <c r="I16" s="633"/>
      <c r="J16" s="635"/>
    </row>
    <row r="17" spans="1:10" ht="16.5" x14ac:dyDescent="0.6">
      <c r="A17" s="636"/>
      <c r="B17" s="638" t="s">
        <v>667</v>
      </c>
      <c r="C17" s="645" t="s">
        <v>668</v>
      </c>
      <c r="D17" s="640" t="s">
        <v>658</v>
      </c>
      <c r="E17" s="640">
        <v>100</v>
      </c>
      <c r="F17" s="641">
        <v>1</v>
      </c>
      <c r="G17" s="642">
        <f t="shared" si="0"/>
        <v>100</v>
      </c>
      <c r="H17" s="642">
        <f t="shared" si="1"/>
        <v>100</v>
      </c>
      <c r="I17" s="640"/>
      <c r="J17" s="643"/>
    </row>
    <row r="18" spans="1:10" ht="16.5" x14ac:dyDescent="0.6">
      <c r="A18" s="636"/>
      <c r="B18" s="646" t="s">
        <v>669</v>
      </c>
      <c r="C18" s="647" t="s">
        <v>670</v>
      </c>
      <c r="D18" s="648" t="s">
        <v>658</v>
      </c>
      <c r="E18" s="648">
        <v>5</v>
      </c>
      <c r="F18" s="649">
        <v>2</v>
      </c>
      <c r="G18" s="648">
        <v>5</v>
      </c>
      <c r="H18" s="633">
        <f t="shared" si="1"/>
        <v>5</v>
      </c>
      <c r="I18" s="648"/>
      <c r="J18" s="650"/>
    </row>
    <row r="19" spans="1:10" ht="16.5" x14ac:dyDescent="0.6">
      <c r="A19" s="636"/>
      <c r="B19" s="646" t="s">
        <v>671</v>
      </c>
      <c r="C19" s="647" t="s">
        <v>672</v>
      </c>
      <c r="D19" s="648" t="s">
        <v>658</v>
      </c>
      <c r="E19" s="648">
        <v>150</v>
      </c>
      <c r="F19" s="649">
        <v>2</v>
      </c>
      <c r="G19" s="648">
        <f t="shared" si="0"/>
        <v>300</v>
      </c>
      <c r="H19" s="633">
        <f t="shared" si="1"/>
        <v>300</v>
      </c>
      <c r="I19" s="648"/>
      <c r="J19" s="650"/>
    </row>
    <row r="20" spans="1:10" ht="16.5" x14ac:dyDescent="0.6">
      <c r="A20" s="636"/>
      <c r="B20" s="651" t="s">
        <v>673</v>
      </c>
      <c r="C20" s="652" t="s">
        <v>674</v>
      </c>
      <c r="D20" s="642" t="s">
        <v>675</v>
      </c>
      <c r="E20" s="642">
        <v>20</v>
      </c>
      <c r="F20" s="653">
        <v>13</v>
      </c>
      <c r="G20" s="642">
        <f t="shared" si="0"/>
        <v>260</v>
      </c>
      <c r="H20" s="642">
        <f t="shared" si="1"/>
        <v>260</v>
      </c>
      <c r="I20" s="642"/>
      <c r="J20" s="654"/>
    </row>
    <row r="21" spans="1:10" ht="16.5" x14ac:dyDescent="0.6">
      <c r="A21" s="636"/>
      <c r="B21" s="632" t="s">
        <v>676</v>
      </c>
      <c r="C21" s="655" t="s">
        <v>677</v>
      </c>
      <c r="D21" s="633" t="s">
        <v>678</v>
      </c>
      <c r="E21" s="633">
        <v>130</v>
      </c>
      <c r="F21" s="634">
        <v>1</v>
      </c>
      <c r="G21" s="633">
        <v>130</v>
      </c>
      <c r="H21" s="633">
        <v>130</v>
      </c>
      <c r="I21" s="648"/>
      <c r="J21" s="635"/>
    </row>
    <row r="22" spans="1:10" ht="16.5" x14ac:dyDescent="0.6">
      <c r="A22" s="636"/>
      <c r="B22" s="656" t="s">
        <v>679</v>
      </c>
      <c r="C22" s="657"/>
      <c r="D22" s="658"/>
      <c r="E22" s="658"/>
      <c r="F22" s="659"/>
      <c r="G22" s="658"/>
      <c r="H22" s="658">
        <f>SUM(H10:H21)</f>
        <v>2405</v>
      </c>
      <c r="I22" s="658">
        <v>0</v>
      </c>
      <c r="J22" s="660">
        <v>0</v>
      </c>
    </row>
    <row r="23" spans="1:10" ht="16.5" x14ac:dyDescent="0.6">
      <c r="A23" s="630"/>
      <c r="B23" s="631"/>
      <c r="C23" s="631"/>
      <c r="D23" s="626"/>
      <c r="E23" s="626"/>
      <c r="F23" s="627"/>
      <c r="G23" s="626"/>
      <c r="H23" s="626"/>
      <c r="I23" s="626"/>
      <c r="J23" s="628"/>
    </row>
    <row r="24" spans="1:10" ht="16.5" x14ac:dyDescent="0.6">
      <c r="A24" s="630"/>
      <c r="B24" s="661"/>
      <c r="C24" s="632"/>
      <c r="D24" s="633"/>
      <c r="E24" s="633"/>
      <c r="F24" s="634"/>
      <c r="G24" s="633"/>
      <c r="H24" s="633"/>
      <c r="I24" s="633"/>
      <c r="J24" s="635"/>
    </row>
    <row r="25" spans="1:10" ht="16.5" x14ac:dyDescent="0.6">
      <c r="A25" s="662"/>
      <c r="B25" s="638"/>
      <c r="C25" s="639"/>
      <c r="D25" s="640"/>
      <c r="E25" s="640"/>
      <c r="F25" s="641"/>
      <c r="G25" s="642"/>
      <c r="H25" s="640"/>
      <c r="I25" s="640"/>
      <c r="J25" s="643"/>
    </row>
    <row r="26" spans="1:10" ht="16.5" x14ac:dyDescent="0.6">
      <c r="A26" s="662"/>
      <c r="B26" s="638"/>
      <c r="C26" s="647"/>
      <c r="D26" s="648"/>
      <c r="E26" s="648"/>
      <c r="F26" s="649"/>
      <c r="G26" s="648"/>
      <c r="H26" s="648"/>
      <c r="I26" s="648"/>
      <c r="J26" s="650"/>
    </row>
    <row r="27" spans="1:10" ht="16.5" x14ac:dyDescent="0.6">
      <c r="A27" s="662"/>
      <c r="B27" s="638"/>
      <c r="C27" s="639"/>
      <c r="D27" s="640"/>
      <c r="E27" s="640"/>
      <c r="F27" s="641"/>
      <c r="G27" s="642"/>
      <c r="H27" s="640"/>
      <c r="I27" s="640"/>
      <c r="J27" s="643"/>
    </row>
    <row r="28" spans="1:10" ht="16.5" x14ac:dyDescent="0.6">
      <c r="A28" s="662"/>
      <c r="B28" s="638"/>
      <c r="C28" s="644"/>
      <c r="D28" s="633"/>
      <c r="E28" s="633"/>
      <c r="F28" s="634"/>
      <c r="G28" s="633"/>
      <c r="H28" s="648"/>
      <c r="I28" s="633"/>
      <c r="J28" s="635"/>
    </row>
    <row r="29" spans="1:10" ht="16.5" x14ac:dyDescent="0.6">
      <c r="A29" s="662"/>
      <c r="B29" s="638"/>
      <c r="C29" s="645"/>
      <c r="D29" s="640"/>
      <c r="E29" s="640"/>
      <c r="F29" s="641"/>
      <c r="G29" s="642"/>
      <c r="H29" s="640"/>
      <c r="I29" s="640"/>
      <c r="J29" s="643"/>
    </row>
    <row r="30" spans="1:10" ht="16.5" x14ac:dyDescent="0.6">
      <c r="A30" s="636"/>
      <c r="B30" s="638"/>
      <c r="C30" s="644"/>
      <c r="D30" s="633"/>
      <c r="E30" s="633"/>
      <c r="F30" s="634"/>
      <c r="G30" s="633"/>
      <c r="H30" s="648"/>
      <c r="I30" s="633"/>
      <c r="J30" s="635"/>
    </row>
    <row r="31" spans="1:10" ht="18.75" x14ac:dyDescent="0.7">
      <c r="A31" s="636"/>
      <c r="B31" s="632"/>
      <c r="C31" s="663"/>
      <c r="D31" s="663"/>
      <c r="E31" s="663"/>
      <c r="F31" s="663"/>
      <c r="G31" s="633"/>
      <c r="H31" s="633"/>
      <c r="I31" s="633"/>
      <c r="J31" s="635"/>
    </row>
    <row r="32" spans="1:10" ht="16.5" x14ac:dyDescent="0.6">
      <c r="A32" s="636"/>
      <c r="B32" s="656"/>
      <c r="C32" s="657"/>
      <c r="D32" s="658"/>
      <c r="E32" s="658"/>
      <c r="F32" s="659"/>
      <c r="G32" s="658"/>
      <c r="H32" s="658"/>
      <c r="I32" s="658"/>
      <c r="J32" s="660"/>
    </row>
    <row r="33" spans="1:10" ht="16.5" x14ac:dyDescent="0.6">
      <c r="A33" s="636"/>
      <c r="B33" s="632"/>
      <c r="C33" s="632"/>
      <c r="D33" s="633"/>
      <c r="E33" s="633"/>
      <c r="F33" s="634"/>
      <c r="G33" s="633"/>
      <c r="H33" s="633"/>
      <c r="I33" s="633"/>
      <c r="J33" s="635"/>
    </row>
    <row r="34" spans="1:10" ht="16.5" x14ac:dyDescent="0.6">
      <c r="A34" s="630" t="s">
        <v>680</v>
      </c>
      <c r="B34" s="631"/>
      <c r="C34" s="631"/>
      <c r="D34" s="633"/>
      <c r="E34" s="633"/>
      <c r="F34" s="634"/>
      <c r="G34" s="633"/>
      <c r="H34" s="633"/>
      <c r="I34" s="633"/>
      <c r="J34" s="635"/>
    </row>
    <row r="35" spans="1:10" ht="16.5" x14ac:dyDescent="0.6">
      <c r="A35" s="636"/>
      <c r="B35" s="638" t="s">
        <v>681</v>
      </c>
      <c r="C35" s="645" t="s">
        <v>583</v>
      </c>
      <c r="D35" s="640" t="s">
        <v>660</v>
      </c>
      <c r="E35" s="640">
        <v>75</v>
      </c>
      <c r="F35" s="641">
        <v>2</v>
      </c>
      <c r="G35" s="642">
        <f t="shared" ref="G35:G43" si="2">E35*F35</f>
        <v>150</v>
      </c>
      <c r="H35" s="642">
        <f t="shared" ref="H35:H43" si="3">G35</f>
        <v>150</v>
      </c>
      <c r="I35" s="640"/>
      <c r="J35" s="643"/>
    </row>
    <row r="36" spans="1:10" ht="16.5" x14ac:dyDescent="0.6">
      <c r="A36" s="636"/>
      <c r="B36" s="632" t="s">
        <v>682</v>
      </c>
      <c r="C36" s="644" t="s">
        <v>583</v>
      </c>
      <c r="D36" s="633" t="s">
        <v>664</v>
      </c>
      <c r="E36" s="633">
        <v>75</v>
      </c>
      <c r="F36" s="634">
        <v>2</v>
      </c>
      <c r="G36" s="633">
        <f t="shared" si="2"/>
        <v>150</v>
      </c>
      <c r="H36" s="633">
        <f t="shared" si="3"/>
        <v>150</v>
      </c>
      <c r="I36" s="633"/>
      <c r="J36" s="635"/>
    </row>
    <row r="37" spans="1:10" ht="16.5" x14ac:dyDescent="0.6">
      <c r="A37" s="636"/>
      <c r="B37" s="638" t="s">
        <v>683</v>
      </c>
      <c r="C37" s="645" t="s">
        <v>583</v>
      </c>
      <c r="D37" s="640" t="s">
        <v>662</v>
      </c>
      <c r="E37" s="640">
        <v>75</v>
      </c>
      <c r="F37" s="641">
        <v>2</v>
      </c>
      <c r="G37" s="642">
        <f t="shared" si="2"/>
        <v>150</v>
      </c>
      <c r="H37" s="642">
        <f t="shared" si="3"/>
        <v>150</v>
      </c>
      <c r="I37" s="640"/>
      <c r="J37" s="643"/>
    </row>
    <row r="38" spans="1:10" ht="16.5" x14ac:dyDescent="0.6">
      <c r="A38" s="636"/>
      <c r="B38" s="632" t="s">
        <v>684</v>
      </c>
      <c r="C38" s="644" t="s">
        <v>583</v>
      </c>
      <c r="D38" s="633" t="s">
        <v>666</v>
      </c>
      <c r="E38" s="633">
        <v>75</v>
      </c>
      <c r="F38" s="634">
        <v>2</v>
      </c>
      <c r="G38" s="633">
        <f t="shared" si="2"/>
        <v>150</v>
      </c>
      <c r="H38" s="633">
        <f t="shared" si="3"/>
        <v>150</v>
      </c>
      <c r="I38" s="633"/>
      <c r="J38" s="635"/>
    </row>
    <row r="39" spans="1:10" ht="16.5" x14ac:dyDescent="0.6">
      <c r="A39" s="636"/>
      <c r="B39" s="638" t="s">
        <v>685</v>
      </c>
      <c r="C39" s="645" t="s">
        <v>583</v>
      </c>
      <c r="D39" s="640" t="s">
        <v>670</v>
      </c>
      <c r="E39" s="640">
        <v>5</v>
      </c>
      <c r="F39" s="641">
        <v>4</v>
      </c>
      <c r="G39" s="642">
        <f t="shared" si="2"/>
        <v>20</v>
      </c>
      <c r="H39" s="642">
        <f t="shared" si="3"/>
        <v>20</v>
      </c>
      <c r="I39" s="640"/>
      <c r="J39" s="643"/>
    </row>
    <row r="40" spans="1:10" ht="16.5" x14ac:dyDescent="0.6">
      <c r="A40" s="636"/>
      <c r="B40" s="632" t="s">
        <v>686</v>
      </c>
      <c r="C40" s="644" t="s">
        <v>583</v>
      </c>
      <c r="D40" s="633" t="s">
        <v>657</v>
      </c>
      <c r="E40" s="633">
        <v>15</v>
      </c>
      <c r="F40" s="634">
        <v>4</v>
      </c>
      <c r="G40" s="633">
        <f t="shared" si="2"/>
        <v>60</v>
      </c>
      <c r="H40" s="633">
        <f t="shared" si="3"/>
        <v>60</v>
      </c>
      <c r="I40" s="633"/>
      <c r="J40" s="635"/>
    </row>
    <row r="41" spans="1:10" ht="16.5" x14ac:dyDescent="0.6">
      <c r="A41" s="636"/>
      <c r="B41" s="638" t="s">
        <v>687</v>
      </c>
      <c r="C41" s="645" t="s">
        <v>583</v>
      </c>
      <c r="D41" s="640" t="s">
        <v>668</v>
      </c>
      <c r="E41" s="640">
        <v>75</v>
      </c>
      <c r="F41" s="641">
        <v>2</v>
      </c>
      <c r="G41" s="642">
        <f t="shared" si="2"/>
        <v>150</v>
      </c>
      <c r="H41" s="642">
        <f t="shared" si="3"/>
        <v>150</v>
      </c>
      <c r="I41" s="640"/>
      <c r="J41" s="643"/>
    </row>
    <row r="42" spans="1:10" ht="16.5" x14ac:dyDescent="0.6">
      <c r="A42" s="636"/>
      <c r="B42" s="638" t="s">
        <v>688</v>
      </c>
      <c r="C42" s="645" t="s">
        <v>583</v>
      </c>
      <c r="D42" s="640" t="s">
        <v>672</v>
      </c>
      <c r="E42" s="640">
        <v>75</v>
      </c>
      <c r="F42" s="641">
        <v>2</v>
      </c>
      <c r="G42" s="642">
        <f t="shared" si="2"/>
        <v>150</v>
      </c>
      <c r="H42" s="642">
        <f t="shared" si="3"/>
        <v>150</v>
      </c>
      <c r="I42" s="640"/>
      <c r="J42" s="643"/>
    </row>
    <row r="43" spans="1:10" ht="16.5" x14ac:dyDescent="0.6">
      <c r="A43" s="636"/>
      <c r="B43" s="632" t="s">
        <v>689</v>
      </c>
      <c r="C43" s="644" t="s">
        <v>583</v>
      </c>
      <c r="D43" s="633" t="s">
        <v>690</v>
      </c>
      <c r="E43" s="633">
        <v>75</v>
      </c>
      <c r="F43" s="634">
        <v>10</v>
      </c>
      <c r="G43" s="633">
        <f t="shared" si="2"/>
        <v>750</v>
      </c>
      <c r="H43" s="633">
        <f t="shared" si="3"/>
        <v>750</v>
      </c>
      <c r="I43" s="633"/>
      <c r="J43" s="635"/>
    </row>
    <row r="44" spans="1:10" ht="18.75" x14ac:dyDescent="0.7">
      <c r="A44" s="636"/>
      <c r="B44" s="632"/>
      <c r="C44" s="663"/>
      <c r="D44" s="663"/>
      <c r="E44" s="663"/>
      <c r="F44" s="663"/>
      <c r="G44" s="633"/>
      <c r="H44" s="633"/>
      <c r="I44" s="633"/>
      <c r="J44" s="635"/>
    </row>
    <row r="45" spans="1:10" ht="16.5" x14ac:dyDescent="0.6">
      <c r="A45" s="636"/>
      <c r="B45" s="656" t="s">
        <v>691</v>
      </c>
      <c r="C45" s="657"/>
      <c r="D45" s="658"/>
      <c r="E45" s="658"/>
      <c r="F45" s="659"/>
      <c r="G45" s="658"/>
      <c r="H45" s="658">
        <f>SUM(H35:H43)</f>
        <v>1730</v>
      </c>
      <c r="I45" s="658">
        <v>0</v>
      </c>
      <c r="J45" s="660">
        <v>0</v>
      </c>
    </row>
    <row r="46" spans="1:10" ht="16.5" x14ac:dyDescent="0.6">
      <c r="A46" s="636"/>
      <c r="B46" s="632"/>
      <c r="C46" s="632"/>
      <c r="D46" s="633"/>
      <c r="E46" s="633"/>
      <c r="F46" s="634"/>
      <c r="G46" s="633"/>
      <c r="H46" s="633"/>
      <c r="I46" s="633"/>
      <c r="J46" s="635"/>
    </row>
    <row r="47" spans="1:10" ht="16.5" x14ac:dyDescent="0.6">
      <c r="A47" s="630" t="s">
        <v>692</v>
      </c>
      <c r="B47" s="631"/>
      <c r="C47" s="631"/>
      <c r="D47" s="633"/>
      <c r="E47" s="633"/>
      <c r="F47" s="634"/>
      <c r="G47" s="633"/>
      <c r="H47" s="633"/>
      <c r="I47" s="633"/>
      <c r="J47" s="635"/>
    </row>
    <row r="48" spans="1:10" ht="16.5" x14ac:dyDescent="0.6">
      <c r="A48" s="630"/>
      <c r="B48" s="638" t="s">
        <v>693</v>
      </c>
      <c r="C48" s="645" t="s">
        <v>694</v>
      </c>
      <c r="D48" s="640" t="s">
        <v>695</v>
      </c>
      <c r="E48" s="640">
        <v>12</v>
      </c>
      <c r="F48" s="641">
        <v>8</v>
      </c>
      <c r="G48" s="642">
        <f>E48*F48</f>
        <v>96</v>
      </c>
      <c r="H48" s="640">
        <f>G48*1.13</f>
        <v>108.47999999999999</v>
      </c>
      <c r="I48" s="640"/>
      <c r="J48" s="643"/>
    </row>
    <row r="49" spans="1:10" ht="16.5" x14ac:dyDescent="0.6">
      <c r="A49" s="630"/>
      <c r="B49" s="632"/>
      <c r="C49" s="644"/>
      <c r="D49" s="633"/>
      <c r="E49" s="633"/>
      <c r="F49" s="634"/>
      <c r="G49" s="633"/>
      <c r="H49" s="633"/>
      <c r="I49" s="633"/>
      <c r="J49" s="635"/>
    </row>
    <row r="50" spans="1:10" ht="16.5" x14ac:dyDescent="0.6">
      <c r="A50" s="630"/>
      <c r="B50" s="631"/>
      <c r="C50" s="632"/>
      <c r="D50" s="633"/>
      <c r="E50" s="633"/>
      <c r="F50" s="634"/>
      <c r="G50" s="633"/>
      <c r="H50" s="633"/>
      <c r="I50" s="633"/>
      <c r="J50" s="635"/>
    </row>
    <row r="51" spans="1:10" ht="16.5" x14ac:dyDescent="0.6">
      <c r="A51" s="636"/>
      <c r="B51" s="656" t="s">
        <v>696</v>
      </c>
      <c r="C51" s="657"/>
      <c r="D51" s="658"/>
      <c r="E51" s="658"/>
      <c r="F51" s="659"/>
      <c r="G51" s="658"/>
      <c r="H51" s="658">
        <f>SUM(H48:H49)</f>
        <v>108.47999999999999</v>
      </c>
      <c r="I51" s="658">
        <v>0</v>
      </c>
      <c r="J51" s="660">
        <v>0</v>
      </c>
    </row>
    <row r="52" spans="1:10" ht="16.5" x14ac:dyDescent="0.6">
      <c r="A52" s="636"/>
      <c r="B52" s="632"/>
      <c r="C52" s="631"/>
      <c r="D52" s="626"/>
      <c r="E52" s="626"/>
      <c r="F52" s="627"/>
      <c r="G52" s="626"/>
      <c r="H52" s="626"/>
      <c r="I52" s="626"/>
      <c r="J52" s="628"/>
    </row>
    <row r="53" spans="1:10" ht="16.5" x14ac:dyDescent="0.6">
      <c r="A53" s="630" t="s">
        <v>697</v>
      </c>
      <c r="B53" s="631"/>
      <c r="C53" s="632"/>
      <c r="D53" s="633"/>
      <c r="E53" s="633"/>
      <c r="F53" s="634"/>
      <c r="G53" s="633"/>
      <c r="H53" s="633"/>
      <c r="I53" s="633"/>
      <c r="J53" s="635"/>
    </row>
    <row r="54" spans="1:10" ht="16.5" x14ac:dyDescent="0.6">
      <c r="A54" s="630"/>
      <c r="B54" s="638" t="s">
        <v>698</v>
      </c>
      <c r="C54" s="645" t="s">
        <v>699</v>
      </c>
      <c r="D54" s="640" t="s">
        <v>700</v>
      </c>
      <c r="E54" s="640">
        <v>56.5</v>
      </c>
      <c r="F54" s="641">
        <v>4</v>
      </c>
      <c r="G54" s="642">
        <f>E54*F54</f>
        <v>226</v>
      </c>
      <c r="H54" s="640">
        <f>G54</f>
        <v>226</v>
      </c>
      <c r="I54" s="640"/>
      <c r="J54" s="643"/>
    </row>
    <row r="55" spans="1:10" ht="16.5" x14ac:dyDescent="0.6">
      <c r="A55" s="630"/>
      <c r="B55" s="632" t="s">
        <v>701</v>
      </c>
      <c r="C55" s="644" t="s">
        <v>702</v>
      </c>
      <c r="D55" s="633" t="s">
        <v>703</v>
      </c>
      <c r="E55" s="633">
        <v>50</v>
      </c>
      <c r="F55" s="634">
        <v>2</v>
      </c>
      <c r="G55" s="633">
        <f>E55*F55</f>
        <v>100</v>
      </c>
      <c r="H55" s="633">
        <v>113</v>
      </c>
      <c r="I55" s="633"/>
      <c r="J55" s="635"/>
    </row>
    <row r="56" spans="1:10" ht="16.5" x14ac:dyDescent="0.6">
      <c r="A56" s="630"/>
      <c r="B56" s="631"/>
      <c r="C56" s="632"/>
      <c r="D56" s="633"/>
      <c r="E56" s="633"/>
      <c r="F56" s="634"/>
      <c r="G56" s="633"/>
      <c r="H56" s="633"/>
      <c r="I56" s="633"/>
      <c r="J56" s="635"/>
    </row>
    <row r="57" spans="1:10" ht="16.5" x14ac:dyDescent="0.6">
      <c r="A57" s="636"/>
      <c r="B57" s="656" t="s">
        <v>704</v>
      </c>
      <c r="C57" s="657"/>
      <c r="D57" s="658"/>
      <c r="E57" s="658"/>
      <c r="F57" s="659"/>
      <c r="G57" s="658"/>
      <c r="H57" s="658">
        <f>SUM(H54:H55)</f>
        <v>339</v>
      </c>
      <c r="I57" s="658">
        <v>0</v>
      </c>
      <c r="J57" s="660">
        <v>0</v>
      </c>
    </row>
    <row r="58" spans="1:10" ht="16.5" x14ac:dyDescent="0.6">
      <c r="A58" s="636"/>
      <c r="B58" s="631"/>
      <c r="C58" s="631"/>
      <c r="D58" s="626"/>
      <c r="E58" s="626"/>
      <c r="F58" s="627"/>
      <c r="G58" s="626"/>
      <c r="H58" s="626"/>
      <c r="I58" s="626"/>
      <c r="J58" s="628"/>
    </row>
    <row r="59" spans="1:10" ht="16.5" x14ac:dyDescent="0.6">
      <c r="A59" s="630"/>
      <c r="B59" s="631"/>
      <c r="C59" s="631"/>
      <c r="D59" s="633"/>
      <c r="E59" s="633"/>
      <c r="F59" s="634"/>
      <c r="G59" s="633"/>
      <c r="H59" s="633"/>
      <c r="I59" s="633"/>
      <c r="J59" s="635"/>
    </row>
    <row r="60" spans="1:10" ht="16.5" x14ac:dyDescent="0.6">
      <c r="A60" s="664"/>
      <c r="B60" s="646"/>
      <c r="C60" s="647"/>
      <c r="D60" s="648"/>
      <c r="E60" s="648"/>
      <c r="F60" s="649"/>
      <c r="G60" s="648"/>
      <c r="H60" s="648"/>
      <c r="I60" s="648"/>
      <c r="J60" s="648"/>
    </row>
    <row r="61" spans="1:10" ht="16.5" x14ac:dyDescent="0.6">
      <c r="A61" s="664"/>
      <c r="B61" s="646"/>
      <c r="C61" s="647"/>
      <c r="D61" s="648"/>
      <c r="E61" s="648"/>
      <c r="F61" s="649"/>
      <c r="G61" s="648"/>
      <c r="H61" s="648"/>
      <c r="I61" s="648"/>
      <c r="J61" s="648"/>
    </row>
    <row r="62" spans="1:10" ht="16.5" x14ac:dyDescent="0.6">
      <c r="A62" s="664"/>
      <c r="B62" s="646"/>
      <c r="C62" s="664"/>
      <c r="D62" s="665"/>
      <c r="E62" s="665"/>
      <c r="F62" s="666"/>
      <c r="G62" s="665"/>
      <c r="H62" s="665"/>
      <c r="I62" s="665"/>
      <c r="J62" s="665"/>
    </row>
    <row r="63" spans="1:10" ht="16.5" x14ac:dyDescent="0.6">
      <c r="A63" s="646"/>
      <c r="B63" s="664"/>
      <c r="C63" s="664"/>
      <c r="D63" s="665"/>
      <c r="E63" s="665"/>
      <c r="F63" s="666"/>
      <c r="G63" s="665"/>
      <c r="H63" s="665"/>
      <c r="I63" s="665"/>
      <c r="J63" s="665"/>
    </row>
    <row r="64" spans="1:10" ht="16.5" x14ac:dyDescent="0.6">
      <c r="A64" s="636"/>
      <c r="B64" s="632"/>
      <c r="C64" s="655"/>
      <c r="D64" s="633"/>
      <c r="E64" s="633"/>
      <c r="F64" s="634"/>
      <c r="G64" s="633"/>
      <c r="H64" s="633"/>
      <c r="I64" s="633"/>
      <c r="J64" s="635"/>
    </row>
    <row r="65" spans="1:10" ht="16.5" x14ac:dyDescent="0.6">
      <c r="A65" s="636"/>
      <c r="B65" s="632"/>
      <c r="C65" s="631" t="s">
        <v>84</v>
      </c>
      <c r="D65" s="626"/>
      <c r="E65" s="626"/>
      <c r="F65" s="627"/>
      <c r="G65" s="626"/>
      <c r="H65" s="626">
        <f>SUM(H22,H45,H51,H57)</f>
        <v>4582.4799999999996</v>
      </c>
      <c r="I65" s="626">
        <v>0</v>
      </c>
      <c r="J65" s="628">
        <v>0</v>
      </c>
    </row>
    <row r="66" spans="1:10" ht="16.5" x14ac:dyDescent="0.6">
      <c r="A66" s="636"/>
      <c r="B66" s="632"/>
      <c r="C66" s="631"/>
      <c r="D66" s="626"/>
      <c r="E66" s="626"/>
      <c r="F66" s="627"/>
      <c r="G66" s="626"/>
      <c r="H66" s="626"/>
      <c r="I66" s="626"/>
      <c r="J66" s="628"/>
    </row>
    <row r="67" spans="1:10" ht="16.5" x14ac:dyDescent="0.6">
      <c r="A67" s="1478" t="s">
        <v>85</v>
      </c>
      <c r="B67" s="1479"/>
      <c r="C67" s="1479"/>
      <c r="D67" s="517"/>
      <c r="E67" s="517"/>
      <c r="F67" s="518"/>
      <c r="G67" s="517"/>
      <c r="H67" s="517"/>
      <c r="I67" s="517"/>
      <c r="J67" s="629"/>
    </row>
    <row r="68" spans="1:10" ht="16.5" x14ac:dyDescent="0.6">
      <c r="A68" s="630"/>
      <c r="B68" s="667" t="s">
        <v>86</v>
      </c>
      <c r="C68" s="667"/>
      <c r="D68" s="668"/>
      <c r="E68" s="668"/>
      <c r="F68" s="668"/>
      <c r="G68" s="668"/>
      <c r="H68" s="668">
        <v>0</v>
      </c>
      <c r="I68" s="668">
        <v>0</v>
      </c>
      <c r="J68" s="669">
        <v>0</v>
      </c>
    </row>
    <row r="69" spans="1:10" ht="16.5" x14ac:dyDescent="0.6">
      <c r="A69" s="630"/>
      <c r="B69" s="631" t="s">
        <v>87</v>
      </c>
      <c r="C69" s="631"/>
      <c r="D69" s="626"/>
      <c r="E69" s="626"/>
      <c r="F69" s="626"/>
      <c r="G69" s="626"/>
      <c r="H69" s="626">
        <f>H65</f>
        <v>4582.4799999999996</v>
      </c>
      <c r="I69" s="626">
        <v>0</v>
      </c>
      <c r="J69" s="628">
        <v>0</v>
      </c>
    </row>
    <row r="70" spans="1:10" ht="16.5" x14ac:dyDescent="0.6">
      <c r="A70" s="670"/>
      <c r="B70" s="671" t="s">
        <v>88</v>
      </c>
      <c r="C70" s="671"/>
      <c r="D70" s="672"/>
      <c r="E70" s="672"/>
      <c r="F70" s="672"/>
      <c r="G70" s="672"/>
      <c r="H70" s="672">
        <f>-H65</f>
        <v>-4582.4799999999996</v>
      </c>
      <c r="I70" s="672">
        <v>0</v>
      </c>
      <c r="J70" s="673">
        <v>0</v>
      </c>
    </row>
  </sheetData>
  <mergeCells count="4">
    <mergeCell ref="A1:J1"/>
    <mergeCell ref="A4:C4"/>
    <mergeCell ref="A8:C8"/>
    <mergeCell ref="A67:C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39DF-04F0-47C4-8CB6-DA4060E85307}">
  <dimension ref="A1:K39"/>
  <sheetViews>
    <sheetView topLeftCell="D1" zoomScale="80" zoomScaleNormal="80" workbookViewId="0">
      <selection activeCell="K33" sqref="K33"/>
    </sheetView>
  </sheetViews>
  <sheetFormatPr defaultColWidth="8.86328125" defaultRowHeight="14.25" x14ac:dyDescent="0.45"/>
  <cols>
    <col min="1" max="1" width="26.73046875" bestFit="1" customWidth="1"/>
    <col min="2" max="2" width="42.73046875" bestFit="1" customWidth="1"/>
    <col min="3" max="3" width="28.86328125" bestFit="1" customWidth="1"/>
    <col min="4" max="4" width="59.86328125" bestFit="1" customWidth="1"/>
    <col min="5" max="5" width="11" bestFit="1" customWidth="1"/>
    <col min="6" max="6" width="10" bestFit="1" customWidth="1"/>
    <col min="7" max="7" width="9.86328125" bestFit="1" customWidth="1"/>
    <col min="8" max="8" width="12.265625" bestFit="1" customWidth="1"/>
    <col min="9" max="9" width="11.86328125" bestFit="1" customWidth="1"/>
    <col min="10" max="10" width="17.1328125" customWidth="1"/>
  </cols>
  <sheetData>
    <row r="1" spans="1:10" ht="25.5" x14ac:dyDescent="0.45">
      <c r="A1" s="1480" t="s">
        <v>705</v>
      </c>
      <c r="B1" s="1480"/>
      <c r="C1" s="1480"/>
      <c r="D1" s="1480"/>
      <c r="E1" s="1480"/>
      <c r="F1" s="1480"/>
      <c r="G1" s="1480"/>
      <c r="H1" s="1480"/>
      <c r="I1" s="1480"/>
      <c r="J1" s="1480"/>
    </row>
    <row r="2" spans="1:10" ht="16.5" x14ac:dyDescent="0.6">
      <c r="A2" s="492"/>
      <c r="B2" s="493" t="s">
        <v>90</v>
      </c>
      <c r="C2" s="494" t="s">
        <v>91</v>
      </c>
      <c r="D2" s="495" t="s">
        <v>92</v>
      </c>
      <c r="E2" s="496" t="s">
        <v>93</v>
      </c>
      <c r="F2" s="497" t="s">
        <v>94</v>
      </c>
      <c r="G2" s="498" t="s">
        <v>95</v>
      </c>
      <c r="H2" s="498" t="s">
        <v>96</v>
      </c>
      <c r="I2" s="498" t="s">
        <v>217</v>
      </c>
      <c r="J2" s="499" t="s">
        <v>218</v>
      </c>
    </row>
    <row r="3" spans="1:10" ht="16.5" x14ac:dyDescent="0.6">
      <c r="A3" s="500"/>
      <c r="B3" s="501"/>
      <c r="C3" s="502"/>
      <c r="D3" s="503"/>
      <c r="E3" s="504"/>
      <c r="F3" s="505"/>
      <c r="G3" s="504"/>
      <c r="H3" s="504"/>
      <c r="I3" s="504"/>
      <c r="J3" s="506"/>
    </row>
    <row r="4" spans="1:10" ht="16.5" x14ac:dyDescent="0.6">
      <c r="A4" s="1460" t="s">
        <v>7</v>
      </c>
      <c r="B4" s="1481"/>
      <c r="C4" s="1481"/>
      <c r="D4" s="507"/>
      <c r="E4" s="507"/>
      <c r="F4" s="508"/>
      <c r="G4" s="507"/>
      <c r="H4" s="507"/>
      <c r="I4" s="507"/>
      <c r="J4" s="509"/>
    </row>
    <row r="5" spans="1:10" ht="16.5" x14ac:dyDescent="0.6">
      <c r="A5" s="510"/>
      <c r="B5" s="511"/>
      <c r="C5" s="512"/>
      <c r="D5" s="512"/>
      <c r="E5" s="512"/>
      <c r="F5" s="512"/>
      <c r="G5" s="512"/>
      <c r="H5" s="512"/>
      <c r="I5" s="512"/>
      <c r="J5" s="513"/>
    </row>
    <row r="6" spans="1:10" ht="16.5" x14ac:dyDescent="0.6">
      <c r="A6" s="510"/>
      <c r="B6" s="511"/>
      <c r="C6" s="511" t="s">
        <v>46</v>
      </c>
      <c r="D6" s="514"/>
      <c r="E6" s="514"/>
      <c r="F6" s="515"/>
      <c r="G6" s="514"/>
      <c r="H6" s="514">
        <v>0</v>
      </c>
      <c r="I6" s="514">
        <v>0</v>
      </c>
      <c r="J6" s="516">
        <v>0</v>
      </c>
    </row>
    <row r="7" spans="1:10" ht="16.5" x14ac:dyDescent="0.6">
      <c r="A7" s="510"/>
      <c r="B7" s="511"/>
      <c r="C7" s="511"/>
      <c r="D7" s="514"/>
      <c r="E7" s="514"/>
      <c r="F7" s="515"/>
      <c r="G7" s="514"/>
      <c r="H7" s="514"/>
      <c r="I7" s="514"/>
      <c r="J7" s="516"/>
    </row>
    <row r="8" spans="1:10" ht="16.5" x14ac:dyDescent="0.6">
      <c r="A8" s="1460" t="s">
        <v>47</v>
      </c>
      <c r="B8" s="1481"/>
      <c r="C8" s="1481"/>
      <c r="D8" s="507"/>
      <c r="E8" s="517"/>
      <c r="F8" s="518"/>
      <c r="G8" s="517"/>
      <c r="H8" s="517"/>
      <c r="I8" s="517"/>
      <c r="J8" s="509"/>
    </row>
    <row r="9" spans="1:10" ht="16.5" x14ac:dyDescent="0.6">
      <c r="A9" s="519"/>
      <c r="B9" s="520"/>
      <c r="C9" s="520"/>
      <c r="D9" s="521"/>
      <c r="E9" s="521"/>
      <c r="F9" s="522"/>
      <c r="G9" s="521"/>
      <c r="H9" s="521"/>
      <c r="I9" s="521"/>
      <c r="J9" s="523"/>
    </row>
    <row r="10" spans="1:10" ht="16.5" x14ac:dyDescent="0.6">
      <c r="A10" s="511" t="s">
        <v>325</v>
      </c>
      <c r="B10" s="511"/>
      <c r="C10" s="524"/>
      <c r="D10" s="521"/>
      <c r="E10" s="521"/>
      <c r="F10" s="522"/>
      <c r="G10" s="521"/>
      <c r="H10" s="521"/>
      <c r="I10" s="521"/>
      <c r="J10" s="523"/>
    </row>
    <row r="11" spans="1:10" ht="16.5" x14ac:dyDescent="0.6">
      <c r="A11" s="519"/>
      <c r="B11" s="525"/>
      <c r="C11" s="526"/>
      <c r="D11" s="527"/>
      <c r="E11" s="527"/>
      <c r="F11" s="528"/>
      <c r="G11" s="527"/>
      <c r="H11" s="527"/>
      <c r="I11" s="527"/>
      <c r="J11" s="529"/>
    </row>
    <row r="12" spans="1:10" ht="16.5" x14ac:dyDescent="0.6">
      <c r="A12" s="519"/>
      <c r="B12" s="530" t="s">
        <v>706</v>
      </c>
      <c r="C12" s="520" t="s">
        <v>707</v>
      </c>
      <c r="D12" s="521" t="s">
        <v>708</v>
      </c>
      <c r="E12" s="521">
        <v>20</v>
      </c>
      <c r="F12" s="522">
        <v>10</v>
      </c>
      <c r="G12" s="521">
        <v>200</v>
      </c>
      <c r="H12" s="521">
        <v>200</v>
      </c>
      <c r="I12" s="521"/>
      <c r="J12" s="523">
        <v>200</v>
      </c>
    </row>
    <row r="13" spans="1:10" ht="16.5" x14ac:dyDescent="0.6">
      <c r="A13" s="519"/>
      <c r="B13" s="531"/>
      <c r="C13" s="531"/>
      <c r="D13" s="527"/>
      <c r="E13" s="527"/>
      <c r="F13" s="528"/>
      <c r="G13" s="527"/>
      <c r="H13" s="527"/>
      <c r="I13" s="527"/>
      <c r="J13" s="529"/>
    </row>
    <row r="14" spans="1:10" ht="16.5" x14ac:dyDescent="0.6">
      <c r="A14" s="519"/>
      <c r="B14" s="532" t="s">
        <v>330</v>
      </c>
      <c r="C14" s="533"/>
      <c r="D14" s="534"/>
      <c r="E14" s="534"/>
      <c r="F14" s="535"/>
      <c r="G14" s="534"/>
      <c r="H14" s="534">
        <v>200</v>
      </c>
      <c r="I14" s="534"/>
      <c r="J14" s="536">
        <f>J12</f>
        <v>200</v>
      </c>
    </row>
    <row r="15" spans="1:10" ht="16.5" x14ac:dyDescent="0.6">
      <c r="A15" s="519"/>
      <c r="B15" s="520"/>
      <c r="C15" s="511"/>
      <c r="D15" s="514"/>
      <c r="E15" s="514"/>
      <c r="F15" s="515"/>
      <c r="G15" s="514"/>
      <c r="H15" s="514"/>
      <c r="I15" s="514"/>
      <c r="J15" s="506"/>
    </row>
    <row r="16" spans="1:10" ht="16.5" x14ac:dyDescent="0.6">
      <c r="A16" s="511" t="s">
        <v>709</v>
      </c>
      <c r="B16" s="511"/>
      <c r="D16" s="521"/>
      <c r="E16" s="521"/>
      <c r="F16" s="522"/>
      <c r="G16" s="521"/>
      <c r="H16" s="521"/>
      <c r="I16" s="521"/>
      <c r="J16" s="523"/>
    </row>
    <row r="17" spans="1:11" ht="16.5" x14ac:dyDescent="0.6">
      <c r="A17" s="511"/>
      <c r="B17" s="525" t="s">
        <v>710</v>
      </c>
      <c r="C17" s="531" t="s">
        <v>711</v>
      </c>
      <c r="D17" s="527" t="s">
        <v>712</v>
      </c>
      <c r="E17" s="527">
        <v>75</v>
      </c>
      <c r="F17" s="528">
        <v>8</v>
      </c>
      <c r="G17" s="527">
        <v>600</v>
      </c>
      <c r="H17" s="527">
        <v>600</v>
      </c>
      <c r="I17" s="527"/>
      <c r="J17" s="529">
        <v>811.95</v>
      </c>
      <c r="K17" t="s">
        <v>713</v>
      </c>
    </row>
    <row r="18" spans="1:11" ht="16.5" x14ac:dyDescent="0.6">
      <c r="A18" s="510"/>
      <c r="B18" s="511"/>
      <c r="C18" s="520"/>
      <c r="D18" s="521"/>
      <c r="E18" s="521"/>
      <c r="F18" s="522"/>
      <c r="G18" s="521"/>
      <c r="H18" s="521"/>
      <c r="I18" s="521"/>
      <c r="J18" s="537"/>
    </row>
    <row r="19" spans="1:11" ht="16.5" x14ac:dyDescent="0.6">
      <c r="A19" s="519"/>
      <c r="B19" s="532" t="s">
        <v>714</v>
      </c>
      <c r="C19" s="533"/>
      <c r="D19" s="534"/>
      <c r="E19" s="534"/>
      <c r="F19" s="535"/>
      <c r="G19" s="534"/>
      <c r="H19" s="534">
        <v>600</v>
      </c>
      <c r="I19" s="534"/>
      <c r="J19" s="536">
        <f>J17</f>
        <v>811.95</v>
      </c>
    </row>
    <row r="20" spans="1:11" ht="16.5" x14ac:dyDescent="0.6">
      <c r="A20" s="520"/>
      <c r="B20" s="511"/>
      <c r="C20" s="511"/>
      <c r="D20" s="514"/>
      <c r="E20" s="514"/>
      <c r="F20" s="515"/>
      <c r="G20" s="514"/>
      <c r="H20" s="514"/>
      <c r="I20" s="514"/>
      <c r="J20" s="516"/>
    </row>
    <row r="21" spans="1:11" ht="16.5" x14ac:dyDescent="0.6">
      <c r="A21" s="511" t="s">
        <v>715</v>
      </c>
      <c r="B21" s="511"/>
      <c r="D21" s="521"/>
      <c r="E21" s="521"/>
      <c r="F21" s="522"/>
      <c r="G21" s="521"/>
      <c r="H21" s="521"/>
      <c r="I21" s="521"/>
      <c r="J21" s="523"/>
    </row>
    <row r="22" spans="1:11" ht="16.5" x14ac:dyDescent="0.6">
      <c r="A22" s="519"/>
      <c r="B22" s="525" t="s">
        <v>716</v>
      </c>
      <c r="C22" s="526" t="s">
        <v>717</v>
      </c>
      <c r="D22" s="527" t="s">
        <v>718</v>
      </c>
      <c r="E22" s="527">
        <v>100</v>
      </c>
      <c r="F22" s="528">
        <v>12</v>
      </c>
      <c r="G22" s="527">
        <v>1200</v>
      </c>
      <c r="H22" s="527">
        <v>1200</v>
      </c>
      <c r="I22" s="527"/>
      <c r="J22" s="529">
        <v>300</v>
      </c>
      <c r="K22" t="s">
        <v>719</v>
      </c>
    </row>
    <row r="23" spans="1:11" ht="16.5" x14ac:dyDescent="0.6">
      <c r="A23" s="519"/>
      <c r="B23" s="530" t="s">
        <v>720</v>
      </c>
      <c r="C23" s="538" t="s">
        <v>721</v>
      </c>
      <c r="D23" s="521" t="s">
        <v>722</v>
      </c>
      <c r="E23" s="521">
        <v>1000</v>
      </c>
      <c r="F23" s="522">
        <v>1</v>
      </c>
      <c r="G23" s="521">
        <v>1000</v>
      </c>
      <c r="H23" s="521">
        <v>1000</v>
      </c>
      <c r="I23" s="539"/>
      <c r="J23" s="523">
        <v>550</v>
      </c>
      <c r="K23" t="s">
        <v>723</v>
      </c>
    </row>
    <row r="24" spans="1:11" ht="16.5" x14ac:dyDescent="0.6">
      <c r="A24" s="519"/>
      <c r="B24" s="531"/>
      <c r="C24" s="531"/>
      <c r="D24" s="527"/>
      <c r="E24" s="527"/>
      <c r="F24" s="528"/>
      <c r="G24" s="527"/>
      <c r="H24" s="527"/>
      <c r="I24" s="527"/>
      <c r="J24" s="529"/>
    </row>
    <row r="25" spans="1:11" ht="16.5" x14ac:dyDescent="0.6">
      <c r="A25" s="519"/>
      <c r="B25" s="532" t="s">
        <v>724</v>
      </c>
      <c r="C25" s="533"/>
      <c r="D25" s="534"/>
      <c r="E25" s="534"/>
      <c r="F25" s="535"/>
      <c r="G25" s="534"/>
      <c r="H25" s="534">
        <v>2200</v>
      </c>
      <c r="I25" s="534">
        <v>0</v>
      </c>
      <c r="J25" s="536">
        <f>SUM(J22:J23)</f>
        <v>850</v>
      </c>
    </row>
    <row r="26" spans="1:11" ht="16.5" x14ac:dyDescent="0.6">
      <c r="A26" s="520"/>
      <c r="B26" s="511"/>
      <c r="C26" s="511"/>
      <c r="D26" s="514"/>
      <c r="E26" s="514"/>
      <c r="F26" s="515"/>
      <c r="G26" s="514"/>
      <c r="H26" s="514"/>
      <c r="I26" s="514"/>
      <c r="J26" s="516"/>
    </row>
    <row r="27" spans="1:11" ht="16.5" x14ac:dyDescent="0.6">
      <c r="A27" s="511" t="s">
        <v>725</v>
      </c>
      <c r="B27" s="511"/>
      <c r="C27" s="524"/>
      <c r="D27" s="521"/>
      <c r="E27" s="521"/>
      <c r="F27" s="522"/>
      <c r="G27" s="521"/>
      <c r="H27" s="521"/>
      <c r="I27" s="521"/>
      <c r="J27" s="523"/>
    </row>
    <row r="28" spans="1:11" ht="16.5" x14ac:dyDescent="0.6">
      <c r="A28" s="519"/>
      <c r="B28" s="525" t="s">
        <v>726</v>
      </c>
      <c r="C28" s="526" t="s">
        <v>727</v>
      </c>
      <c r="D28" s="527" t="s">
        <v>728</v>
      </c>
      <c r="E28" s="527">
        <v>4.99</v>
      </c>
      <c r="F28" s="528">
        <v>8</v>
      </c>
      <c r="G28" s="527">
        <v>39.92</v>
      </c>
      <c r="H28" s="527">
        <v>39.92</v>
      </c>
      <c r="I28" s="527"/>
      <c r="J28" s="529">
        <v>74.92</v>
      </c>
      <c r="K28" t="s">
        <v>729</v>
      </c>
    </row>
    <row r="29" spans="1:11" ht="16.5" x14ac:dyDescent="0.6">
      <c r="A29" s="519"/>
      <c r="B29" s="530"/>
      <c r="C29" s="538" t="s">
        <v>730</v>
      </c>
      <c r="D29" s="521" t="s">
        <v>731</v>
      </c>
      <c r="E29" s="521">
        <v>45</v>
      </c>
      <c r="F29" s="522">
        <v>1</v>
      </c>
      <c r="G29" s="521">
        <v>45</v>
      </c>
      <c r="H29" s="521">
        <v>45</v>
      </c>
      <c r="I29" s="539"/>
      <c r="J29" s="523">
        <v>0</v>
      </c>
      <c r="K29" t="s">
        <v>732</v>
      </c>
    </row>
    <row r="30" spans="1:11" ht="16.5" x14ac:dyDescent="0.6">
      <c r="A30" s="519"/>
      <c r="B30" s="531"/>
      <c r="C30" s="531"/>
      <c r="D30" s="527"/>
      <c r="E30" s="527"/>
      <c r="F30" s="528"/>
      <c r="G30" s="527"/>
      <c r="H30" s="527"/>
      <c r="I30" s="527"/>
      <c r="J30" s="529"/>
    </row>
    <row r="31" spans="1:11" ht="16.5" x14ac:dyDescent="0.6">
      <c r="A31" s="519"/>
      <c r="B31" s="532" t="s">
        <v>334</v>
      </c>
      <c r="C31" s="533"/>
      <c r="D31" s="534"/>
      <c r="E31" s="534"/>
      <c r="F31" s="535"/>
      <c r="G31" s="534"/>
      <c r="H31" s="534">
        <v>84.92</v>
      </c>
      <c r="I31" s="534">
        <v>0</v>
      </c>
      <c r="J31" s="536">
        <f>SUM(J28:J29)</f>
        <v>74.92</v>
      </c>
    </row>
    <row r="32" spans="1:11" ht="16.5" x14ac:dyDescent="0.6">
      <c r="A32" s="519"/>
      <c r="B32" s="511"/>
      <c r="C32" s="511"/>
      <c r="D32" s="514"/>
      <c r="E32" s="514"/>
      <c r="F32" s="515"/>
      <c r="G32" s="514"/>
      <c r="H32" s="514"/>
      <c r="I32" s="514"/>
      <c r="J32" s="506"/>
    </row>
    <row r="33" spans="1:10" ht="16.5" x14ac:dyDescent="0.6">
      <c r="A33" s="519"/>
      <c r="B33" s="511"/>
      <c r="C33" s="511"/>
      <c r="D33" s="514"/>
      <c r="E33" s="514"/>
      <c r="F33" s="515"/>
      <c r="G33" s="514"/>
      <c r="H33" s="514"/>
      <c r="I33" s="514"/>
      <c r="J33" s="516"/>
    </row>
    <row r="34" spans="1:10" ht="16.5" x14ac:dyDescent="0.6">
      <c r="A34" s="519"/>
      <c r="B34" s="520"/>
      <c r="C34" s="511" t="s">
        <v>84</v>
      </c>
      <c r="D34" s="514"/>
      <c r="E34" s="514"/>
      <c r="F34" s="515"/>
      <c r="G34" s="514"/>
      <c r="H34" s="514">
        <v>3084.92</v>
      </c>
      <c r="I34" s="514"/>
      <c r="J34" s="516">
        <f>SUM(J14,J19,J25,J31)</f>
        <v>1936.8700000000001</v>
      </c>
    </row>
    <row r="35" spans="1:10" ht="16.5" x14ac:dyDescent="0.6">
      <c r="A35" s="519"/>
      <c r="B35" s="520"/>
      <c r="C35" s="511"/>
      <c r="D35" s="514"/>
      <c r="E35" s="514"/>
      <c r="F35" s="515"/>
      <c r="G35" s="514"/>
      <c r="H35" s="514"/>
      <c r="I35" s="514"/>
      <c r="J35" s="516"/>
    </row>
    <row r="36" spans="1:10" ht="16.5" x14ac:dyDescent="0.6">
      <c r="A36" s="1460" t="s">
        <v>85</v>
      </c>
      <c r="B36" s="1481"/>
      <c r="C36" s="1481"/>
      <c r="D36" s="507"/>
      <c r="E36" s="507"/>
      <c r="F36" s="508"/>
      <c r="G36" s="507"/>
      <c r="H36" s="507"/>
      <c r="I36" s="507"/>
      <c r="J36" s="509"/>
    </row>
    <row r="37" spans="1:10" ht="16.5" x14ac:dyDescent="0.6">
      <c r="A37" s="510"/>
      <c r="B37" s="540" t="s">
        <v>86</v>
      </c>
      <c r="C37" s="540"/>
      <c r="D37" s="541"/>
      <c r="E37" s="541"/>
      <c r="F37" s="541"/>
      <c r="G37" s="541"/>
      <c r="H37" s="541">
        <v>0</v>
      </c>
      <c r="I37" s="541">
        <v>0</v>
      </c>
      <c r="J37" s="542">
        <v>0</v>
      </c>
    </row>
    <row r="38" spans="1:10" ht="16.5" x14ac:dyDescent="0.6">
      <c r="A38" s="510"/>
      <c r="B38" s="511" t="s">
        <v>87</v>
      </c>
      <c r="C38" s="511"/>
      <c r="D38" s="514"/>
      <c r="E38" s="514"/>
      <c r="F38" s="514"/>
      <c r="G38" s="514"/>
      <c r="H38" s="514">
        <v>3084.92</v>
      </c>
      <c r="I38" s="514"/>
      <c r="J38" s="516">
        <f>J34</f>
        <v>1936.8700000000001</v>
      </c>
    </row>
    <row r="39" spans="1:10" ht="16.5" x14ac:dyDescent="0.6">
      <c r="A39" s="543"/>
      <c r="B39" s="544" t="s">
        <v>88</v>
      </c>
      <c r="C39" s="544"/>
      <c r="D39" s="545"/>
      <c r="E39" s="545"/>
      <c r="F39" s="545"/>
      <c r="G39" s="545"/>
      <c r="H39" s="545">
        <v>-3084.92</v>
      </c>
      <c r="I39" s="545"/>
      <c r="J39" s="546">
        <f>J37-J38</f>
        <v>-1936.8700000000001</v>
      </c>
    </row>
  </sheetData>
  <mergeCells count="4">
    <mergeCell ref="A1:J1"/>
    <mergeCell ref="A4:C4"/>
    <mergeCell ref="A8:C8"/>
    <mergeCell ref="A36:C3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041B1-9AF1-EE4C-82AE-066D8B5BECB4}">
  <dimension ref="A1:J24"/>
  <sheetViews>
    <sheetView zoomScale="80" zoomScaleNormal="80" workbookViewId="0">
      <selection activeCell="J10" sqref="J10"/>
    </sheetView>
  </sheetViews>
  <sheetFormatPr defaultColWidth="12.265625" defaultRowHeight="15.75" x14ac:dyDescent="0.5"/>
  <cols>
    <col min="1" max="2" width="12.265625" style="1128"/>
    <col min="3" max="3" width="27.73046875" style="1128" customWidth="1"/>
    <col min="4" max="4" width="34" style="1128" customWidth="1"/>
    <col min="5" max="7" width="12.265625" style="1128"/>
    <col min="8" max="8" width="17.3984375" style="1128" customWidth="1"/>
    <col min="9" max="9" width="12.265625" style="1128"/>
    <col min="10" max="10" width="16" style="1128" customWidth="1"/>
    <col min="11" max="16384" width="12.265625" style="1128"/>
  </cols>
  <sheetData>
    <row r="1" spans="1:10" ht="25.5" x14ac:dyDescent="0.5">
      <c r="A1" s="1482" t="s">
        <v>733</v>
      </c>
      <c r="B1" s="1482"/>
      <c r="C1" s="1482"/>
      <c r="D1" s="1482"/>
      <c r="E1" s="1482"/>
      <c r="F1" s="1482"/>
      <c r="G1" s="1482"/>
      <c r="H1" s="1482"/>
      <c r="I1" s="1482"/>
      <c r="J1" s="1483"/>
    </row>
    <row r="2" spans="1:10" ht="16.5" x14ac:dyDescent="0.6">
      <c r="A2" s="1348"/>
      <c r="B2" s="1349" t="s">
        <v>90</v>
      </c>
      <c r="C2" s="1350" t="s">
        <v>91</v>
      </c>
      <c r="D2" s="1351" t="s">
        <v>92</v>
      </c>
      <c r="E2" s="1351" t="s">
        <v>93</v>
      </c>
      <c r="F2" s="1352" t="s">
        <v>94</v>
      </c>
      <c r="G2" s="1353" t="s">
        <v>95</v>
      </c>
      <c r="H2" s="1353" t="s">
        <v>96</v>
      </c>
      <c r="I2" s="1353" t="s">
        <v>217</v>
      </c>
      <c r="J2" s="1354" t="s">
        <v>218</v>
      </c>
    </row>
    <row r="3" spans="1:10" ht="16.5" x14ac:dyDescent="0.6">
      <c r="A3" s="1115"/>
      <c r="B3" s="1114"/>
      <c r="C3" s="1114"/>
      <c r="D3" s="1129"/>
      <c r="E3" s="1129"/>
      <c r="F3" s="1130"/>
      <c r="G3" s="1129"/>
      <c r="H3" s="1129"/>
      <c r="I3" s="1129"/>
      <c r="J3" s="1131"/>
    </row>
    <row r="4" spans="1:10" ht="16.5" x14ac:dyDescent="0.6">
      <c r="A4" s="1484" t="s">
        <v>7</v>
      </c>
      <c r="B4" s="1485"/>
      <c r="C4" s="1485"/>
      <c r="D4" s="1097"/>
      <c r="E4" s="1097"/>
      <c r="F4" s="1098"/>
      <c r="G4" s="1097"/>
      <c r="H4" s="1097"/>
      <c r="I4" s="1097"/>
      <c r="J4" s="1132"/>
    </row>
    <row r="5" spans="1:10" ht="16.5" x14ac:dyDescent="0.6">
      <c r="A5" s="1133"/>
      <c r="B5" s="1134"/>
      <c r="C5" s="1134"/>
      <c r="D5" s="1129"/>
      <c r="E5" s="1129"/>
      <c r="F5" s="1130"/>
      <c r="G5" s="1129"/>
      <c r="H5" s="1129"/>
      <c r="I5" s="1129"/>
      <c r="J5" s="1131"/>
    </row>
    <row r="6" spans="1:10" ht="16.5" x14ac:dyDescent="0.6">
      <c r="A6" s="1133"/>
      <c r="B6" s="1134"/>
      <c r="C6" s="1134" t="s">
        <v>46</v>
      </c>
      <c r="D6" s="1134"/>
      <c r="E6" s="1129"/>
      <c r="F6" s="1130"/>
      <c r="G6" s="1129"/>
      <c r="H6" s="1129">
        <v>0</v>
      </c>
      <c r="I6" s="1129">
        <v>0</v>
      </c>
      <c r="J6" s="1131"/>
    </row>
    <row r="7" spans="1:10" ht="16.5" x14ac:dyDescent="0.6">
      <c r="A7" s="1133"/>
      <c r="B7" s="1134"/>
      <c r="C7" s="1134"/>
      <c r="D7" s="1129"/>
      <c r="E7" s="1129"/>
      <c r="F7" s="1130"/>
      <c r="G7" s="1129"/>
      <c r="H7" s="1129"/>
      <c r="I7" s="1129"/>
      <c r="J7" s="1131"/>
    </row>
    <row r="8" spans="1:10" ht="16.5" x14ac:dyDescent="0.6">
      <c r="A8" s="1484" t="s">
        <v>47</v>
      </c>
      <c r="B8" s="1485"/>
      <c r="C8" s="1485"/>
      <c r="D8" s="1097"/>
      <c r="E8" s="1097"/>
      <c r="F8" s="1098"/>
      <c r="G8" s="1097"/>
      <c r="H8" s="1097"/>
      <c r="I8" s="1097"/>
      <c r="J8" s="1132"/>
    </row>
    <row r="9" spans="1:10" ht="18.75" x14ac:dyDescent="0.7">
      <c r="A9" s="1135" t="s">
        <v>734</v>
      </c>
      <c r="B9" s="1136"/>
      <c r="C9" s="1137"/>
      <c r="D9" s="1138"/>
      <c r="E9" s="1138"/>
      <c r="F9" s="1139"/>
      <c r="G9" s="1138"/>
      <c r="H9" s="1138"/>
      <c r="I9" s="1138"/>
      <c r="J9" s="1140"/>
    </row>
    <row r="10" spans="1:10" ht="18.75" x14ac:dyDescent="0.7">
      <c r="A10" s="1141"/>
      <c r="B10" s="1142" t="s">
        <v>735</v>
      </c>
      <c r="C10" s="1143" t="s">
        <v>736</v>
      </c>
      <c r="D10" s="1082" t="s">
        <v>737</v>
      </c>
      <c r="E10" s="1082">
        <f>7*17</f>
        <v>119</v>
      </c>
      <c r="F10" s="1144">
        <v>7</v>
      </c>
      <c r="G10" s="1082">
        <f>E10*F10</f>
        <v>833</v>
      </c>
      <c r="H10" s="1082">
        <f>G10*1.13</f>
        <v>941.29</v>
      </c>
      <c r="I10" s="1082"/>
      <c r="J10" s="1145"/>
    </row>
    <row r="11" spans="1:10" ht="18.75" x14ac:dyDescent="0.7">
      <c r="A11" s="1141"/>
      <c r="B11" s="1137" t="s">
        <v>738</v>
      </c>
      <c r="C11" s="1146" t="s">
        <v>739</v>
      </c>
      <c r="D11" s="1138" t="s">
        <v>740</v>
      </c>
      <c r="E11" s="1138">
        <v>40</v>
      </c>
      <c r="F11" s="1139">
        <v>24</v>
      </c>
      <c r="G11" s="1138">
        <f>E11*F11</f>
        <v>960</v>
      </c>
      <c r="H11" s="1138">
        <f>G11*1.13</f>
        <v>1084.8</v>
      </c>
      <c r="I11" s="1138"/>
      <c r="J11" s="1140"/>
    </row>
    <row r="12" spans="1:10" ht="18.75" x14ac:dyDescent="0.7">
      <c r="A12" s="1141"/>
      <c r="B12" s="1142" t="s">
        <v>741</v>
      </c>
      <c r="C12" s="1143" t="s">
        <v>742</v>
      </c>
      <c r="D12" s="1082" t="s">
        <v>743</v>
      </c>
      <c r="E12" s="1082">
        <v>20</v>
      </c>
      <c r="F12" s="1144">
        <v>4</v>
      </c>
      <c r="G12" s="1082">
        <f>E12*F12</f>
        <v>80</v>
      </c>
      <c r="H12" s="1082">
        <f>G12*1.13</f>
        <v>90.399999999999991</v>
      </c>
      <c r="I12" s="1082"/>
      <c r="J12" s="1145"/>
    </row>
    <row r="13" spans="1:10" ht="18.75" x14ac:dyDescent="0.7">
      <c r="A13" s="1141"/>
      <c r="B13" s="1137" t="s">
        <v>744</v>
      </c>
      <c r="C13" s="1146" t="s">
        <v>142</v>
      </c>
      <c r="D13" s="1138" t="s">
        <v>745</v>
      </c>
      <c r="E13" s="1138">
        <v>50</v>
      </c>
      <c r="F13" s="1139">
        <v>8</v>
      </c>
      <c r="G13" s="1138">
        <f>F13*E13</f>
        <v>400</v>
      </c>
      <c r="H13" s="1138">
        <f>F13*E13</f>
        <v>400</v>
      </c>
      <c r="I13" s="1138"/>
      <c r="J13" s="1140"/>
    </row>
    <row r="14" spans="1:10" ht="18.75" x14ac:dyDescent="0.7">
      <c r="A14" s="1141"/>
      <c r="B14" s="1142" t="s">
        <v>746</v>
      </c>
      <c r="C14" s="1143" t="s">
        <v>747</v>
      </c>
      <c r="D14" s="1082" t="s">
        <v>748</v>
      </c>
      <c r="E14" s="1082">
        <v>20</v>
      </c>
      <c r="F14" s="1144">
        <v>17</v>
      </c>
      <c r="G14" s="1082">
        <f>E14*F14</f>
        <v>340</v>
      </c>
      <c r="H14" s="1082">
        <f>G14*1.13</f>
        <v>384.2</v>
      </c>
      <c r="I14" s="1082"/>
      <c r="J14" s="1145"/>
    </row>
    <row r="15" spans="1:10" ht="18.75" x14ac:dyDescent="0.7">
      <c r="A15" s="1141"/>
      <c r="C15" s="1143"/>
      <c r="D15" s="1082"/>
      <c r="E15" s="1082"/>
      <c r="F15" s="1144"/>
      <c r="G15" s="1082"/>
      <c r="H15" s="1082"/>
      <c r="I15" s="1082"/>
      <c r="J15" s="1145"/>
    </row>
    <row r="16" spans="1:10" ht="18.75" x14ac:dyDescent="0.7">
      <c r="A16" s="1141"/>
      <c r="B16" s="1147" t="s">
        <v>749</v>
      </c>
      <c r="C16" s="1148"/>
      <c r="D16" s="1149"/>
      <c r="E16" s="1149"/>
      <c r="F16" s="1150"/>
      <c r="G16" s="1149"/>
      <c r="H16" s="1149">
        <f>SUM(H10:H13)</f>
        <v>2516.4899999999998</v>
      </c>
      <c r="I16" s="1149"/>
      <c r="J16" s="1151"/>
    </row>
    <row r="17" spans="1:10" ht="18.75" x14ac:dyDescent="0.7">
      <c r="A17" s="1135" t="s">
        <v>331</v>
      </c>
      <c r="B17" s="1142" t="s">
        <v>750</v>
      </c>
      <c r="C17" s="1136" t="s">
        <v>751</v>
      </c>
      <c r="D17" s="1152" t="s">
        <v>752</v>
      </c>
      <c r="E17" s="1152">
        <v>1500</v>
      </c>
      <c r="F17" s="1153"/>
      <c r="G17" s="1152"/>
      <c r="H17" s="1152"/>
      <c r="I17" s="1152"/>
      <c r="J17" s="1154"/>
    </row>
    <row r="18" spans="1:10" ht="16.5" x14ac:dyDescent="0.6">
      <c r="A18" s="1155"/>
      <c r="B18" s="1156"/>
      <c r="C18" s="1157"/>
      <c r="D18" s="1158"/>
      <c r="E18" s="1158"/>
      <c r="F18" s="1159"/>
      <c r="G18" s="1158"/>
      <c r="H18" s="1158"/>
      <c r="I18" s="1158"/>
      <c r="J18" s="1160"/>
    </row>
    <row r="19" spans="1:10" ht="16.5" x14ac:dyDescent="0.6">
      <c r="A19" s="1155"/>
      <c r="B19" s="1156"/>
      <c r="C19" s="1134" t="s">
        <v>84</v>
      </c>
      <c r="D19" s="1134"/>
      <c r="E19" s="1129"/>
      <c r="F19" s="1130"/>
      <c r="G19" s="1129"/>
      <c r="H19" s="1129">
        <f>H16</f>
        <v>2516.4899999999998</v>
      </c>
      <c r="I19" s="1129">
        <v>0</v>
      </c>
      <c r="J19" s="1131"/>
    </row>
    <row r="20" spans="1:10" ht="16.5" x14ac:dyDescent="0.6">
      <c r="A20" s="1155"/>
      <c r="B20" s="1156"/>
      <c r="C20" s="1134"/>
      <c r="D20" s="1129"/>
      <c r="E20" s="1129"/>
      <c r="F20" s="1130"/>
      <c r="G20" s="1129"/>
      <c r="H20" s="1129"/>
      <c r="I20" s="1129"/>
      <c r="J20" s="1131"/>
    </row>
    <row r="21" spans="1:10" ht="16.5" x14ac:dyDescent="0.6">
      <c r="A21" s="1484" t="s">
        <v>85</v>
      </c>
      <c r="B21" s="1485"/>
      <c r="C21" s="1485"/>
      <c r="D21" s="1097"/>
      <c r="E21" s="1097"/>
      <c r="F21" s="1098"/>
      <c r="G21" s="1097"/>
      <c r="H21" s="1097"/>
      <c r="I21" s="1097"/>
      <c r="J21" s="1132"/>
    </row>
    <row r="22" spans="1:10" ht="16.5" x14ac:dyDescent="0.6">
      <c r="A22" s="1133"/>
      <c r="B22" s="1161" t="s">
        <v>86</v>
      </c>
      <c r="C22" s="1161"/>
      <c r="D22" s="1162"/>
      <c r="E22" s="1162"/>
      <c r="F22" s="1162"/>
      <c r="G22" s="1162"/>
      <c r="H22" s="1162">
        <v>0</v>
      </c>
      <c r="I22" s="1162">
        <v>0</v>
      </c>
      <c r="J22" s="1163"/>
    </row>
    <row r="23" spans="1:10" ht="16.5" x14ac:dyDescent="0.6">
      <c r="A23" s="1133"/>
      <c r="B23" s="1134" t="s">
        <v>87</v>
      </c>
      <c r="C23" s="1134"/>
      <c r="D23" s="1129"/>
      <c r="E23" s="1129"/>
      <c r="F23" s="1129"/>
      <c r="G23" s="1129"/>
      <c r="H23" s="1129">
        <f>H19</f>
        <v>2516.4899999999998</v>
      </c>
      <c r="I23" s="1129">
        <v>0</v>
      </c>
      <c r="J23" s="1131"/>
    </row>
    <row r="24" spans="1:10" ht="16.5" x14ac:dyDescent="0.6">
      <c r="A24" s="1164"/>
      <c r="B24" s="1165" t="s">
        <v>88</v>
      </c>
      <c r="C24" s="1165"/>
      <c r="D24" s="1166"/>
      <c r="E24" s="1166"/>
      <c r="F24" s="1166"/>
      <c r="G24" s="1166"/>
      <c r="H24" s="1166">
        <f>H22-H23</f>
        <v>-2516.4899999999998</v>
      </c>
      <c r="I24" s="1166">
        <v>0</v>
      </c>
      <c r="J24" s="1167"/>
    </row>
  </sheetData>
  <mergeCells count="4">
    <mergeCell ref="A1:J1"/>
    <mergeCell ref="A4:C4"/>
    <mergeCell ref="A8:C8"/>
    <mergeCell ref="A21:C21"/>
  </mergeCells>
  <pageMargins left="0.75" right="0.75" top="1" bottom="1" header="0.5" footer="0.5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5930-0953-4AD4-9D03-FFB772A9F4A6}">
  <dimension ref="A1:J49"/>
  <sheetViews>
    <sheetView topLeftCell="E36" zoomScale="70" zoomScaleNormal="70" workbookViewId="0">
      <selection activeCell="J38" sqref="J38"/>
    </sheetView>
  </sheetViews>
  <sheetFormatPr defaultColWidth="12" defaultRowHeight="14.25" x14ac:dyDescent="0.45"/>
  <cols>
    <col min="3" max="3" width="39.86328125" customWidth="1"/>
    <col min="4" max="4" width="120.86328125" customWidth="1"/>
    <col min="5" max="5" width="30.3984375" customWidth="1"/>
    <col min="6" max="6" width="27.1328125" customWidth="1"/>
    <col min="7" max="7" width="25.1328125" customWidth="1"/>
    <col min="8" max="8" width="18.3984375" customWidth="1"/>
    <col min="9" max="9" width="20.265625" customWidth="1"/>
    <col min="10" max="10" width="20.3984375" customWidth="1"/>
  </cols>
  <sheetData>
    <row r="1" spans="1:10" ht="33.75" customHeight="1" x14ac:dyDescent="0.45">
      <c r="A1" s="1501"/>
      <c r="B1" s="1502"/>
      <c r="C1" s="1503"/>
      <c r="D1" s="1465" t="s">
        <v>753</v>
      </c>
      <c r="E1" s="1486"/>
      <c r="F1" s="1486"/>
      <c r="G1" s="1486"/>
      <c r="H1" s="1486"/>
      <c r="I1" s="1486"/>
      <c r="J1" s="1487"/>
    </row>
    <row r="2" spans="1:10" ht="33.75" customHeight="1" x14ac:dyDescent="0.45">
      <c r="A2" s="1504"/>
      <c r="B2" s="1505"/>
      <c r="C2" s="1506"/>
      <c r="D2" s="1488"/>
      <c r="E2" s="1489"/>
      <c r="F2" s="1489"/>
      <c r="G2" s="1489"/>
      <c r="H2" s="1489"/>
      <c r="I2" s="1489"/>
      <c r="J2" s="1490"/>
    </row>
    <row r="3" spans="1:10" ht="33.75" customHeight="1" x14ac:dyDescent="0.45">
      <c r="A3" s="1504"/>
      <c r="B3" s="1505"/>
      <c r="C3" s="1506"/>
      <c r="D3" s="1488"/>
      <c r="E3" s="1489"/>
      <c r="F3" s="1489"/>
      <c r="G3" s="1489"/>
      <c r="H3" s="1489"/>
      <c r="I3" s="1489"/>
      <c r="J3" s="1490"/>
    </row>
    <row r="4" spans="1:10" ht="33.75" customHeight="1" x14ac:dyDescent="0.45">
      <c r="A4" s="1507"/>
      <c r="B4" s="1508"/>
      <c r="C4" s="1509"/>
      <c r="D4" s="1491"/>
      <c r="E4" s="1492"/>
      <c r="F4" s="1492"/>
      <c r="G4" s="1492"/>
      <c r="H4" s="1492"/>
      <c r="I4" s="1492"/>
      <c r="J4" s="1493"/>
    </row>
    <row r="5" spans="1:10" ht="15.75" x14ac:dyDescent="0.5">
      <c r="A5" s="1494"/>
      <c r="B5" s="1495"/>
      <c r="C5" s="1496"/>
      <c r="D5" s="1497"/>
      <c r="E5" s="1498"/>
      <c r="F5" s="107"/>
      <c r="G5" s="108"/>
      <c r="H5" s="108"/>
      <c r="I5" s="108"/>
      <c r="J5" s="109"/>
    </row>
    <row r="6" spans="1:10" ht="15.75" x14ac:dyDescent="0.5">
      <c r="A6" s="110"/>
      <c r="B6" s="111" t="s">
        <v>90</v>
      </c>
      <c r="C6" s="112" t="s">
        <v>91</v>
      </c>
      <c r="D6" s="113" t="s">
        <v>92</v>
      </c>
      <c r="E6" s="114" t="s">
        <v>93</v>
      </c>
      <c r="F6" s="115" t="s">
        <v>94</v>
      </c>
      <c r="G6" s="116" t="s">
        <v>95</v>
      </c>
      <c r="H6" s="116" t="s">
        <v>96</v>
      </c>
      <c r="I6" s="116" t="s">
        <v>217</v>
      </c>
      <c r="J6" s="117" t="s">
        <v>218</v>
      </c>
    </row>
    <row r="7" spans="1:10" ht="15.75" x14ac:dyDescent="0.5">
      <c r="A7" s="118"/>
      <c r="B7" s="119"/>
      <c r="C7" s="120"/>
      <c r="D7" s="121"/>
      <c r="E7" s="122"/>
      <c r="F7" s="123"/>
      <c r="G7" s="122"/>
      <c r="H7" s="122"/>
      <c r="I7" s="122"/>
      <c r="J7" s="124"/>
    </row>
    <row r="8" spans="1:10" ht="16.899999999999999" x14ac:dyDescent="0.5">
      <c r="A8" s="125"/>
      <c r="B8" s="126"/>
      <c r="C8" s="127"/>
      <c r="D8" s="128"/>
      <c r="E8" s="129"/>
      <c r="F8" s="130"/>
      <c r="G8" s="129"/>
      <c r="H8" s="129"/>
      <c r="I8" s="129"/>
      <c r="J8" s="131"/>
    </row>
    <row r="9" spans="1:10" ht="15.75" x14ac:dyDescent="0.5">
      <c r="A9" s="1499" t="s">
        <v>47</v>
      </c>
      <c r="B9" s="1500"/>
      <c r="C9" s="1500"/>
      <c r="D9" s="132"/>
      <c r="E9" s="133"/>
      <c r="F9" s="134"/>
      <c r="G9" s="133"/>
      <c r="H9" s="133"/>
      <c r="I9" s="133"/>
      <c r="J9" s="135"/>
    </row>
    <row r="10" spans="1:10" ht="15.75" x14ac:dyDescent="0.5">
      <c r="A10" s="136" t="s">
        <v>754</v>
      </c>
      <c r="B10" s="137"/>
      <c r="C10" s="138"/>
      <c r="D10" s="139"/>
      <c r="E10" s="140"/>
      <c r="F10" s="141"/>
      <c r="G10" s="140"/>
      <c r="H10" s="140"/>
      <c r="I10" s="140"/>
      <c r="J10" s="142"/>
    </row>
    <row r="11" spans="1:10" ht="15.75" x14ac:dyDescent="0.5">
      <c r="A11" s="143"/>
      <c r="B11" s="144" t="s">
        <v>755</v>
      </c>
      <c r="C11" s="145" t="s">
        <v>756</v>
      </c>
      <c r="D11" s="145" t="s">
        <v>757</v>
      </c>
      <c r="E11" s="146">
        <v>13.8</v>
      </c>
      <c r="F11" s="147">
        <v>25</v>
      </c>
      <c r="G11" s="146">
        <f t="shared" ref="G11:G19" si="0">E11*F11</f>
        <v>345</v>
      </c>
      <c r="H11" s="146">
        <f t="shared" ref="H11:H19" si="1">G11*1.13</f>
        <v>389.84999999999997</v>
      </c>
      <c r="I11" s="148"/>
      <c r="J11" s="148">
        <v>389.85</v>
      </c>
    </row>
    <row r="12" spans="1:10" ht="15.75" x14ac:dyDescent="0.5">
      <c r="A12" s="143"/>
      <c r="B12" s="138" t="s">
        <v>758</v>
      </c>
      <c r="C12" s="149" t="s">
        <v>530</v>
      </c>
      <c r="D12" s="150" t="s">
        <v>759</v>
      </c>
      <c r="E12" s="140">
        <v>0.25</v>
      </c>
      <c r="F12" s="141">
        <v>50</v>
      </c>
      <c r="G12" s="140">
        <f t="shared" si="0"/>
        <v>12.5</v>
      </c>
      <c r="H12" s="140">
        <f t="shared" si="1"/>
        <v>14.124999999999998</v>
      </c>
      <c r="I12" s="140"/>
      <c r="J12" s="142">
        <v>0</v>
      </c>
    </row>
    <row r="13" spans="1:10" ht="15.75" x14ac:dyDescent="0.5">
      <c r="A13" s="143"/>
      <c r="B13" s="1371" t="s">
        <v>760</v>
      </c>
      <c r="C13" s="1372" t="s">
        <v>328</v>
      </c>
      <c r="D13" s="1373" t="s">
        <v>761</v>
      </c>
      <c r="E13" s="1374">
        <v>5</v>
      </c>
      <c r="F13" s="1375">
        <f>4*20</f>
        <v>80</v>
      </c>
      <c r="G13" s="1374">
        <f t="shared" si="0"/>
        <v>400</v>
      </c>
      <c r="H13" s="1374">
        <f t="shared" si="1"/>
        <v>451.99999999999994</v>
      </c>
      <c r="I13" s="1374"/>
      <c r="J13" s="1376">
        <f>158.85+80</f>
        <v>238.85</v>
      </c>
    </row>
    <row r="14" spans="1:10" ht="15.75" x14ac:dyDescent="0.5">
      <c r="A14" s="143"/>
      <c r="B14" s="138" t="s">
        <v>762</v>
      </c>
      <c r="C14" s="149" t="s">
        <v>134</v>
      </c>
      <c r="D14" s="139" t="s">
        <v>763</v>
      </c>
      <c r="E14" s="140">
        <v>25</v>
      </c>
      <c r="F14" s="141">
        <v>2</v>
      </c>
      <c r="G14" s="140">
        <f t="shared" si="0"/>
        <v>50</v>
      </c>
      <c r="H14" s="140">
        <f t="shared" si="1"/>
        <v>56.499999999999993</v>
      </c>
      <c r="I14" s="140"/>
      <c r="J14" s="142">
        <v>19.149999999999999</v>
      </c>
    </row>
    <row r="15" spans="1:10" ht="15.75" x14ac:dyDescent="0.5">
      <c r="A15" s="136"/>
      <c r="B15" s="144" t="s">
        <v>764</v>
      </c>
      <c r="C15" s="151" t="s">
        <v>765</v>
      </c>
      <c r="D15" s="145" t="s">
        <v>766</v>
      </c>
      <c r="E15" s="146">
        <v>10</v>
      </c>
      <c r="F15" s="147">
        <v>3</v>
      </c>
      <c r="G15" s="146">
        <f t="shared" si="0"/>
        <v>30</v>
      </c>
      <c r="H15" s="146">
        <f t="shared" si="1"/>
        <v>33.9</v>
      </c>
      <c r="I15" s="146"/>
      <c r="J15" s="148">
        <v>10</v>
      </c>
    </row>
    <row r="16" spans="1:10" ht="15.75" x14ac:dyDescent="0.5">
      <c r="A16" s="136"/>
      <c r="B16" s="138" t="s">
        <v>767</v>
      </c>
      <c r="C16" s="149" t="s">
        <v>768</v>
      </c>
      <c r="D16" s="139" t="s">
        <v>769</v>
      </c>
      <c r="E16" s="140">
        <v>6.96</v>
      </c>
      <c r="F16" s="141">
        <v>6</v>
      </c>
      <c r="G16" s="140">
        <f t="shared" si="0"/>
        <v>41.76</v>
      </c>
      <c r="H16" s="140">
        <f t="shared" si="1"/>
        <v>47.188799999999993</v>
      </c>
      <c r="I16" s="140">
        <f>E16*3</f>
        <v>20.88</v>
      </c>
      <c r="J16" s="142"/>
    </row>
    <row r="17" spans="1:10" ht="15.75" x14ac:dyDescent="0.5">
      <c r="A17" s="136"/>
      <c r="B17" s="144" t="s">
        <v>770</v>
      </c>
      <c r="C17" s="151" t="s">
        <v>765</v>
      </c>
      <c r="D17" s="145" t="s">
        <v>771</v>
      </c>
      <c r="E17" s="146">
        <v>20</v>
      </c>
      <c r="F17" s="147">
        <v>3</v>
      </c>
      <c r="G17" s="146">
        <f t="shared" si="0"/>
        <v>60</v>
      </c>
      <c r="H17" s="146">
        <f t="shared" si="1"/>
        <v>67.8</v>
      </c>
      <c r="I17" s="146"/>
      <c r="J17" s="148">
        <v>30</v>
      </c>
    </row>
    <row r="18" spans="1:10" ht="15.75" x14ac:dyDescent="0.5">
      <c r="A18" s="136"/>
      <c r="B18" s="138" t="s">
        <v>772</v>
      </c>
      <c r="C18" s="149" t="s">
        <v>773</v>
      </c>
      <c r="D18" s="139" t="s">
        <v>774</v>
      </c>
      <c r="E18" s="140">
        <v>21</v>
      </c>
      <c r="F18" s="141">
        <v>6</v>
      </c>
      <c r="G18" s="140">
        <f t="shared" si="0"/>
        <v>126</v>
      </c>
      <c r="H18" s="140">
        <f t="shared" si="1"/>
        <v>142.38</v>
      </c>
      <c r="I18" s="140"/>
      <c r="J18" s="142">
        <f>20.5+10.25</f>
        <v>30.75</v>
      </c>
    </row>
    <row r="19" spans="1:10" ht="15.75" x14ac:dyDescent="0.5">
      <c r="A19" s="136"/>
      <c r="B19" s="144" t="s">
        <v>775</v>
      </c>
      <c r="C19" s="144" t="s">
        <v>776</v>
      </c>
      <c r="D19" s="145" t="s">
        <v>777</v>
      </c>
      <c r="E19" s="146">
        <v>25</v>
      </c>
      <c r="F19" s="147">
        <v>3</v>
      </c>
      <c r="G19" s="146">
        <f t="shared" si="0"/>
        <v>75</v>
      </c>
      <c r="H19" s="146">
        <f t="shared" si="1"/>
        <v>84.749999999999986</v>
      </c>
      <c r="I19" s="146"/>
      <c r="J19" s="146">
        <f>H19</f>
        <v>84.749999999999986</v>
      </c>
    </row>
    <row r="20" spans="1:10" ht="15.75" x14ac:dyDescent="0.5">
      <c r="A20" s="143"/>
      <c r="B20" s="152"/>
      <c r="C20" s="149"/>
      <c r="D20" s="139"/>
      <c r="E20" s="140"/>
      <c r="F20" s="141"/>
      <c r="G20" s="140"/>
      <c r="H20" s="140"/>
      <c r="I20" s="140"/>
      <c r="J20" s="142"/>
    </row>
    <row r="21" spans="1:10" ht="15.75" x14ac:dyDescent="0.5">
      <c r="A21" s="136"/>
      <c r="B21" s="153" t="s">
        <v>778</v>
      </c>
      <c r="C21" s="154"/>
      <c r="D21" s="108"/>
      <c r="E21" s="155"/>
      <c r="F21" s="156"/>
      <c r="G21" s="155"/>
      <c r="H21" s="155">
        <f>SUM(H8:H20)</f>
        <v>1288.4937999999997</v>
      </c>
      <c r="I21" s="155">
        <f>SUM(I8:I20)</f>
        <v>20.88</v>
      </c>
      <c r="J21" s="157">
        <f>SUM(J8:J20)</f>
        <v>803.35</v>
      </c>
    </row>
    <row r="22" spans="1:10" ht="15.75" x14ac:dyDescent="0.5">
      <c r="A22" s="136"/>
      <c r="B22" s="138"/>
      <c r="C22" s="149"/>
      <c r="D22" s="140"/>
      <c r="E22" s="140"/>
      <c r="F22" s="141"/>
      <c r="G22" s="140"/>
      <c r="H22" s="140"/>
      <c r="I22" s="140"/>
      <c r="J22" s="142"/>
    </row>
    <row r="23" spans="1:10" ht="15.75" x14ac:dyDescent="0.5">
      <c r="A23" s="143"/>
      <c r="B23" s="152"/>
      <c r="C23" s="149"/>
      <c r="D23" s="139"/>
      <c r="E23" s="140"/>
      <c r="F23" s="141"/>
      <c r="G23" s="140"/>
      <c r="H23" s="140"/>
      <c r="I23" s="140"/>
      <c r="J23" s="142"/>
    </row>
    <row r="24" spans="1:10" ht="15.75" x14ac:dyDescent="0.5">
      <c r="A24" s="136" t="s">
        <v>779</v>
      </c>
      <c r="B24" s="137"/>
      <c r="C24" s="138"/>
      <c r="D24" s="139"/>
      <c r="E24" s="140"/>
      <c r="F24" s="141"/>
      <c r="G24" s="140"/>
      <c r="H24" s="140"/>
      <c r="I24" s="140"/>
      <c r="J24" s="142"/>
    </row>
    <row r="25" spans="1:10" ht="15.75" x14ac:dyDescent="0.5">
      <c r="A25" s="143"/>
      <c r="B25" s="145" t="s">
        <v>780</v>
      </c>
      <c r="C25" s="145" t="s">
        <v>781</v>
      </c>
      <c r="D25" s="145" t="s">
        <v>782</v>
      </c>
      <c r="E25" s="146">
        <v>200</v>
      </c>
      <c r="F25" s="158">
        <v>1</v>
      </c>
      <c r="G25" s="146">
        <f t="shared" ref="G25:G30" si="2">E25*F25</f>
        <v>200</v>
      </c>
      <c r="H25" s="146">
        <f>G25*1.13</f>
        <v>225.99999999999997</v>
      </c>
      <c r="I25" s="146"/>
      <c r="J25" s="148">
        <v>180.8</v>
      </c>
    </row>
    <row r="26" spans="1:10" ht="15.75" x14ac:dyDescent="0.5">
      <c r="A26" s="143"/>
      <c r="B26" s="138" t="s">
        <v>783</v>
      </c>
      <c r="C26" s="149" t="s">
        <v>784</v>
      </c>
      <c r="D26" s="139" t="s">
        <v>785</v>
      </c>
      <c r="E26" s="140">
        <v>0.62</v>
      </c>
      <c r="F26" s="141">
        <v>200</v>
      </c>
      <c r="G26" s="140">
        <f>E26*F26</f>
        <v>124</v>
      </c>
      <c r="H26" s="140">
        <f>G26*1.13</f>
        <v>140.11999999999998</v>
      </c>
      <c r="I26" s="140"/>
      <c r="J26" s="142">
        <v>124.11</v>
      </c>
    </row>
    <row r="27" spans="1:10" ht="15.75" x14ac:dyDescent="0.5">
      <c r="A27" s="143"/>
      <c r="B27" s="1371" t="s">
        <v>786</v>
      </c>
      <c r="C27" s="1372" t="s">
        <v>328</v>
      </c>
      <c r="D27" s="1373" t="s">
        <v>787</v>
      </c>
      <c r="E27" s="1374">
        <f>2.5*2</f>
        <v>5</v>
      </c>
      <c r="F27" s="1375">
        <f>3*13</f>
        <v>39</v>
      </c>
      <c r="G27" s="1374">
        <f t="shared" si="2"/>
        <v>195</v>
      </c>
      <c r="H27" s="1374">
        <f>G27*1.13</f>
        <v>220.34999999999997</v>
      </c>
      <c r="I27" s="1374"/>
      <c r="J27" s="1376">
        <v>136.62</v>
      </c>
    </row>
    <row r="28" spans="1:10" ht="15.75" x14ac:dyDescent="0.5">
      <c r="A28" s="143"/>
      <c r="B28" s="138" t="s">
        <v>788</v>
      </c>
      <c r="C28" s="149" t="s">
        <v>789</v>
      </c>
      <c r="D28" s="139" t="s">
        <v>790</v>
      </c>
      <c r="E28" s="140">
        <v>1.26</v>
      </c>
      <c r="F28" s="141">
        <v>100</v>
      </c>
      <c r="G28" s="140">
        <f t="shared" si="2"/>
        <v>126</v>
      </c>
      <c r="H28" s="140">
        <f>G28*1.13</f>
        <v>142.38</v>
      </c>
      <c r="I28" s="140"/>
      <c r="J28" s="142">
        <v>152.11000000000001</v>
      </c>
    </row>
    <row r="29" spans="1:10" ht="15.75" x14ac:dyDescent="0.5">
      <c r="A29" s="143"/>
      <c r="B29" s="144" t="s">
        <v>791</v>
      </c>
      <c r="C29" s="151" t="s">
        <v>328</v>
      </c>
      <c r="D29" s="144" t="s">
        <v>792</v>
      </c>
      <c r="E29" s="146">
        <v>2.5</v>
      </c>
      <c r="F29" s="147">
        <v>100</v>
      </c>
      <c r="G29" s="146">
        <f t="shared" si="2"/>
        <v>250</v>
      </c>
      <c r="H29" s="146">
        <f>G29*1.13</f>
        <v>282.5</v>
      </c>
      <c r="I29" s="146"/>
      <c r="J29" s="148">
        <v>247.02</v>
      </c>
    </row>
    <row r="30" spans="1:10" ht="15.75" x14ac:dyDescent="0.5">
      <c r="A30" s="143"/>
      <c r="B30" s="138" t="s">
        <v>793</v>
      </c>
      <c r="C30" s="149" t="s">
        <v>765</v>
      </c>
      <c r="D30" s="138" t="s">
        <v>794</v>
      </c>
      <c r="E30" s="140">
        <v>10</v>
      </c>
      <c r="F30" s="141">
        <v>3</v>
      </c>
      <c r="G30" s="140">
        <f t="shared" si="2"/>
        <v>30</v>
      </c>
      <c r="H30" s="140">
        <f>G30 * 1.13</f>
        <v>33.9</v>
      </c>
      <c r="I30" s="140">
        <f>H30</f>
        <v>33.9</v>
      </c>
      <c r="J30" s="142"/>
    </row>
    <row r="31" spans="1:10" ht="15.75" x14ac:dyDescent="0.5">
      <c r="A31" s="143"/>
      <c r="B31" s="144" t="s">
        <v>795</v>
      </c>
      <c r="C31" s="151" t="s">
        <v>796</v>
      </c>
      <c r="D31" s="144" t="s">
        <v>797</v>
      </c>
      <c r="E31" s="146">
        <v>123.17</v>
      </c>
      <c r="F31" s="147">
        <v>1</v>
      </c>
      <c r="G31" s="146">
        <f>E31*F31</f>
        <v>123.17</v>
      </c>
      <c r="H31" s="146">
        <f>G31*1.13</f>
        <v>139.18209999999999</v>
      </c>
      <c r="I31" s="146"/>
      <c r="J31" s="148">
        <v>124.29</v>
      </c>
    </row>
    <row r="32" spans="1:10" ht="15.75" x14ac:dyDescent="0.5">
      <c r="A32" s="143"/>
      <c r="B32" s="138" t="s">
        <v>798</v>
      </c>
      <c r="C32" s="138" t="s">
        <v>776</v>
      </c>
      <c r="D32" s="139" t="s">
        <v>799</v>
      </c>
      <c r="E32" s="140">
        <v>25</v>
      </c>
      <c r="F32" s="141">
        <v>3</v>
      </c>
      <c r="G32" s="140">
        <f>E32*F32</f>
        <v>75</v>
      </c>
      <c r="H32" s="140">
        <f>G32*1.13</f>
        <v>84.749999999999986</v>
      </c>
      <c r="I32" s="140"/>
      <c r="J32" s="142">
        <f>H32</f>
        <v>84.749999999999986</v>
      </c>
    </row>
    <row r="33" spans="1:10" ht="15.75" x14ac:dyDescent="0.5">
      <c r="A33" s="143"/>
      <c r="B33" s="138"/>
      <c r="C33" s="149"/>
      <c r="D33" s="1419"/>
      <c r="E33" s="140"/>
      <c r="F33" s="141"/>
      <c r="G33" s="140"/>
      <c r="H33" s="140"/>
      <c r="I33" s="140"/>
      <c r="J33" s="142"/>
    </row>
    <row r="34" spans="1:10" ht="15.75" x14ac:dyDescent="0.5">
      <c r="A34" s="143"/>
      <c r="B34" s="153" t="s">
        <v>800</v>
      </c>
      <c r="C34" s="154"/>
      <c r="D34" s="108"/>
      <c r="E34" s="155"/>
      <c r="F34" s="156"/>
      <c r="G34" s="155"/>
      <c r="H34" s="155">
        <f>SUM(H25:H33)</f>
        <v>1269.1821</v>
      </c>
      <c r="I34" s="155">
        <f>SUM(I25:I32)</f>
        <v>33.9</v>
      </c>
      <c r="J34" s="157">
        <f>SUM(J25:J32)</f>
        <v>1049.7</v>
      </c>
    </row>
    <row r="35" spans="1:10" ht="15.75" x14ac:dyDescent="0.5">
      <c r="A35" s="143"/>
      <c r="B35" s="137"/>
      <c r="C35" s="159"/>
      <c r="D35" s="128"/>
      <c r="E35" s="129"/>
      <c r="F35" s="130"/>
      <c r="G35" s="129"/>
      <c r="H35" s="129"/>
      <c r="I35" s="129"/>
      <c r="J35" s="131"/>
    </row>
    <row r="36" spans="1:10" ht="15.75" x14ac:dyDescent="0.5">
      <c r="A36" s="143"/>
      <c r="B36" s="137"/>
      <c r="C36" s="159"/>
      <c r="D36" s="128"/>
      <c r="E36" s="129"/>
      <c r="F36" s="130"/>
      <c r="G36" s="129"/>
      <c r="H36" s="129"/>
      <c r="I36" s="129"/>
      <c r="J36" s="131"/>
    </row>
    <row r="37" spans="1:10" ht="15.75" x14ac:dyDescent="0.5">
      <c r="A37" s="136" t="s">
        <v>801</v>
      </c>
      <c r="B37" s="137"/>
      <c r="C37" s="159"/>
      <c r="D37" s="128"/>
      <c r="E37" s="129"/>
      <c r="F37" s="130"/>
      <c r="G37" s="129"/>
      <c r="H37" s="129"/>
      <c r="I37" s="129"/>
      <c r="J37" s="131"/>
    </row>
    <row r="38" spans="1:10" ht="15.75" x14ac:dyDescent="0.5">
      <c r="A38" s="136"/>
      <c r="B38" s="1366" t="s">
        <v>802</v>
      </c>
      <c r="C38" s="1367" t="s">
        <v>803</v>
      </c>
      <c r="D38" s="1368" t="s">
        <v>804</v>
      </c>
      <c r="E38" s="1369">
        <v>15</v>
      </c>
      <c r="F38" s="1370">
        <v>100</v>
      </c>
      <c r="G38" s="1369">
        <f>E38*F38</f>
        <v>1500</v>
      </c>
      <c r="H38" s="1369">
        <f>G38*1.13</f>
        <v>1694.9999999999998</v>
      </c>
      <c r="I38" s="1369"/>
      <c r="J38" s="1365">
        <v>82.72</v>
      </c>
    </row>
    <row r="39" spans="1:10" ht="15.75" x14ac:dyDescent="0.5">
      <c r="A39" s="136"/>
      <c r="B39" s="160" t="s">
        <v>805</v>
      </c>
      <c r="C39" s="161" t="s">
        <v>806</v>
      </c>
      <c r="D39" s="162" t="s">
        <v>807</v>
      </c>
      <c r="E39" s="163">
        <v>40</v>
      </c>
      <c r="F39" s="164">
        <f>7</f>
        <v>7</v>
      </c>
      <c r="G39" s="163">
        <f>F39*E39</f>
        <v>280</v>
      </c>
      <c r="H39" s="163">
        <f>G39*1.13</f>
        <v>316.39999999999998</v>
      </c>
      <c r="I39" s="163"/>
      <c r="J39" s="165">
        <f>H39</f>
        <v>316.39999999999998</v>
      </c>
    </row>
    <row r="40" spans="1:10" ht="15.75" x14ac:dyDescent="0.5">
      <c r="A40" s="136"/>
      <c r="B40" s="138"/>
      <c r="C40" s="149"/>
      <c r="D40" s="139"/>
      <c r="E40" s="140"/>
      <c r="F40" s="141"/>
      <c r="G40" s="140"/>
      <c r="H40" s="140"/>
      <c r="I40" s="140"/>
      <c r="J40" s="142"/>
    </row>
    <row r="41" spans="1:10" ht="15.75" x14ac:dyDescent="0.5">
      <c r="A41" s="136"/>
      <c r="B41" s="153" t="s">
        <v>808</v>
      </c>
      <c r="C41" s="154"/>
      <c r="D41" s="108"/>
      <c r="E41" s="155"/>
      <c r="F41" s="156"/>
      <c r="G41" s="155"/>
      <c r="H41" s="155">
        <f>SUM(H38:H39)</f>
        <v>2011.3999999999996</v>
      </c>
      <c r="I41" s="155">
        <f>I38</f>
        <v>0</v>
      </c>
      <c r="J41" s="157">
        <f>J38</f>
        <v>82.72</v>
      </c>
    </row>
    <row r="42" spans="1:10" ht="15.75" x14ac:dyDescent="0.5">
      <c r="A42" s="136"/>
      <c r="B42" s="138"/>
      <c r="C42" s="149"/>
      <c r="D42" s="139"/>
      <c r="E42" s="140"/>
      <c r="F42" s="141"/>
      <c r="G42" s="140"/>
      <c r="H42" s="140"/>
      <c r="I42" s="140"/>
      <c r="J42" s="142"/>
    </row>
    <row r="43" spans="1:10" ht="15.75" x14ac:dyDescent="0.5">
      <c r="A43" s="136"/>
      <c r="B43" s="138"/>
      <c r="C43" s="149"/>
      <c r="D43" s="139"/>
      <c r="E43" s="140"/>
      <c r="F43" s="141"/>
      <c r="G43" s="140"/>
      <c r="H43" s="140"/>
      <c r="I43" s="140"/>
      <c r="J43" s="142"/>
    </row>
    <row r="44" spans="1:10" ht="16.899999999999999" x14ac:dyDescent="0.5">
      <c r="A44" s="143"/>
      <c r="C44" s="166" t="s">
        <v>84</v>
      </c>
      <c r="D44" s="167"/>
      <c r="E44" s="168"/>
      <c r="F44" s="169"/>
      <c r="G44" s="168"/>
      <c r="H44" s="168">
        <f>H34+H21+H41</f>
        <v>4569.0758999999998</v>
      </c>
      <c r="I44" s="168">
        <f>I34+I21+I41</f>
        <v>54.78</v>
      </c>
      <c r="J44" s="170">
        <f>SUM(J41,J34,J21)</f>
        <v>1935.77</v>
      </c>
    </row>
    <row r="45" spans="1:10" ht="15.75" x14ac:dyDescent="0.5">
      <c r="A45" s="143"/>
      <c r="B45" s="152"/>
      <c r="C45" s="149"/>
      <c r="D45" s="139"/>
      <c r="E45" s="140"/>
      <c r="F45" s="141"/>
      <c r="G45" s="140"/>
      <c r="H45" s="140"/>
      <c r="I45" s="140"/>
      <c r="J45" s="142"/>
    </row>
    <row r="46" spans="1:10" ht="18" x14ac:dyDescent="0.55000000000000004">
      <c r="A46" s="171" t="s">
        <v>85</v>
      </c>
      <c r="B46" s="172"/>
      <c r="C46" s="172"/>
      <c r="D46" s="173"/>
      <c r="E46" s="174"/>
      <c r="F46" s="175"/>
      <c r="G46" s="174"/>
      <c r="H46" s="174"/>
      <c r="I46" s="174"/>
      <c r="J46" s="176"/>
    </row>
    <row r="47" spans="1:10" ht="18" x14ac:dyDescent="0.55000000000000004">
      <c r="A47" s="177"/>
      <c r="B47" s="178" t="s">
        <v>86</v>
      </c>
      <c r="C47" s="179"/>
      <c r="D47" s="180"/>
      <c r="E47" s="181"/>
      <c r="F47" s="181"/>
      <c r="G47" s="181"/>
      <c r="H47" s="181">
        <v>0</v>
      </c>
      <c r="I47" s="181">
        <v>0</v>
      </c>
      <c r="J47" s="182">
        <v>0</v>
      </c>
    </row>
    <row r="48" spans="1:10" ht="18" x14ac:dyDescent="0.55000000000000004">
      <c r="A48" s="183"/>
      <c r="B48" s="184" t="s">
        <v>87</v>
      </c>
      <c r="C48" s="185"/>
      <c r="D48" s="186"/>
      <c r="E48" s="187"/>
      <c r="F48" s="187"/>
      <c r="G48" s="187"/>
      <c r="H48" s="187">
        <f>H44</f>
        <v>4569.0758999999998</v>
      </c>
      <c r="I48" s="187">
        <f>I44</f>
        <v>54.78</v>
      </c>
      <c r="J48" s="188">
        <f>J44</f>
        <v>1935.77</v>
      </c>
    </row>
    <row r="49" spans="1:10" ht="18" x14ac:dyDescent="0.55000000000000004">
      <c r="A49" s="189"/>
      <c r="B49" s="190" t="s">
        <v>88</v>
      </c>
      <c r="C49" s="191"/>
      <c r="D49" s="192"/>
      <c r="E49" s="193"/>
      <c r="F49" s="193"/>
      <c r="G49" s="193"/>
      <c r="H49" s="193">
        <f>H47-H48</f>
        <v>-4569.0758999999998</v>
      </c>
      <c r="I49" s="193">
        <f>I47-I48</f>
        <v>-54.78</v>
      </c>
      <c r="J49" s="194">
        <f>J47-J48</f>
        <v>-1935.77</v>
      </c>
    </row>
  </sheetData>
  <mergeCells count="5">
    <mergeCell ref="D1:J4"/>
    <mergeCell ref="A5:C5"/>
    <mergeCell ref="D5:E5"/>
    <mergeCell ref="A9:C9"/>
    <mergeCell ref="A1:C4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D5D82-56FF-4532-A3C8-D79796CB8BE3}">
  <dimension ref="A1:AD55"/>
  <sheetViews>
    <sheetView topLeftCell="D32" zoomScale="88" workbookViewId="0">
      <selection activeCell="H46" sqref="H46"/>
    </sheetView>
  </sheetViews>
  <sheetFormatPr defaultColWidth="8.86328125" defaultRowHeight="14.25" x14ac:dyDescent="0.45"/>
  <cols>
    <col min="1" max="1" width="18" bestFit="1" customWidth="1"/>
    <col min="2" max="2" width="32.3984375" bestFit="1" customWidth="1"/>
    <col min="3" max="3" width="38.73046875" bestFit="1" customWidth="1"/>
    <col min="4" max="4" width="147.265625" bestFit="1" customWidth="1"/>
    <col min="5" max="5" width="12" bestFit="1" customWidth="1"/>
    <col min="6" max="6" width="10.86328125" bestFit="1" customWidth="1"/>
    <col min="7" max="7" width="11.1328125" bestFit="1" customWidth="1"/>
    <col min="8" max="8" width="16.3984375" bestFit="1" customWidth="1"/>
    <col min="9" max="9" width="12.73046875" bestFit="1" customWidth="1"/>
    <col min="10" max="10" width="13.86328125" customWidth="1"/>
    <col min="22" max="22" width="24.73046875" bestFit="1" customWidth="1"/>
    <col min="27" max="27" width="14.86328125" bestFit="1" customWidth="1"/>
    <col min="28" max="28" width="10.73046875" bestFit="1" customWidth="1"/>
    <col min="29" max="29" width="11.86328125" bestFit="1" customWidth="1"/>
    <col min="30" max="30" width="21.3984375" bestFit="1" customWidth="1"/>
  </cols>
  <sheetData>
    <row r="1" spans="1:30" ht="25.5" x14ac:dyDescent="0.45">
      <c r="A1" s="1510" t="s">
        <v>809</v>
      </c>
      <c r="B1" s="1510"/>
      <c r="C1" s="1510"/>
      <c r="D1" s="1510"/>
      <c r="E1" s="1510"/>
      <c r="F1" s="1510"/>
      <c r="G1" s="1510"/>
      <c r="H1" s="1510"/>
      <c r="I1" s="1510"/>
      <c r="J1" s="1510"/>
    </row>
    <row r="2" spans="1:30" ht="18.75" x14ac:dyDescent="0.7">
      <c r="A2" s="547"/>
      <c r="B2" s="548" t="s">
        <v>90</v>
      </c>
      <c r="C2" s="549" t="s">
        <v>91</v>
      </c>
      <c r="D2" s="550" t="s">
        <v>92</v>
      </c>
      <c r="E2" s="550" t="s">
        <v>93</v>
      </c>
      <c r="F2" s="551" t="s">
        <v>94</v>
      </c>
      <c r="G2" s="552" t="s">
        <v>95</v>
      </c>
      <c r="H2" s="552" t="s">
        <v>96</v>
      </c>
      <c r="I2" s="552" t="s">
        <v>217</v>
      </c>
      <c r="J2" s="553" t="s">
        <v>218</v>
      </c>
    </row>
    <row r="3" spans="1:30" ht="18.75" x14ac:dyDescent="0.7">
      <c r="A3" s="554"/>
      <c r="B3" s="555"/>
      <c r="C3" s="555"/>
      <c r="D3" s="556"/>
      <c r="E3" s="556"/>
      <c r="F3" s="557"/>
      <c r="G3" s="556"/>
      <c r="H3" s="556"/>
      <c r="I3" s="556"/>
      <c r="J3" s="558"/>
    </row>
    <row r="4" spans="1:30" ht="18.75" x14ac:dyDescent="0.7">
      <c r="A4" s="1511" t="s">
        <v>7</v>
      </c>
      <c r="B4" s="1512"/>
      <c r="C4" s="1512"/>
      <c r="D4" s="559"/>
      <c r="E4" s="559"/>
      <c r="F4" s="560"/>
      <c r="G4" s="559"/>
      <c r="H4" s="559"/>
      <c r="I4" s="559"/>
      <c r="J4" s="561"/>
    </row>
    <row r="5" spans="1:30" ht="18.75" x14ac:dyDescent="0.7">
      <c r="A5" s="562"/>
      <c r="B5" s="563"/>
      <c r="C5" s="563"/>
      <c r="D5" s="556"/>
      <c r="E5" s="556"/>
      <c r="F5" s="557"/>
      <c r="G5" s="556"/>
      <c r="H5" s="556"/>
      <c r="I5" s="556"/>
      <c r="J5" s="558"/>
    </row>
    <row r="6" spans="1:30" ht="19.149999999999999" x14ac:dyDescent="0.65">
      <c r="A6" s="564"/>
      <c r="B6" s="565"/>
      <c r="C6" s="565" t="s">
        <v>46</v>
      </c>
      <c r="D6" s="566"/>
      <c r="E6" s="566"/>
      <c r="F6" s="567"/>
      <c r="G6" s="566"/>
      <c r="H6" s="566">
        <v>0</v>
      </c>
      <c r="I6" s="566">
        <v>0</v>
      </c>
      <c r="J6" s="568">
        <v>0</v>
      </c>
    </row>
    <row r="7" spans="1:30" ht="19.5" x14ac:dyDescent="0.7">
      <c r="A7" s="564"/>
      <c r="B7" s="565"/>
      <c r="C7" s="565"/>
      <c r="D7" s="556"/>
      <c r="E7" s="556"/>
      <c r="F7" s="557"/>
      <c r="G7" s="556"/>
      <c r="H7" s="556"/>
      <c r="I7" s="556"/>
      <c r="J7" s="558"/>
    </row>
    <row r="8" spans="1:30" ht="18.75" x14ac:dyDescent="0.7">
      <c r="A8" s="1511" t="s">
        <v>47</v>
      </c>
      <c r="B8" s="1512"/>
      <c r="C8" s="1512"/>
      <c r="D8" s="559"/>
      <c r="E8" s="559"/>
      <c r="F8" s="560"/>
      <c r="G8" s="559"/>
      <c r="H8" s="559"/>
      <c r="I8" s="559"/>
      <c r="J8" s="561"/>
      <c r="W8" s="1513" t="s">
        <v>810</v>
      </c>
      <c r="X8" s="1513"/>
      <c r="Y8" s="1513"/>
      <c r="Z8" s="1513"/>
    </row>
    <row r="9" spans="1:30" ht="18.75" x14ac:dyDescent="0.7">
      <c r="A9" s="562" t="s">
        <v>811</v>
      </c>
      <c r="B9" s="569"/>
      <c r="C9" s="570"/>
      <c r="D9" s="571"/>
      <c r="E9" s="571"/>
      <c r="F9" s="572"/>
      <c r="G9" s="571"/>
      <c r="H9" s="571"/>
      <c r="I9" s="571"/>
      <c r="J9" s="573"/>
      <c r="V9" t="s">
        <v>812</v>
      </c>
      <c r="W9" t="s">
        <v>813</v>
      </c>
      <c r="X9" t="s">
        <v>814</v>
      </c>
      <c r="Y9" t="s">
        <v>815</v>
      </c>
      <c r="Z9" t="s">
        <v>816</v>
      </c>
      <c r="AA9" t="s">
        <v>817</v>
      </c>
      <c r="AB9" t="s">
        <v>818</v>
      </c>
      <c r="AC9" t="s">
        <v>819</v>
      </c>
      <c r="AD9" t="s">
        <v>820</v>
      </c>
    </row>
    <row r="10" spans="1:30" ht="18.75" x14ac:dyDescent="0.7">
      <c r="A10" s="574"/>
      <c r="B10" s="575" t="s">
        <v>821</v>
      </c>
      <c r="C10" s="576" t="s">
        <v>822</v>
      </c>
      <c r="D10" s="577" t="s">
        <v>823</v>
      </c>
      <c r="E10" s="577">
        <v>50</v>
      </c>
      <c r="F10" s="578">
        <v>25</v>
      </c>
      <c r="G10" s="577">
        <v>900</v>
      </c>
      <c r="H10" s="577">
        <f t="shared" ref="H10:H22" si="0">G10*1.13</f>
        <v>1016.9999999999999</v>
      </c>
      <c r="I10" s="577"/>
      <c r="J10" s="579">
        <v>1127.29</v>
      </c>
      <c r="K10" t="s">
        <v>824</v>
      </c>
      <c r="U10" t="s">
        <v>825</v>
      </c>
      <c r="V10">
        <v>4</v>
      </c>
      <c r="W10">
        <v>0</v>
      </c>
      <c r="X10">
        <v>7</v>
      </c>
      <c r="Y10">
        <v>6</v>
      </c>
      <c r="Z10">
        <v>7</v>
      </c>
      <c r="AA10" s="289">
        <v>22.59</v>
      </c>
      <c r="AB10" s="289">
        <f>AA10*(Z10+Y10+X10+V10)</f>
        <v>542.16</v>
      </c>
      <c r="AC10" s="289">
        <v>1.31</v>
      </c>
      <c r="AD10" s="289">
        <f>AB10*AC10</f>
        <v>710.2296</v>
      </c>
    </row>
    <row r="11" spans="1:30" ht="18.75" x14ac:dyDescent="0.7">
      <c r="A11" s="574"/>
      <c r="B11" s="575" t="s">
        <v>826</v>
      </c>
      <c r="C11" s="576" t="s">
        <v>328</v>
      </c>
      <c r="D11" s="577" t="s">
        <v>827</v>
      </c>
      <c r="E11" s="577">
        <v>3</v>
      </c>
      <c r="F11" s="578" t="s">
        <v>828</v>
      </c>
      <c r="G11" s="577">
        <f>E11*10*25</f>
        <v>750</v>
      </c>
      <c r="H11" s="577">
        <f t="shared" si="0"/>
        <v>847.49999999999989</v>
      </c>
      <c r="I11" s="577"/>
      <c r="J11" s="579">
        <f>90.02+97.46+75.34+68.59+27+80</f>
        <v>438.40999999999997</v>
      </c>
      <c r="K11" t="s">
        <v>829</v>
      </c>
      <c r="W11">
        <v>8</v>
      </c>
      <c r="AA11" s="289">
        <v>33.89</v>
      </c>
      <c r="AB11" s="289">
        <f>AA11*W11</f>
        <v>271.12</v>
      </c>
      <c r="AC11" s="289">
        <v>1.31</v>
      </c>
      <c r="AD11" s="289">
        <f>AC11*AB11</f>
        <v>355.16720000000004</v>
      </c>
    </row>
    <row r="12" spans="1:30" ht="18.75" x14ac:dyDescent="0.7">
      <c r="A12" s="562"/>
      <c r="B12" s="575" t="s">
        <v>830</v>
      </c>
      <c r="C12" s="576" t="s">
        <v>831</v>
      </c>
      <c r="D12" s="577" t="s">
        <v>832</v>
      </c>
      <c r="E12" s="577">
        <v>0.89</v>
      </c>
      <c r="F12" s="578" t="s">
        <v>833</v>
      </c>
      <c r="G12" s="577">
        <f>250*E12</f>
        <v>222.5</v>
      </c>
      <c r="H12" s="577">
        <f t="shared" si="0"/>
        <v>251.42499999999998</v>
      </c>
      <c r="I12" s="577"/>
      <c r="J12" s="579">
        <v>0</v>
      </c>
      <c r="AD12" s="289">
        <f>AD11+AD10</f>
        <v>1065.3968</v>
      </c>
    </row>
    <row r="13" spans="1:30" ht="18.75" x14ac:dyDescent="0.7">
      <c r="A13" s="574"/>
      <c r="B13" s="575" t="s">
        <v>834</v>
      </c>
      <c r="C13" s="576" t="s">
        <v>835</v>
      </c>
      <c r="D13" s="577" t="s">
        <v>836</v>
      </c>
      <c r="E13" s="577">
        <v>100</v>
      </c>
      <c r="F13" s="578">
        <v>1</v>
      </c>
      <c r="G13" s="577">
        <v>100</v>
      </c>
      <c r="H13" s="577">
        <f t="shared" si="0"/>
        <v>112.99999999999999</v>
      </c>
      <c r="I13" s="577"/>
      <c r="J13" s="579">
        <v>0</v>
      </c>
    </row>
    <row r="14" spans="1:30" ht="18.75" x14ac:dyDescent="0.7">
      <c r="A14" s="580"/>
      <c r="B14" s="575" t="s">
        <v>837</v>
      </c>
      <c r="C14" s="576" t="s">
        <v>838</v>
      </c>
      <c r="D14" s="577" t="s">
        <v>839</v>
      </c>
      <c r="E14" s="577">
        <v>200</v>
      </c>
      <c r="F14" s="578">
        <v>1</v>
      </c>
      <c r="G14" s="577">
        <v>200</v>
      </c>
      <c r="H14" s="577">
        <f t="shared" si="0"/>
        <v>225.99999999999997</v>
      </c>
      <c r="I14" s="577"/>
      <c r="J14" s="579">
        <v>0</v>
      </c>
    </row>
    <row r="15" spans="1:30" ht="18.75" x14ac:dyDescent="0.7">
      <c r="A15" s="581"/>
      <c r="B15" s="575" t="s">
        <v>840</v>
      </c>
      <c r="C15" s="576" t="s">
        <v>841</v>
      </c>
      <c r="D15" s="577" t="s">
        <v>842</v>
      </c>
      <c r="E15" s="577">
        <v>45</v>
      </c>
      <c r="F15" s="578">
        <v>5</v>
      </c>
      <c r="G15" s="577">
        <v>225</v>
      </c>
      <c r="H15" s="577">
        <f t="shared" si="0"/>
        <v>254.24999999999997</v>
      </c>
      <c r="I15" s="577"/>
      <c r="J15" s="579">
        <v>266.39999999999998</v>
      </c>
    </row>
    <row r="16" spans="1:30" ht="18.75" x14ac:dyDescent="0.7">
      <c r="A16" s="581"/>
      <c r="B16" s="575" t="s">
        <v>843</v>
      </c>
      <c r="C16" s="576" t="s">
        <v>844</v>
      </c>
      <c r="D16" s="577" t="s">
        <v>845</v>
      </c>
      <c r="E16" s="577">
        <v>26</v>
      </c>
      <c r="F16" s="578">
        <v>9</v>
      </c>
      <c r="G16" s="577">
        <f t="shared" ref="G16:G22" si="1">E16*F16</f>
        <v>234</v>
      </c>
      <c r="H16" s="577">
        <f t="shared" si="0"/>
        <v>264.41999999999996</v>
      </c>
      <c r="I16" s="577"/>
      <c r="J16" s="579">
        <f>AD12</f>
        <v>1065.3968</v>
      </c>
      <c r="K16" t="s">
        <v>846</v>
      </c>
    </row>
    <row r="17" spans="1:11" ht="18.75" x14ac:dyDescent="0.7">
      <c r="A17" s="581"/>
      <c r="B17" s="575" t="s">
        <v>847</v>
      </c>
      <c r="C17" s="576" t="s">
        <v>848</v>
      </c>
      <c r="D17" s="577" t="s">
        <v>849</v>
      </c>
      <c r="E17" s="577">
        <v>8</v>
      </c>
      <c r="F17" s="578">
        <v>25</v>
      </c>
      <c r="G17" s="577">
        <f t="shared" si="1"/>
        <v>200</v>
      </c>
      <c r="H17" s="577">
        <f t="shared" si="0"/>
        <v>225.99999999999997</v>
      </c>
      <c r="I17" s="577">
        <v>175</v>
      </c>
      <c r="J17" s="579">
        <v>175</v>
      </c>
      <c r="K17" t="s">
        <v>850</v>
      </c>
    </row>
    <row r="18" spans="1:11" ht="18.75" x14ac:dyDescent="0.7">
      <c r="A18" s="581"/>
      <c r="B18" s="575" t="s">
        <v>851</v>
      </c>
      <c r="C18" s="576" t="s">
        <v>852</v>
      </c>
      <c r="D18" s="577" t="s">
        <v>853</v>
      </c>
      <c r="E18" s="577">
        <v>1.3</v>
      </c>
      <c r="F18" s="578">
        <v>25</v>
      </c>
      <c r="G18" s="577">
        <f t="shared" si="1"/>
        <v>32.5</v>
      </c>
      <c r="H18" s="577">
        <f t="shared" si="0"/>
        <v>36.724999999999994</v>
      </c>
      <c r="I18" s="577"/>
      <c r="J18" s="579">
        <f>1.13*(25.99+20.99)</f>
        <v>53.087399999999988</v>
      </c>
      <c r="K18" t="s">
        <v>854</v>
      </c>
    </row>
    <row r="19" spans="1:11" ht="18.75" x14ac:dyDescent="0.7">
      <c r="A19" s="581"/>
      <c r="B19" s="575" t="s">
        <v>855</v>
      </c>
      <c r="C19" s="576" t="s">
        <v>856</v>
      </c>
      <c r="D19" s="577" t="s">
        <v>857</v>
      </c>
      <c r="E19" s="577">
        <v>20</v>
      </c>
      <c r="F19" s="578">
        <v>7</v>
      </c>
      <c r="G19" s="577">
        <f t="shared" si="1"/>
        <v>140</v>
      </c>
      <c r="H19" s="577">
        <f t="shared" si="0"/>
        <v>158.19999999999999</v>
      </c>
      <c r="I19" s="577"/>
      <c r="J19" s="579">
        <v>0</v>
      </c>
      <c r="K19" t="s">
        <v>858</v>
      </c>
    </row>
    <row r="20" spans="1:11" ht="18.75" x14ac:dyDescent="0.7">
      <c r="A20" s="581"/>
      <c r="B20" s="575" t="s">
        <v>859</v>
      </c>
      <c r="C20" s="576" t="s">
        <v>860</v>
      </c>
      <c r="D20" s="577" t="s">
        <v>861</v>
      </c>
      <c r="E20" s="577">
        <v>15</v>
      </c>
      <c r="F20" s="578">
        <v>9</v>
      </c>
      <c r="G20" s="577">
        <f t="shared" si="1"/>
        <v>135</v>
      </c>
      <c r="H20" s="577">
        <f t="shared" si="0"/>
        <v>152.54999999999998</v>
      </c>
      <c r="I20" s="577"/>
      <c r="J20" s="579">
        <v>0</v>
      </c>
      <c r="K20" t="s">
        <v>862</v>
      </c>
    </row>
    <row r="21" spans="1:11" ht="18.75" x14ac:dyDescent="0.7">
      <c r="A21" s="581"/>
      <c r="B21" s="575" t="s">
        <v>863</v>
      </c>
      <c r="C21" s="576" t="s">
        <v>864</v>
      </c>
      <c r="D21" s="577" t="s">
        <v>865</v>
      </c>
      <c r="E21" s="577">
        <v>120</v>
      </c>
      <c r="F21" s="578">
        <v>1</v>
      </c>
      <c r="G21" s="577">
        <f t="shared" si="1"/>
        <v>120</v>
      </c>
      <c r="H21" s="577">
        <f t="shared" si="0"/>
        <v>135.6</v>
      </c>
      <c r="I21" s="577"/>
      <c r="J21" s="579">
        <v>0</v>
      </c>
      <c r="K21" t="s">
        <v>866</v>
      </c>
    </row>
    <row r="22" spans="1:11" ht="18.75" x14ac:dyDescent="0.7">
      <c r="A22" s="581"/>
      <c r="B22" s="575" t="s">
        <v>867</v>
      </c>
      <c r="C22" s="576" t="s">
        <v>868</v>
      </c>
      <c r="D22" s="577" t="s">
        <v>869</v>
      </c>
      <c r="E22" s="577">
        <v>5</v>
      </c>
      <c r="F22" s="578">
        <v>9</v>
      </c>
      <c r="G22" s="577">
        <f t="shared" si="1"/>
        <v>45</v>
      </c>
      <c r="H22" s="577">
        <f t="shared" si="0"/>
        <v>50.849999999999994</v>
      </c>
      <c r="I22" s="577"/>
      <c r="J22" s="579">
        <v>49.99</v>
      </c>
      <c r="K22" t="s">
        <v>870</v>
      </c>
    </row>
    <row r="23" spans="1:11" ht="18.75" x14ac:dyDescent="0.7">
      <c r="A23" s="581"/>
      <c r="B23" s="582" t="s">
        <v>871</v>
      </c>
      <c r="C23" s="583"/>
      <c r="D23" s="584"/>
      <c r="E23" s="584"/>
      <c r="F23" s="585"/>
      <c r="G23" s="584"/>
      <c r="H23" s="584">
        <f>SUM(H10:H22)</f>
        <v>3733.5199999999995</v>
      </c>
      <c r="I23" s="584">
        <v>0</v>
      </c>
      <c r="J23" s="586">
        <f>SUM(J10:J22)</f>
        <v>3175.5741999999996</v>
      </c>
    </row>
    <row r="24" spans="1:11" ht="18.75" x14ac:dyDescent="0.7">
      <c r="A24" s="581"/>
      <c r="B24" s="587" t="s">
        <v>872</v>
      </c>
      <c r="C24" s="587"/>
      <c r="D24" s="588"/>
      <c r="E24" s="588"/>
      <c r="F24" s="589"/>
      <c r="G24" s="588"/>
      <c r="H24" s="588"/>
      <c r="I24" s="588"/>
      <c r="J24" s="590"/>
    </row>
    <row r="25" spans="1:11" ht="18.75" x14ac:dyDescent="0.7">
      <c r="A25" s="581"/>
      <c r="B25" s="575" t="s">
        <v>873</v>
      </c>
      <c r="C25" s="575" t="s">
        <v>874</v>
      </c>
      <c r="D25" s="577" t="s">
        <v>875</v>
      </c>
      <c r="E25" s="577">
        <v>450</v>
      </c>
      <c r="F25" s="589">
        <v>1</v>
      </c>
      <c r="G25" s="577">
        <f t="shared" ref="G25:G33" si="2">E25*F25</f>
        <v>450</v>
      </c>
      <c r="H25" s="577">
        <f t="shared" ref="H25:H40" si="3">G25*1.13</f>
        <v>508.49999999999994</v>
      </c>
      <c r="I25" s="588">
        <f>169.99*1.13</f>
        <v>192.08869999999999</v>
      </c>
      <c r="J25" s="590">
        <f>I25</f>
        <v>192.08869999999999</v>
      </c>
      <c r="K25" t="s">
        <v>876</v>
      </c>
    </row>
    <row r="26" spans="1:11" ht="18.75" x14ac:dyDescent="0.7">
      <c r="A26" s="581"/>
      <c r="B26" s="587" t="s">
        <v>877</v>
      </c>
      <c r="C26" s="591" t="s">
        <v>878</v>
      </c>
      <c r="D26" s="577" t="s">
        <v>879</v>
      </c>
      <c r="E26" s="577">
        <v>120</v>
      </c>
      <c r="F26" s="578">
        <v>1</v>
      </c>
      <c r="G26" s="577">
        <f t="shared" si="2"/>
        <v>120</v>
      </c>
      <c r="H26" s="577">
        <f t="shared" si="3"/>
        <v>135.6</v>
      </c>
      <c r="I26" s="577"/>
      <c r="J26" s="579">
        <v>135</v>
      </c>
      <c r="K26" t="s">
        <v>880</v>
      </c>
    </row>
    <row r="27" spans="1:11" ht="18.75" x14ac:dyDescent="0.7">
      <c r="A27" s="581"/>
      <c r="B27" s="591" t="s">
        <v>881</v>
      </c>
      <c r="C27" s="592" t="s">
        <v>882</v>
      </c>
      <c r="D27" s="577" t="s">
        <v>883</v>
      </c>
      <c r="E27" s="577">
        <v>100</v>
      </c>
      <c r="F27" s="578">
        <v>2</v>
      </c>
      <c r="G27" s="577">
        <f t="shared" si="2"/>
        <v>200</v>
      </c>
      <c r="H27" s="577">
        <f t="shared" si="3"/>
        <v>225.99999999999997</v>
      </c>
      <c r="I27" s="577"/>
      <c r="J27" s="579">
        <f>93.96*2*1.13</f>
        <v>212.34959999999995</v>
      </c>
    </row>
    <row r="28" spans="1:11" ht="18.75" x14ac:dyDescent="0.7">
      <c r="A28" s="581"/>
      <c r="B28" s="587" t="s">
        <v>884</v>
      </c>
      <c r="C28" s="592" t="s">
        <v>885</v>
      </c>
      <c r="D28" s="593" t="s">
        <v>886</v>
      </c>
      <c r="E28" s="594">
        <v>27</v>
      </c>
      <c r="F28" s="578">
        <v>1</v>
      </c>
      <c r="G28" s="577">
        <f t="shared" si="2"/>
        <v>27</v>
      </c>
      <c r="H28" s="577">
        <f t="shared" si="3"/>
        <v>30.509999999999998</v>
      </c>
      <c r="I28" s="577"/>
      <c r="J28" s="579">
        <f>32.49*1.13</f>
        <v>36.713699999999996</v>
      </c>
    </row>
    <row r="29" spans="1:11" ht="18.75" x14ac:dyDescent="0.7">
      <c r="A29" s="581"/>
      <c r="B29" s="591" t="s">
        <v>887</v>
      </c>
      <c r="C29" s="592" t="s">
        <v>888</v>
      </c>
      <c r="D29" s="593" t="s">
        <v>889</v>
      </c>
      <c r="E29" s="577">
        <v>60</v>
      </c>
      <c r="F29" s="578">
        <v>1</v>
      </c>
      <c r="G29" s="577">
        <f t="shared" si="2"/>
        <v>60</v>
      </c>
      <c r="H29" s="577">
        <f t="shared" si="3"/>
        <v>67.8</v>
      </c>
      <c r="I29" s="577"/>
      <c r="J29" s="579">
        <f>47.99*1.13</f>
        <v>54.228699999999996</v>
      </c>
      <c r="K29" t="s">
        <v>890</v>
      </c>
    </row>
    <row r="30" spans="1:11" ht="18.75" x14ac:dyDescent="0.7">
      <c r="A30" s="581"/>
      <c r="B30" s="587" t="s">
        <v>891</v>
      </c>
      <c r="C30" s="592" t="s">
        <v>892</v>
      </c>
      <c r="D30" s="577" t="s">
        <v>893</v>
      </c>
      <c r="E30" s="595">
        <v>50</v>
      </c>
      <c r="F30" s="578">
        <v>2</v>
      </c>
      <c r="G30" s="577">
        <f t="shared" si="2"/>
        <v>100</v>
      </c>
      <c r="H30" s="577">
        <f t="shared" si="3"/>
        <v>112.99999999999999</v>
      </c>
      <c r="I30" s="577"/>
      <c r="J30" s="579">
        <v>122.02</v>
      </c>
    </row>
    <row r="31" spans="1:11" ht="18.75" x14ac:dyDescent="0.7">
      <c r="A31" s="581"/>
      <c r="B31" s="596" t="s">
        <v>894</v>
      </c>
      <c r="C31" s="592" t="s">
        <v>895</v>
      </c>
      <c r="D31" s="577" t="s">
        <v>896</v>
      </c>
      <c r="E31" s="595">
        <v>5000</v>
      </c>
      <c r="F31" s="578">
        <v>1</v>
      </c>
      <c r="G31" s="577">
        <f>E31*F31</f>
        <v>5000</v>
      </c>
      <c r="H31" s="577">
        <f>G31*1.13</f>
        <v>5649.9999999999991</v>
      </c>
      <c r="I31" s="577"/>
      <c r="J31" s="579">
        <v>0</v>
      </c>
      <c r="K31" t="s">
        <v>897</v>
      </c>
    </row>
    <row r="32" spans="1:11" ht="18.75" x14ac:dyDescent="0.7">
      <c r="A32" s="581"/>
      <c r="B32" s="587" t="s">
        <v>898</v>
      </c>
      <c r="C32" s="592" t="s">
        <v>899</v>
      </c>
      <c r="D32" s="577" t="s">
        <v>900</v>
      </c>
      <c r="E32" s="595">
        <v>25</v>
      </c>
      <c r="F32" s="578">
        <v>1</v>
      </c>
      <c r="G32" s="577">
        <f t="shared" si="2"/>
        <v>25</v>
      </c>
      <c r="H32" s="577">
        <f t="shared" si="3"/>
        <v>28.249999999999996</v>
      </c>
      <c r="I32" s="577"/>
      <c r="J32" s="579">
        <v>5</v>
      </c>
      <c r="K32" t="s">
        <v>901</v>
      </c>
    </row>
    <row r="33" spans="1:11" ht="18.75" x14ac:dyDescent="0.7">
      <c r="A33" s="581"/>
      <c r="B33" s="596" t="s">
        <v>902</v>
      </c>
      <c r="C33" s="592" t="s">
        <v>903</v>
      </c>
      <c r="D33" s="597" t="s">
        <v>904</v>
      </c>
      <c r="E33" s="577">
        <v>6</v>
      </c>
      <c r="F33" s="578">
        <v>1</v>
      </c>
      <c r="G33" s="577">
        <f t="shared" si="2"/>
        <v>6</v>
      </c>
      <c r="H33" s="577">
        <f t="shared" si="3"/>
        <v>6.7799999999999994</v>
      </c>
      <c r="I33" s="592"/>
      <c r="J33" s="579">
        <f>5.49*1.13</f>
        <v>6.2036999999999995</v>
      </c>
    </row>
    <row r="34" spans="1:11" ht="18.75" x14ac:dyDescent="0.7">
      <c r="A34" s="581"/>
      <c r="B34" s="587" t="s">
        <v>905</v>
      </c>
      <c r="C34" s="592" t="s">
        <v>906</v>
      </c>
      <c r="D34" s="597" t="s">
        <v>907</v>
      </c>
      <c r="E34" s="577">
        <v>14</v>
      </c>
      <c r="F34" s="578">
        <v>1</v>
      </c>
      <c r="G34" s="577">
        <f>E34*F34</f>
        <v>14</v>
      </c>
      <c r="H34" s="577">
        <f t="shared" si="3"/>
        <v>15.819999999999999</v>
      </c>
      <c r="I34" s="579">
        <f>13.99*1.13</f>
        <v>15.808699999999998</v>
      </c>
      <c r="J34" s="579">
        <f>I34</f>
        <v>15.808699999999998</v>
      </c>
      <c r="K34" t="s">
        <v>908</v>
      </c>
    </row>
    <row r="35" spans="1:11" ht="18.75" x14ac:dyDescent="0.7">
      <c r="A35" s="581"/>
      <c r="B35" s="596" t="s">
        <v>909</v>
      </c>
      <c r="C35" s="592" t="s">
        <v>910</v>
      </c>
      <c r="D35" s="597" t="s">
        <v>911</v>
      </c>
      <c r="E35" s="577">
        <v>45</v>
      </c>
      <c r="F35" s="578">
        <v>1</v>
      </c>
      <c r="G35" s="577">
        <f>E35*F35</f>
        <v>45</v>
      </c>
      <c r="H35" s="577">
        <f t="shared" si="3"/>
        <v>50.849999999999994</v>
      </c>
      <c r="I35" s="592"/>
      <c r="J35" s="579">
        <v>0</v>
      </c>
      <c r="K35" t="s">
        <v>912</v>
      </c>
    </row>
    <row r="36" spans="1:11" ht="18.75" x14ac:dyDescent="0.7">
      <c r="A36" s="581"/>
      <c r="B36" s="587" t="s">
        <v>913</v>
      </c>
      <c r="C36" s="592" t="s">
        <v>914</v>
      </c>
      <c r="D36" s="597" t="s">
        <v>915</v>
      </c>
      <c r="E36" s="577">
        <v>112</v>
      </c>
      <c r="F36" s="578">
        <v>1</v>
      </c>
      <c r="G36" s="577">
        <f>E36*F36</f>
        <v>112</v>
      </c>
      <c r="H36" s="577">
        <f t="shared" si="3"/>
        <v>126.55999999999999</v>
      </c>
      <c r="I36" s="579">
        <f>132.99*1.13</f>
        <v>150.27869999999999</v>
      </c>
      <c r="J36" s="579">
        <f>132.99*1.13</f>
        <v>150.27869999999999</v>
      </c>
      <c r="K36" t="s">
        <v>916</v>
      </c>
    </row>
    <row r="37" spans="1:11" ht="18.75" x14ac:dyDescent="0.7">
      <c r="A37" s="581"/>
      <c r="B37" s="587" t="s">
        <v>917</v>
      </c>
      <c r="C37" s="592" t="s">
        <v>918</v>
      </c>
      <c r="D37" s="597" t="s">
        <v>919</v>
      </c>
      <c r="E37" s="577">
        <v>30</v>
      </c>
      <c r="F37" s="578">
        <v>1</v>
      </c>
      <c r="G37" s="577">
        <f t="shared" ref="G37:G40" si="4">E37*F37</f>
        <v>30</v>
      </c>
      <c r="H37" s="577">
        <f t="shared" si="3"/>
        <v>33.9</v>
      </c>
      <c r="I37" s="592"/>
      <c r="J37" s="579">
        <f>17.99*1.13</f>
        <v>20.328699999999998</v>
      </c>
      <c r="K37" t="s">
        <v>920</v>
      </c>
    </row>
    <row r="38" spans="1:11" ht="18.75" x14ac:dyDescent="0.7">
      <c r="A38" s="581"/>
      <c r="B38" s="596" t="s">
        <v>921</v>
      </c>
      <c r="C38" s="592" t="s">
        <v>922</v>
      </c>
      <c r="D38" s="597" t="s">
        <v>923</v>
      </c>
      <c r="E38" s="577">
        <v>9</v>
      </c>
      <c r="F38" s="578">
        <v>1</v>
      </c>
      <c r="G38" s="577">
        <f t="shared" si="4"/>
        <v>9</v>
      </c>
      <c r="H38" s="577">
        <f t="shared" si="3"/>
        <v>10.169999999999998</v>
      </c>
      <c r="I38" s="592"/>
      <c r="J38" s="579">
        <v>0</v>
      </c>
      <c r="K38" t="s">
        <v>924</v>
      </c>
    </row>
    <row r="39" spans="1:11" ht="18.75" x14ac:dyDescent="0.7">
      <c r="A39" s="581"/>
      <c r="B39" s="587" t="s">
        <v>925</v>
      </c>
      <c r="C39" s="592" t="s">
        <v>926</v>
      </c>
      <c r="D39" s="597" t="s">
        <v>927</v>
      </c>
      <c r="E39" s="577">
        <v>150</v>
      </c>
      <c r="F39" s="578">
        <v>1</v>
      </c>
      <c r="G39" s="577">
        <f t="shared" si="4"/>
        <v>150</v>
      </c>
      <c r="H39" s="577">
        <f t="shared" si="3"/>
        <v>169.49999999999997</v>
      </c>
      <c r="I39" s="592"/>
      <c r="J39" s="579">
        <v>237.3</v>
      </c>
      <c r="K39" t="s">
        <v>928</v>
      </c>
    </row>
    <row r="40" spans="1:11" ht="18.75" x14ac:dyDescent="0.7">
      <c r="A40" s="581"/>
      <c r="B40" s="587" t="s">
        <v>929</v>
      </c>
      <c r="C40" s="592" t="s">
        <v>930</v>
      </c>
      <c r="D40" s="597" t="s">
        <v>931</v>
      </c>
      <c r="E40" s="577">
        <v>179</v>
      </c>
      <c r="F40" s="578">
        <v>1</v>
      </c>
      <c r="G40" s="577">
        <f t="shared" si="4"/>
        <v>179</v>
      </c>
      <c r="H40" s="577">
        <f t="shared" si="3"/>
        <v>202.26999999999998</v>
      </c>
      <c r="I40" s="592"/>
      <c r="J40" s="579">
        <v>177.13</v>
      </c>
      <c r="K40" t="s">
        <v>932</v>
      </c>
    </row>
    <row r="41" spans="1:11" ht="18.75" x14ac:dyDescent="0.7">
      <c r="A41" s="581"/>
      <c r="B41" s="598" t="s">
        <v>933</v>
      </c>
      <c r="C41" s="599"/>
      <c r="D41" s="600"/>
      <c r="E41" s="600"/>
      <c r="F41" s="601"/>
      <c r="G41" s="600"/>
      <c r="H41" s="600">
        <f>SUM(H25:H40)</f>
        <v>7375.5099999999984</v>
      </c>
      <c r="I41" s="600">
        <f>SUM(I27:I30)</f>
        <v>0</v>
      </c>
      <c r="J41" s="602">
        <f>SUM(J25:J40)</f>
        <v>1364.4504999999999</v>
      </c>
    </row>
    <row r="42" spans="1:11" ht="18.75" x14ac:dyDescent="0.7">
      <c r="A42" s="581"/>
      <c r="B42" s="587" t="s">
        <v>934</v>
      </c>
      <c r="C42" s="592"/>
      <c r="D42" s="597"/>
      <c r="E42" s="577"/>
      <c r="F42" s="578"/>
      <c r="G42" s="577"/>
      <c r="H42" s="577"/>
      <c r="I42" s="592"/>
      <c r="J42" s="579"/>
    </row>
    <row r="43" spans="1:11" ht="18.75" x14ac:dyDescent="0.7">
      <c r="A43" s="581"/>
      <c r="B43" s="587" t="s">
        <v>935</v>
      </c>
      <c r="C43" s="592" t="s">
        <v>936</v>
      </c>
      <c r="D43" s="597" t="s">
        <v>937</v>
      </c>
      <c r="E43" s="577">
        <v>14.29</v>
      </c>
      <c r="F43" s="578">
        <v>1</v>
      </c>
      <c r="G43" s="577">
        <f t="shared" ref="G43:G46" si="5">E43*F43</f>
        <v>14.29</v>
      </c>
      <c r="H43" s="577">
        <f>G43*1.13</f>
        <v>16.147699999999997</v>
      </c>
      <c r="I43" s="592"/>
      <c r="J43" s="579">
        <f>H43</f>
        <v>16.147699999999997</v>
      </c>
    </row>
    <row r="44" spans="1:11" ht="18.75" x14ac:dyDescent="0.7">
      <c r="A44" s="581"/>
      <c r="B44" s="587" t="s">
        <v>938</v>
      </c>
      <c r="C44" s="592" t="s">
        <v>939</v>
      </c>
      <c r="D44" s="597" t="s">
        <v>940</v>
      </c>
      <c r="E44" s="577">
        <v>14.99</v>
      </c>
      <c r="F44" s="578">
        <v>1</v>
      </c>
      <c r="G44" s="577">
        <f t="shared" si="5"/>
        <v>14.99</v>
      </c>
      <c r="H44" s="577">
        <f>G44*1.13</f>
        <v>16.938699999999997</v>
      </c>
      <c r="I44" s="592"/>
      <c r="J44" s="579">
        <f>H44</f>
        <v>16.938699999999997</v>
      </c>
    </row>
    <row r="45" spans="1:11" ht="18.75" x14ac:dyDescent="0.7">
      <c r="A45" s="581"/>
      <c r="B45" s="587" t="s">
        <v>941</v>
      </c>
      <c r="C45" s="592" t="s">
        <v>942</v>
      </c>
      <c r="D45" s="597" t="s">
        <v>943</v>
      </c>
      <c r="E45" s="577">
        <v>7.5</v>
      </c>
      <c r="F45" s="578">
        <v>2</v>
      </c>
      <c r="G45" s="577">
        <f t="shared" si="5"/>
        <v>15</v>
      </c>
      <c r="H45" s="577">
        <f>G45*1.13</f>
        <v>16.95</v>
      </c>
      <c r="I45" s="592"/>
      <c r="J45" s="579">
        <f>H45</f>
        <v>16.95</v>
      </c>
    </row>
    <row r="46" spans="1:11" ht="18.75" x14ac:dyDescent="0.7">
      <c r="A46" s="581"/>
      <c r="B46" s="587" t="s">
        <v>944</v>
      </c>
      <c r="C46" s="592" t="s">
        <v>945</v>
      </c>
      <c r="D46" s="597" t="s">
        <v>946</v>
      </c>
      <c r="E46" s="577">
        <v>6.8</v>
      </c>
      <c r="F46" s="578">
        <v>4</v>
      </c>
      <c r="G46" s="577">
        <f t="shared" si="5"/>
        <v>27.2</v>
      </c>
      <c r="H46" s="577">
        <f>G46*1.13</f>
        <v>30.735999999999997</v>
      </c>
      <c r="I46" s="592"/>
      <c r="J46" s="579">
        <f>H46</f>
        <v>30.735999999999997</v>
      </c>
    </row>
    <row r="47" spans="1:11" ht="18.75" x14ac:dyDescent="0.7">
      <c r="A47" s="581"/>
      <c r="B47" s="598" t="s">
        <v>947</v>
      </c>
      <c r="C47" s="599"/>
      <c r="D47" s="600"/>
      <c r="E47" s="600"/>
      <c r="F47" s="601"/>
      <c r="G47" s="600"/>
      <c r="H47" s="600"/>
      <c r="I47" s="600"/>
      <c r="J47" s="602">
        <f>SUM(J42:J46)</f>
        <v>80.772400000000005</v>
      </c>
    </row>
    <row r="48" spans="1:11" ht="18.75" x14ac:dyDescent="0.7">
      <c r="A48" s="581"/>
      <c r="B48" s="603"/>
      <c r="C48" s="604"/>
      <c r="D48" s="605"/>
      <c r="E48" s="605"/>
      <c r="F48" s="606"/>
      <c r="G48" s="605"/>
      <c r="H48" s="605"/>
      <c r="I48" s="605"/>
      <c r="J48" s="607"/>
    </row>
    <row r="49" spans="1:10" ht="19.5" x14ac:dyDescent="0.7">
      <c r="A49" s="581"/>
      <c r="B49" s="608"/>
      <c r="C49" s="565" t="s">
        <v>84</v>
      </c>
      <c r="D49" s="566"/>
      <c r="E49" s="566"/>
      <c r="F49" s="567"/>
      <c r="G49" s="566"/>
      <c r="H49" s="566">
        <f>H23+H41</f>
        <v>11109.029999999999</v>
      </c>
      <c r="I49" s="566">
        <v>0</v>
      </c>
      <c r="J49" s="568">
        <v>0</v>
      </c>
    </row>
    <row r="50" spans="1:10" ht="19.5" x14ac:dyDescent="0.7">
      <c r="A50" s="581"/>
      <c r="B50" s="608"/>
      <c r="C50" s="565"/>
      <c r="D50" s="566"/>
      <c r="E50" s="566"/>
      <c r="F50" s="567"/>
      <c r="G50" s="566"/>
      <c r="H50" s="566"/>
      <c r="I50" s="566"/>
      <c r="J50" s="568"/>
    </row>
    <row r="51" spans="1:10" ht="19.5" x14ac:dyDescent="0.7">
      <c r="A51" s="581"/>
      <c r="B51" s="608"/>
      <c r="C51" s="609"/>
      <c r="D51" s="566"/>
      <c r="E51" s="566"/>
      <c r="F51" s="567"/>
      <c r="G51" s="566"/>
      <c r="H51" s="566"/>
      <c r="I51" s="565"/>
      <c r="J51" s="568"/>
    </row>
    <row r="52" spans="1:10" ht="20.25" x14ac:dyDescent="0.7">
      <c r="A52" s="610" t="s">
        <v>85</v>
      </c>
      <c r="B52" s="611"/>
      <c r="C52" s="611"/>
      <c r="D52" s="612"/>
      <c r="E52" s="612"/>
      <c r="F52" s="613"/>
      <c r="G52" s="612"/>
      <c r="H52" s="612"/>
      <c r="I52" s="612"/>
      <c r="J52" s="614"/>
    </row>
    <row r="53" spans="1:10" ht="20.25" x14ac:dyDescent="0.7">
      <c r="A53" s="615"/>
      <c r="B53" s="616" t="s">
        <v>86</v>
      </c>
      <c r="C53" s="616"/>
      <c r="D53" s="617"/>
      <c r="E53" s="617"/>
      <c r="F53" s="617"/>
      <c r="G53" s="617"/>
      <c r="H53" s="617">
        <v>0</v>
      </c>
      <c r="I53" s="617">
        <v>0</v>
      </c>
      <c r="J53" s="618">
        <v>0</v>
      </c>
    </row>
    <row r="54" spans="1:10" ht="20.25" x14ac:dyDescent="0.7">
      <c r="A54" s="615"/>
      <c r="B54" s="619" t="s">
        <v>87</v>
      </c>
      <c r="C54" s="619"/>
      <c r="D54" s="620"/>
      <c r="E54" s="620"/>
      <c r="F54" s="620"/>
      <c r="G54" s="620"/>
      <c r="H54" s="620">
        <f>H49</f>
        <v>11109.029999999999</v>
      </c>
      <c r="I54" s="620">
        <v>0</v>
      </c>
      <c r="J54" s="621">
        <f>SUM(J23+J41+J47)</f>
        <v>4620.7970999999998</v>
      </c>
    </row>
    <row r="55" spans="1:10" ht="20.25" x14ac:dyDescent="0.7">
      <c r="A55" s="622"/>
      <c r="B55" s="623" t="s">
        <v>88</v>
      </c>
      <c r="C55" s="623"/>
      <c r="D55" s="624"/>
      <c r="E55" s="624"/>
      <c r="F55" s="624"/>
      <c r="G55" s="624"/>
      <c r="H55" s="624">
        <f>H53-H54</f>
        <v>-11109.029999999999</v>
      </c>
      <c r="I55" s="624">
        <v>0</v>
      </c>
      <c r="J55" s="625">
        <f>J53-J54</f>
        <v>-4620.7970999999998</v>
      </c>
    </row>
  </sheetData>
  <mergeCells count="4">
    <mergeCell ref="A1:J1"/>
    <mergeCell ref="A4:C4"/>
    <mergeCell ref="A8:C8"/>
    <mergeCell ref="W8:Z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E9D09C6CBF34BB39DFA4D358DF69E" ma:contentTypeVersion="4" ma:contentTypeDescription="Create a new document." ma:contentTypeScope="" ma:versionID="5a84c3c42c5a8c4fb711cc2448180880">
  <xsd:schema xmlns:xsd="http://www.w3.org/2001/XMLSchema" xmlns:xs="http://www.w3.org/2001/XMLSchema" xmlns:p="http://schemas.microsoft.com/office/2006/metadata/properties" xmlns:ns2="d9801af2-daaf-47da-be86-a3b779ebb46b" xmlns:ns3="eb1c92a1-93ec-4b79-80aa-cfc82dcda960" targetNamespace="http://schemas.microsoft.com/office/2006/metadata/properties" ma:root="true" ma:fieldsID="a1f946db515c525a36d37489ad3dba08" ns2:_="" ns3:_="">
    <xsd:import namespace="d9801af2-daaf-47da-be86-a3b779ebb46b"/>
    <xsd:import namespace="eb1c92a1-93ec-4b79-80aa-cfc82dcda9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01af2-daaf-47da-be86-a3b779ebb4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c92a1-93ec-4b79-80aa-cfc82dcda9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1c92a1-93ec-4b79-80aa-cfc82dcda960">
      <UserInfo>
        <DisplayName>Liam Cregg</DisplayName>
        <AccountId>30</AccountId>
        <AccountType/>
      </UserInfo>
      <UserInfo>
        <DisplayName>Jinho Lee</DisplayName>
        <AccountId>31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BC2A7C-6A11-4E57-A7C6-6BCFB6AFC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01af2-daaf-47da-be86-a3b779ebb46b"/>
    <ds:schemaRef ds:uri="eb1c92a1-93ec-4b79-80aa-cfc82dcda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C49739-25AF-4DAC-AE57-E71CEFF6275E}">
  <ds:schemaRefs>
    <ds:schemaRef ds:uri="http://schemas.microsoft.com/office/2006/metadata/properties"/>
    <ds:schemaRef ds:uri="http://schemas.microsoft.com/office/infopath/2007/PartnerControls"/>
    <ds:schemaRef ds:uri="eb1c92a1-93ec-4b79-80aa-cfc82dcda960"/>
  </ds:schemaRefs>
</ds:datastoreItem>
</file>

<file path=customXml/itemProps3.xml><?xml version="1.0" encoding="utf-8"?>
<ds:datastoreItem xmlns:ds="http://schemas.openxmlformats.org/officeDocument/2006/customXml" ds:itemID="{E452406B-FBF1-42CB-8384-DC8FED3D90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General</vt:lpstr>
      <vt:lpstr>Events</vt:lpstr>
      <vt:lpstr>President</vt:lpstr>
      <vt:lpstr>Conferences</vt:lpstr>
      <vt:lpstr>VPSA</vt:lpstr>
      <vt:lpstr>Vice President Operations</vt:lpstr>
      <vt:lpstr>Academics</vt:lpstr>
      <vt:lpstr>Communications</vt:lpstr>
      <vt:lpstr>Design</vt:lpstr>
      <vt:lpstr>External Relations</vt:lpstr>
      <vt:lpstr>Human Resources</vt:lpstr>
      <vt:lpstr>Finance</vt:lpstr>
      <vt:lpstr>First Year</vt:lpstr>
      <vt:lpstr>Internal Affairs</vt:lpstr>
      <vt:lpstr>IT</vt:lpstr>
      <vt:lpstr>Professional Development</vt:lpstr>
      <vt:lpstr>Services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Behshid Behrouzi</dc:creator>
  <cp:keywords/>
  <dc:description/>
  <cp:lastModifiedBy>Salma Ibrahim</cp:lastModifiedBy>
  <cp:revision/>
  <dcterms:created xsi:type="dcterms:W3CDTF">2018-09-24T01:53:20Z</dcterms:created>
  <dcterms:modified xsi:type="dcterms:W3CDTF">2021-03-03T21:01:08Z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0x0101008ACE9D09C6CBF34BB39DFA4D358DF69E</vt:lpwstr>
  </property>
  <property fmtid="{D5CDD505-2E9C-101B-9397-08002B2CF9AE}" pid="3" name="AuthorIds_UIVersion_2560">
    <vt:lpwstr>12</vt:lpwstr>
  </property>
  <property fmtid="{D5CDD505-2E9C-101B-9397-08002B2CF9AE}" pid="4" name="Order">
    <vt:r8>82595500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AuthorIds_UIVersion_56320">
    <vt:lpwstr>20,16</vt:lpwstr>
  </property>
  <property fmtid="{D5CDD505-2E9C-101B-9397-08002B2CF9AE}" pid="10" name="AuthorIds_UIVersion_84992">
    <vt:lpwstr>20</vt:lpwstr>
  </property>
</Properties>
</file>