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JillianReid\Downloads\Operational Budgets\Operational Budgets\"/>
    </mc:Choice>
  </mc:AlternateContent>
  <xr:revisionPtr revIDLastSave="0" documentId="13_ncr:1_{17B89A52-710D-47DF-A4FE-F965A141E96C}" xr6:coauthVersionLast="46" xr6:coauthVersionMax="46" xr10:uidLastSave="{00000000-0000-0000-0000-000000000000}"/>
  <bookViews>
    <workbookView xWindow="28680" yWindow="-120" windowWidth="29040" windowHeight="15840" activeTab="2" xr2:uid="{00000000-000D-0000-FFFF-FFFF00000000}"/>
  </bookViews>
  <sheets>
    <sheet name="Summary" sheetId="2" r:id="rId1"/>
    <sheet name="General" sheetId="3" r:id="rId2"/>
    <sheet name="President" sheetId="19" r:id="rId3"/>
    <sheet name="Vice President Operations" sheetId="18" r:id="rId4"/>
    <sheet name="Vice President Student Affairs" sheetId="17" r:id="rId5"/>
    <sheet name="Academics" sheetId="16" r:id="rId6"/>
    <sheet name="Comm " sheetId="15" r:id="rId7"/>
    <sheet name="Community Outreach" sheetId="14" r:id="rId8"/>
    <sheet name="Conferences" sheetId="13" r:id="rId9"/>
    <sheet name="Design" sheetId="12" r:id="rId10"/>
    <sheet name="Events" sheetId="11" r:id="rId11"/>
    <sheet name="Finance" sheetId="10" r:id="rId12"/>
    <sheet name="First Year" sheetId="9" r:id="rId13"/>
    <sheet name="HR" sheetId="8" r:id="rId14"/>
    <sheet name="IA" sheetId="7" r:id="rId15"/>
    <sheet name="IT" sheetId="6" r:id="rId16"/>
    <sheet name="PD" sheetId="5" r:id="rId17"/>
    <sheet name="Services " sheetId="4" r:id="rId18"/>
  </sheets>
  <externalReferences>
    <externalReference r:id="rId1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4" i="19" l="1"/>
  <c r="I44" i="19"/>
  <c r="H44" i="19"/>
  <c r="J37" i="19"/>
  <c r="I37" i="19"/>
  <c r="E37" i="19"/>
  <c r="G37" i="19" s="1"/>
  <c r="H37" i="19" s="1"/>
  <c r="I36" i="19"/>
  <c r="J36" i="19" s="1"/>
  <c r="J39" i="19" s="1"/>
  <c r="G36" i="19"/>
  <c r="H36" i="19" s="1"/>
  <c r="H39" i="19" s="1"/>
  <c r="I31" i="19"/>
  <c r="J31" i="19" s="1"/>
  <c r="H31" i="19"/>
  <c r="G31" i="19"/>
  <c r="J30" i="19"/>
  <c r="I30" i="19"/>
  <c r="I33" i="19" s="1"/>
  <c r="G30" i="19"/>
  <c r="H30" i="19" s="1"/>
  <c r="H33" i="19" s="1"/>
  <c r="I25" i="19"/>
  <c r="J25" i="19" s="1"/>
  <c r="H25" i="19"/>
  <c r="G25" i="19"/>
  <c r="I24" i="19"/>
  <c r="J24" i="19" s="1"/>
  <c r="G24" i="19"/>
  <c r="H24" i="19" s="1"/>
  <c r="I23" i="19"/>
  <c r="J23" i="19" s="1"/>
  <c r="H23" i="19"/>
  <c r="G23" i="19"/>
  <c r="I22" i="19"/>
  <c r="G22" i="19"/>
  <c r="H22" i="19" s="1"/>
  <c r="J21" i="19"/>
  <c r="I21" i="19"/>
  <c r="H21" i="19"/>
  <c r="G21" i="19"/>
  <c r="I20" i="19"/>
  <c r="J20" i="19" s="1"/>
  <c r="G20" i="19"/>
  <c r="H20" i="19" s="1"/>
  <c r="J19" i="19"/>
  <c r="I19" i="19"/>
  <c r="H19" i="19"/>
  <c r="G19" i="19"/>
  <c r="I18" i="19"/>
  <c r="J18" i="19" s="1"/>
  <c r="G18" i="19"/>
  <c r="H18" i="19" s="1"/>
  <c r="J17" i="19"/>
  <c r="I17" i="19"/>
  <c r="I27" i="19" s="1"/>
  <c r="H17" i="19"/>
  <c r="G17" i="19"/>
  <c r="I12" i="19"/>
  <c r="J12" i="19" s="1"/>
  <c r="G12" i="19"/>
  <c r="H12" i="19" s="1"/>
  <c r="I11" i="19"/>
  <c r="G11" i="19"/>
  <c r="H11" i="19" s="1"/>
  <c r="I10" i="19"/>
  <c r="I14" i="19" s="1"/>
  <c r="H10" i="19"/>
  <c r="H14" i="19" s="1"/>
  <c r="G10" i="19"/>
  <c r="E10" i="18"/>
  <c r="G10" i="18" s="1"/>
  <c r="H10" i="18" s="1"/>
  <c r="I10" i="18"/>
  <c r="J10" i="18" s="1"/>
  <c r="J15" i="18" s="1"/>
  <c r="J21" i="18" s="1"/>
  <c r="J25" i="18" s="1"/>
  <c r="G11" i="18"/>
  <c r="H11" i="18"/>
  <c r="I11" i="18"/>
  <c r="I15" i="18" s="1"/>
  <c r="I21" i="18" s="1"/>
  <c r="I25" i="18" s="1"/>
  <c r="I26" i="18" s="1"/>
  <c r="G12" i="18"/>
  <c r="H12" i="18" s="1"/>
  <c r="I12" i="18"/>
  <c r="J12" i="18"/>
  <c r="G13" i="18"/>
  <c r="H13" i="18" s="1"/>
  <c r="I13" i="18"/>
  <c r="J17" i="18"/>
  <c r="J18" i="18"/>
  <c r="J19" i="18"/>
  <c r="J24" i="18"/>
  <c r="G11" i="17"/>
  <c r="H11" i="17" s="1"/>
  <c r="H14" i="17" s="1"/>
  <c r="I11" i="17"/>
  <c r="G12" i="17"/>
  <c r="H12" i="17" s="1"/>
  <c r="I12" i="17"/>
  <c r="I14" i="17"/>
  <c r="J14" i="17"/>
  <c r="J40" i="17" s="1"/>
  <c r="G17" i="17"/>
  <c r="H17" i="17" s="1"/>
  <c r="H20" i="17" s="1"/>
  <c r="I17" i="17"/>
  <c r="I20" i="17" s="1"/>
  <c r="G18" i="17"/>
  <c r="H18" i="17"/>
  <c r="I18" i="17"/>
  <c r="J20" i="17"/>
  <c r="G23" i="17"/>
  <c r="H23" i="17"/>
  <c r="H25" i="17" s="1"/>
  <c r="I23" i="17"/>
  <c r="J23" i="17"/>
  <c r="I25" i="17"/>
  <c r="J25" i="17"/>
  <c r="G28" i="17"/>
  <c r="H28" i="17" s="1"/>
  <c r="I28" i="17"/>
  <c r="J28" i="17"/>
  <c r="G29" i="17"/>
  <c r="H29" i="17" s="1"/>
  <c r="I29" i="17"/>
  <c r="I31" i="17" s="1"/>
  <c r="J31" i="17"/>
  <c r="J34" i="17"/>
  <c r="J35" i="17"/>
  <c r="H37" i="17"/>
  <c r="I37" i="17"/>
  <c r="J37" i="17"/>
  <c r="H43" i="17"/>
  <c r="I43" i="17"/>
  <c r="J43" i="17"/>
  <c r="J44" i="17"/>
  <c r="J45" i="17" s="1"/>
  <c r="E11" i="16"/>
  <c r="G11" i="16" s="1"/>
  <c r="H11" i="16" s="1"/>
  <c r="I11" i="16"/>
  <c r="G12" i="16"/>
  <c r="H12" i="16" s="1"/>
  <c r="I12" i="16"/>
  <c r="G13" i="16"/>
  <c r="H13" i="16" s="1"/>
  <c r="I13" i="16"/>
  <c r="G14" i="16"/>
  <c r="H14" i="16"/>
  <c r="I14" i="16"/>
  <c r="G15" i="16"/>
  <c r="H15" i="16"/>
  <c r="I15" i="16"/>
  <c r="G16" i="16"/>
  <c r="H16" i="16"/>
  <c r="I16" i="16"/>
  <c r="I18" i="16"/>
  <c r="J18" i="16"/>
  <c r="G21" i="16"/>
  <c r="H21" i="16"/>
  <c r="H23" i="16" s="1"/>
  <c r="I21" i="16"/>
  <c r="I23" i="16"/>
  <c r="J23" i="16"/>
  <c r="J29" i="16" s="1"/>
  <c r="D70" i="2" s="1"/>
  <c r="H28" i="16"/>
  <c r="I28" i="16"/>
  <c r="J28" i="16"/>
  <c r="I29" i="16"/>
  <c r="I30" i="16"/>
  <c r="H10" i="15"/>
  <c r="I10" i="15"/>
  <c r="G11" i="15"/>
  <c r="H11" i="15" s="1"/>
  <c r="I11" i="15"/>
  <c r="H12" i="15"/>
  <c r="I12" i="15"/>
  <c r="H13" i="15"/>
  <c r="I13" i="15"/>
  <c r="H14" i="15"/>
  <c r="I14" i="15"/>
  <c r="G15" i="15"/>
  <c r="H15" i="15"/>
  <c r="I15" i="15"/>
  <c r="G16" i="15"/>
  <c r="H16" i="15"/>
  <c r="I16" i="15"/>
  <c r="G17" i="15"/>
  <c r="H17" i="15" s="1"/>
  <c r="I17" i="15"/>
  <c r="G18" i="15"/>
  <c r="H18" i="15"/>
  <c r="I18" i="15"/>
  <c r="G19" i="15"/>
  <c r="H19" i="15" s="1"/>
  <c r="I19" i="15"/>
  <c r="J21" i="15"/>
  <c r="H24" i="15"/>
  <c r="I24" i="15"/>
  <c r="G25" i="15"/>
  <c r="H25" i="15"/>
  <c r="I25" i="15"/>
  <c r="G26" i="15"/>
  <c r="H26" i="15" s="1"/>
  <c r="I26" i="15"/>
  <c r="G27" i="15"/>
  <c r="H27" i="15"/>
  <c r="I27" i="15"/>
  <c r="G28" i="15"/>
  <c r="H28" i="15" s="1"/>
  <c r="I28" i="15"/>
  <c r="I30" i="15"/>
  <c r="J30" i="15"/>
  <c r="J32" i="15"/>
  <c r="J37" i="15" s="1"/>
  <c r="G7" i="14"/>
  <c r="H7" i="14" s="1"/>
  <c r="H9" i="14" s="1"/>
  <c r="I9" i="14"/>
  <c r="J9" i="14"/>
  <c r="G12" i="14"/>
  <c r="H12" i="14"/>
  <c r="H14" i="14" s="1"/>
  <c r="H16" i="14" s="1"/>
  <c r="H23" i="14" s="1"/>
  <c r="H145" i="14" s="1"/>
  <c r="I12" i="14"/>
  <c r="I14" i="14" s="1"/>
  <c r="I16" i="14" s="1"/>
  <c r="J14" i="14"/>
  <c r="J16" i="14" s="1"/>
  <c r="H19" i="14"/>
  <c r="H21" i="14" s="1"/>
  <c r="I21" i="14"/>
  <c r="J21" i="14"/>
  <c r="G27" i="14"/>
  <c r="H27" i="14" s="1"/>
  <c r="H29" i="14" s="1"/>
  <c r="I27" i="14"/>
  <c r="I29" i="14" s="1"/>
  <c r="J27" i="14"/>
  <c r="J29" i="14" s="1"/>
  <c r="J62" i="14" s="1"/>
  <c r="G32" i="14"/>
  <c r="H32" i="14"/>
  <c r="H35" i="14" s="1"/>
  <c r="I32" i="14"/>
  <c r="G33" i="14"/>
  <c r="H33" i="14" s="1"/>
  <c r="I33" i="14"/>
  <c r="G38" i="14"/>
  <c r="H38" i="14" s="1"/>
  <c r="H41" i="14" s="1"/>
  <c r="I38" i="14"/>
  <c r="I41" i="14" s="1"/>
  <c r="G39" i="14"/>
  <c r="H39" i="14"/>
  <c r="I39" i="14"/>
  <c r="J41" i="14"/>
  <c r="G45" i="14"/>
  <c r="H45" i="14"/>
  <c r="H48" i="14" s="1"/>
  <c r="I45" i="14"/>
  <c r="I48" i="14" s="1"/>
  <c r="G46" i="14"/>
  <c r="H46" i="14"/>
  <c r="I46" i="14"/>
  <c r="J48" i="14"/>
  <c r="G51" i="14"/>
  <c r="H51" i="14" s="1"/>
  <c r="H54" i="14" s="1"/>
  <c r="I51" i="14"/>
  <c r="I54" i="14" s="1"/>
  <c r="G52" i="14"/>
  <c r="H52" i="14" s="1"/>
  <c r="I52" i="14"/>
  <c r="J54" i="14"/>
  <c r="G57" i="14"/>
  <c r="H57" i="14"/>
  <c r="I57" i="14"/>
  <c r="G58" i="14"/>
  <c r="H58" i="14" s="1"/>
  <c r="I58" i="14"/>
  <c r="I60" i="14"/>
  <c r="G66" i="14"/>
  <c r="H66" i="14" s="1"/>
  <c r="I66" i="14"/>
  <c r="G67" i="14"/>
  <c r="H67" i="14"/>
  <c r="I67" i="14"/>
  <c r="G68" i="14"/>
  <c r="H68" i="14"/>
  <c r="I68" i="14"/>
  <c r="G69" i="14"/>
  <c r="H69" i="14" s="1"/>
  <c r="I69" i="14"/>
  <c r="G70" i="14"/>
  <c r="H70" i="14" s="1"/>
  <c r="I70" i="14"/>
  <c r="I73" i="14" s="1"/>
  <c r="G71" i="14"/>
  <c r="H71" i="14" s="1"/>
  <c r="I71" i="14"/>
  <c r="J73" i="14"/>
  <c r="G76" i="14"/>
  <c r="H76" i="14"/>
  <c r="I76" i="14"/>
  <c r="G77" i="14"/>
  <c r="H77" i="14" s="1"/>
  <c r="I77" i="14"/>
  <c r="G78" i="14"/>
  <c r="H78" i="14"/>
  <c r="I78" i="14"/>
  <c r="G79" i="14"/>
  <c r="H79" i="14"/>
  <c r="I79" i="14"/>
  <c r="G80" i="14"/>
  <c r="H80" i="14" s="1"/>
  <c r="I80" i="14"/>
  <c r="G81" i="14"/>
  <c r="H81" i="14" s="1"/>
  <c r="I81" i="14"/>
  <c r="I84" i="14" s="1"/>
  <c r="I90" i="14" s="1"/>
  <c r="G82" i="14"/>
  <c r="H82" i="14" s="1"/>
  <c r="I82" i="14"/>
  <c r="J84" i="14"/>
  <c r="G87" i="14"/>
  <c r="H87" i="14"/>
  <c r="H90" i="14" s="1"/>
  <c r="I87" i="14"/>
  <c r="G88" i="14"/>
  <c r="H88" i="14" s="1"/>
  <c r="I88" i="14"/>
  <c r="J90" i="14"/>
  <c r="G93" i="14"/>
  <c r="H93" i="14"/>
  <c r="I93" i="14"/>
  <c r="G94" i="14"/>
  <c r="H94" i="14" s="1"/>
  <c r="I94" i="14"/>
  <c r="G95" i="14"/>
  <c r="H95" i="14" s="1"/>
  <c r="I95" i="14"/>
  <c r="I98" i="14" s="1"/>
  <c r="G96" i="14"/>
  <c r="H96" i="14" s="1"/>
  <c r="I96" i="14"/>
  <c r="J98" i="14"/>
  <c r="J107" i="14" s="1"/>
  <c r="G101" i="14"/>
  <c r="H101" i="14"/>
  <c r="I101" i="14"/>
  <c r="G102" i="14"/>
  <c r="H102" i="14" s="1"/>
  <c r="H105" i="14" s="1"/>
  <c r="I102" i="14"/>
  <c r="G103" i="14"/>
  <c r="H103" i="14"/>
  <c r="I103" i="14"/>
  <c r="I107" i="14" s="1"/>
  <c r="I105" i="14"/>
  <c r="J105" i="14"/>
  <c r="G111" i="14"/>
  <c r="H111" i="14" s="1"/>
  <c r="I111" i="14"/>
  <c r="I120" i="14" s="1"/>
  <c r="G112" i="14"/>
  <c r="H112" i="14" s="1"/>
  <c r="I112" i="14"/>
  <c r="G113" i="14"/>
  <c r="H113" i="14"/>
  <c r="I113" i="14"/>
  <c r="G114" i="14"/>
  <c r="H114" i="14"/>
  <c r="I114" i="14"/>
  <c r="G115" i="14"/>
  <c r="H115" i="14" s="1"/>
  <c r="I115" i="14"/>
  <c r="G116" i="14"/>
  <c r="H116" i="14"/>
  <c r="I116" i="14"/>
  <c r="G117" i="14"/>
  <c r="H117" i="14"/>
  <c r="I117" i="14"/>
  <c r="G118" i="14"/>
  <c r="H118" i="14"/>
  <c r="I118" i="14"/>
  <c r="J120" i="14"/>
  <c r="G123" i="14"/>
  <c r="H123" i="14" s="1"/>
  <c r="I123" i="14"/>
  <c r="G124" i="14"/>
  <c r="H124" i="14"/>
  <c r="I124" i="14"/>
  <c r="I132" i="14" s="1"/>
  <c r="I138" i="14" s="1"/>
  <c r="I140" i="14" s="1"/>
  <c r="G125" i="14"/>
  <c r="H125" i="14"/>
  <c r="I125" i="14"/>
  <c r="G126" i="14"/>
  <c r="H126" i="14" s="1"/>
  <c r="I126" i="14"/>
  <c r="G127" i="14"/>
  <c r="H127" i="14"/>
  <c r="I127" i="14"/>
  <c r="G128" i="14"/>
  <c r="H128" i="14" s="1"/>
  <c r="I128" i="14"/>
  <c r="G129" i="14"/>
  <c r="H129" i="14"/>
  <c r="I129" i="14"/>
  <c r="G130" i="14"/>
  <c r="H130" i="14" s="1"/>
  <c r="I130" i="14"/>
  <c r="J132" i="14"/>
  <c r="G135" i="14"/>
  <c r="H135" i="14"/>
  <c r="I135" i="14"/>
  <c r="H138" i="14"/>
  <c r="J138" i="14"/>
  <c r="J140" i="14" s="1"/>
  <c r="J142" i="14" s="1"/>
  <c r="J146" i="14" s="1"/>
  <c r="D72" i="2" s="1"/>
  <c r="I145" i="14"/>
  <c r="I147" i="14"/>
  <c r="G7" i="13"/>
  <c r="H7" i="13"/>
  <c r="I7" i="13"/>
  <c r="G8" i="13"/>
  <c r="H8" i="13"/>
  <c r="I8" i="13"/>
  <c r="G9" i="13"/>
  <c r="H9" i="13"/>
  <c r="H12" i="13" s="1"/>
  <c r="H15" i="13" s="1"/>
  <c r="H71" i="13" s="1"/>
  <c r="I9" i="13"/>
  <c r="G10" i="13"/>
  <c r="H10" i="13" s="1"/>
  <c r="I10" i="13"/>
  <c r="G19" i="13"/>
  <c r="H19" i="13"/>
  <c r="H30" i="13" s="1"/>
  <c r="I19" i="13"/>
  <c r="G20" i="13"/>
  <c r="H20" i="13"/>
  <c r="I20" i="13"/>
  <c r="G21" i="13"/>
  <c r="H21" i="13" s="1"/>
  <c r="I21" i="13"/>
  <c r="G22" i="13"/>
  <c r="H22" i="13" s="1"/>
  <c r="I22" i="13"/>
  <c r="G23" i="13"/>
  <c r="H23" i="13" s="1"/>
  <c r="I23" i="13"/>
  <c r="G24" i="13"/>
  <c r="H24" i="13"/>
  <c r="I24" i="13"/>
  <c r="G25" i="13"/>
  <c r="H25" i="13"/>
  <c r="I25" i="13"/>
  <c r="H26" i="13"/>
  <c r="I26" i="13"/>
  <c r="G27" i="13"/>
  <c r="H27" i="13"/>
  <c r="I27" i="13"/>
  <c r="G28" i="13"/>
  <c r="H28" i="13" s="1"/>
  <c r="I28" i="13"/>
  <c r="J30" i="13"/>
  <c r="G33" i="13"/>
  <c r="H33" i="13"/>
  <c r="I33" i="13"/>
  <c r="G34" i="13"/>
  <c r="H34" i="13" s="1"/>
  <c r="H38" i="13" s="1"/>
  <c r="I34" i="13"/>
  <c r="G35" i="13"/>
  <c r="H35" i="13"/>
  <c r="I35" i="13"/>
  <c r="G36" i="13"/>
  <c r="H36" i="13"/>
  <c r="I36" i="13"/>
  <c r="J38" i="13"/>
  <c r="G41" i="13"/>
  <c r="H41" i="13"/>
  <c r="I41" i="13"/>
  <c r="G42" i="13"/>
  <c r="H42" i="13"/>
  <c r="I42" i="13"/>
  <c r="G43" i="13"/>
  <c r="H43" i="13" s="1"/>
  <c r="I43" i="13"/>
  <c r="G44" i="13"/>
  <c r="H44" i="13" s="1"/>
  <c r="I44" i="13"/>
  <c r="G45" i="13"/>
  <c r="H45" i="13" s="1"/>
  <c r="I45" i="13"/>
  <c r="G46" i="13"/>
  <c r="H46" i="13" s="1"/>
  <c r="I46" i="13"/>
  <c r="G47" i="13"/>
  <c r="H47" i="13"/>
  <c r="I47" i="13"/>
  <c r="G48" i="13"/>
  <c r="H48" i="13" s="1"/>
  <c r="I48" i="13"/>
  <c r="G49" i="13"/>
  <c r="H49" i="13"/>
  <c r="I49" i="13"/>
  <c r="J51" i="13"/>
  <c r="J68" i="13" s="1"/>
  <c r="J72" i="13" s="1"/>
  <c r="G54" i="13"/>
  <c r="H54" i="13" s="1"/>
  <c r="H56" i="13" s="1"/>
  <c r="I54" i="13"/>
  <c r="G59" i="13"/>
  <c r="H59" i="13"/>
  <c r="I59" i="13"/>
  <c r="G60" i="13"/>
  <c r="I60" i="13"/>
  <c r="H62" i="13"/>
  <c r="J62" i="13"/>
  <c r="H65" i="13"/>
  <c r="J65" i="13"/>
  <c r="H66" i="13"/>
  <c r="J66" i="13"/>
  <c r="G10" i="12"/>
  <c r="H10" i="12" s="1"/>
  <c r="H12" i="12" s="1"/>
  <c r="I10" i="12"/>
  <c r="I12" i="12"/>
  <c r="J12" i="12"/>
  <c r="G15" i="12"/>
  <c r="H15" i="12"/>
  <c r="I15" i="12"/>
  <c r="J15" i="12"/>
  <c r="G16" i="12"/>
  <c r="H16" i="12" s="1"/>
  <c r="I16" i="12"/>
  <c r="I24" i="12" s="1"/>
  <c r="G17" i="12"/>
  <c r="H17" i="12" s="1"/>
  <c r="I17" i="12"/>
  <c r="J17" i="12"/>
  <c r="J24" i="12" s="1"/>
  <c r="G18" i="12"/>
  <c r="H18" i="12"/>
  <c r="I18" i="12"/>
  <c r="J18" i="12"/>
  <c r="G19" i="12"/>
  <c r="H19" i="12" s="1"/>
  <c r="I19" i="12"/>
  <c r="J19" i="12"/>
  <c r="G20" i="12"/>
  <c r="H20" i="12"/>
  <c r="I20" i="12"/>
  <c r="G21" i="12"/>
  <c r="H21" i="12" s="1"/>
  <c r="I21" i="12"/>
  <c r="J21" i="12"/>
  <c r="G22" i="12"/>
  <c r="H22" i="12" s="1"/>
  <c r="I22" i="12"/>
  <c r="J22" i="12"/>
  <c r="G27" i="12"/>
  <c r="H27" i="12" s="1"/>
  <c r="I27" i="12"/>
  <c r="G28" i="12"/>
  <c r="H28" i="12" s="1"/>
  <c r="I28" i="12"/>
  <c r="I30" i="12" s="1"/>
  <c r="I37" i="12" s="1"/>
  <c r="I41" i="12" s="1"/>
  <c r="I42" i="12" s="1"/>
  <c r="J30" i="12"/>
  <c r="J33" i="12"/>
  <c r="J35" i="12" s="1"/>
  <c r="H35" i="12"/>
  <c r="I35" i="12"/>
  <c r="G6" i="11"/>
  <c r="I6" i="11"/>
  <c r="G7" i="11"/>
  <c r="H7" i="11"/>
  <c r="H13" i="11" s="1"/>
  <c r="I7" i="11"/>
  <c r="I13" i="11" s="1"/>
  <c r="G8" i="11"/>
  <c r="H8" i="11"/>
  <c r="I8" i="11"/>
  <c r="G9" i="11"/>
  <c r="H9" i="11" s="1"/>
  <c r="I9" i="11"/>
  <c r="G10" i="11"/>
  <c r="H10" i="11"/>
  <c r="I10" i="11"/>
  <c r="G11" i="11"/>
  <c r="H11" i="11"/>
  <c r="I11" i="11"/>
  <c r="J13" i="11"/>
  <c r="G16" i="11"/>
  <c r="I16" i="11"/>
  <c r="H18" i="11"/>
  <c r="I18" i="11"/>
  <c r="J18" i="11"/>
  <c r="G21" i="11"/>
  <c r="H21" i="11" s="1"/>
  <c r="H30" i="11" s="1"/>
  <c r="I21" i="11"/>
  <c r="G22" i="11"/>
  <c r="H22" i="11" s="1"/>
  <c r="I22" i="11"/>
  <c r="G23" i="11"/>
  <c r="H23" i="11" s="1"/>
  <c r="G24" i="11"/>
  <c r="H24" i="11" s="1"/>
  <c r="G25" i="11"/>
  <c r="H25" i="11"/>
  <c r="G26" i="11"/>
  <c r="H26" i="11"/>
  <c r="I26" i="11"/>
  <c r="G27" i="11"/>
  <c r="H27" i="11" s="1"/>
  <c r="I27" i="11"/>
  <c r="G28" i="11"/>
  <c r="H28" i="11"/>
  <c r="I28" i="11"/>
  <c r="I30" i="11"/>
  <c r="J30" i="11"/>
  <c r="G34" i="11"/>
  <c r="H34" i="11" s="1"/>
  <c r="I34" i="11"/>
  <c r="J34" i="11"/>
  <c r="J38" i="11" s="1"/>
  <c r="J63" i="11" s="1"/>
  <c r="J70" i="11" s="1"/>
  <c r="J351" i="11" s="1"/>
  <c r="G35" i="11"/>
  <c r="H35" i="11" s="1"/>
  <c r="I35" i="11"/>
  <c r="I38" i="11" s="1"/>
  <c r="G36" i="11"/>
  <c r="H36" i="11" s="1"/>
  <c r="I36" i="11"/>
  <c r="G41" i="11"/>
  <c r="H41" i="11"/>
  <c r="H43" i="11" s="1"/>
  <c r="I41" i="11"/>
  <c r="J43" i="11"/>
  <c r="G46" i="11"/>
  <c r="H46" i="11"/>
  <c r="H49" i="11" s="1"/>
  <c r="I46" i="11"/>
  <c r="I49" i="11" s="1"/>
  <c r="G47" i="11"/>
  <c r="H47" i="11"/>
  <c r="I47" i="11"/>
  <c r="J49" i="11"/>
  <c r="G52" i="11"/>
  <c r="H52" i="11" s="1"/>
  <c r="H54" i="11" s="1"/>
  <c r="I52" i="11"/>
  <c r="I54" i="11"/>
  <c r="J54" i="11"/>
  <c r="G57" i="11"/>
  <c r="H57" i="11"/>
  <c r="I57" i="11"/>
  <c r="G58" i="11"/>
  <c r="H58" i="11" s="1"/>
  <c r="I58" i="11"/>
  <c r="I61" i="11" s="1"/>
  <c r="I63" i="11" s="1"/>
  <c r="G59" i="11"/>
  <c r="H59" i="11" s="1"/>
  <c r="I59" i="11"/>
  <c r="J61" i="11"/>
  <c r="I66" i="11"/>
  <c r="I68" i="11" s="1"/>
  <c r="J68" i="11"/>
  <c r="G75" i="11"/>
  <c r="H75" i="11"/>
  <c r="I75" i="11"/>
  <c r="G76" i="11"/>
  <c r="H76" i="11" s="1"/>
  <c r="I76" i="11"/>
  <c r="H77" i="11"/>
  <c r="I77" i="11"/>
  <c r="J79" i="11"/>
  <c r="G82" i="11"/>
  <c r="H82" i="11" s="1"/>
  <c r="I82" i="11"/>
  <c r="J82" i="11"/>
  <c r="G83" i="11"/>
  <c r="H83" i="11" s="1"/>
  <c r="I83" i="11"/>
  <c r="J83" i="11"/>
  <c r="G88" i="11"/>
  <c r="H88" i="11" s="1"/>
  <c r="H91" i="11" s="1"/>
  <c r="I88" i="11"/>
  <c r="G89" i="11"/>
  <c r="H89" i="11" s="1"/>
  <c r="I89" i="11"/>
  <c r="J91" i="11"/>
  <c r="H94" i="11"/>
  <c r="H97" i="11" s="1"/>
  <c r="I94" i="11"/>
  <c r="J94" i="11"/>
  <c r="J97" i="11" s="1"/>
  <c r="J133" i="11" s="1"/>
  <c r="H95" i="11"/>
  <c r="I95" i="11"/>
  <c r="G100" i="11"/>
  <c r="H100" i="11" s="1"/>
  <c r="I100" i="11"/>
  <c r="G101" i="11"/>
  <c r="H101" i="11" s="1"/>
  <c r="I101" i="11"/>
  <c r="G106" i="11"/>
  <c r="H106" i="11"/>
  <c r="H109" i="11" s="1"/>
  <c r="I106" i="11"/>
  <c r="G107" i="11"/>
  <c r="H107" i="11"/>
  <c r="I107" i="11"/>
  <c r="G112" i="11"/>
  <c r="H112" i="11"/>
  <c r="I112" i="11"/>
  <c r="G113" i="11"/>
  <c r="H113" i="11" s="1"/>
  <c r="I113" i="11"/>
  <c r="G118" i="11"/>
  <c r="H118" i="11"/>
  <c r="I118" i="11"/>
  <c r="H120" i="11"/>
  <c r="G123" i="11"/>
  <c r="H123" i="11" s="1"/>
  <c r="H125" i="11" s="1"/>
  <c r="I123" i="11"/>
  <c r="G128" i="11"/>
  <c r="H128" i="11" s="1"/>
  <c r="H131" i="11" s="1"/>
  <c r="I128" i="11"/>
  <c r="I131" i="11" s="1"/>
  <c r="G129" i="11"/>
  <c r="H129" i="11" s="1"/>
  <c r="I129" i="11"/>
  <c r="J131" i="11"/>
  <c r="I133" i="11"/>
  <c r="G136" i="11"/>
  <c r="H136" i="11" s="1"/>
  <c r="I136" i="11"/>
  <c r="I144" i="11" s="1"/>
  <c r="G137" i="11"/>
  <c r="H137" i="11" s="1"/>
  <c r="I137" i="11"/>
  <c r="G138" i="11"/>
  <c r="H138" i="11"/>
  <c r="I138" i="11"/>
  <c r="G139" i="11"/>
  <c r="H139" i="11"/>
  <c r="I139" i="11"/>
  <c r="G140" i="11"/>
  <c r="H140" i="11" s="1"/>
  <c r="I140" i="11"/>
  <c r="G141" i="11"/>
  <c r="H141" i="11" s="1"/>
  <c r="I141" i="11"/>
  <c r="G142" i="11"/>
  <c r="H142" i="11" s="1"/>
  <c r="I142" i="11"/>
  <c r="J144" i="11"/>
  <c r="H155" i="11"/>
  <c r="I155" i="11"/>
  <c r="J155" i="11"/>
  <c r="G158" i="11"/>
  <c r="H158" i="11" s="1"/>
  <c r="H160" i="11" s="1"/>
  <c r="I158" i="11"/>
  <c r="I160" i="11"/>
  <c r="I221" i="11" s="1"/>
  <c r="J160" i="11"/>
  <c r="H174" i="11"/>
  <c r="I174" i="11"/>
  <c r="J174" i="11"/>
  <c r="G177" i="11"/>
  <c r="H177" i="11" s="1"/>
  <c r="H180" i="11" s="1"/>
  <c r="J177" i="11"/>
  <c r="J180" i="11" s="1"/>
  <c r="G178" i="11"/>
  <c r="H178" i="11" s="1"/>
  <c r="I180" i="11"/>
  <c r="G183" i="11"/>
  <c r="H183" i="11" s="1"/>
  <c r="G184" i="11"/>
  <c r="H184" i="11"/>
  <c r="G185" i="11"/>
  <c r="H185" i="11" s="1"/>
  <c r="G186" i="11"/>
  <c r="H186" i="11" s="1"/>
  <c r="G187" i="11"/>
  <c r="H187" i="11" s="1"/>
  <c r="G188" i="11"/>
  <c r="H188" i="11"/>
  <c r="G189" i="11"/>
  <c r="H189" i="11" s="1"/>
  <c r="G190" i="11"/>
  <c r="H190" i="11" s="1"/>
  <c r="I192" i="11"/>
  <c r="J192" i="11"/>
  <c r="H197" i="11"/>
  <c r="H199" i="11"/>
  <c r="I199" i="11"/>
  <c r="J199" i="11"/>
  <c r="G202" i="11"/>
  <c r="H202" i="11" s="1"/>
  <c r="H208" i="11" s="1"/>
  <c r="G203" i="11"/>
  <c r="H203" i="11"/>
  <c r="I203" i="11"/>
  <c r="G204" i="11"/>
  <c r="H204" i="11" s="1"/>
  <c r="I204" i="11"/>
  <c r="G205" i="11"/>
  <c r="H205" i="11" s="1"/>
  <c r="I205" i="11"/>
  <c r="G206" i="11"/>
  <c r="H206" i="11"/>
  <c r="I206" i="11"/>
  <c r="I208" i="11"/>
  <c r="J208" i="11"/>
  <c r="G211" i="11"/>
  <c r="H211" i="11" s="1"/>
  <c r="H219" i="11" s="1"/>
  <c r="I211" i="11"/>
  <c r="G212" i="11"/>
  <c r="H212" i="11" s="1"/>
  <c r="I212" i="11"/>
  <c r="G213" i="11"/>
  <c r="H213" i="11" s="1"/>
  <c r="I213" i="11"/>
  <c r="G214" i="11"/>
  <c r="H214" i="11"/>
  <c r="I214" i="11"/>
  <c r="G215" i="11"/>
  <c r="H215" i="11" s="1"/>
  <c r="I215" i="11"/>
  <c r="G216" i="11"/>
  <c r="H216" i="11" s="1"/>
  <c r="I216" i="11"/>
  <c r="G217" i="11"/>
  <c r="H217" i="11"/>
  <c r="I217" i="11"/>
  <c r="I219" i="11"/>
  <c r="J219" i="11"/>
  <c r="G225" i="11"/>
  <c r="H225" i="11" s="1"/>
  <c r="H232" i="11" s="1"/>
  <c r="I225" i="11"/>
  <c r="G226" i="11"/>
  <c r="H226" i="11" s="1"/>
  <c r="I226" i="11"/>
  <c r="G227" i="11"/>
  <c r="H227" i="11"/>
  <c r="I227" i="11"/>
  <c r="I232" i="11" s="1"/>
  <c r="H228" i="11"/>
  <c r="I228" i="11"/>
  <c r="G229" i="11"/>
  <c r="H229" i="11" s="1"/>
  <c r="I229" i="11"/>
  <c r="G230" i="11"/>
  <c r="H230" i="11"/>
  <c r="I230" i="11"/>
  <c r="J232" i="11"/>
  <c r="G235" i="11"/>
  <c r="H235" i="11" s="1"/>
  <c r="I235" i="11"/>
  <c r="G236" i="11"/>
  <c r="H236" i="11"/>
  <c r="I236" i="11"/>
  <c r="G237" i="11"/>
  <c r="H237" i="11"/>
  <c r="I237" i="11"/>
  <c r="G238" i="11"/>
  <c r="H238" i="11" s="1"/>
  <c r="I238" i="11"/>
  <c r="I241" i="11" s="1"/>
  <c r="G239" i="11"/>
  <c r="H239" i="11" s="1"/>
  <c r="I239" i="11"/>
  <c r="J241" i="11"/>
  <c r="G244" i="11"/>
  <c r="H244" i="11"/>
  <c r="I244" i="11"/>
  <c r="I252" i="11" s="1"/>
  <c r="G245" i="11"/>
  <c r="H245" i="11" s="1"/>
  <c r="I245" i="11"/>
  <c r="G246" i="11"/>
  <c r="H246" i="11" s="1"/>
  <c r="I246" i="11"/>
  <c r="G247" i="11"/>
  <c r="H247" i="11"/>
  <c r="I247" i="11"/>
  <c r="G248" i="11"/>
  <c r="H248" i="11"/>
  <c r="I248" i="11"/>
  <c r="G249" i="11"/>
  <c r="H249" i="11" s="1"/>
  <c r="I249" i="11"/>
  <c r="I250" i="11"/>
  <c r="J252" i="11"/>
  <c r="J254" i="11" s="1"/>
  <c r="G257" i="11"/>
  <c r="H257" i="11"/>
  <c r="I257" i="11"/>
  <c r="I265" i="11" s="1"/>
  <c r="G258" i="11"/>
  <c r="H258" i="11" s="1"/>
  <c r="I258" i="11"/>
  <c r="G259" i="11"/>
  <c r="H259" i="11" s="1"/>
  <c r="I259" i="11"/>
  <c r="G260" i="11"/>
  <c r="H260" i="11"/>
  <c r="I260" i="11"/>
  <c r="G261" i="11"/>
  <c r="H261" i="11"/>
  <c r="I261" i="11"/>
  <c r="G262" i="11"/>
  <c r="H262" i="11" s="1"/>
  <c r="I262" i="11"/>
  <c r="G263" i="11"/>
  <c r="H263" i="11" s="1"/>
  <c r="I263" i="11"/>
  <c r="J265" i="11"/>
  <c r="G269" i="11"/>
  <c r="H269" i="11"/>
  <c r="H271" i="11" s="1"/>
  <c r="I269" i="11"/>
  <c r="I271" i="11" s="1"/>
  <c r="J271" i="11"/>
  <c r="G274" i="11"/>
  <c r="H274" i="11" s="1"/>
  <c r="H278" i="11" s="1"/>
  <c r="I274" i="11"/>
  <c r="G275" i="11"/>
  <c r="H275" i="11"/>
  <c r="I275" i="11"/>
  <c r="I278" i="11" s="1"/>
  <c r="G276" i="11"/>
  <c r="H276" i="11"/>
  <c r="I276" i="11"/>
  <c r="J278" i="11"/>
  <c r="G281" i="11"/>
  <c r="H281" i="11" s="1"/>
  <c r="H285" i="11" s="1"/>
  <c r="I281" i="11"/>
  <c r="G282" i="11"/>
  <c r="H282" i="11" s="1"/>
  <c r="I282" i="11"/>
  <c r="I285" i="11" s="1"/>
  <c r="G283" i="11"/>
  <c r="H283" i="11"/>
  <c r="I283" i="11"/>
  <c r="J285" i="11"/>
  <c r="G288" i="11"/>
  <c r="H288" i="11" s="1"/>
  <c r="H291" i="11" s="1"/>
  <c r="I288" i="11"/>
  <c r="G289" i="11"/>
  <c r="H289" i="11"/>
  <c r="I289" i="11"/>
  <c r="I291" i="11"/>
  <c r="J291" i="11"/>
  <c r="G294" i="11"/>
  <c r="H294" i="11" s="1"/>
  <c r="H298" i="11" s="1"/>
  <c r="I294" i="11"/>
  <c r="G295" i="11"/>
  <c r="H295" i="11" s="1"/>
  <c r="I295" i="11"/>
  <c r="G296" i="11"/>
  <c r="H296" i="11" s="1"/>
  <c r="I296" i="11"/>
  <c r="I298" i="11"/>
  <c r="J298" i="11"/>
  <c r="J305" i="11" s="1"/>
  <c r="G301" i="11"/>
  <c r="H301" i="11" s="1"/>
  <c r="H303" i="11" s="1"/>
  <c r="I301" i="11"/>
  <c r="I303" i="11" s="1"/>
  <c r="J303" i="11"/>
  <c r="H309" i="11"/>
  <c r="I309" i="11"/>
  <c r="G310" i="11"/>
  <c r="H310" i="11" s="1"/>
  <c r="H314" i="11" s="1"/>
  <c r="I310" i="11"/>
  <c r="H311" i="11"/>
  <c r="I311" i="11"/>
  <c r="I314" i="11" s="1"/>
  <c r="H312" i="11"/>
  <c r="I312" i="11"/>
  <c r="J314" i="11"/>
  <c r="G317" i="11"/>
  <c r="H317" i="11"/>
  <c r="I317" i="11"/>
  <c r="I322" i="11" s="1"/>
  <c r="G318" i="11"/>
  <c r="H318" i="11" s="1"/>
  <c r="I318" i="11"/>
  <c r="G319" i="11"/>
  <c r="H319" i="11" s="1"/>
  <c r="I319" i="11"/>
  <c r="G320" i="11"/>
  <c r="H320" i="11"/>
  <c r="I320" i="11"/>
  <c r="J322" i="11"/>
  <c r="G325" i="11"/>
  <c r="H325" i="11"/>
  <c r="H327" i="11" s="1"/>
  <c r="I325" i="11"/>
  <c r="G327" i="11"/>
  <c r="J327" i="11"/>
  <c r="J329" i="11" s="1"/>
  <c r="G332" i="11"/>
  <c r="H332" i="11"/>
  <c r="I332" i="11"/>
  <c r="G333" i="11"/>
  <c r="H333" i="11" s="1"/>
  <c r="I333" i="11"/>
  <c r="G334" i="11"/>
  <c r="H334" i="11" s="1"/>
  <c r="I334" i="11"/>
  <c r="G335" i="11"/>
  <c r="I335" i="11"/>
  <c r="G336" i="11"/>
  <c r="H336" i="11" s="1"/>
  <c r="I336" i="11"/>
  <c r="G337" i="11"/>
  <c r="H337" i="11" s="1"/>
  <c r="I337" i="11"/>
  <c r="G338" i="11"/>
  <c r="H338" i="11"/>
  <c r="I338" i="11"/>
  <c r="I340" i="11"/>
  <c r="J340" i="11"/>
  <c r="G343" i="11"/>
  <c r="H343" i="11" s="1"/>
  <c r="I343" i="11"/>
  <c r="I346" i="11" s="1"/>
  <c r="G344" i="11"/>
  <c r="H344" i="11" s="1"/>
  <c r="I344" i="11"/>
  <c r="G10" i="10"/>
  <c r="H10" i="10"/>
  <c r="H13" i="10" s="1"/>
  <c r="I10" i="10"/>
  <c r="G11" i="10"/>
  <c r="H11" i="10"/>
  <c r="I11" i="10"/>
  <c r="I13" i="10"/>
  <c r="I20" i="10" s="1"/>
  <c r="I24" i="10" s="1"/>
  <c r="I25" i="10" s="1"/>
  <c r="J13" i="10"/>
  <c r="G16" i="10"/>
  <c r="H16" i="10" s="1"/>
  <c r="H18" i="10" s="1"/>
  <c r="I16" i="10"/>
  <c r="I18" i="10"/>
  <c r="J18" i="10"/>
  <c r="J20" i="10"/>
  <c r="H23" i="10"/>
  <c r="I23" i="10"/>
  <c r="J23" i="10"/>
  <c r="J25" i="10" s="1"/>
  <c r="J24" i="10"/>
  <c r="D77" i="2" s="1"/>
  <c r="G5" i="9"/>
  <c r="H5" i="9" s="1"/>
  <c r="H7" i="9" s="1"/>
  <c r="H9" i="9" s="1"/>
  <c r="H82" i="9" s="1"/>
  <c r="I5" i="9"/>
  <c r="I7" i="9"/>
  <c r="J7" i="9"/>
  <c r="J9" i="9" s="1"/>
  <c r="I9" i="9"/>
  <c r="B13" i="9"/>
  <c r="G13" i="9"/>
  <c r="H13" i="9" s="1"/>
  <c r="H15" i="9" s="1"/>
  <c r="I13" i="9"/>
  <c r="B18" i="9"/>
  <c r="B19" i="9" s="1"/>
  <c r="B20" i="9" s="1"/>
  <c r="B21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5" i="9" s="1"/>
  <c r="B46" i="9" s="1"/>
  <c r="B47" i="9" s="1"/>
  <c r="B48" i="9" s="1"/>
  <c r="B49" i="9" s="1"/>
  <c r="B50" i="9" s="1"/>
  <c r="B55" i="9" s="1"/>
  <c r="B56" i="9" s="1"/>
  <c r="B57" i="9" s="1"/>
  <c r="B62" i="9" s="1"/>
  <c r="B63" i="9" s="1"/>
  <c r="B68" i="9" s="1"/>
  <c r="B69" i="9" s="1"/>
  <c r="B70" i="9" s="1"/>
  <c r="B75" i="9" s="1"/>
  <c r="G18" i="9"/>
  <c r="H18" i="9" s="1"/>
  <c r="I18" i="9"/>
  <c r="G19" i="9"/>
  <c r="H19" i="9"/>
  <c r="I19" i="9"/>
  <c r="G20" i="9"/>
  <c r="H20" i="9" s="1"/>
  <c r="I20" i="9"/>
  <c r="G21" i="9"/>
  <c r="H21" i="9"/>
  <c r="I21" i="9"/>
  <c r="G26" i="9"/>
  <c r="H26" i="9"/>
  <c r="I26" i="9"/>
  <c r="G27" i="9"/>
  <c r="H27" i="9" s="1"/>
  <c r="I27" i="9"/>
  <c r="G28" i="9"/>
  <c r="H28" i="9"/>
  <c r="I28" i="9"/>
  <c r="G29" i="9"/>
  <c r="H29" i="9" s="1"/>
  <c r="I29" i="9"/>
  <c r="I42" i="9" s="1"/>
  <c r="G30" i="9"/>
  <c r="H30" i="9"/>
  <c r="I30" i="9"/>
  <c r="G31" i="9"/>
  <c r="H31" i="9" s="1"/>
  <c r="I31" i="9"/>
  <c r="G32" i="9"/>
  <c r="H32" i="9"/>
  <c r="I32" i="9"/>
  <c r="G33" i="9"/>
  <c r="H33" i="9" s="1"/>
  <c r="I33" i="9"/>
  <c r="G34" i="9"/>
  <c r="H34" i="9"/>
  <c r="I34" i="9"/>
  <c r="G35" i="9"/>
  <c r="H35" i="9" s="1"/>
  <c r="I35" i="9"/>
  <c r="G36" i="9"/>
  <c r="H36" i="9"/>
  <c r="I36" i="9"/>
  <c r="G37" i="9"/>
  <c r="H37" i="9" s="1"/>
  <c r="I37" i="9"/>
  <c r="G38" i="9"/>
  <c r="H38" i="9"/>
  <c r="I38" i="9"/>
  <c r="G39" i="9"/>
  <c r="H39" i="9" s="1"/>
  <c r="I39" i="9"/>
  <c r="G40" i="9"/>
  <c r="H40" i="9"/>
  <c r="I40" i="9"/>
  <c r="J42" i="9"/>
  <c r="G45" i="9"/>
  <c r="H45" i="9" s="1"/>
  <c r="I45" i="9"/>
  <c r="G46" i="9"/>
  <c r="H46" i="9"/>
  <c r="I46" i="9"/>
  <c r="G47" i="9"/>
  <c r="H47" i="9" s="1"/>
  <c r="I47" i="9"/>
  <c r="G48" i="9"/>
  <c r="H48" i="9"/>
  <c r="I48" i="9"/>
  <c r="G49" i="9"/>
  <c r="H49" i="9" s="1"/>
  <c r="I49" i="9"/>
  <c r="G50" i="9"/>
  <c r="H50" i="9"/>
  <c r="I50" i="9"/>
  <c r="I52" i="9"/>
  <c r="J52" i="9"/>
  <c r="G55" i="9"/>
  <c r="H55" i="9" s="1"/>
  <c r="H59" i="9" s="1"/>
  <c r="I55" i="9"/>
  <c r="G56" i="9"/>
  <c r="H56" i="9"/>
  <c r="I56" i="9"/>
  <c r="G57" i="9"/>
  <c r="H57" i="9" s="1"/>
  <c r="I57" i="9"/>
  <c r="G62" i="9"/>
  <c r="H62" i="9" s="1"/>
  <c r="H65" i="9" s="1"/>
  <c r="I62" i="9"/>
  <c r="G63" i="9"/>
  <c r="H63" i="9"/>
  <c r="I63" i="9"/>
  <c r="G68" i="9"/>
  <c r="H68" i="9" s="1"/>
  <c r="H72" i="9" s="1"/>
  <c r="I68" i="9"/>
  <c r="G69" i="9"/>
  <c r="H69" i="9" s="1"/>
  <c r="I69" i="9"/>
  <c r="G70" i="9"/>
  <c r="H70" i="9" s="1"/>
  <c r="I70" i="9"/>
  <c r="G75" i="9"/>
  <c r="H75" i="9"/>
  <c r="H77" i="9" s="1"/>
  <c r="I75" i="9"/>
  <c r="I82" i="9"/>
  <c r="J82" i="9"/>
  <c r="J83" i="9"/>
  <c r="J84" i="9" s="1"/>
  <c r="G10" i="8"/>
  <c r="H10" i="8" s="1"/>
  <c r="H14" i="8" s="1"/>
  <c r="I10" i="8"/>
  <c r="G11" i="8"/>
  <c r="H11" i="8"/>
  <c r="I11" i="8"/>
  <c r="G12" i="8"/>
  <c r="H12" i="8"/>
  <c r="I12" i="8"/>
  <c r="I14" i="8"/>
  <c r="J14" i="8"/>
  <c r="G17" i="8"/>
  <c r="H17" i="8" s="1"/>
  <c r="H20" i="8" s="1"/>
  <c r="I17" i="8"/>
  <c r="I18" i="8"/>
  <c r="I20" i="8" s="1"/>
  <c r="C20" i="8"/>
  <c r="J20" i="8"/>
  <c r="H23" i="8"/>
  <c r="H26" i="8" s="1"/>
  <c r="I23" i="8"/>
  <c r="G24" i="8"/>
  <c r="H24" i="8"/>
  <c r="I24" i="8"/>
  <c r="C26" i="8"/>
  <c r="J26" i="8"/>
  <c r="G29" i="8"/>
  <c r="H29" i="8" s="1"/>
  <c r="H32" i="8" s="1"/>
  <c r="I29" i="8"/>
  <c r="I30" i="8"/>
  <c r="J32" i="8"/>
  <c r="G35" i="8"/>
  <c r="H35" i="8" s="1"/>
  <c r="I35" i="8"/>
  <c r="G36" i="8"/>
  <c r="H36" i="8" s="1"/>
  <c r="I36" i="8"/>
  <c r="G37" i="8"/>
  <c r="H37" i="8" s="1"/>
  <c r="I37" i="8"/>
  <c r="G38" i="8"/>
  <c r="H38" i="8"/>
  <c r="I38" i="8"/>
  <c r="I39" i="8"/>
  <c r="J41" i="8"/>
  <c r="G43" i="8"/>
  <c r="H43" i="8" s="1"/>
  <c r="I43" i="8"/>
  <c r="G44" i="8"/>
  <c r="H44" i="8" s="1"/>
  <c r="I44" i="8"/>
  <c r="C46" i="8"/>
  <c r="J46" i="8"/>
  <c r="I49" i="8"/>
  <c r="I50" i="8"/>
  <c r="I51" i="8"/>
  <c r="I53" i="8" s="1"/>
  <c r="C53" i="8"/>
  <c r="H53" i="8"/>
  <c r="J53" i="8"/>
  <c r="I56" i="8"/>
  <c r="J58" i="8"/>
  <c r="I61" i="8"/>
  <c r="J61" i="8"/>
  <c r="J63" i="8" s="1"/>
  <c r="J62" i="8"/>
  <c r="G10" i="7"/>
  <c r="H10" i="7" s="1"/>
  <c r="I10" i="7"/>
  <c r="G11" i="7"/>
  <c r="H11" i="7"/>
  <c r="I11" i="7"/>
  <c r="I24" i="7" s="1"/>
  <c r="G12" i="7"/>
  <c r="H12" i="7"/>
  <c r="I12" i="7"/>
  <c r="J12" i="7" s="1"/>
  <c r="J24" i="7" s="1"/>
  <c r="G13" i="7"/>
  <c r="H13" i="7" s="1"/>
  <c r="I13" i="7"/>
  <c r="J13" i="7" s="1"/>
  <c r="G14" i="7"/>
  <c r="H14" i="7"/>
  <c r="I14" i="7"/>
  <c r="G15" i="7"/>
  <c r="H15" i="7"/>
  <c r="I15" i="7"/>
  <c r="G16" i="7"/>
  <c r="H16" i="7" s="1"/>
  <c r="I16" i="7"/>
  <c r="G17" i="7"/>
  <c r="H17" i="7" s="1"/>
  <c r="I17" i="7"/>
  <c r="G18" i="7"/>
  <c r="H18" i="7"/>
  <c r="I18" i="7"/>
  <c r="G19" i="7"/>
  <c r="H19" i="7" s="1"/>
  <c r="I19" i="7"/>
  <c r="G20" i="7"/>
  <c r="H20" i="7" s="1"/>
  <c r="I20" i="7"/>
  <c r="G21" i="7"/>
  <c r="H21" i="7"/>
  <c r="I21" i="7"/>
  <c r="G22" i="7"/>
  <c r="H22" i="7"/>
  <c r="I22" i="7"/>
  <c r="G28" i="7"/>
  <c r="H28" i="7" s="1"/>
  <c r="I28" i="7"/>
  <c r="G29" i="7"/>
  <c r="H29" i="7" s="1"/>
  <c r="I29" i="7"/>
  <c r="G30" i="7"/>
  <c r="H30" i="7"/>
  <c r="I30" i="7"/>
  <c r="G31" i="7"/>
  <c r="H31" i="7" s="1"/>
  <c r="I31" i="7"/>
  <c r="I40" i="7" s="1"/>
  <c r="G32" i="7"/>
  <c r="H32" i="7"/>
  <c r="I32" i="7"/>
  <c r="G33" i="7"/>
  <c r="H33" i="7"/>
  <c r="I33" i="7"/>
  <c r="G34" i="7"/>
  <c r="H34" i="7"/>
  <c r="I34" i="7"/>
  <c r="G35" i="7"/>
  <c r="H35" i="7" s="1"/>
  <c r="I35" i="7"/>
  <c r="G36" i="7"/>
  <c r="H36" i="7" s="1"/>
  <c r="I36" i="7"/>
  <c r="G37" i="7"/>
  <c r="H37" i="7" s="1"/>
  <c r="I37" i="7"/>
  <c r="G38" i="7"/>
  <c r="H38" i="7"/>
  <c r="I38" i="7"/>
  <c r="J40" i="7"/>
  <c r="J51" i="7" s="1"/>
  <c r="G43" i="7"/>
  <c r="H43" i="7"/>
  <c r="I43" i="7"/>
  <c r="I49" i="7" s="1"/>
  <c r="I51" i="7" s="1"/>
  <c r="G44" i="7"/>
  <c r="H44" i="7"/>
  <c r="I44" i="7"/>
  <c r="G45" i="7"/>
  <c r="H45" i="7"/>
  <c r="I45" i="7"/>
  <c r="G46" i="7"/>
  <c r="H46" i="7" s="1"/>
  <c r="I46" i="7"/>
  <c r="G47" i="7"/>
  <c r="H47" i="7"/>
  <c r="I47" i="7"/>
  <c r="J49" i="7"/>
  <c r="G54" i="7"/>
  <c r="H54" i="7" s="1"/>
  <c r="I54" i="7"/>
  <c r="I60" i="7" s="1"/>
  <c r="G55" i="7"/>
  <c r="H55" i="7"/>
  <c r="I55" i="7"/>
  <c r="G56" i="7"/>
  <c r="H56" i="7"/>
  <c r="I56" i="7"/>
  <c r="G57" i="7"/>
  <c r="H57" i="7"/>
  <c r="I57" i="7"/>
  <c r="G58" i="7"/>
  <c r="H58" i="7" s="1"/>
  <c r="I58" i="7"/>
  <c r="J60" i="7"/>
  <c r="G63" i="7"/>
  <c r="H63" i="7" s="1"/>
  <c r="I63" i="7"/>
  <c r="G64" i="7"/>
  <c r="H64" i="7"/>
  <c r="I64" i="7"/>
  <c r="G65" i="7"/>
  <c r="H65" i="7" s="1"/>
  <c r="I65" i="7"/>
  <c r="G66" i="7"/>
  <c r="H66" i="7"/>
  <c r="I66" i="7"/>
  <c r="G67" i="7"/>
  <c r="H67" i="7"/>
  <c r="I67" i="7"/>
  <c r="G68" i="7"/>
  <c r="H68" i="7"/>
  <c r="I68" i="7"/>
  <c r="G69" i="7"/>
  <c r="H69" i="7" s="1"/>
  <c r="I69" i="7"/>
  <c r="G70" i="7"/>
  <c r="H70" i="7" s="1"/>
  <c r="I70" i="7"/>
  <c r="G71" i="7"/>
  <c r="H71" i="7" s="1"/>
  <c r="I71" i="7"/>
  <c r="G72" i="7"/>
  <c r="H72" i="7"/>
  <c r="I72" i="7"/>
  <c r="J74" i="7"/>
  <c r="J86" i="7"/>
  <c r="G10" i="6"/>
  <c r="H10" i="6" s="1"/>
  <c r="H13" i="6" s="1"/>
  <c r="I10" i="6"/>
  <c r="G11" i="6"/>
  <c r="H11" i="6"/>
  <c r="I13" i="6"/>
  <c r="J13" i="6"/>
  <c r="G16" i="6"/>
  <c r="H16" i="6" s="1"/>
  <c r="H19" i="6" s="1"/>
  <c r="I16" i="6"/>
  <c r="G17" i="6"/>
  <c r="H17" i="6"/>
  <c r="I17" i="6"/>
  <c r="I19" i="6"/>
  <c r="J19" i="6"/>
  <c r="G22" i="6"/>
  <c r="H22" i="6" s="1"/>
  <c r="I22" i="6"/>
  <c r="G23" i="6"/>
  <c r="H23" i="6"/>
  <c r="I23" i="6"/>
  <c r="I29" i="6" s="1"/>
  <c r="G24" i="6"/>
  <c r="H24" i="6" s="1"/>
  <c r="I24" i="6"/>
  <c r="G25" i="6"/>
  <c r="H25" i="6" s="1"/>
  <c r="I25" i="6"/>
  <c r="E26" i="6"/>
  <c r="F26" i="6"/>
  <c r="G26" i="6"/>
  <c r="H26" i="6" s="1"/>
  <c r="I26" i="6"/>
  <c r="I27" i="6"/>
  <c r="J29" i="6"/>
  <c r="I32" i="6"/>
  <c r="G33" i="6"/>
  <c r="H33" i="6" s="1"/>
  <c r="H40" i="6" s="1"/>
  <c r="I33" i="6"/>
  <c r="I34" i="6"/>
  <c r="I35" i="6"/>
  <c r="I36" i="6"/>
  <c r="I37" i="6"/>
  <c r="I38" i="6"/>
  <c r="I40" i="6"/>
  <c r="J40" i="6"/>
  <c r="G43" i="6"/>
  <c r="H43" i="6" s="1"/>
  <c r="H47" i="6" s="1"/>
  <c r="I43" i="6"/>
  <c r="F44" i="6"/>
  <c r="G44" i="6" s="1"/>
  <c r="H44" i="6" s="1"/>
  <c r="I44" i="6"/>
  <c r="I47" i="6" s="1"/>
  <c r="I55" i="6" s="1"/>
  <c r="I59" i="6" s="1"/>
  <c r="I60" i="6" s="1"/>
  <c r="F45" i="6"/>
  <c r="G45" i="6" s="1"/>
  <c r="H45" i="6" s="1"/>
  <c r="I45" i="6"/>
  <c r="J47" i="6"/>
  <c r="J55" i="6" s="1"/>
  <c r="J59" i="6" s="1"/>
  <c r="I50" i="6"/>
  <c r="I53" i="6" s="1"/>
  <c r="I51" i="6"/>
  <c r="H53" i="6"/>
  <c r="J53" i="6"/>
  <c r="H58" i="6"/>
  <c r="I58" i="6"/>
  <c r="J58" i="6"/>
  <c r="G6" i="5"/>
  <c r="H6" i="5" s="1"/>
  <c r="H8" i="5" s="1"/>
  <c r="I6" i="5"/>
  <c r="J8" i="5"/>
  <c r="J20" i="5" s="1"/>
  <c r="J22" i="5" s="1"/>
  <c r="J92" i="5" s="1"/>
  <c r="B11" i="5"/>
  <c r="G11" i="5"/>
  <c r="H11" i="5"/>
  <c r="I11" i="5"/>
  <c r="I13" i="5" s="1"/>
  <c r="H13" i="5"/>
  <c r="J13" i="5"/>
  <c r="G16" i="5"/>
  <c r="H16" i="5" s="1"/>
  <c r="I16" i="5"/>
  <c r="J16" i="5"/>
  <c r="G17" i="5"/>
  <c r="H17" i="5"/>
  <c r="I17" i="5"/>
  <c r="J17" i="5"/>
  <c r="B18" i="5"/>
  <c r="B26" i="5" s="1"/>
  <c r="B27" i="5" s="1"/>
  <c r="B28" i="5" s="1"/>
  <c r="B33" i="5" s="1"/>
  <c r="B34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53" i="5" s="1"/>
  <c r="B54" i="5" s="1"/>
  <c r="B55" i="5" s="1"/>
  <c r="B56" i="5" s="1"/>
  <c r="B57" i="5" s="1"/>
  <c r="B58" i="5" s="1"/>
  <c r="B63" i="5" s="1"/>
  <c r="B64" i="5" s="1"/>
  <c r="B65" i="5" s="1"/>
  <c r="B66" i="5" s="1"/>
  <c r="B67" i="5" s="1"/>
  <c r="B72" i="5" s="1"/>
  <c r="B73" i="5" s="1"/>
  <c r="B78" i="5" s="1"/>
  <c r="B79" i="5" s="1"/>
  <c r="B84" i="5" s="1"/>
  <c r="G18" i="5"/>
  <c r="H18" i="5" s="1"/>
  <c r="G26" i="5"/>
  <c r="H26" i="5"/>
  <c r="I26" i="5"/>
  <c r="G27" i="5"/>
  <c r="H27" i="5"/>
  <c r="I27" i="5"/>
  <c r="I30" i="5" s="1"/>
  <c r="G28" i="5"/>
  <c r="H28" i="5"/>
  <c r="I28" i="5"/>
  <c r="H30" i="5"/>
  <c r="J30" i="5"/>
  <c r="G33" i="5"/>
  <c r="H33" i="5" s="1"/>
  <c r="H36" i="5" s="1"/>
  <c r="I33" i="5"/>
  <c r="J33" i="5" s="1"/>
  <c r="G34" i="5"/>
  <c r="H34" i="5"/>
  <c r="I34" i="5"/>
  <c r="G39" i="5"/>
  <c r="H39" i="5" s="1"/>
  <c r="I39" i="5"/>
  <c r="G40" i="5"/>
  <c r="H40" i="5" s="1"/>
  <c r="I40" i="5"/>
  <c r="G41" i="5"/>
  <c r="H41" i="5" s="1"/>
  <c r="I41" i="5"/>
  <c r="G42" i="5"/>
  <c r="H42" i="5" s="1"/>
  <c r="I42" i="5"/>
  <c r="G43" i="5"/>
  <c r="H43" i="5" s="1"/>
  <c r="I43" i="5"/>
  <c r="G44" i="5"/>
  <c r="H44" i="5" s="1"/>
  <c r="I44" i="5"/>
  <c r="G45" i="5"/>
  <c r="H45" i="5" s="1"/>
  <c r="I45" i="5"/>
  <c r="G46" i="5"/>
  <c r="H46" i="5" s="1"/>
  <c r="I46" i="5"/>
  <c r="G47" i="5"/>
  <c r="H47" i="5" s="1"/>
  <c r="I47" i="5"/>
  <c r="G48" i="5"/>
  <c r="H48" i="5" s="1"/>
  <c r="I48" i="5"/>
  <c r="G53" i="5"/>
  <c r="H53" i="5" s="1"/>
  <c r="I53" i="5"/>
  <c r="G54" i="5"/>
  <c r="H54" i="5"/>
  <c r="I54" i="5"/>
  <c r="G55" i="5"/>
  <c r="H55" i="5" s="1"/>
  <c r="I55" i="5"/>
  <c r="G56" i="5"/>
  <c r="H56" i="5"/>
  <c r="I56" i="5"/>
  <c r="G57" i="5"/>
  <c r="H57" i="5" s="1"/>
  <c r="I57" i="5"/>
  <c r="G58" i="5"/>
  <c r="H58" i="5"/>
  <c r="I58" i="5"/>
  <c r="I60" i="5"/>
  <c r="J60" i="5"/>
  <c r="G63" i="5"/>
  <c r="H63" i="5" s="1"/>
  <c r="H69" i="5" s="1"/>
  <c r="I63" i="5"/>
  <c r="I69" i="5" s="1"/>
  <c r="G64" i="5"/>
  <c r="H64" i="5"/>
  <c r="I64" i="5"/>
  <c r="G65" i="5"/>
  <c r="H65" i="5" s="1"/>
  <c r="I65" i="5"/>
  <c r="G66" i="5"/>
  <c r="H66" i="5"/>
  <c r="I66" i="5"/>
  <c r="G67" i="5"/>
  <c r="H67" i="5" s="1"/>
  <c r="I67" i="5"/>
  <c r="J69" i="5"/>
  <c r="G72" i="5"/>
  <c r="H72" i="5"/>
  <c r="I72" i="5"/>
  <c r="G73" i="5"/>
  <c r="H73" i="5"/>
  <c r="I73" i="5"/>
  <c r="I75" i="5" s="1"/>
  <c r="H75" i="5"/>
  <c r="J75" i="5"/>
  <c r="G78" i="5"/>
  <c r="H78" i="5" s="1"/>
  <c r="I78" i="5"/>
  <c r="G79" i="5"/>
  <c r="H79" i="5" s="1"/>
  <c r="I79" i="5"/>
  <c r="I81" i="5"/>
  <c r="J81" i="5"/>
  <c r="G84" i="5"/>
  <c r="H84" i="5" s="1"/>
  <c r="H86" i="5" s="1"/>
  <c r="I84" i="5"/>
  <c r="I86" i="5"/>
  <c r="J86" i="5"/>
  <c r="G10" i="4"/>
  <c r="H10" i="4" s="1"/>
  <c r="I10" i="4"/>
  <c r="E11" i="4"/>
  <c r="G11" i="4" s="1"/>
  <c r="H11" i="4" s="1"/>
  <c r="I11" i="4"/>
  <c r="I13" i="4"/>
  <c r="J13" i="4"/>
  <c r="B16" i="4"/>
  <c r="B21" i="4" s="1"/>
  <c r="B22" i="4" s="1"/>
  <c r="G16" i="4"/>
  <c r="H16" i="4" s="1"/>
  <c r="H18" i="4" s="1"/>
  <c r="I16" i="4"/>
  <c r="I18" i="4"/>
  <c r="J18" i="4"/>
  <c r="J25" i="4" s="1"/>
  <c r="J29" i="4" s="1"/>
  <c r="G21" i="4"/>
  <c r="H21" i="4" s="1"/>
  <c r="H24" i="4" s="1"/>
  <c r="I21" i="4"/>
  <c r="G22" i="4"/>
  <c r="H22" i="4"/>
  <c r="I22" i="4"/>
  <c r="I24" i="4" s="1"/>
  <c r="J24" i="4"/>
  <c r="E7" i="3"/>
  <c r="G7" i="3" s="1"/>
  <c r="H7" i="3"/>
  <c r="G9" i="3"/>
  <c r="H9" i="3"/>
  <c r="C11" i="2" s="1"/>
  <c r="H11" i="3"/>
  <c r="G13" i="3"/>
  <c r="H13" i="3" s="1"/>
  <c r="C13" i="2" s="1"/>
  <c r="G15" i="3"/>
  <c r="H15" i="3" s="1"/>
  <c r="C14" i="2" s="1"/>
  <c r="F17" i="3"/>
  <c r="G17" i="3"/>
  <c r="H17" i="3"/>
  <c r="C15" i="2" s="1"/>
  <c r="G19" i="3"/>
  <c r="H19" i="3"/>
  <c r="G20" i="3"/>
  <c r="H20" i="3" s="1"/>
  <c r="C16" i="2" s="1"/>
  <c r="G22" i="3"/>
  <c r="H22" i="3"/>
  <c r="I22" i="3"/>
  <c r="I24" i="3"/>
  <c r="B28" i="3"/>
  <c r="B30" i="3" s="1"/>
  <c r="B32" i="3" s="1"/>
  <c r="B34" i="3" s="1"/>
  <c r="B36" i="3" s="1"/>
  <c r="B38" i="3" s="1"/>
  <c r="G28" i="3"/>
  <c r="H28" i="3" s="1"/>
  <c r="G30" i="3"/>
  <c r="H30" i="3"/>
  <c r="G32" i="3"/>
  <c r="H32" i="3"/>
  <c r="G34" i="3"/>
  <c r="H34" i="3" s="1"/>
  <c r="C45" i="2" s="1"/>
  <c r="G36" i="3"/>
  <c r="H36" i="3"/>
  <c r="C46" i="2" s="1"/>
  <c r="G38" i="3"/>
  <c r="H38" i="3"/>
  <c r="G40" i="3"/>
  <c r="H40" i="3" s="1"/>
  <c r="C48" i="2" s="1"/>
  <c r="G42" i="3"/>
  <c r="H42" i="3"/>
  <c r="I44" i="3"/>
  <c r="I46" i="3"/>
  <c r="E51" i="3"/>
  <c r="G51" i="3" s="1"/>
  <c r="H51" i="3" s="1"/>
  <c r="E53" i="3"/>
  <c r="G53" i="3"/>
  <c r="H53" i="3" s="1"/>
  <c r="B54" i="3"/>
  <c r="G54" i="3"/>
  <c r="H54" i="3" s="1"/>
  <c r="H57" i="3"/>
  <c r="G59" i="3"/>
  <c r="H59" i="3"/>
  <c r="H61" i="3"/>
  <c r="C61" i="2" s="1"/>
  <c r="I65" i="3"/>
  <c r="G69" i="3"/>
  <c r="H69" i="3" s="1"/>
  <c r="G70" i="3"/>
  <c r="H70" i="3"/>
  <c r="G71" i="3"/>
  <c r="H71" i="3"/>
  <c r="G72" i="3"/>
  <c r="H72" i="3"/>
  <c r="G73" i="3"/>
  <c r="H73" i="3" s="1"/>
  <c r="G74" i="3"/>
  <c r="H74" i="3"/>
  <c r="H76" i="3"/>
  <c r="H78" i="3"/>
  <c r="C89" i="2" s="1"/>
  <c r="G80" i="3"/>
  <c r="H80" i="3"/>
  <c r="I80" i="3"/>
  <c r="I85" i="3" s="1"/>
  <c r="G81" i="3"/>
  <c r="H81" i="3" s="1"/>
  <c r="C90" i="2" s="1"/>
  <c r="I81" i="3"/>
  <c r="G82" i="3"/>
  <c r="H82" i="3"/>
  <c r="G83" i="3"/>
  <c r="H83" i="3" s="1"/>
  <c r="I83" i="3"/>
  <c r="E89" i="3"/>
  <c r="G89" i="3" s="1"/>
  <c r="H89" i="3" s="1"/>
  <c r="H90" i="3"/>
  <c r="I93" i="3"/>
  <c r="I94" i="3"/>
  <c r="G95" i="3"/>
  <c r="H95" i="3" s="1"/>
  <c r="G97" i="3"/>
  <c r="H97" i="3"/>
  <c r="I97" i="3" s="1"/>
  <c r="D97" i="2" s="1"/>
  <c r="I98" i="3"/>
  <c r="G100" i="3"/>
  <c r="H100" i="3" s="1"/>
  <c r="C98" i="2" s="1"/>
  <c r="G101" i="3"/>
  <c r="H101" i="3"/>
  <c r="G102" i="3"/>
  <c r="H102" i="3"/>
  <c r="G104" i="3"/>
  <c r="H104" i="3"/>
  <c r="G105" i="3"/>
  <c r="H105" i="3" s="1"/>
  <c r="C99" i="2" s="1"/>
  <c r="G108" i="3"/>
  <c r="H108" i="3"/>
  <c r="G111" i="3"/>
  <c r="H111" i="3"/>
  <c r="B117" i="3"/>
  <c r="B119" i="3" s="1"/>
  <c r="B121" i="3" s="1"/>
  <c r="B123" i="3" s="1"/>
  <c r="B125" i="3" s="1"/>
  <c r="B127" i="3" s="1"/>
  <c r="B129" i="3" s="1"/>
  <c r="B131" i="3" s="1"/>
  <c r="B132" i="3" s="1"/>
  <c r="B133" i="3" s="1"/>
  <c r="B135" i="3" s="1"/>
  <c r="H117" i="3"/>
  <c r="G119" i="3"/>
  <c r="H119" i="3" s="1"/>
  <c r="G123" i="3"/>
  <c r="H123" i="3"/>
  <c r="I131" i="3"/>
  <c r="I137" i="3" s="1"/>
  <c r="G132" i="3"/>
  <c r="H132" i="3"/>
  <c r="I132" i="3"/>
  <c r="G133" i="3"/>
  <c r="I133" i="3"/>
  <c r="I142" i="3"/>
  <c r="C10" i="2"/>
  <c r="D11" i="2"/>
  <c r="C12" i="2"/>
  <c r="E12" i="2"/>
  <c r="E19" i="2" s="1"/>
  <c r="E53" i="2" s="1"/>
  <c r="E121" i="2" s="1"/>
  <c r="E123" i="2" s="1"/>
  <c r="D13" i="2"/>
  <c r="D14" i="2"/>
  <c r="D15" i="2"/>
  <c r="D16" i="2"/>
  <c r="C17" i="2"/>
  <c r="D17" i="2"/>
  <c r="C23" i="2"/>
  <c r="C24" i="2"/>
  <c r="C26" i="2"/>
  <c r="C27" i="2"/>
  <c r="C29" i="2"/>
  <c r="D31" i="2"/>
  <c r="E39" i="2"/>
  <c r="F39" i="2"/>
  <c r="D42" i="2"/>
  <c r="C43" i="2"/>
  <c r="D43" i="2"/>
  <c r="C44" i="2"/>
  <c r="D44" i="2"/>
  <c r="D45" i="2"/>
  <c r="D46" i="2"/>
  <c r="C47" i="2"/>
  <c r="D47" i="2"/>
  <c r="D48" i="2"/>
  <c r="C49" i="2"/>
  <c r="D49" i="2"/>
  <c r="E51" i="2"/>
  <c r="F51" i="2"/>
  <c r="F53" i="2"/>
  <c r="F57" i="2"/>
  <c r="F64" i="2" s="1"/>
  <c r="F118" i="2" s="1"/>
  <c r="F121" i="2" s="1"/>
  <c r="F123" i="2" s="1"/>
  <c r="D58" i="2"/>
  <c r="F58" i="2"/>
  <c r="C59" i="2"/>
  <c r="D59" i="2"/>
  <c r="C60" i="2"/>
  <c r="D60" i="2"/>
  <c r="D61" i="2"/>
  <c r="C62" i="2"/>
  <c r="D62" i="2"/>
  <c r="E64" i="2"/>
  <c r="C67" i="2"/>
  <c r="D67" i="2"/>
  <c r="D69" i="2"/>
  <c r="D78" i="2"/>
  <c r="E84" i="2"/>
  <c r="F84" i="2"/>
  <c r="D87" i="2"/>
  <c r="D92" i="2" s="1"/>
  <c r="C88" i="2"/>
  <c r="D88" i="2"/>
  <c r="E92" i="2"/>
  <c r="E118" i="2" s="1"/>
  <c r="E122" i="2" s="1"/>
  <c r="F92" i="2"/>
  <c r="D95" i="2"/>
  <c r="D98" i="2"/>
  <c r="D99" i="2"/>
  <c r="C100" i="2"/>
  <c r="D100" i="2"/>
  <c r="E102" i="2"/>
  <c r="F102" i="2"/>
  <c r="C105" i="2"/>
  <c r="D105" i="2"/>
  <c r="D106" i="2"/>
  <c r="C107" i="2"/>
  <c r="D107" i="2"/>
  <c r="C108" i="2"/>
  <c r="D108" i="2"/>
  <c r="C109" i="2"/>
  <c r="D109" i="2"/>
  <c r="C110" i="2"/>
  <c r="D110" i="2"/>
  <c r="C111" i="2"/>
  <c r="D111" i="2"/>
  <c r="C112" i="2"/>
  <c r="C113" i="2"/>
  <c r="E116" i="2"/>
  <c r="F116" i="2"/>
  <c r="F122" i="2"/>
  <c r="H41" i="19" l="1"/>
  <c r="H45" i="19" s="1"/>
  <c r="H46" i="19" s="1"/>
  <c r="H27" i="19"/>
  <c r="J27" i="19"/>
  <c r="J33" i="19"/>
  <c r="J41" i="19" s="1"/>
  <c r="J45" i="19" s="1"/>
  <c r="J46" i="19" s="1"/>
  <c r="I39" i="19"/>
  <c r="I41" i="19" s="1"/>
  <c r="I45" i="19" s="1"/>
  <c r="I46" i="19" s="1"/>
  <c r="J10" i="19"/>
  <c r="J14" i="19" s="1"/>
  <c r="D68" i="2"/>
  <c r="J26" i="18"/>
  <c r="H15" i="18"/>
  <c r="H21" i="18" s="1"/>
  <c r="H25" i="18" s="1"/>
  <c r="I40" i="17"/>
  <c r="I44" i="17" s="1"/>
  <c r="I45" i="17" s="1"/>
  <c r="H31" i="17"/>
  <c r="H40" i="17"/>
  <c r="H44" i="17" s="1"/>
  <c r="J30" i="16"/>
  <c r="H18" i="16"/>
  <c r="H25" i="16" s="1"/>
  <c r="H29" i="16" s="1"/>
  <c r="D71" i="2"/>
  <c r="J38" i="15"/>
  <c r="H30" i="15"/>
  <c r="H21" i="15"/>
  <c r="H120" i="14"/>
  <c r="H60" i="14"/>
  <c r="H62" i="14" s="1"/>
  <c r="H140" i="14"/>
  <c r="H132" i="14"/>
  <c r="H98" i="14"/>
  <c r="H107" i="14" s="1"/>
  <c r="H84" i="14"/>
  <c r="H73" i="14"/>
  <c r="I62" i="14"/>
  <c r="I142" i="14" s="1"/>
  <c r="J23" i="14"/>
  <c r="J73" i="13"/>
  <c r="D73" i="2"/>
  <c r="H51" i="13"/>
  <c r="L51" i="13" s="1"/>
  <c r="H30" i="12"/>
  <c r="J37" i="12"/>
  <c r="J41" i="12" s="1"/>
  <c r="H24" i="12"/>
  <c r="H37" i="12" s="1"/>
  <c r="H41" i="12" s="1"/>
  <c r="H252" i="11"/>
  <c r="H322" i="11"/>
  <c r="H144" i="11"/>
  <c r="H115" i="11"/>
  <c r="H346" i="11"/>
  <c r="H192" i="11"/>
  <c r="H221" i="11" s="1"/>
  <c r="D30" i="2"/>
  <c r="H340" i="11"/>
  <c r="E66" i="11" s="1"/>
  <c r="G66" i="11" s="1"/>
  <c r="H66" i="11" s="1"/>
  <c r="H68" i="11" s="1"/>
  <c r="H329" i="11"/>
  <c r="H305" i="11"/>
  <c r="H265" i="11"/>
  <c r="H254" i="11"/>
  <c r="J221" i="11"/>
  <c r="J346" i="11" s="1"/>
  <c r="J348" i="11" s="1"/>
  <c r="J352" i="11" s="1"/>
  <c r="H79" i="11"/>
  <c r="H61" i="11"/>
  <c r="H241" i="11"/>
  <c r="H103" i="11"/>
  <c r="H85" i="11"/>
  <c r="H38" i="11"/>
  <c r="H63" i="11" s="1"/>
  <c r="G322" i="11"/>
  <c r="G314" i="11"/>
  <c r="H20" i="10"/>
  <c r="H24" i="10" s="1"/>
  <c r="H42" i="9"/>
  <c r="H52" i="9"/>
  <c r="I83" i="9"/>
  <c r="I84" i="9" s="1"/>
  <c r="H23" i="9"/>
  <c r="H79" i="9" s="1"/>
  <c r="H83" i="9" s="1"/>
  <c r="C31" i="2"/>
  <c r="D76" i="2"/>
  <c r="I58" i="8"/>
  <c r="I62" i="8"/>
  <c r="H46" i="8"/>
  <c r="I63" i="8"/>
  <c r="H41" i="8"/>
  <c r="H62" i="8"/>
  <c r="H60" i="7"/>
  <c r="H49" i="7"/>
  <c r="J88" i="7"/>
  <c r="J92" i="7" s="1"/>
  <c r="H74" i="7"/>
  <c r="H40" i="7"/>
  <c r="H24" i="7"/>
  <c r="I74" i="7"/>
  <c r="I88" i="7" s="1"/>
  <c r="I92" i="7" s="1"/>
  <c r="I93" i="7" s="1"/>
  <c r="H29" i="6"/>
  <c r="H55" i="6" s="1"/>
  <c r="H59" i="6" s="1"/>
  <c r="J60" i="6"/>
  <c r="D79" i="2"/>
  <c r="H60" i="5"/>
  <c r="J36" i="5"/>
  <c r="J50" i="5"/>
  <c r="J89" i="5" s="1"/>
  <c r="J93" i="5" s="1"/>
  <c r="D81" i="2" s="1"/>
  <c r="H81" i="5"/>
  <c r="H89" i="5"/>
  <c r="H93" i="5" s="1"/>
  <c r="C81" i="2" s="1"/>
  <c r="H50" i="5"/>
  <c r="D36" i="2"/>
  <c r="H20" i="5"/>
  <c r="H22" i="5"/>
  <c r="H92" i="5" s="1"/>
  <c r="I36" i="5"/>
  <c r="I50" i="5" s="1"/>
  <c r="I89" i="5" s="1"/>
  <c r="I93" i="5" s="1"/>
  <c r="I8" i="5"/>
  <c r="I25" i="4"/>
  <c r="I29" i="4" s="1"/>
  <c r="I30" i="4" s="1"/>
  <c r="D82" i="2"/>
  <c r="J30" i="4"/>
  <c r="H13" i="4"/>
  <c r="H25" i="4" s="1"/>
  <c r="H29" i="4" s="1"/>
  <c r="C106" i="2"/>
  <c r="H137" i="3"/>
  <c r="I95" i="3"/>
  <c r="C96" i="2"/>
  <c r="H85" i="3"/>
  <c r="C87" i="2"/>
  <c r="C92" i="2" s="1"/>
  <c r="C58" i="2"/>
  <c r="C19" i="2"/>
  <c r="H44" i="3"/>
  <c r="C42" i="2"/>
  <c r="C57" i="2"/>
  <c r="C64" i="2" s="1"/>
  <c r="H65" i="3"/>
  <c r="H113" i="3"/>
  <c r="C97" i="2"/>
  <c r="C102" i="2" s="1"/>
  <c r="C116" i="2"/>
  <c r="D64" i="2"/>
  <c r="D116" i="2"/>
  <c r="D51" i="2"/>
  <c r="H24" i="3"/>
  <c r="C51" i="2"/>
  <c r="D19" i="2"/>
  <c r="C68" i="2" l="1"/>
  <c r="H26" i="18"/>
  <c r="H45" i="17"/>
  <c r="C69" i="2"/>
  <c r="C70" i="2"/>
  <c r="H30" i="16"/>
  <c r="H32" i="15"/>
  <c r="H37" i="15" s="1"/>
  <c r="J145" i="14"/>
  <c r="J147" i="14" s="1"/>
  <c r="D27" i="2"/>
  <c r="D39" i="2" s="1"/>
  <c r="H142" i="14"/>
  <c r="H146" i="14" s="1"/>
  <c r="H68" i="13"/>
  <c r="H72" i="13" s="1"/>
  <c r="C74" i="2"/>
  <c r="H42" i="12"/>
  <c r="D74" i="2"/>
  <c r="J42" i="12"/>
  <c r="D75" i="2"/>
  <c r="J353" i="11"/>
  <c r="H70" i="11"/>
  <c r="H351" i="11" s="1"/>
  <c r="H133" i="11"/>
  <c r="H348" i="11" s="1"/>
  <c r="H352" i="11" s="1"/>
  <c r="C75" i="2" s="1"/>
  <c r="H25" i="10"/>
  <c r="C77" i="2"/>
  <c r="C76" i="2"/>
  <c r="H84" i="9"/>
  <c r="H63" i="8"/>
  <c r="C78" i="2"/>
  <c r="J93" i="7"/>
  <c r="D80" i="2"/>
  <c r="D84" i="2" s="1"/>
  <c r="I86" i="7"/>
  <c r="H51" i="7"/>
  <c r="H88" i="7" s="1"/>
  <c r="H92" i="7" s="1"/>
  <c r="C79" i="2"/>
  <c r="H60" i="6"/>
  <c r="I20" i="5"/>
  <c r="I22" i="5" s="1"/>
  <c r="I92" i="5" s="1"/>
  <c r="I94" i="5" s="1"/>
  <c r="J94" i="5"/>
  <c r="H94" i="5"/>
  <c r="C36" i="2"/>
  <c r="H30" i="4"/>
  <c r="C82" i="2"/>
  <c r="H139" i="3"/>
  <c r="H143" i="3" s="1"/>
  <c r="D53" i="2"/>
  <c r="D121" i="2" s="1"/>
  <c r="D96" i="2"/>
  <c r="D102" i="2" s="1"/>
  <c r="I113" i="3"/>
  <c r="I139" i="3" s="1"/>
  <c r="I143" i="3" s="1"/>
  <c r="I144" i="3" s="1"/>
  <c r="H46" i="3"/>
  <c r="H142" i="3" s="1"/>
  <c r="H144" i="3" s="1"/>
  <c r="C71" i="2" l="1"/>
  <c r="H38" i="15"/>
  <c r="C72" i="2"/>
  <c r="H147" i="14"/>
  <c r="C73" i="2"/>
  <c r="C84" i="2" s="1"/>
  <c r="C118" i="2" s="1"/>
  <c r="C122" i="2" s="1"/>
  <c r="H73" i="13"/>
  <c r="C39" i="2"/>
  <c r="C53" i="2" s="1"/>
  <c r="C121" i="2" s="1"/>
  <c r="H353" i="11"/>
  <c r="C30" i="2"/>
  <c r="H93" i="7"/>
  <c r="C80" i="2"/>
  <c r="D118" i="2"/>
  <c r="D122" i="2" s="1"/>
  <c r="D123" i="2" s="1"/>
  <c r="C1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Sarah Rodin</author>
  </authors>
  <commentList>
    <comment ref="D87" authorId="0" shapeId="0" xr:uid="{00000000-0006-0000-0000-000001000000}">
      <text>
        <r>
          <rPr>
            <b/>
            <sz val="10"/>
            <color indexed="81"/>
            <rFont val="Calibri"/>
          </rPr>
          <t>Sarah Rodin:</t>
        </r>
        <r>
          <rPr>
            <sz val="10"/>
            <color indexed="81"/>
            <rFont val="Calibri"/>
          </rPr>
          <t xml:space="preserve">
Excludes honoraria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Jillian Reid</author>
  </authors>
  <commentList>
    <comment ref="G1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Jillian Reid:</t>
        </r>
        <r>
          <rPr>
            <sz val="9"/>
            <color indexed="81"/>
            <rFont val="Tahoma"/>
            <family val="2"/>
          </rPr>
          <t xml:space="preserve">
Based on Last Year.</t>
        </r>
      </text>
    </comment>
    <comment ref="G19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Jillian Reid:</t>
        </r>
        <r>
          <rPr>
            <sz val="9"/>
            <color indexed="81"/>
            <rFont val="Tahoma"/>
            <family val="2"/>
          </rPr>
          <t xml:space="preserve">
Based off of last year with a decrease in revenue.</t>
        </r>
      </text>
    </comment>
    <comment ref="G20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Jillian Reid:</t>
        </r>
        <r>
          <rPr>
            <sz val="9"/>
            <color indexed="81"/>
            <rFont val="Tahoma"/>
            <family val="2"/>
          </rPr>
          <t xml:space="preserve">
Based off of last years with a decrease in revenue.</t>
        </r>
      </text>
    </comment>
    <comment ref="E5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Jillian Reid:</t>
        </r>
        <r>
          <rPr>
            <sz val="9"/>
            <color indexed="81"/>
            <rFont val="Tahoma"/>
            <family val="2"/>
          </rPr>
          <t xml:space="preserve">
Based off of average of previous year.</t>
        </r>
      </text>
    </comment>
    <comment ref="H7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Jillian Reid:</t>
        </r>
        <r>
          <rPr>
            <sz val="9"/>
            <color indexed="81"/>
            <rFont val="Tahoma"/>
            <family val="2"/>
          </rPr>
          <t xml:space="preserve">
Based off last year with an increase due to increase in employees</t>
        </r>
      </text>
    </comment>
    <comment ref="H78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Jillian Reid:</t>
        </r>
        <r>
          <rPr>
            <sz val="9"/>
            <color indexed="81"/>
            <rFont val="Tahoma"/>
            <family val="2"/>
          </rPr>
          <t xml:space="preserve">
Based off last year with an increase due to increase in employees.</t>
        </r>
      </text>
    </comment>
    <comment ref="E105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Jillian Reid:</t>
        </r>
        <r>
          <rPr>
            <sz val="9"/>
            <color indexed="81"/>
            <rFont val="Tahoma"/>
            <family val="2"/>
          </rPr>
          <t xml:space="preserve">
Based off of last year.</t>
        </r>
      </text>
    </comment>
    <comment ref="H109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Jillian Reid:</t>
        </r>
        <r>
          <rPr>
            <sz val="9"/>
            <color indexed="81"/>
            <rFont val="Tahoma"/>
            <family val="2"/>
          </rPr>
          <t xml:space="preserve">
Both Educated Guesses
</t>
        </r>
      </text>
    </comment>
    <comment ref="H121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Jillian Reid:</t>
        </r>
        <r>
          <rPr>
            <sz val="9"/>
            <color indexed="81"/>
            <rFont val="Tahoma"/>
            <family val="2"/>
          </rPr>
          <t xml:space="preserve">
Based off of last year</t>
        </r>
      </text>
    </comment>
    <comment ref="H125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Jillian Reid:</t>
        </r>
        <r>
          <rPr>
            <sz val="9"/>
            <color indexed="81"/>
            <rFont val="Tahoma"/>
            <family val="2"/>
          </rPr>
          <t xml:space="preserve">
Based off of last year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Sarah Rodin</author>
  </authors>
  <commentList>
    <comment ref="I30" authorId="0" shapeId="0" xr:uid="{68803DA4-7D41-401F-B043-74B7413E2C3A}">
      <text>
        <r>
          <rPr>
            <b/>
            <sz val="10"/>
            <color indexed="81"/>
            <rFont val="Calibri"/>
          </rPr>
          <t>Sarah Rodin:</t>
        </r>
        <r>
          <rPr>
            <sz val="10"/>
            <color indexed="81"/>
            <rFont val="Calibri"/>
          </rPr>
          <t xml:space="preserve">
This year and last year's fees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Leah Vignale</author>
  </authors>
  <commentList>
    <comment ref="I258" authorId="0" shapeId="0" xr:uid="{00000000-0006-0000-0B00-000001000000}">
      <text>
        <r>
          <rPr>
            <sz val="11"/>
            <color theme="1"/>
            <rFont val="Calibri"/>
            <family val="2"/>
            <scheme val="minor"/>
          </rPr>
          <t xml:space="preserve">This section actually bought ice for both the volunteer appreciation dinner (8.97), some plates/napkins and utensils (14.96), ice for the BBQ (17.94) and 2 large vegetarian pizzas for the food mix-up for the volunteer appreciation dinner (44.63). 
</t>
        </r>
      </text>
    </comment>
    <comment ref="I263" authorId="0" shapeId="0" xr:uid="{00000000-0006-0000-0B00-000002000000}">
      <text>
        <r>
          <rPr>
            <sz val="11"/>
            <color theme="1"/>
            <rFont val="Calibri"/>
            <family val="2"/>
            <scheme val="minor"/>
          </rPr>
          <t xml:space="preserve">Actually Spent it on a new tri-fold poster and tape for posters 
</t>
        </r>
      </text>
    </comment>
  </commentList>
</comments>
</file>

<file path=xl/sharedStrings.xml><?xml version="1.0" encoding="utf-8"?>
<sst xmlns="http://schemas.openxmlformats.org/spreadsheetml/2006/main" count="2071" uniqueCount="1433">
  <si>
    <t>Net Surplus</t>
  </si>
  <si>
    <t>Total Expenses</t>
  </si>
  <si>
    <t>Total Revenue</t>
  </si>
  <si>
    <t>Summary ($)</t>
  </si>
  <si>
    <t>TOTAL EXPENSES</t>
  </si>
  <si>
    <t>Total Operating Expenses</t>
  </si>
  <si>
    <t>Lounge Improvements</t>
  </si>
  <si>
    <t>Summer Projects</t>
  </si>
  <si>
    <t>Jacket Bursaries</t>
  </si>
  <si>
    <t>Repair &amp; Maintenance</t>
  </si>
  <si>
    <t>Travel</t>
  </si>
  <si>
    <t>ESARCK</t>
  </si>
  <si>
    <t>Office Supplies</t>
  </si>
  <si>
    <t>Courier &amp; Postage</t>
  </si>
  <si>
    <t>Shredding</t>
  </si>
  <si>
    <t>Keys</t>
  </si>
  <si>
    <t>OPERATING EXPENSES</t>
  </si>
  <si>
    <t>Total Administrative Expenses</t>
  </si>
  <si>
    <t>Bank Charges</t>
  </si>
  <si>
    <t xml:space="preserve">Insurance </t>
  </si>
  <si>
    <t>Telephone &amp; Long Distance</t>
  </si>
  <si>
    <t>Rent</t>
  </si>
  <si>
    <t>Administration - General Manager Salary</t>
  </si>
  <si>
    <t xml:space="preserve"> </t>
  </si>
  <si>
    <t>Accounting &amp; Legal</t>
  </si>
  <si>
    <t>ADMINISTRATIVE EXPENSES</t>
  </si>
  <si>
    <t>Total Payroll Expenses</t>
  </si>
  <si>
    <t>Exec &amp; Honoraria Expenses</t>
  </si>
  <si>
    <t>CPP Expense</t>
  </si>
  <si>
    <t>EI Expense</t>
  </si>
  <si>
    <t>Wages &amp; Salaries</t>
  </si>
  <si>
    <t>PAYROLL EXPENSES</t>
  </si>
  <si>
    <t>Total Position Expenses</t>
  </si>
  <si>
    <t>Director of Services</t>
  </si>
  <si>
    <t>Director of Professional Development</t>
  </si>
  <si>
    <t>Director of Internal Affairs</t>
  </si>
  <si>
    <t>Director of Information Technology</t>
  </si>
  <si>
    <t>Director of Human Resources</t>
  </si>
  <si>
    <t>Director of Finance</t>
  </si>
  <si>
    <t>Director of First Year</t>
  </si>
  <si>
    <t>Director of Events</t>
  </si>
  <si>
    <t>Director of Design</t>
  </si>
  <si>
    <t>Director of Conferences</t>
  </si>
  <si>
    <t>Director of Community Outreach</t>
  </si>
  <si>
    <t>Director of Communications</t>
  </si>
  <si>
    <t>Director of Academics</t>
  </si>
  <si>
    <t>VP Student Affairs</t>
  </si>
  <si>
    <t>VP Operations</t>
  </si>
  <si>
    <t>President</t>
  </si>
  <si>
    <t>POSITION EXPENSES</t>
  </si>
  <si>
    <t>Total Cost of Goods Sold</t>
  </si>
  <si>
    <t>Engenda Printing</t>
  </si>
  <si>
    <t>Yearbook Printing</t>
  </si>
  <si>
    <t>Imaginus Expenses</t>
  </si>
  <si>
    <t>Council Candy</t>
  </si>
  <si>
    <t>Total Printing Expenses</t>
  </si>
  <si>
    <t>Summer BBQ</t>
  </si>
  <si>
    <t>COST OF GOODS SOLD</t>
  </si>
  <si>
    <t>Expenses ($)</t>
  </si>
  <si>
    <t>TOTAL REVENUE</t>
  </si>
  <si>
    <t>Total Recovery Revenue</t>
  </si>
  <si>
    <t>Office Suppleis Recovery</t>
  </si>
  <si>
    <t>Printing Recovery</t>
  </si>
  <si>
    <t>Bank Charges Recovery</t>
  </si>
  <si>
    <t>Insurance Recovery</t>
  </si>
  <si>
    <t>Telephone &amp; Long Distance Recovery</t>
  </si>
  <si>
    <t>Rent Recovery</t>
  </si>
  <si>
    <t>Administration Fees Recovery</t>
  </si>
  <si>
    <t>Accounting Recovery</t>
  </si>
  <si>
    <t>RECOVERY REVENUE</t>
  </si>
  <si>
    <t>Total Position Revenue</t>
  </si>
  <si>
    <t>POSITION REVENUE</t>
  </si>
  <si>
    <t>Total Sales Revenue</t>
  </si>
  <si>
    <t>Rollover from previous year</t>
  </si>
  <si>
    <t>Total Advertising</t>
  </si>
  <si>
    <t>Net Student Interest Fees</t>
  </si>
  <si>
    <t>Imaginus Poster Sale</t>
  </si>
  <si>
    <t>QUESSI Management Fees</t>
  </si>
  <si>
    <t xml:space="preserve">Printing </t>
  </si>
  <si>
    <t xml:space="preserve">Summer BBQ </t>
  </si>
  <si>
    <t>SALES REVENUE</t>
  </si>
  <si>
    <t>Revenue ($)</t>
  </si>
  <si>
    <t>ACTUAL</t>
  </si>
  <si>
    <t>BUDGET</t>
  </si>
  <si>
    <t>PRE ACTUAL</t>
  </si>
  <si>
    <t>DESCRIPTION</t>
  </si>
  <si>
    <t>2016-2017</t>
  </si>
  <si>
    <t>2017-2018</t>
  </si>
  <si>
    <t>Queen's Engineering Society</t>
  </si>
  <si>
    <t>Breakdown of expenses to be presented to Council</t>
  </si>
  <si>
    <t>Summer projects</t>
  </si>
  <si>
    <t>Summer Spending</t>
  </si>
  <si>
    <t>TBD</t>
  </si>
  <si>
    <t>Bursaries for frosh fees (half of total fee)</t>
  </si>
  <si>
    <t>Frosh Bursaries for frosh during Frosh Week</t>
  </si>
  <si>
    <t>Bursaries for FREC fees (half of total fee)</t>
  </si>
  <si>
    <t>FREC Bursaries for FRECS during Frosh Week</t>
  </si>
  <si>
    <t>To be put towards CEO for Jacket Bursaries</t>
  </si>
  <si>
    <t>Jacket bursaries for GPAs</t>
  </si>
  <si>
    <t>Bursaries</t>
  </si>
  <si>
    <t>Unforeseen maintenance to society space</t>
  </si>
  <si>
    <t>Miscellaneous repair</t>
  </si>
  <si>
    <t>Reimbursement for travel expenses for the society</t>
  </si>
  <si>
    <t>Mileage reports</t>
  </si>
  <si>
    <t>Remitted to City of Kingston for grease pole site</t>
  </si>
  <si>
    <t>Property taxes</t>
  </si>
  <si>
    <t>Folders, shelves, highlighters, etc.</t>
  </si>
  <si>
    <t>Miscellaneous office supplies</t>
  </si>
  <si>
    <t>Through the Campus Bookstore</t>
  </si>
  <si>
    <t>Mailing costs</t>
  </si>
  <si>
    <t>Iron Mountain</t>
  </si>
  <si>
    <t>Paper shredding</t>
  </si>
  <si>
    <t>Obtained through PPS</t>
  </si>
  <si>
    <t>Keys for spaces</t>
  </si>
  <si>
    <t>Annual fees for corporate cards</t>
  </si>
  <si>
    <t>Credit cards</t>
  </si>
  <si>
    <t>Debit</t>
  </si>
  <si>
    <t>Transaction fees</t>
  </si>
  <si>
    <t>Credit</t>
  </si>
  <si>
    <t>Monthly rental, security fees, and service for handheld</t>
  </si>
  <si>
    <t>Moneris rental</t>
  </si>
  <si>
    <t>Liability for ESARCK land</t>
  </si>
  <si>
    <t>ESARCK insurance</t>
  </si>
  <si>
    <t>Overall society insurance</t>
  </si>
  <si>
    <t>AMS insurance</t>
  </si>
  <si>
    <t>Insurance</t>
  </si>
  <si>
    <t>Subsidize Jay's Phone</t>
  </si>
  <si>
    <t>Queen's Phone Plan</t>
  </si>
  <si>
    <t>Average monthly long distance</t>
  </si>
  <si>
    <t>IT Services phone bills</t>
  </si>
  <si>
    <t>8 phone lines</t>
  </si>
  <si>
    <t>Charged by university for building upkeep</t>
  </si>
  <si>
    <t>Clark Hall rent</t>
  </si>
  <si>
    <t>For offsite storage of records and equipment</t>
  </si>
  <si>
    <t>Storage Locker Rent</t>
  </si>
  <si>
    <t>On-campus parking</t>
  </si>
  <si>
    <t>General Manager</t>
  </si>
  <si>
    <t>CPP and EI</t>
  </si>
  <si>
    <t>Wages</t>
  </si>
  <si>
    <t>Administration - General Manager</t>
  </si>
  <si>
    <t>Collins Barrow SEO LLP</t>
  </si>
  <si>
    <t>Financial review</t>
  </si>
  <si>
    <t>CCS Bookkeeping Services</t>
  </si>
  <si>
    <t>Bookkeeping</t>
  </si>
  <si>
    <t>1 week salary per exec</t>
  </si>
  <si>
    <t>Exec honoraria</t>
  </si>
  <si>
    <t>Up to half year's tuition</t>
  </si>
  <si>
    <t>VP Operations Subsidy</t>
  </si>
  <si>
    <t>President Subsidy</t>
  </si>
  <si>
    <t>Based off of last year</t>
  </si>
  <si>
    <t>Canada pension plan</t>
  </si>
  <si>
    <t>Employment insurance</t>
  </si>
  <si>
    <t>Current salary + increase with Minimum Wage</t>
  </si>
  <si>
    <t>VP Student Affairs summer salary</t>
  </si>
  <si>
    <t>0.31</t>
  </si>
  <si>
    <t>VP Operations summer salary</t>
  </si>
  <si>
    <t>President summer salary</t>
  </si>
  <si>
    <t>Salary for 12 week semester x2</t>
  </si>
  <si>
    <t>Finance officer salary</t>
  </si>
  <si>
    <t>Advisory Board secretary, 8 meetings</t>
  </si>
  <si>
    <t>Secretary</t>
  </si>
  <si>
    <t>Council secretary for 12 councils, 1 AGM</t>
  </si>
  <si>
    <t>Total Costs of Goods Sold</t>
  </si>
  <si>
    <t>Printing through Friesen's</t>
  </si>
  <si>
    <t>Engendas</t>
  </si>
  <si>
    <t>Sci 18</t>
  </si>
  <si>
    <t>Tables</t>
  </si>
  <si>
    <t>Poster sale</t>
  </si>
  <si>
    <t>Assorted chocolate bars and candy</t>
  </si>
  <si>
    <t>Candy</t>
  </si>
  <si>
    <t>Printing Ink</t>
  </si>
  <si>
    <t>Printer paper from Staples - expected to need 25 cases</t>
  </si>
  <si>
    <t>Paper</t>
  </si>
  <si>
    <t>Machine rental from OT group</t>
  </si>
  <si>
    <t>Printing Rental</t>
  </si>
  <si>
    <t>Drinks, hot dogs, hamburgers, buns, condiments</t>
  </si>
  <si>
    <t>BBQ materials</t>
  </si>
  <si>
    <t>COSTS OF GOODS SOLD</t>
  </si>
  <si>
    <t>Collected via EngServe</t>
  </si>
  <si>
    <t>Debit and Credit usage</t>
  </si>
  <si>
    <t>Office Supplies Recovery</t>
  </si>
  <si>
    <t>Based on specific services printing</t>
  </si>
  <si>
    <t>Based on total insurance</t>
  </si>
  <si>
    <t>Based on specific services phone usage</t>
  </si>
  <si>
    <t>Based on specific services space usage</t>
  </si>
  <si>
    <t>Based on specific services General Manager usage</t>
  </si>
  <si>
    <t>Based on specific services bookkeeping usage</t>
  </si>
  <si>
    <t>Budgetary Rollover</t>
  </si>
  <si>
    <t>Rollover from 2016-2017</t>
  </si>
  <si>
    <t>CU advertising</t>
  </si>
  <si>
    <t>Engenda Advertising</t>
  </si>
  <si>
    <t>Yearbook Advertising</t>
  </si>
  <si>
    <t>Total Advertising Revenue</t>
  </si>
  <si>
    <t>2800 students expected</t>
  </si>
  <si>
    <t>Student Interest Fees</t>
  </si>
  <si>
    <t>Renegotiated contract</t>
  </si>
  <si>
    <t>Imaginus</t>
  </si>
  <si>
    <t>Payment for managing bookstore Board of Directors</t>
  </si>
  <si>
    <t>QUESSI</t>
  </si>
  <si>
    <t>Donations for jacket bursary</t>
  </si>
  <si>
    <t>Council candy</t>
  </si>
  <si>
    <t>Charge from Students</t>
  </si>
  <si>
    <t>Printing</t>
  </si>
  <si>
    <t>Printing Revenue</t>
  </si>
  <si>
    <t>Average of all BBQ</t>
  </si>
  <si>
    <t>BBQ sales</t>
  </si>
  <si>
    <t>Actual</t>
  </si>
  <si>
    <t>Budget</t>
  </si>
  <si>
    <t>Subtotal</t>
  </si>
  <si>
    <t>Quantity</t>
  </si>
  <si>
    <t>Unit Price</t>
  </si>
  <si>
    <t>Specifics</t>
  </si>
  <si>
    <t>Item</t>
  </si>
  <si>
    <t>Line #</t>
  </si>
  <si>
    <t>GENERAL</t>
  </si>
  <si>
    <t>Total iCon Social Expenses</t>
  </si>
  <si>
    <t>Brunch at Ban Righ 3 times a year for 35 staff</t>
  </si>
  <si>
    <t>Icon Staff Appreciation</t>
  </si>
  <si>
    <t>Incoming and outgoing head manager.</t>
  </si>
  <si>
    <t>Transition Dinner</t>
  </si>
  <si>
    <t>iCon Transition Dinner</t>
  </si>
  <si>
    <t>Tota Staff Advertisement</t>
  </si>
  <si>
    <t>Half Page Advertisement // One For Manger Application Period and One For Staff Application Period</t>
  </si>
  <si>
    <t xml:space="preserve">The Journal Advertisement </t>
  </si>
  <si>
    <t>Staff Advertisement</t>
  </si>
  <si>
    <t>Total Manager Appreciation Expenses</t>
  </si>
  <si>
    <t>$5 per person, roughly 10 people, 5 meetings a year</t>
  </si>
  <si>
    <t>Pizza for Cap Fund Meetings</t>
  </si>
  <si>
    <t>$60.00 per person</t>
  </si>
  <si>
    <t>Manager Dinner</t>
  </si>
  <si>
    <t>16.01</t>
  </si>
  <si>
    <t>Manager Appreciation</t>
  </si>
  <si>
    <t>Pre-Actual</t>
  </si>
  <si>
    <t>Director of Services - Cody McLaughlin</t>
  </si>
  <si>
    <t>Total Consulting Day Expenses</t>
  </si>
  <si>
    <t>Cogro Cookies</t>
  </si>
  <si>
    <t>Catering</t>
  </si>
  <si>
    <t>Consulting Day</t>
  </si>
  <si>
    <t>Total PD Team Expenses</t>
  </si>
  <si>
    <t>Banner Stand</t>
  </si>
  <si>
    <t>Sweaters</t>
  </si>
  <si>
    <t>Event Attire</t>
  </si>
  <si>
    <t>PD Team</t>
  </si>
  <si>
    <t>Total FYC Panel Expenses</t>
  </si>
  <si>
    <t>Queen's clothing and wine</t>
  </si>
  <si>
    <t>Gifts</t>
  </si>
  <si>
    <t>Travel for alumni</t>
  </si>
  <si>
    <t>FYC Panel</t>
  </si>
  <si>
    <t>Total Homecoming Panel Expenses</t>
  </si>
  <si>
    <t>Speakers</t>
  </si>
  <si>
    <t>Chairs</t>
  </si>
  <si>
    <t>Pizza</t>
  </si>
  <si>
    <t>Food</t>
  </si>
  <si>
    <t>12 Pack of Pop</t>
  </si>
  <si>
    <t>Beverages</t>
  </si>
  <si>
    <t>Homecoming Panel</t>
  </si>
  <si>
    <t>Total EngTalks Expenses</t>
  </si>
  <si>
    <t>Wage Negotiation</t>
  </si>
  <si>
    <t>Upper Year Talk</t>
  </si>
  <si>
    <t xml:space="preserve">Wage Negotiation </t>
  </si>
  <si>
    <t>Snacks</t>
  </si>
  <si>
    <t>Career Crash Course</t>
  </si>
  <si>
    <t>Wraps</t>
  </si>
  <si>
    <t>Coding Workshop</t>
  </si>
  <si>
    <t>Design Teams</t>
  </si>
  <si>
    <t>EngTalks Events</t>
  </si>
  <si>
    <t>Total Alumni Networking Summit Expenses</t>
  </si>
  <si>
    <t>For team staying night before</t>
  </si>
  <si>
    <t>Accomodations</t>
  </si>
  <si>
    <t>Team driving up day before</t>
  </si>
  <si>
    <t>Gas</t>
  </si>
  <si>
    <t>For Speakers</t>
  </si>
  <si>
    <t>Alumni</t>
  </si>
  <si>
    <t>Thank You Cards</t>
  </si>
  <si>
    <t>Swag Bag</t>
  </si>
  <si>
    <t>Bag</t>
  </si>
  <si>
    <t>Pen</t>
  </si>
  <si>
    <t>Lanyard</t>
  </si>
  <si>
    <t>Specifically for Networking Summit</t>
  </si>
  <si>
    <t>Banner</t>
  </si>
  <si>
    <t>Busses to Toronto</t>
  </si>
  <si>
    <t>Transportation</t>
  </si>
  <si>
    <t>Alumni Networking Summit</t>
  </si>
  <si>
    <t>Total Marketing Expenses</t>
  </si>
  <si>
    <t>Paid yearly</t>
  </si>
  <si>
    <t>Website Fee</t>
  </si>
  <si>
    <t>Student version/pay per month</t>
  </si>
  <si>
    <t>Photoshop</t>
  </si>
  <si>
    <t>Marketing</t>
  </si>
  <si>
    <t>Total AutoCAD Expenses</t>
  </si>
  <si>
    <t>Instructor Cost</t>
  </si>
  <si>
    <t>Participant Fees</t>
  </si>
  <si>
    <t>AutoCAD Workshops</t>
  </si>
  <si>
    <t>Total Alumni Networking Summit Revenue</t>
  </si>
  <si>
    <t>Sponsorship</t>
  </si>
  <si>
    <t>Alumni Participation Fee</t>
  </si>
  <si>
    <t>Student Participation Fee</t>
  </si>
  <si>
    <t>Total EngTalks Participant Fees Revenue</t>
  </si>
  <si>
    <t>Participant Cost</t>
  </si>
  <si>
    <t>EngTalks Fees</t>
  </si>
  <si>
    <t>Total AutoCAD Participant Fees Revenue</t>
  </si>
  <si>
    <t>15.01</t>
  </si>
  <si>
    <t>AutoCAD Participation Fees</t>
  </si>
  <si>
    <t>Director of Professional Development - Hannah Cameron</t>
  </si>
  <si>
    <t>Total Events Expenses</t>
  </si>
  <si>
    <t>Help Scout</t>
  </si>
  <si>
    <t>14.30</t>
  </si>
  <si>
    <t>Sengrid</t>
  </si>
  <si>
    <t>14.29</t>
  </si>
  <si>
    <t>Digital Ocean</t>
  </si>
  <si>
    <t>14.28</t>
  </si>
  <si>
    <t>Unbudgeted</t>
  </si>
  <si>
    <t>Food for web training session (2) - 20 People, $3/person</t>
  </si>
  <si>
    <t>Pizza/Food</t>
  </si>
  <si>
    <t>14.27</t>
  </si>
  <si>
    <t>Food for workshops (3) - 30 people, $3/person</t>
  </si>
  <si>
    <t>14.26</t>
  </si>
  <si>
    <t>Prizes for Coding Competition</t>
  </si>
  <si>
    <t>Competition Prize</t>
  </si>
  <si>
    <t>14.25</t>
  </si>
  <si>
    <t>Events</t>
  </si>
  <si>
    <t>Total Server Expenses</t>
  </si>
  <si>
    <t>Cloud Backup</t>
  </si>
  <si>
    <t>Rackspace Services</t>
  </si>
  <si>
    <t>14.24</t>
  </si>
  <si>
    <t>Cloud Bandwidth</t>
  </si>
  <si>
    <t>14.23</t>
  </si>
  <si>
    <t>Cloud Files</t>
  </si>
  <si>
    <t>14.22</t>
  </si>
  <si>
    <t>Cloud Block Storage</t>
  </si>
  <si>
    <t>14.21</t>
  </si>
  <si>
    <t>Cloud Load Balancers</t>
  </si>
  <si>
    <t>14.20</t>
  </si>
  <si>
    <t>Cloud Databases</t>
  </si>
  <si>
    <t>14.19</t>
  </si>
  <si>
    <t>Cloud Servers</t>
  </si>
  <si>
    <t>Rackspace Servers</t>
  </si>
  <si>
    <t>14.18</t>
  </si>
  <si>
    <t>Servers</t>
  </si>
  <si>
    <t>Total Software Development Team Expenses</t>
  </si>
  <si>
    <t>WordPress themes/hardware costs</t>
  </si>
  <si>
    <t>Project Expenses</t>
  </si>
  <si>
    <t>14.11</t>
  </si>
  <si>
    <t>For 25 meetings</t>
  </si>
  <si>
    <t>14.10</t>
  </si>
  <si>
    <t>Appreciation for the team</t>
  </si>
  <si>
    <t>14.09</t>
  </si>
  <si>
    <t>Stickers</t>
  </si>
  <si>
    <t xml:space="preserve">Marketing </t>
  </si>
  <si>
    <t>14.08</t>
  </si>
  <si>
    <t>14.07</t>
  </si>
  <si>
    <t>"Secret Service" Bars</t>
  </si>
  <si>
    <t>Jacket Bars</t>
  </si>
  <si>
    <t>14.06</t>
  </si>
  <si>
    <t>Software Development Team</t>
  </si>
  <si>
    <t>Total Website Expenses</t>
  </si>
  <si>
    <t>Name.com</t>
  </si>
  <si>
    <t>Domain Management Fee</t>
  </si>
  <si>
    <t>14.05</t>
  </si>
  <si>
    <t>Expiry</t>
  </si>
  <si>
    <t>14.04</t>
  </si>
  <si>
    <t>Websites</t>
  </si>
  <si>
    <t>Total Email/Network Expenses</t>
  </si>
  <si>
    <t>Rewiring the Ethernet cords and adding ports.</t>
  </si>
  <si>
    <t>Clark Lounge Rewiring</t>
  </si>
  <si>
    <t>14.03</t>
  </si>
  <si>
    <t>AMS/For Microsoft</t>
  </si>
  <si>
    <t>License Fee</t>
  </si>
  <si>
    <t>14.02</t>
  </si>
  <si>
    <t>Email/Network</t>
  </si>
  <si>
    <t>Director of Information Technology - Carson Cook</t>
  </si>
  <si>
    <t>Total Unbudgeted Expenses</t>
  </si>
  <si>
    <t>Awards Plaque</t>
  </si>
  <si>
    <t>13.54</t>
  </si>
  <si>
    <t>Annual General Meeting Printing</t>
  </si>
  <si>
    <t>13.53</t>
  </si>
  <si>
    <t>Council Printing</t>
  </si>
  <si>
    <t>13.52</t>
  </si>
  <si>
    <t>Laminating</t>
  </si>
  <si>
    <t>13.51</t>
  </si>
  <si>
    <t>Placard Printing</t>
  </si>
  <si>
    <t>13.50</t>
  </si>
  <si>
    <t>Clark booking for reveal</t>
  </si>
  <si>
    <t>13.48</t>
  </si>
  <si>
    <t>Year Exec Pizza</t>
  </si>
  <si>
    <t>13.47</t>
  </si>
  <si>
    <t>Proxy Book</t>
  </si>
  <si>
    <t>13.46</t>
  </si>
  <si>
    <t>2nd Sci 21 election</t>
  </si>
  <si>
    <t>13.45</t>
  </si>
  <si>
    <t>Total Banquet Expenses</t>
  </si>
  <si>
    <t>For tables</t>
  </si>
  <si>
    <t>Decorations/Centrepieces</t>
  </si>
  <si>
    <t>13.44</t>
  </si>
  <si>
    <t>RSVPify - 1 event subscription</t>
  </si>
  <si>
    <t>RSVP Software</t>
  </si>
  <si>
    <t>13.43</t>
  </si>
  <si>
    <t>To maintain safety</t>
  </si>
  <si>
    <t>Student Constables</t>
  </si>
  <si>
    <t>13.42</t>
  </si>
  <si>
    <t>Name Cards</t>
  </si>
  <si>
    <t>13.41</t>
  </si>
  <si>
    <t>For banquet guests</t>
  </si>
  <si>
    <t>Programs</t>
  </si>
  <si>
    <t>13.40</t>
  </si>
  <si>
    <t>From banquet to campus</t>
  </si>
  <si>
    <t>Busing</t>
  </si>
  <si>
    <t>13.39</t>
  </si>
  <si>
    <t>For banquet</t>
  </si>
  <si>
    <t>Gratuities</t>
  </si>
  <si>
    <t>13.38</t>
  </si>
  <si>
    <t>Per bottle</t>
  </si>
  <si>
    <t>Wine</t>
  </si>
  <si>
    <t>13.37</t>
  </si>
  <si>
    <t>Per person</t>
  </si>
  <si>
    <t>Dinner</t>
  </si>
  <si>
    <t>13.36</t>
  </si>
  <si>
    <t>Capacity: 150-170</t>
  </si>
  <si>
    <t>Room Rental</t>
  </si>
  <si>
    <t>13.35</t>
  </si>
  <si>
    <t>Banquet</t>
  </si>
  <si>
    <t>Total Awards Expenses</t>
  </si>
  <si>
    <t>Engraving</t>
  </si>
  <si>
    <t>Sword</t>
  </si>
  <si>
    <t>13.34</t>
  </si>
  <si>
    <t>Awards Committee, Per person</t>
  </si>
  <si>
    <t>Drinks</t>
  </si>
  <si>
    <t>13.33</t>
  </si>
  <si>
    <t>13.32</t>
  </si>
  <si>
    <t>For professors/teaching assistants</t>
  </si>
  <si>
    <t>Awards (certificates, frames and gifts)</t>
  </si>
  <si>
    <t>13.31</t>
  </si>
  <si>
    <t>For students</t>
  </si>
  <si>
    <t>Awards (certificates and frames)</t>
  </si>
  <si>
    <t>13.30</t>
  </si>
  <si>
    <t>Awards</t>
  </si>
  <si>
    <t>Total Elections Expenses</t>
  </si>
  <si>
    <t>Total Year Exec</t>
  </si>
  <si>
    <t>Sci' 18 Elections, Per person</t>
  </si>
  <si>
    <t>13.29</t>
  </si>
  <si>
    <t>Sci' 19 Elections, Per person</t>
  </si>
  <si>
    <t>13.28</t>
  </si>
  <si>
    <t>Sci' 20 Elections, Per person</t>
  </si>
  <si>
    <t>13.27</t>
  </si>
  <si>
    <t>Sci' 20 Elections</t>
  </si>
  <si>
    <t>Stirling Hall Auditorium Room Booking</t>
  </si>
  <si>
    <t>13.26</t>
  </si>
  <si>
    <t>13.25</t>
  </si>
  <si>
    <t>Year Exec</t>
  </si>
  <si>
    <t>Total General</t>
  </si>
  <si>
    <t>Dinner after Exec Elections, Per person</t>
  </si>
  <si>
    <t>Elections Team Appreciation</t>
  </si>
  <si>
    <t>13.24</t>
  </si>
  <si>
    <t>Handed out at voting booths</t>
  </si>
  <si>
    <t>Timbits (50 Pack)</t>
  </si>
  <si>
    <t>13.23</t>
  </si>
  <si>
    <t xml:space="preserve">Executive Meet and Greet </t>
  </si>
  <si>
    <t>Refreshments</t>
  </si>
  <si>
    <t>13.22</t>
  </si>
  <si>
    <t>From AMS</t>
  </si>
  <si>
    <t>Voting Software</t>
  </si>
  <si>
    <t>13.21</t>
  </si>
  <si>
    <t>For debates (both nights)</t>
  </si>
  <si>
    <t>Equipment Rental</t>
  </si>
  <si>
    <t>13.20</t>
  </si>
  <si>
    <t>Debates (Night 2), Per person</t>
  </si>
  <si>
    <t>13.19</t>
  </si>
  <si>
    <t>13.18</t>
  </si>
  <si>
    <t>Debates (Night 1), Per person</t>
  </si>
  <si>
    <t>13.17</t>
  </si>
  <si>
    <t>13.16</t>
  </si>
  <si>
    <t>Senators</t>
  </si>
  <si>
    <t>Candidate Refunds</t>
  </si>
  <si>
    <t>13.15</t>
  </si>
  <si>
    <t>Executive Candidates</t>
  </si>
  <si>
    <t>13.14</t>
  </si>
  <si>
    <t>General</t>
  </si>
  <si>
    <t>Elections</t>
  </si>
  <si>
    <t>Total Council Expenses</t>
  </si>
  <si>
    <t>Per "Prize"</t>
  </si>
  <si>
    <t>Attendance/Participation Incentives</t>
  </si>
  <si>
    <t>13.13</t>
  </si>
  <si>
    <t>Annual General Meeting, Per person</t>
  </si>
  <si>
    <t>Council Pizza</t>
  </si>
  <si>
    <t>13.12</t>
  </si>
  <si>
    <t>April 5th, Per person</t>
  </si>
  <si>
    <t>13.11</t>
  </si>
  <si>
    <t>March 8th, Per person</t>
  </si>
  <si>
    <t>13.10</t>
  </si>
  <si>
    <t>February 9th, Per person</t>
  </si>
  <si>
    <t>13.09</t>
  </si>
  <si>
    <t>January 26th (Bring-a-Friend Day), Per person</t>
  </si>
  <si>
    <t>13.08</t>
  </si>
  <si>
    <t>January 12th, Per person</t>
  </si>
  <si>
    <t>13.07</t>
  </si>
  <si>
    <t>November 24th, Per person</t>
  </si>
  <si>
    <t>13.06</t>
  </si>
  <si>
    <t>November 10th, Per person</t>
  </si>
  <si>
    <t>13.05</t>
  </si>
  <si>
    <t>October 27th, Per person</t>
  </si>
  <si>
    <t>13.04</t>
  </si>
  <si>
    <t>October 13th (Bring-a-Friend Day), Per person</t>
  </si>
  <si>
    <t>13.03</t>
  </si>
  <si>
    <t>September 29th, Per person</t>
  </si>
  <si>
    <t>13.02</t>
  </si>
  <si>
    <t>September 15th, Per person</t>
  </si>
  <si>
    <t>13.01</t>
  </si>
  <si>
    <t>Council</t>
  </si>
  <si>
    <t>Director of Internal Affairs - Alexander Clifford</t>
  </si>
  <si>
    <t>Unbudgeted Expenses</t>
  </si>
  <si>
    <t>Total</t>
  </si>
  <si>
    <t>ERB Cards for Hiring</t>
  </si>
  <si>
    <t>ERB Cards</t>
  </si>
  <si>
    <t>12.20</t>
  </si>
  <si>
    <t>UNBUDGETED</t>
  </si>
  <si>
    <t>CoGro coffee &amp; tea</t>
  </si>
  <si>
    <t>12.19</t>
  </si>
  <si>
    <t>Pizza + accommodations for allergies</t>
  </si>
  <si>
    <t>12.18</t>
  </si>
  <si>
    <t>Wallace Hall, JDUC</t>
  </si>
  <si>
    <t>Venue booking and setup</t>
  </si>
  <si>
    <t>12.17</t>
  </si>
  <si>
    <t>TRAINING (FALL &amp; WINTER)</t>
  </si>
  <si>
    <t>Printing costs</t>
  </si>
  <si>
    <t>Hiring fair display</t>
  </si>
  <si>
    <t>12.16</t>
  </si>
  <si>
    <t>Will be given to ERB as a thank you</t>
  </si>
  <si>
    <t>ERB dinner</t>
  </si>
  <si>
    <t>12.15</t>
  </si>
  <si>
    <t>ERB</t>
  </si>
  <si>
    <t>EQUITY OFFICER</t>
  </si>
  <si>
    <t>Permit to march in Pride Parade</t>
  </si>
  <si>
    <t>12.14</t>
  </si>
  <si>
    <t>For equity speaker</t>
  </si>
  <si>
    <t>Hospitality gift</t>
  </si>
  <si>
    <t>12.13</t>
  </si>
  <si>
    <t>Survey/Town Hall Incentives</t>
  </si>
  <si>
    <t>12.12</t>
  </si>
  <si>
    <t>For equity town halls</t>
  </si>
  <si>
    <t>Tea Room Rental Fee</t>
  </si>
  <si>
    <t>12.11</t>
  </si>
  <si>
    <t>EquiTEA Catering</t>
  </si>
  <si>
    <t>12.10</t>
  </si>
  <si>
    <t>HR TEAM APPRECIATION</t>
  </si>
  <si>
    <t>Sweaters so we can look cool at events</t>
  </si>
  <si>
    <t>HR Team Sweaters</t>
  </si>
  <si>
    <t>12.09</t>
  </si>
  <si>
    <t>Will be given to team members to boost morale</t>
  </si>
  <si>
    <t>Spontaneous appreciation gift</t>
  </si>
  <si>
    <t>12.08</t>
  </si>
  <si>
    <t>Renting for 2 hours</t>
  </si>
  <si>
    <t>12.07</t>
  </si>
  <si>
    <t>Open Bar</t>
  </si>
  <si>
    <t>Tea Room Drinks</t>
  </si>
  <si>
    <t>12.06</t>
  </si>
  <si>
    <t>HIRING TOWN HALL (FALL &amp; WINTER)</t>
  </si>
  <si>
    <t>1 year SurveyGizmo Pro subscription</t>
  </si>
  <si>
    <t>Survey Software</t>
  </si>
  <si>
    <t>12.05</t>
  </si>
  <si>
    <t>Tea Room gift cards</t>
  </si>
  <si>
    <t>Survey Incentives</t>
  </si>
  <si>
    <t>12.04</t>
  </si>
  <si>
    <t>FEEDBACK OFFICER</t>
  </si>
  <si>
    <t>INVOLVEMENT FAIRS (FALL &amp; WINTER)</t>
  </si>
  <si>
    <t>1 gallon each from CoGro</t>
  </si>
  <si>
    <t>Coffee</t>
  </si>
  <si>
    <t>12.03</t>
  </si>
  <si>
    <t xml:space="preserve">Meat and vegetable </t>
  </si>
  <si>
    <t>Wrap Platter</t>
  </si>
  <si>
    <t>12.02</t>
  </si>
  <si>
    <t>Assorted Baked Good Tray</t>
  </si>
  <si>
    <t>12.01</t>
  </si>
  <si>
    <t>Director of Human Resources - Emily Wiersma</t>
  </si>
  <si>
    <t>Total Ladder Committee Expenses</t>
  </si>
  <si>
    <t>Various sizes</t>
  </si>
  <si>
    <t>Committee t-shirts</t>
  </si>
  <si>
    <t>Ladder Committee</t>
  </si>
  <si>
    <t>Total Games Night Expenses</t>
  </si>
  <si>
    <t>Bars</t>
  </si>
  <si>
    <t>Prizes</t>
  </si>
  <si>
    <t>2L Soda</t>
  </si>
  <si>
    <t>Games Night</t>
  </si>
  <si>
    <t>Total Involverment Fair Expenses</t>
  </si>
  <si>
    <t xml:space="preserve">From Walmart, 50 / pk (https://www.walmart.ca/en/ip/glad-storage-bags-with-twist-ties/6000039455595) </t>
  </si>
  <si>
    <t>Plastic Bags w/ twist ties</t>
  </si>
  <si>
    <t>From bulk barn. Include vegan candy options</t>
  </si>
  <si>
    <t>Miscellaneous Candy</t>
  </si>
  <si>
    <t>EngSoc Lounge Snack Day</t>
  </si>
  <si>
    <t>Total Exam Stress Relief Expenses</t>
  </si>
  <si>
    <t>Muffin Tray</t>
  </si>
  <si>
    <t>Tea Room Catering</t>
  </si>
  <si>
    <t>Fruit Tray</t>
  </si>
  <si>
    <t>Hot Chocolate</t>
  </si>
  <si>
    <t>Exam Stress Relief</t>
  </si>
  <si>
    <t>Total Physics Cookies Expenses</t>
  </si>
  <si>
    <t>J-Section APSC 112 Midterm 2 cookies</t>
  </si>
  <si>
    <t>Subway cookies</t>
  </si>
  <si>
    <t>J-Section APSC 112 Midterm 1 cookies</t>
  </si>
  <si>
    <t>APSC112 Midterm 2 cookies</t>
  </si>
  <si>
    <t>APSC112 Midterm 1 cookies</t>
  </si>
  <si>
    <t>APSC111 Midterm 2 cookies</t>
  </si>
  <si>
    <t>APSC111 Midterm 1 cookies</t>
  </si>
  <si>
    <t>Physics Cookies</t>
  </si>
  <si>
    <t>Total First Year Conference Expenses</t>
  </si>
  <si>
    <t>For workshop leaders &amp; case competition</t>
  </si>
  <si>
    <t>Crackers, cheese, and candy</t>
  </si>
  <si>
    <t>Misc snacks</t>
  </si>
  <si>
    <t>Rentals from the university</t>
  </si>
  <si>
    <t>Sunday tables/chairs/linen</t>
  </si>
  <si>
    <t>Saturday tables &amp; chairs</t>
  </si>
  <si>
    <t>Quarter-zips for the committee</t>
  </si>
  <si>
    <t>Hotel Bookings &amp; food for two days</t>
  </si>
  <si>
    <t>Speaker Accomadations</t>
  </si>
  <si>
    <t>Food for the teaser event</t>
  </si>
  <si>
    <t>Bars for some delegates, other specifics TBD</t>
  </si>
  <si>
    <t>Conference Swag</t>
  </si>
  <si>
    <t>Lunch</t>
  </si>
  <si>
    <t>Hot Chocolate &amp; Coffee</t>
  </si>
  <si>
    <t>Speaker appreciation</t>
  </si>
  <si>
    <t>Small gifts</t>
  </si>
  <si>
    <t>Grant Hall</t>
  </si>
  <si>
    <t>Venue (day 2)</t>
  </si>
  <si>
    <t>Wallace Hall (*waiting on invoice*)</t>
  </si>
  <si>
    <t>Venue (day 1)</t>
  </si>
  <si>
    <t>Name tags etc.</t>
  </si>
  <si>
    <t>Delegate Package</t>
  </si>
  <si>
    <t>Anticipataed attendance of 180, committee of 17</t>
  </si>
  <si>
    <t>First Year Conference</t>
  </si>
  <si>
    <t>Total FYPCO Expenses</t>
  </si>
  <si>
    <t>2 laser tag games at Putt N' Blast</t>
  </si>
  <si>
    <t>FYPCO Bonding</t>
  </si>
  <si>
    <t>For each FYPCO to attent one conference</t>
  </si>
  <si>
    <t>Conference Tickets</t>
  </si>
  <si>
    <t>For meetings &amp; FYPCO/Director social</t>
  </si>
  <si>
    <t>Treats &amp; Food</t>
  </si>
  <si>
    <t>FYPCO appreciation</t>
  </si>
  <si>
    <t>FYPCOs</t>
  </si>
  <si>
    <t>Total First Year Exec Expenses</t>
  </si>
  <si>
    <t>Underage year exec appreciation</t>
  </si>
  <si>
    <t>Pass Crests</t>
  </si>
  <si>
    <t>First Year Exec</t>
  </si>
  <si>
    <t>Total First Year Conference Revenue</t>
  </si>
  <si>
    <t>Conference Ticket</t>
  </si>
  <si>
    <t>Ticket</t>
  </si>
  <si>
    <t>DIRECTOR OF FIRST YEAR - Nick Dal Farra</t>
  </si>
  <si>
    <t>Total Office Expenses</t>
  </si>
  <si>
    <t>Deposit bags, coin rolls</t>
  </si>
  <si>
    <t>Supplies</t>
  </si>
  <si>
    <t>10.03</t>
  </si>
  <si>
    <t xml:space="preserve">Total </t>
  </si>
  <si>
    <t>Catering from Cogro</t>
  </si>
  <si>
    <t>Treasurer's Meeting</t>
  </si>
  <si>
    <t>10.02</t>
  </si>
  <si>
    <t>Dinner for new DoF and FO's</t>
  </si>
  <si>
    <t>Appreciation Dinner</t>
  </si>
  <si>
    <t>10.01</t>
  </si>
  <si>
    <t>Director of Finance- Sarah Rodin</t>
  </si>
  <si>
    <t>GRNAD TOTAL</t>
  </si>
  <si>
    <t xml:space="preserve">Total General Events Opperating Expenses </t>
  </si>
  <si>
    <t>For the events committee</t>
  </si>
  <si>
    <t>Movember and Terry Fox Marketing</t>
  </si>
  <si>
    <t>Sidewalk Sale Booth</t>
  </si>
  <si>
    <t>General Events Opperating Costs</t>
  </si>
  <si>
    <t>Total Dean's Wine and Cheese Expenses</t>
  </si>
  <si>
    <t xml:space="preserve">Tablecloths </t>
  </si>
  <si>
    <t>Linen Rentals</t>
  </si>
  <si>
    <t>Rental per dozen glasses</t>
  </si>
  <si>
    <t>Wine Glasses</t>
  </si>
  <si>
    <t>Platters from Widmills</t>
  </si>
  <si>
    <t xml:space="preserve">Food and Snacks </t>
  </si>
  <si>
    <t>For Clark Hall</t>
  </si>
  <si>
    <t xml:space="preserve">Decorations </t>
  </si>
  <si>
    <t>For Non-Alcohoic Punch</t>
  </si>
  <si>
    <t xml:space="preserve">Juice </t>
  </si>
  <si>
    <t>For Event</t>
  </si>
  <si>
    <t xml:space="preserve">Live Music Entertainment </t>
  </si>
  <si>
    <t xml:space="preserve">Supplied by local winery </t>
  </si>
  <si>
    <t xml:space="preserve">Wine </t>
  </si>
  <si>
    <t>Dean's Wine and Cheese</t>
  </si>
  <si>
    <t>Total Festival of Carols Expenses</t>
  </si>
  <si>
    <t>Total Advertising Expenses</t>
  </si>
  <si>
    <t>Staples</t>
  </si>
  <si>
    <t>Thank-you Cards and dignitary invitations</t>
  </si>
  <si>
    <t>Advertisement</t>
  </si>
  <si>
    <t>Total Reception Expenses</t>
  </si>
  <si>
    <t xml:space="preserve">Walmart </t>
  </si>
  <si>
    <t>Napkins + Plates</t>
  </si>
  <si>
    <t>CoGro - 9 Teas (12) @ 15$ + 19 Coffee (8-10) @ 18</t>
  </si>
  <si>
    <t>Hot Beverages</t>
  </si>
  <si>
    <t>CoGro Assorted Desert Trays</t>
  </si>
  <si>
    <t>Cookies</t>
  </si>
  <si>
    <t>Windmills (size large)</t>
  </si>
  <si>
    <t>Fruit Trays</t>
  </si>
  <si>
    <t>Reception</t>
  </si>
  <si>
    <t>Total Service Expenses</t>
  </si>
  <si>
    <t>(Compensate piano player and drummer)</t>
  </si>
  <si>
    <t>Accompanist</t>
  </si>
  <si>
    <t>Renaissance Music</t>
  </si>
  <si>
    <t>Speakers/mics</t>
  </si>
  <si>
    <t>Poinsettias (Will be given away at the end as gifts)</t>
  </si>
  <si>
    <t>Additional Decorations</t>
  </si>
  <si>
    <t xml:space="preserve">For the Service </t>
  </si>
  <si>
    <t>Grant Hall Rental</t>
  </si>
  <si>
    <t xml:space="preserve">Service </t>
  </si>
  <si>
    <t xml:space="preserve">Festival of Carols </t>
  </si>
  <si>
    <t>Total Wellness Events Expenses</t>
  </si>
  <si>
    <t xml:space="preserve">Total Sidewalk Chalk Event Expenses </t>
  </si>
  <si>
    <t xml:space="preserve">Sidewalk chalk </t>
  </si>
  <si>
    <t xml:space="preserve">Sidewalk Chalk Event </t>
  </si>
  <si>
    <t xml:space="preserve">Total Cookie Decorating Expenses </t>
  </si>
  <si>
    <t xml:space="preserve">Dollerama </t>
  </si>
  <si>
    <t xml:space="preserve">Sprinkles </t>
  </si>
  <si>
    <t xml:space="preserve">Icing </t>
  </si>
  <si>
    <t xml:space="preserve">Cookies </t>
  </si>
  <si>
    <t xml:space="preserve">Cookie Decorating </t>
  </si>
  <si>
    <t xml:space="preserve">Total Easter Egg Giveaway Expenses </t>
  </si>
  <si>
    <t>Easter Candy</t>
  </si>
  <si>
    <t xml:space="preserve">Plastic Easter Eggs </t>
  </si>
  <si>
    <t xml:space="preserve">Easter Egg Giveaway </t>
  </si>
  <si>
    <t xml:space="preserve">Total Valentine Grams Expenses </t>
  </si>
  <si>
    <t xml:space="preserve">Ribbon </t>
  </si>
  <si>
    <t xml:space="preserve">Paper </t>
  </si>
  <si>
    <t>Lollipops</t>
  </si>
  <si>
    <t xml:space="preserve">Valentine Grams </t>
  </si>
  <si>
    <t xml:space="preserve">Total Candy Grams Expenses </t>
  </si>
  <si>
    <t xml:space="preserve">Candy Canes </t>
  </si>
  <si>
    <t xml:space="preserve">Candy Grams </t>
  </si>
  <si>
    <t xml:space="preserve">Total Lego Building Competition Expenses </t>
  </si>
  <si>
    <t>CoGro 10x10 servings</t>
  </si>
  <si>
    <t xml:space="preserve">Lego Building Competition </t>
  </si>
  <si>
    <t>Wellness Events</t>
  </si>
  <si>
    <t>Total Terry Fox Run Expenses</t>
  </si>
  <si>
    <t>For posters and advertising</t>
  </si>
  <si>
    <t>Potentially donated from Loblaws</t>
  </si>
  <si>
    <t>Food for BBQ</t>
  </si>
  <si>
    <t>Rain Option During Run</t>
  </si>
  <si>
    <t>Book ARC gym in Case of Rain</t>
  </si>
  <si>
    <t>Waiting to Confirm</t>
  </si>
  <si>
    <t>Guest Speakers for Dinner</t>
  </si>
  <si>
    <t>Sutherland Room in JDUC</t>
  </si>
  <si>
    <t>Book Venue for Dinner</t>
  </si>
  <si>
    <t>Napkins, Cutlery, Tablecloths, Plates, Glasses</t>
  </si>
  <si>
    <t>Dinner Materials</t>
  </si>
  <si>
    <t>Ramekins Catering</t>
  </si>
  <si>
    <t>Catering for Dinner</t>
  </si>
  <si>
    <t xml:space="preserve">Terry Fox Run </t>
  </si>
  <si>
    <t>Total Movember Expenses</t>
  </si>
  <si>
    <t>Events Expenses</t>
  </si>
  <si>
    <t>Band Incentive</t>
  </si>
  <si>
    <t>Prize for BOTB</t>
  </si>
  <si>
    <t>For Concert</t>
  </si>
  <si>
    <t>Band</t>
  </si>
  <si>
    <t>4 Rooms</t>
  </si>
  <si>
    <t>Hotel for Band</t>
  </si>
  <si>
    <t>Yoga, Crossfit</t>
  </si>
  <si>
    <t>Room Bookings</t>
  </si>
  <si>
    <t>2 Hours Session</t>
  </si>
  <si>
    <t>Crossfit Trainer</t>
  </si>
  <si>
    <t>Opening Band Cost</t>
  </si>
  <si>
    <t>Ritual, BOTB (TBD), Trivia (TBD)</t>
  </si>
  <si>
    <t>Clark Booking</t>
  </si>
  <si>
    <t xml:space="preserve">Events </t>
  </si>
  <si>
    <t>Advertisement Expenses</t>
  </si>
  <si>
    <t>For committee to wear at events</t>
  </si>
  <si>
    <t>Bristol board + other props</t>
  </si>
  <si>
    <t>Posterboard</t>
  </si>
  <si>
    <t>Qtradition</t>
  </si>
  <si>
    <t xml:space="preserve">Ballons, razors, sharpies ect. </t>
  </si>
  <si>
    <t xml:space="preserve">Games at Ritual </t>
  </si>
  <si>
    <t xml:space="preserve">Dollar store to use at ritual and trivia </t>
  </si>
  <si>
    <t xml:space="preserve">Props for photos </t>
  </si>
  <si>
    <t xml:space="preserve">Advertisements </t>
  </si>
  <si>
    <t>Food Expenses</t>
  </si>
  <si>
    <t xml:space="preserve">Kraft Singles (packs of 16) </t>
  </si>
  <si>
    <t xml:space="preserve">Cheese </t>
  </si>
  <si>
    <t>Expense if we run out</t>
  </si>
  <si>
    <t>Propane</t>
  </si>
  <si>
    <t xml:space="preserve">For tidy eating </t>
  </si>
  <si>
    <t>Napkins</t>
  </si>
  <si>
    <t>To accompany the Hamburgers and Hotdogs</t>
  </si>
  <si>
    <t>Condiments</t>
  </si>
  <si>
    <t>packs of 12</t>
  </si>
  <si>
    <t>Burger Buns</t>
  </si>
  <si>
    <t>Purchased @ Giant Tiger (packs of 14)</t>
  </si>
  <si>
    <t>Cooked Hamburger Patties</t>
  </si>
  <si>
    <t xml:space="preserve">Food </t>
  </si>
  <si>
    <t xml:space="preserve">Movember </t>
  </si>
  <si>
    <t>Total EngWeek Expenses</t>
  </si>
  <si>
    <t>Online Order</t>
  </si>
  <si>
    <t>Buttons</t>
  </si>
  <si>
    <t>Coasters</t>
  </si>
  <si>
    <t>For marketing booth</t>
  </si>
  <si>
    <t>Purple Turbo</t>
  </si>
  <si>
    <t>Food Colouring</t>
  </si>
  <si>
    <t>To sell tickets for each event</t>
  </si>
  <si>
    <t xml:space="preserve">Tickets </t>
  </si>
  <si>
    <t>Staples - Box of 100</t>
  </si>
  <si>
    <t xml:space="preserve">Tent Cards </t>
  </si>
  <si>
    <t>For Committee to wear throughout event</t>
  </si>
  <si>
    <t>EngWeek Sweaters</t>
  </si>
  <si>
    <t>Total Thundersledz Expenses</t>
  </si>
  <si>
    <t>AB Field Rental</t>
  </si>
  <si>
    <t>Gym Rental</t>
  </si>
  <si>
    <t xml:space="preserve">Extra Costs If No Snow Present </t>
  </si>
  <si>
    <t>To clean garage at sights</t>
  </si>
  <si>
    <t xml:space="preserve">Garbage Removal </t>
  </si>
  <si>
    <t>Canadian Tire</t>
  </si>
  <si>
    <t>Rope</t>
  </si>
  <si>
    <t>114..7</t>
  </si>
  <si>
    <t>Duct Tape</t>
  </si>
  <si>
    <t xml:space="preserve">Thunder Sledz </t>
  </si>
  <si>
    <t>NYE Expenses</t>
  </si>
  <si>
    <t>Provided to winner of theme</t>
  </si>
  <si>
    <t>Decorations for the venue, SWAG, and games/incentives (all from Dollar Store)</t>
  </si>
  <si>
    <t>Decorations</t>
  </si>
  <si>
    <t>The Brooklyn has generously not charged us for the venue</t>
  </si>
  <si>
    <t>Venue (Brooklyn)</t>
  </si>
  <si>
    <t>NYE 2.0 </t>
  </si>
  <si>
    <t>Total Bubble Soccer Expenses</t>
  </si>
  <si>
    <t>$10 gift cards from the Tea Room</t>
  </si>
  <si>
    <t>Award</t>
  </si>
  <si>
    <t>Special goal posts used for bubble soccer</t>
  </si>
  <si>
    <t>Goal Posts</t>
  </si>
  <si>
    <t>Additional charges for each player after 20 players</t>
  </si>
  <si>
    <t>Additonal Player Charges</t>
  </si>
  <si>
    <t>To transport equipment from Toronto to venue</t>
  </si>
  <si>
    <t xml:space="preserve">Pump up the bubble balls, set up nets, etc. </t>
  </si>
  <si>
    <t>Set-Up Charges</t>
  </si>
  <si>
    <t xml:space="preserve">The ball that the individual is inside </t>
  </si>
  <si>
    <t>Bubble Ball</t>
  </si>
  <si>
    <t>Special balls used for bubble soccer</t>
  </si>
  <si>
    <t>Soccer Ball</t>
  </si>
  <si>
    <t>Additional charges for each player involved in event after 10 players</t>
  </si>
  <si>
    <t>Player Charges</t>
  </si>
  <si>
    <t xml:space="preserve">Bubble Soccer </t>
  </si>
  <si>
    <t>Total Battle of the Bands Expenses</t>
  </si>
  <si>
    <t>For voting purposes</t>
  </si>
  <si>
    <t xml:space="preserve">Pencils </t>
  </si>
  <si>
    <t>Talent incentive</t>
  </si>
  <si>
    <t>Prize (cheque)</t>
  </si>
  <si>
    <t xml:space="preserve">Battle of the Bands </t>
  </si>
  <si>
    <t>Total Karaoke Replacement Expenses</t>
  </si>
  <si>
    <t>if we need to rent a copy of the movie from a store or online</t>
  </si>
  <si>
    <t>Movie Rental (if applicable)</t>
  </si>
  <si>
    <t>walmart value pack</t>
  </si>
  <si>
    <t>candy</t>
  </si>
  <si>
    <t>machine rental fee - kingston party rental</t>
  </si>
  <si>
    <t>cotton candy - machine</t>
  </si>
  <si>
    <t>cotton candy bags</t>
  </si>
  <si>
    <t>cotton candy - bags</t>
  </si>
  <si>
    <t xml:space="preserve">candy floss bins </t>
  </si>
  <si>
    <t>cotton candy - candy floss</t>
  </si>
  <si>
    <t>cones - kingston party rental</t>
  </si>
  <si>
    <t>cotton candy - cones</t>
  </si>
  <si>
    <t xml:space="preserve">200 paper popcorn bags  - Amazon - </t>
  </si>
  <si>
    <t>Popcorn bags</t>
  </si>
  <si>
    <t>walmart popcorn Orville Ready to Eat Popcorn -  https://www.walmart.ca/search/popcorn</t>
  </si>
  <si>
    <t>Popcorn</t>
  </si>
  <si>
    <t>ellis hall</t>
  </si>
  <si>
    <t>Venue</t>
  </si>
  <si>
    <t>Movie Night</t>
  </si>
  <si>
    <t>Karaoke Replacement Event</t>
  </si>
  <si>
    <t>Total All Ages Replacement Expenses</t>
  </si>
  <si>
    <t xml:space="preserve">TBD </t>
  </si>
  <si>
    <t xml:space="preserve">Venue Booking </t>
  </si>
  <si>
    <t>Total Curling Expenses</t>
  </si>
  <si>
    <t>Prize for best costume</t>
  </si>
  <si>
    <t>1 pair * 70 people</t>
  </si>
  <si>
    <t>Shoe Rentals</t>
  </si>
  <si>
    <t>2 games * 70 people</t>
  </si>
  <si>
    <t>Bowling Games</t>
  </si>
  <si>
    <t>(tax included)</t>
  </si>
  <si>
    <t>Bussing</t>
  </si>
  <si>
    <t>3 hours *** Assuming increase in wage from 14.50 to 15.50$</t>
  </si>
  <si>
    <t>Stu Con Supervisor</t>
  </si>
  <si>
    <t>4 stucons * 3 hours = 12 units *** Assuming minimum wage increase to $14.00 (from current wage of 13.00)</t>
  </si>
  <si>
    <t>Stu Cons</t>
  </si>
  <si>
    <t xml:space="preserve">Curling  </t>
  </si>
  <si>
    <t>EngWeek</t>
  </si>
  <si>
    <t>Total December 6th Memorial Expenses</t>
  </si>
  <si>
    <t>A gift for the speaker</t>
  </si>
  <si>
    <t>Gift</t>
  </si>
  <si>
    <t xml:space="preserve">CoGro - 2x Assorted </t>
  </si>
  <si>
    <t>CoGro</t>
  </si>
  <si>
    <t>Coffee/Tea</t>
  </si>
  <si>
    <t>For invitations and programs</t>
  </si>
  <si>
    <t>Cardstock</t>
  </si>
  <si>
    <t>For ribbons</t>
  </si>
  <si>
    <t>Safety Pins</t>
  </si>
  <si>
    <t>White</t>
  </si>
  <si>
    <t>Ribbon</t>
  </si>
  <si>
    <t>Red or deep violet</t>
  </si>
  <si>
    <t>Roses</t>
  </si>
  <si>
    <t xml:space="preserve">December 6th Memorial </t>
  </si>
  <si>
    <t>Total EngVents Expenses</t>
  </si>
  <si>
    <t>Total Volunteer Appreciation Expenses</t>
  </si>
  <si>
    <t>For first and last meetings (3 large pizzas each)</t>
  </si>
  <si>
    <t>9.044</t>
  </si>
  <si>
    <t>CEO pricing with lettering</t>
  </si>
  <si>
    <t>Crewneck sweaters</t>
  </si>
  <si>
    <t>9.043</t>
  </si>
  <si>
    <t>Volunteer Appreciation</t>
  </si>
  <si>
    <t>Total ILC II Escape Room Expenses</t>
  </si>
  <si>
    <t>For room set-up</t>
  </si>
  <si>
    <t>Materials</t>
  </si>
  <si>
    <t>9.042</t>
  </si>
  <si>
    <t>ILC Escape Room II</t>
  </si>
  <si>
    <t>Total ILC I Escape Room Expenses</t>
  </si>
  <si>
    <t>From Costco</t>
  </si>
  <si>
    <t>Popcorn/drinks/serving containers</t>
  </si>
  <si>
    <t>9.041</t>
  </si>
  <si>
    <t>Movie Night In Stirling Hall</t>
  </si>
  <si>
    <t>Total Skating Event Expenses</t>
  </si>
  <si>
    <t>Based on the Tim Horton's website</t>
  </si>
  <si>
    <t>Tim's Take 10 Containers</t>
  </si>
  <si>
    <t>Skating in the Square  </t>
  </si>
  <si>
    <t>Total Open Mic Expenses</t>
  </si>
  <si>
    <t>For hungry audience members</t>
  </si>
  <si>
    <t>Pay what you can pizza</t>
  </si>
  <si>
    <t>9.038</t>
  </si>
  <si>
    <t>A nice gesture to our volunteers</t>
  </si>
  <si>
    <t xml:space="preserve">Appreciation for those who perform </t>
  </si>
  <si>
    <t>9.037</t>
  </si>
  <si>
    <t xml:space="preserve">Open Mic </t>
  </si>
  <si>
    <t>Total Thunderballz Expenses</t>
  </si>
  <si>
    <t>KCVI Gym Rental - Based on last year's invoice</t>
  </si>
  <si>
    <t>9.036</t>
  </si>
  <si>
    <t>From Qtraditions website</t>
  </si>
  <si>
    <t xml:space="preserve">Thunderballz bars </t>
  </si>
  <si>
    <t>9.035</t>
  </si>
  <si>
    <t>Thunderballz</t>
  </si>
  <si>
    <t>Total Chutes &amp; Lattes Expenses</t>
  </si>
  <si>
    <t>To be purchased from Costco</t>
  </si>
  <si>
    <t>Cookies, muffins, etc.</t>
  </si>
  <si>
    <t>9.034</t>
  </si>
  <si>
    <t>Found on Tea Room website</t>
  </si>
  <si>
    <t>Tea Room Rental (3 hours, drinks only)</t>
  </si>
  <si>
    <t>9.033</t>
  </si>
  <si>
    <t xml:space="preserve">Chutes &amp; Lattes </t>
  </si>
  <si>
    <t>Total Open Mic Night Expenses</t>
  </si>
  <si>
    <t>For promotional aspect, and to post on EngVEnts facebook page for publicity</t>
  </si>
  <si>
    <t>Photo booth materials</t>
  </si>
  <si>
    <t>9.032</t>
  </si>
  <si>
    <t>Reuse some materials from last year + buy some new ones</t>
  </si>
  <si>
    <t>Room materials</t>
  </si>
  <si>
    <t>9.031</t>
  </si>
  <si>
    <t xml:space="preserve">ILC Escape Room I </t>
  </si>
  <si>
    <t>Total Comedy Show Expenses</t>
  </si>
  <si>
    <t>Quoted in an email</t>
  </si>
  <si>
    <t>Fee for comedian</t>
  </si>
  <si>
    <t>9.030</t>
  </si>
  <si>
    <t>Some Queen's memorabilia from bookstore</t>
  </si>
  <si>
    <t>Thank you gift for comedian(s)</t>
  </si>
  <si>
    <t>9.029</t>
  </si>
  <si>
    <t xml:space="preserve">Comedy Show </t>
  </si>
  <si>
    <t>Total Hiring Fair Expenses</t>
  </si>
  <si>
    <t>From the ARC Grocery Store or Costco</t>
  </si>
  <si>
    <t>9.028</t>
  </si>
  <si>
    <t>For visibility - marketing</t>
  </si>
  <si>
    <t>Large print of logo</t>
  </si>
  <si>
    <t>To attract applicants and promote the brand - marketing</t>
  </si>
  <si>
    <t>EngVents Laptop Stickers</t>
  </si>
  <si>
    <t>9.026</t>
  </si>
  <si>
    <t xml:space="preserve">Hiring Fair </t>
  </si>
  <si>
    <t>EngVents</t>
  </si>
  <si>
    <t>Total Dean's Wine and Cheese Revenue</t>
  </si>
  <si>
    <t>Traditionally, part of the event is supported by the Dean, based on last years donation</t>
  </si>
  <si>
    <t>Dean Donation</t>
  </si>
  <si>
    <t>Total Movemeber Revenue</t>
  </si>
  <si>
    <t>Food Revenue</t>
  </si>
  <si>
    <t>TeaRoom</t>
  </si>
  <si>
    <t>Movember Mochas</t>
  </si>
  <si>
    <t>9.024</t>
  </si>
  <si>
    <t>Sold @ Weekly Ritual BBQ</t>
  </si>
  <si>
    <t xml:space="preserve">Cheeseburgers </t>
  </si>
  <si>
    <t>9.023</t>
  </si>
  <si>
    <t xml:space="preserve">Hamburgers </t>
  </si>
  <si>
    <t>9.022</t>
  </si>
  <si>
    <t>Yoga Revenue</t>
  </si>
  <si>
    <t xml:space="preserve">Sundays and Special Events </t>
  </si>
  <si>
    <t>Donations</t>
  </si>
  <si>
    <t>9.021</t>
  </si>
  <si>
    <t>Yoga</t>
  </si>
  <si>
    <t>Merchandise Revenue</t>
  </si>
  <si>
    <t>Sold @ sidewalk sale and events</t>
  </si>
  <si>
    <t xml:space="preserve">Old Hats </t>
  </si>
  <si>
    <t>9.020</t>
  </si>
  <si>
    <t>Old Shirts</t>
  </si>
  <si>
    <t>9.019</t>
  </si>
  <si>
    <t xml:space="preserve">Merchandise </t>
  </si>
  <si>
    <t>Crossfit Revenue</t>
  </si>
  <si>
    <t>75 (superclass)</t>
  </si>
  <si>
    <t>Crossfit Superclass or Warrior Run on a weekend - minimum donation</t>
  </si>
  <si>
    <t>9.018</t>
  </si>
  <si>
    <t>Crossfit Class/Warrior Run</t>
  </si>
  <si>
    <t>Concert Revenue</t>
  </si>
  <si>
    <t xml:space="preserve">Ritual and Trivia </t>
  </si>
  <si>
    <t>Raffle Tickets</t>
  </si>
  <si>
    <t>9.017</t>
  </si>
  <si>
    <t>Three Events TBD</t>
  </si>
  <si>
    <t xml:space="preserve">Clark Event </t>
  </si>
  <si>
    <t>9.016</t>
  </si>
  <si>
    <t>Location TBD</t>
  </si>
  <si>
    <t>Concert</t>
  </si>
  <si>
    <t>9.015</t>
  </si>
  <si>
    <t xml:space="preserve">Ticket Sale </t>
  </si>
  <si>
    <t>Total EngWeek Revenue</t>
  </si>
  <si>
    <t>9.014</t>
  </si>
  <si>
    <t>9.013</t>
  </si>
  <si>
    <t>New Year's 2.0</t>
  </si>
  <si>
    <t>9.012</t>
  </si>
  <si>
    <t>9.0115</t>
  </si>
  <si>
    <t>Pub Crawl</t>
  </si>
  <si>
    <t>9.011</t>
  </si>
  <si>
    <t>9.010</t>
  </si>
  <si>
    <t>T-Sledz</t>
  </si>
  <si>
    <t>9.009</t>
  </si>
  <si>
    <t xml:space="preserve">Curling </t>
  </si>
  <si>
    <t>9.008</t>
  </si>
  <si>
    <t>Total December 6th Memorial Revenue</t>
  </si>
  <si>
    <t>Traditionally, event expense had been covered by the Dean</t>
  </si>
  <si>
    <t>9.007</t>
  </si>
  <si>
    <t>December 6th Memorial</t>
  </si>
  <si>
    <t>Total EngVents Revenue</t>
  </si>
  <si>
    <t>Assuming $20 per team was successful in first semester</t>
  </si>
  <si>
    <t>9.006</t>
  </si>
  <si>
    <t>$5 admission + popcorn</t>
  </si>
  <si>
    <t>Stirling Movie Night</t>
  </si>
  <si>
    <t>9.005</t>
  </si>
  <si>
    <t>Open Mic Night</t>
  </si>
  <si>
    <t>9.004</t>
  </si>
  <si>
    <t>$30/team registration</t>
  </si>
  <si>
    <t>ThunderBallz</t>
  </si>
  <si>
    <t>9.003</t>
  </si>
  <si>
    <t>Free</t>
  </si>
  <si>
    <t>Chutes &amp; Lattes</t>
  </si>
  <si>
    <t>9.002</t>
  </si>
  <si>
    <t>Last year was $10 per team, increasing to $20 per team</t>
  </si>
  <si>
    <t>ILC Escape Room I</t>
  </si>
  <si>
    <t>9.001</t>
  </si>
  <si>
    <t xml:space="preserve">Leah Vignale - Director of Events </t>
  </si>
  <si>
    <t>Red Cross First Aid Course</t>
  </si>
  <si>
    <t>First Aid Training</t>
  </si>
  <si>
    <t>8.12</t>
  </si>
  <si>
    <t>Total Composites Training Expenses</t>
  </si>
  <si>
    <t>Gifts for instructor from industry to show our appreciation</t>
  </si>
  <si>
    <t>Gifts for instructor</t>
  </si>
  <si>
    <t>8.11</t>
  </si>
  <si>
    <t xml:space="preserve">Two nights </t>
  </si>
  <si>
    <t>Hotel for Instructor</t>
  </si>
  <si>
    <t>8.10</t>
  </si>
  <si>
    <t>Composites Training</t>
  </si>
  <si>
    <t>Total Design Bay - Room 115 Expenses</t>
  </si>
  <si>
    <t>So cabinets can move</t>
  </si>
  <si>
    <t>Cabinet Dolly</t>
  </si>
  <si>
    <t>8.09</t>
  </si>
  <si>
    <t>Storage in bay</t>
  </si>
  <si>
    <t>Storage Cabinets</t>
  </si>
  <si>
    <t>8.08</t>
  </si>
  <si>
    <t>For use at work benches</t>
  </si>
  <si>
    <t>Bench Vise</t>
  </si>
  <si>
    <t>8.07</t>
  </si>
  <si>
    <t>For cleaning the bay</t>
  </si>
  <si>
    <t>Shop Vacuum</t>
  </si>
  <si>
    <t>8.06</t>
  </si>
  <si>
    <t>Power Bar</t>
  </si>
  <si>
    <t>8.05</t>
  </si>
  <si>
    <t>Extension Cords</t>
  </si>
  <si>
    <t>8.04</t>
  </si>
  <si>
    <t>To move workbenches</t>
  </si>
  <si>
    <t>Wheel Casters</t>
  </si>
  <si>
    <t>8.03</t>
  </si>
  <si>
    <t>For teams to work on</t>
  </si>
  <si>
    <t>Workbench</t>
  </si>
  <si>
    <t>8.02</t>
  </si>
  <si>
    <t>Design Bay - Room 115</t>
  </si>
  <si>
    <t>Total Roundtable Meetings Expenses</t>
  </si>
  <si>
    <t>Design Team Roundtable, $80/meeting</t>
  </si>
  <si>
    <t>8.01</t>
  </si>
  <si>
    <t>Roundtable Meetings</t>
  </si>
  <si>
    <t>Director of Design -  Oliver Austin</t>
  </si>
  <si>
    <t>Appreciation for hiring panel</t>
  </si>
  <si>
    <t>Hiring Snacks</t>
  </si>
  <si>
    <t>7.31</t>
  </si>
  <si>
    <t>Total External Delegates Growth Expenses</t>
  </si>
  <si>
    <t>Gas/Other fee reimbursment</t>
  </si>
  <si>
    <t>Travel Reimbursment</t>
  </si>
  <si>
    <t>7.30</t>
  </si>
  <si>
    <t>Bursaries/other incentives</t>
  </si>
  <si>
    <t>External Delegates Incentives</t>
  </si>
  <si>
    <t>7.29</t>
  </si>
  <si>
    <t>External Delegates Growth</t>
  </si>
  <si>
    <t>Total Conference Round Table Expenses</t>
  </si>
  <si>
    <t>Coffee/Donuts</t>
  </si>
  <si>
    <t>Refreshments for Meeting</t>
  </si>
  <si>
    <t>7.28</t>
  </si>
  <si>
    <t>Individual Conference Fall Meetings</t>
  </si>
  <si>
    <t>Total Partial Conference Bursaries Expenses</t>
  </si>
  <si>
    <t>Unspecified</t>
  </si>
  <si>
    <t xml:space="preserve">Conference Bursary </t>
  </si>
  <si>
    <t>7.27</t>
  </si>
  <si>
    <t>QCBT</t>
  </si>
  <si>
    <t>7.26</t>
  </si>
  <si>
    <t>QGEC</t>
  </si>
  <si>
    <t>7.25</t>
  </si>
  <si>
    <t>FYC</t>
  </si>
  <si>
    <t>7.24</t>
  </si>
  <si>
    <t>QEC</t>
  </si>
  <si>
    <t>7.23</t>
  </si>
  <si>
    <t>QGIC</t>
  </si>
  <si>
    <t>7.22</t>
  </si>
  <si>
    <t>CIRQUE</t>
  </si>
  <si>
    <t>7.21</t>
  </si>
  <si>
    <t>QSC</t>
  </si>
  <si>
    <t>7.20</t>
  </si>
  <si>
    <t>CEEC</t>
  </si>
  <si>
    <t>7.19</t>
  </si>
  <si>
    <t>Partial Conference Bursaries</t>
  </si>
  <si>
    <t>Total External Conference Expenses</t>
  </si>
  <si>
    <t>Transportation Subsidy (based U of Calgary Host)</t>
  </si>
  <si>
    <t>Canadian Engineering Competition</t>
  </si>
  <si>
    <t>7.18</t>
  </si>
  <si>
    <t>Delegate Fees</t>
  </si>
  <si>
    <t>7.17</t>
  </si>
  <si>
    <t>Transportation Subsidy (based Carleton host) </t>
  </si>
  <si>
    <t>Ontario Engineering Competition</t>
  </si>
  <si>
    <t>7.16</t>
  </si>
  <si>
    <t>7.15</t>
  </si>
  <si>
    <t>External Conferences </t>
  </si>
  <si>
    <t>Total Internal Conferences Expenses</t>
  </si>
  <si>
    <t>Appreciation Gift Cards for Conference Heads (Likely Tearoom)</t>
  </si>
  <si>
    <t>Appreciation Gift</t>
  </si>
  <si>
    <t>7.14</t>
  </si>
  <si>
    <t>Personal Attendance Fee</t>
  </si>
  <si>
    <t>7.13</t>
  </si>
  <si>
    <t>7.12</t>
  </si>
  <si>
    <t>7.11</t>
  </si>
  <si>
    <t>7.10</t>
  </si>
  <si>
    <t>7.09</t>
  </si>
  <si>
    <t>7.08</t>
  </si>
  <si>
    <t>7.07</t>
  </si>
  <si>
    <t>7.06</t>
  </si>
  <si>
    <t xml:space="preserve">Presented to 2 of our 6 Internal Conferences </t>
  </si>
  <si>
    <t xml:space="preserve">Growth Incentive </t>
  </si>
  <si>
    <t>7.05</t>
  </si>
  <si>
    <t xml:space="preserve">Internal Conferences </t>
  </si>
  <si>
    <t>Total Faculty Support Revenue</t>
  </si>
  <si>
    <t>7.04</t>
  </si>
  <si>
    <t>7.03</t>
  </si>
  <si>
    <t>7.02</t>
  </si>
  <si>
    <t>7.01</t>
  </si>
  <si>
    <t>Faculty Support</t>
  </si>
  <si>
    <t>DIRECTOR OF CONFERENCES - AIDAN THIRSK</t>
  </si>
  <si>
    <t>Total Fix N Clean Expenses</t>
  </si>
  <si>
    <t>Total Misc. Expenses</t>
  </si>
  <si>
    <t>Cleansweep bars for volunteers</t>
  </si>
  <si>
    <t>GPA bars</t>
  </si>
  <si>
    <t>For anything that ends up not being able to be received via sponsorship as planned</t>
  </si>
  <si>
    <t>If sponsorship fails</t>
  </si>
  <si>
    <t>Misc.</t>
  </si>
  <si>
    <t>Total Winter Event Expenses</t>
  </si>
  <si>
    <t>to drive volunteers to houses that are further away</t>
  </si>
  <si>
    <t>Car Rental</t>
  </si>
  <si>
    <t>For volunteers (ex. granola bars)</t>
  </si>
  <si>
    <t>Pizza lunch for volunteers</t>
  </si>
  <si>
    <t>Tea and Coffee from Tim Horton's</t>
  </si>
  <si>
    <t>Shirts, thank you's</t>
  </si>
  <si>
    <t>Sponsor Appreciation</t>
  </si>
  <si>
    <t>Potential advertising fees (ex. WHIG)</t>
  </si>
  <si>
    <t>Advertising</t>
  </si>
  <si>
    <t>For drivers</t>
  </si>
  <si>
    <t>To compensate anything needed that is not donated</t>
  </si>
  <si>
    <t>Cleaning Supplies</t>
  </si>
  <si>
    <t>Winter Event</t>
  </si>
  <si>
    <t>Total Fall Event Expenses</t>
  </si>
  <si>
    <t>Fall Event</t>
  </si>
  <si>
    <t>Fix N Clean</t>
  </si>
  <si>
    <t>Total External Relations Committee Expenses</t>
  </si>
  <si>
    <t>Quarter zips for ERC members</t>
  </si>
  <si>
    <t>Appreciation</t>
  </si>
  <si>
    <t>For ERC members</t>
  </si>
  <si>
    <t>for engday booth</t>
  </si>
  <si>
    <t>Treats</t>
  </si>
  <si>
    <t>Total Snow Fort Building Contest Expenses</t>
  </si>
  <si>
    <t>For drinks</t>
  </si>
  <si>
    <t>Cups</t>
  </si>
  <si>
    <t>In case not donated (for builders)</t>
  </si>
  <si>
    <t>Warming Refreshments</t>
  </si>
  <si>
    <t>In case not donated</t>
  </si>
  <si>
    <t>For builders</t>
  </si>
  <si>
    <t>Jacket Patches</t>
  </si>
  <si>
    <t>24 Hr. Snow Fort Building Contest</t>
  </si>
  <si>
    <t>Total Food Drive Expenses</t>
  </si>
  <si>
    <t>24 Boxes for transporting donations</t>
  </si>
  <si>
    <t>Boxes</t>
  </si>
  <si>
    <t>For (frosh) group that collects the most donations</t>
  </si>
  <si>
    <t>Food Drive</t>
  </si>
  <si>
    <t>Total Santa Claus Parade Expenses</t>
  </si>
  <si>
    <t>Intend to reuse from last year, otherwise will need a new one</t>
  </si>
  <si>
    <t>Trailer Attachment</t>
  </si>
  <si>
    <t>To build the float (Have been mostly donated in the past)</t>
  </si>
  <si>
    <t>For volunteers who help with building</t>
  </si>
  <si>
    <t>For the truck on the day of the parade</t>
  </si>
  <si>
    <t>To power the float</t>
  </si>
  <si>
    <t>Generator</t>
  </si>
  <si>
    <t>For pulling the float</t>
  </si>
  <si>
    <t>Truck Rental</t>
  </si>
  <si>
    <t>Fee to participate in parade</t>
  </si>
  <si>
    <t>Entrance Fee</t>
  </si>
  <si>
    <t>Santa Claus Parade</t>
  </si>
  <si>
    <t>Total Youth Hockey Team Expenses</t>
  </si>
  <si>
    <t>For students who attend the game</t>
  </si>
  <si>
    <t>Signage Making</t>
  </si>
  <si>
    <t>Snacks for day spent with the team</t>
  </si>
  <si>
    <t>To spend a day with the team we sponsor (cost per hour)</t>
  </si>
  <si>
    <t>Ice Time</t>
  </si>
  <si>
    <t>To/from arena</t>
  </si>
  <si>
    <t>Fan Bus</t>
  </si>
  <si>
    <t>Cost of sponsoring the team</t>
  </si>
  <si>
    <t>Sponsorship fee</t>
  </si>
  <si>
    <t>For students who attend game/day with the team</t>
  </si>
  <si>
    <t>Youth Hockey Team</t>
  </si>
  <si>
    <t>External Relations Committee</t>
  </si>
  <si>
    <t>Total Volunteering Day Trips Expenses</t>
  </si>
  <si>
    <t>Total Swab Drive Expenses</t>
  </si>
  <si>
    <t>For volunteers</t>
  </si>
  <si>
    <t>May not be necessary (depending on number of volunteers)</t>
  </si>
  <si>
    <t>Bus</t>
  </si>
  <si>
    <t>Kingston Humane Society</t>
  </si>
  <si>
    <t>Habitat for Humanity</t>
  </si>
  <si>
    <t>Kingston Food Bank</t>
  </si>
  <si>
    <t>Volunteering Day Trips</t>
  </si>
  <si>
    <t>$4.00/pack</t>
  </si>
  <si>
    <t xml:space="preserve">Cookies for donors </t>
  </si>
  <si>
    <t>Pizza for the frosh group that donates the most swabs (average cost per pizza)</t>
  </si>
  <si>
    <t>Incentives for groups</t>
  </si>
  <si>
    <t>Swab Drive</t>
  </si>
  <si>
    <t>For community outreach team</t>
  </si>
  <si>
    <t>GPA Patches</t>
  </si>
  <si>
    <t>6.13</t>
  </si>
  <si>
    <t>Clothing for community outreach team</t>
  </si>
  <si>
    <t>6.12</t>
  </si>
  <si>
    <t>Total Blood Drive Expenses</t>
  </si>
  <si>
    <t>For donors</t>
  </si>
  <si>
    <t>6.11</t>
  </si>
  <si>
    <t>Blood Drive(s)</t>
  </si>
  <si>
    <t>Total Fall Event Revenue</t>
  </si>
  <si>
    <t xml:space="preserve">*revenue for bar sales </t>
  </si>
  <si>
    <t>Food Drive Donations</t>
  </si>
  <si>
    <t xml:space="preserve">External Relations Committee </t>
  </si>
  <si>
    <t>Total Fix N Clean</t>
  </si>
  <si>
    <t>Total Winter Event Revenue</t>
  </si>
  <si>
    <t>CleanSweep Bars</t>
  </si>
  <si>
    <t>GPA Patch Sales</t>
  </si>
  <si>
    <t>Cleansweep Bars</t>
  </si>
  <si>
    <t>Director of Community Outreach - Jordan Pernari</t>
  </si>
  <si>
    <t>Total Equipment Expenses</t>
  </si>
  <si>
    <t>Instant camera</t>
  </si>
  <si>
    <t>Fujifilm instax</t>
  </si>
  <si>
    <t>5.15</t>
  </si>
  <si>
    <t>NEEWER CN-304 304PCS LED Dimmable Ultra High Power Panel Digital Camera / Camcorder Video Light, for headshots</t>
  </si>
  <si>
    <t>Camera light</t>
  </si>
  <si>
    <t>5.14</t>
  </si>
  <si>
    <t>YN-360 Handheld RGB, for headshots</t>
  </si>
  <si>
    <t>Light Wand</t>
  </si>
  <si>
    <t>5.13</t>
  </si>
  <si>
    <t>Vivider (TM) 43-inch / 110cm 5-in-1 Collapsible Multi-Disc Light Photography Reflector with Bag, for headshots</t>
  </si>
  <si>
    <t>Photography Reflector</t>
  </si>
  <si>
    <t>5.12</t>
  </si>
  <si>
    <t>Wireless Microphone,K&amp;F Concept M-8 UHF Unidirectional Lavalier Microphone for DSLR Cameras, for videography</t>
  </si>
  <si>
    <t xml:space="preserve">Wireless microphone </t>
  </si>
  <si>
    <t>5.11</t>
  </si>
  <si>
    <t>New Equipment</t>
  </si>
  <si>
    <t>Total Comm Team Expenses</t>
  </si>
  <si>
    <t>Film for the instant camera</t>
  </si>
  <si>
    <t>Film</t>
  </si>
  <si>
    <t>5.10</t>
  </si>
  <si>
    <t xml:space="preserve">one.com domain and space fee for engsoccomm.com </t>
  </si>
  <si>
    <t>Website host fee</t>
  </si>
  <si>
    <t>5.09</t>
  </si>
  <si>
    <t>For identification during events</t>
  </si>
  <si>
    <t>Lanyards</t>
  </si>
  <si>
    <t>5.08</t>
  </si>
  <si>
    <t>To thank the Comm team for their hard work</t>
  </si>
  <si>
    <t>Comm Team patches</t>
  </si>
  <si>
    <t>5.07</t>
  </si>
  <si>
    <t>For the Videography manager, All Adobe apps for 9 months</t>
  </si>
  <si>
    <t>Creative Cloud Subscription</t>
  </si>
  <si>
    <t>5.06</t>
  </si>
  <si>
    <t>Thank you dinner for the wonderful managers</t>
  </si>
  <si>
    <t>5.05</t>
  </si>
  <si>
    <t>Facebook advertising and promotion mainly used during elections</t>
  </si>
  <si>
    <t>Viral advertising</t>
  </si>
  <si>
    <t>5.04</t>
  </si>
  <si>
    <t>Markers, chalk, bristol board, etc. for photo booths, promotions</t>
  </si>
  <si>
    <t>Miscellaneous supplies</t>
  </si>
  <si>
    <t>5.03</t>
  </si>
  <si>
    <t>10 x 25</t>
  </si>
  <si>
    <t>Sunday Meetings and Work Sessions (10 sessions x 25 people)</t>
  </si>
  <si>
    <t>5.02</t>
  </si>
  <si>
    <t>Establish a strong team identity</t>
  </si>
  <si>
    <t>Comm Team sweaters</t>
  </si>
  <si>
    <t>5.01</t>
  </si>
  <si>
    <t>Comm Team</t>
  </si>
  <si>
    <t>Director of Communications - Behshid Behrouzi</t>
  </si>
  <si>
    <t>Total Representation Expenses</t>
  </si>
  <si>
    <t>Coffee, donuts, and/or other snack food</t>
  </si>
  <si>
    <t>Engineering Academics Caucus</t>
  </si>
  <si>
    <t>4.07</t>
  </si>
  <si>
    <t>Representation</t>
  </si>
  <si>
    <t>Total BED Fund Expenses</t>
  </si>
  <si>
    <t>Gifts for those who submitted one of the top 5 ideas</t>
  </si>
  <si>
    <t>4.06</t>
  </si>
  <si>
    <t>Free slice for each idea submitted in person at the ILC</t>
  </si>
  <si>
    <t>4.05</t>
  </si>
  <si>
    <t>Thank coordinators for their work over the year</t>
  </si>
  <si>
    <t>Coordinator Appreciation</t>
  </si>
  <si>
    <t>4.04</t>
  </si>
  <si>
    <t>Appreciate BED Fund Reps and encourage attendance assuming 20 people at the meeting with four meetings</t>
  </si>
  <si>
    <t>Roundtable Meeting Food</t>
  </si>
  <si>
    <t>4.03</t>
  </si>
  <si>
    <t>Recognize purchases</t>
  </si>
  <si>
    <t>Plaques</t>
  </si>
  <si>
    <t>4.02</t>
  </si>
  <si>
    <t>Tea Room Promotional Event (includes Tea Room Rental and Drinks)</t>
  </si>
  <si>
    <t>Promotion</t>
  </si>
  <si>
    <t>4.01</t>
  </si>
  <si>
    <t>BED Fund</t>
  </si>
  <si>
    <t>Director of Academics - Monica Cowper</t>
  </si>
  <si>
    <t>Total Discipline Clubs Expenses</t>
  </si>
  <si>
    <t>For EngSoc Lounge</t>
  </si>
  <si>
    <t>Netflix</t>
  </si>
  <si>
    <t>3.07</t>
  </si>
  <si>
    <t>Spotify</t>
  </si>
  <si>
    <t>3.08</t>
  </si>
  <si>
    <t xml:space="preserve">Unbudgeted </t>
  </si>
  <si>
    <t>For 2 round tables</t>
  </si>
  <si>
    <t>Intended for stucon subsidy</t>
  </si>
  <si>
    <t>DC Bursary</t>
  </si>
  <si>
    <t>3.06</t>
  </si>
  <si>
    <t>Discipline Clubs</t>
  </si>
  <si>
    <t>Total Training Conference Expenses</t>
  </si>
  <si>
    <t>Mail Chimp</t>
  </si>
  <si>
    <t>Subscription</t>
  </si>
  <si>
    <t>3.05</t>
  </si>
  <si>
    <t>Mailing Lists</t>
  </si>
  <si>
    <t>For each month of the school year</t>
  </si>
  <si>
    <t>Tea Room Gift Card</t>
  </si>
  <si>
    <t>3.04</t>
  </si>
  <si>
    <t>Minimum order of 50</t>
  </si>
  <si>
    <t>EngSoc Travel Mugs</t>
  </si>
  <si>
    <t>3.03</t>
  </si>
  <si>
    <t>Total Engenda and IT Expenses</t>
  </si>
  <si>
    <t>For Engenda</t>
  </si>
  <si>
    <t>Adobe Creative Cloud Subscription</t>
  </si>
  <si>
    <t>3.02</t>
  </si>
  <si>
    <t>12 month Licence</t>
  </si>
  <si>
    <t>Remote Desktop Software</t>
  </si>
  <si>
    <t>3.01</t>
  </si>
  <si>
    <t>Engenda and IT</t>
  </si>
  <si>
    <t>Vice President of Student Affairs - Julianna Jeans</t>
  </si>
  <si>
    <t>1Password</t>
  </si>
  <si>
    <t>Unbugeted Expenses</t>
  </si>
  <si>
    <t>New Exec Smart Serve</t>
  </si>
  <si>
    <t>Advisory Board Expenses</t>
  </si>
  <si>
    <t>Portfolios</t>
  </si>
  <si>
    <t>Merchandise</t>
  </si>
  <si>
    <t>2.04</t>
  </si>
  <si>
    <t>Alumni and Faculty Gifts</t>
  </si>
  <si>
    <t>2.03</t>
  </si>
  <si>
    <t>Incoming and Outgoing board members</t>
  </si>
  <si>
    <t>2.02</t>
  </si>
  <si>
    <t>$10/member per meeting</t>
  </si>
  <si>
    <t>Meeting Food</t>
  </si>
  <si>
    <t>2.01</t>
  </si>
  <si>
    <t>Advisory Board</t>
  </si>
  <si>
    <t>Pre.Actual</t>
  </si>
  <si>
    <t>VICE.PRESIDENT OPERATIONS . JILLIAN REID</t>
  </si>
  <si>
    <t>President . Nat Wong</t>
  </si>
  <si>
    <t>General Appreciation</t>
  </si>
  <si>
    <t>1.01</t>
  </si>
  <si>
    <t>Clark Tabs Night . Drinks</t>
  </si>
  <si>
    <t>Bar Tab including tip</t>
  </si>
  <si>
    <t>1.02</t>
  </si>
  <si>
    <t>Clark Tabs Night . Food</t>
  </si>
  <si>
    <t>1.03</t>
  </si>
  <si>
    <t xml:space="preserve">Water Team </t>
  </si>
  <si>
    <t>Appreciation dinner</t>
  </si>
  <si>
    <t>Total Appreciation Expenses</t>
  </si>
  <si>
    <t>E/D Appreciation</t>
  </si>
  <si>
    <t>1.04</t>
  </si>
  <si>
    <t>Winter Dinner</t>
  </si>
  <si>
    <t>Dinner for ED after Winter Break</t>
  </si>
  <si>
    <t>1.05</t>
  </si>
  <si>
    <t>Holiday Dinner</t>
  </si>
  <si>
    <t>Dinner for ED before Fall Exams</t>
  </si>
  <si>
    <t>1.06</t>
  </si>
  <si>
    <t>Tea Room Allotment</t>
  </si>
  <si>
    <t>Per person, per month</t>
  </si>
  <si>
    <t>1.07</t>
  </si>
  <si>
    <t>For delegate fees</t>
  </si>
  <si>
    <t>1.08</t>
  </si>
  <si>
    <t>Ruggers</t>
  </si>
  <si>
    <t>To wear during EngSoc events</t>
  </si>
  <si>
    <t>1.09</t>
  </si>
  <si>
    <t>ED Dinner</t>
  </si>
  <si>
    <t>Transition for in/outgoing</t>
  </si>
  <si>
    <t>1.10</t>
  </si>
  <si>
    <t>EngSoc Crests</t>
  </si>
  <si>
    <t>For Jackets</t>
  </si>
  <si>
    <t>1.11</t>
  </si>
  <si>
    <t>Morale Boosts</t>
  </si>
  <si>
    <t>Coffee, Meeting Snacks</t>
  </si>
  <si>
    <t>1.12</t>
  </si>
  <si>
    <t>Alumni Summit</t>
  </si>
  <si>
    <t>Tickets to attend summit</t>
  </si>
  <si>
    <t>E/D Appreciation Expenses</t>
  </si>
  <si>
    <t>External University Relations</t>
  </si>
  <si>
    <t>1.13</t>
  </si>
  <si>
    <t>CFES Membership Fees</t>
  </si>
  <si>
    <t>Annual fee calc per head</t>
  </si>
  <si>
    <t>1.14</t>
  </si>
  <si>
    <t>EngSoc Patches</t>
  </si>
  <si>
    <t>To be traded at conferences</t>
  </si>
  <si>
    <t>External University Relations Expenses</t>
  </si>
  <si>
    <t>CFES Conference Travel and Delegate Fees</t>
  </si>
  <si>
    <t>1.15</t>
  </si>
  <si>
    <t>CDE Delegate Fees</t>
  </si>
  <si>
    <t>Conference on Diversity in Eng</t>
  </si>
  <si>
    <t>1.16</t>
  </si>
  <si>
    <t>CDE Travel Expenses</t>
  </si>
  <si>
    <t>Rental Car and Gas to McMaster</t>
  </si>
  <si>
    <t>CFES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</si>
</sst>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  <numFmt numFmtId="165" formatCode="&quot;$&quot;#,##0.000"/>
    <numFmt numFmtId="166" formatCode="0.000%"/>
    <numFmt numFmtId="167" formatCode="0\-000"/>
    <numFmt numFmtId="168" formatCode="&quot;$&quot;#,##0.00_);[Red]\(&quot;$&quot;#,##0.00\)"/>
    <numFmt numFmtId="169" formatCode="0.000"/>
    <numFmt numFmtId="170" formatCode="_(&quot;$&quot;* #,##0.00_);_(&quot;$&quot;* \(#,##0.00\);_(&quot;$&quot;* &quot;-&quot;??_);_(@_)"/>
    <numFmt numFmtId="171" formatCode="_(* #,##0.000_);_(* \(#,##0.000\);_(* &quot;-&quot;??_);_(@_)"/>
    <numFmt numFmtId="172" formatCode="&quot;$&quot;#,##0_);[Red]\(&quot;$&quot;#,##0\)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Segoe UI"/>
      <family val="2"/>
    </font>
    <font>
      <b/>
      <sz val="14"/>
      <name val="Segoe UI"/>
      <family val="2"/>
    </font>
    <font>
      <b/>
      <sz val="14"/>
      <color theme="0"/>
      <name val="Segoe UI"/>
      <family val="2"/>
    </font>
    <font>
      <b/>
      <sz val="13"/>
      <name val="Segoe UI"/>
      <family val="2"/>
    </font>
    <font>
      <sz val="13"/>
      <name val="Segoe UI"/>
      <family val="2"/>
    </font>
    <font>
      <sz val="12"/>
      <name val="Segoe UI"/>
      <family val="2"/>
    </font>
    <font>
      <b/>
      <sz val="12"/>
      <name val="Segoe UI"/>
      <family val="2"/>
    </font>
    <font>
      <i/>
      <sz val="12"/>
      <name val="Segoe UI"/>
      <family val="2"/>
    </font>
    <font>
      <u/>
      <sz val="10"/>
      <color theme="10"/>
      <name val="Arial"/>
      <family val="2"/>
    </font>
    <font>
      <sz val="12"/>
      <color rgb="FF000000"/>
      <name val="Segoe UI"/>
      <family val="2"/>
    </font>
    <font>
      <b/>
      <sz val="12"/>
      <color theme="0"/>
      <name val="Segoe UI"/>
      <family val="2"/>
    </font>
    <font>
      <sz val="12"/>
      <color theme="1"/>
      <name val="Calibri"/>
      <family val="2"/>
      <scheme val="minor"/>
    </font>
    <font>
      <b/>
      <sz val="26"/>
      <color rgb="FF7030A0"/>
      <name val="Segoe UI Light"/>
      <family val="2"/>
    </font>
    <font>
      <b/>
      <sz val="26"/>
      <color rgb="FF660099"/>
      <name val="Segoe UI Light"/>
      <family val="2"/>
    </font>
    <font>
      <b/>
      <sz val="10"/>
      <color indexed="81"/>
      <name val="Calibri"/>
    </font>
    <font>
      <sz val="10"/>
      <color indexed="81"/>
      <name val="Calibri"/>
    </font>
    <font>
      <b/>
      <i/>
      <sz val="12"/>
      <name val="Segoe UI"/>
      <family val="2"/>
    </font>
    <font>
      <sz val="11"/>
      <name val="Segoe UI"/>
      <family val="2"/>
    </font>
    <font>
      <b/>
      <sz val="20"/>
      <name val="Segoe U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Segoe UI"/>
      <family val="2"/>
    </font>
    <font>
      <i/>
      <sz val="11"/>
      <name val="Segoe UI"/>
      <family val="2"/>
    </font>
    <font>
      <b/>
      <sz val="11"/>
      <color theme="0"/>
      <name val="Segoe UI"/>
      <family val="2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Segoe UI"/>
      <family val="2"/>
    </font>
    <font>
      <b/>
      <i/>
      <sz val="11"/>
      <color rgb="FF7030A0"/>
      <name val="Segoe UI"/>
      <family val="2"/>
    </font>
    <font>
      <sz val="11"/>
      <color theme="1"/>
      <name val="Segoe UI"/>
      <family val="2"/>
    </font>
    <font>
      <sz val="12"/>
      <color theme="0"/>
      <name val="Segoe UI"/>
      <family val="2"/>
    </font>
    <font>
      <b/>
      <sz val="20"/>
      <color theme="1"/>
      <name val="Segoe UI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rgb="FF7030A0"/>
      <name val="Segoe UI"/>
      <family val="2"/>
    </font>
    <font>
      <i/>
      <sz val="11"/>
      <color rgb="FF7030A0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sz val="11"/>
      <color rgb="FF000000"/>
      <name val="Calibri"/>
      <family val="2"/>
    </font>
    <font>
      <b/>
      <sz val="22"/>
      <color theme="1"/>
      <name val="Segoe UI"/>
      <family val="2"/>
    </font>
    <font>
      <b/>
      <sz val="11"/>
      <color rgb="FFFFFFFF"/>
      <name val="Segoe UI"/>
      <family val="2"/>
    </font>
    <font>
      <b/>
      <sz val="20"/>
      <color rgb="FF000000"/>
      <name val="Calibri"/>
      <family val="2"/>
      <scheme val="minor"/>
    </font>
    <font>
      <b/>
      <i/>
      <sz val="11"/>
      <name val="Segoe UI"/>
      <family val="2"/>
    </font>
    <font>
      <sz val="11"/>
      <color rgb="FF000000"/>
      <name val="Arial"/>
      <family val="2"/>
    </font>
    <font>
      <b/>
      <sz val="12"/>
      <color rgb="FFFFFFFF"/>
      <name val="Segoe UI"/>
      <family val="2"/>
    </font>
    <font>
      <b/>
      <sz val="14"/>
      <name val="Calibri"/>
      <family val="2"/>
      <scheme val="minor"/>
    </font>
    <font>
      <sz val="12"/>
      <name val="Calibri"/>
      <scheme val="minor"/>
    </font>
    <font>
      <b/>
      <sz val="13"/>
      <name val="Calibri"/>
      <family val="2"/>
      <scheme val="minor"/>
    </font>
    <font>
      <b/>
      <sz val="12"/>
      <name val="Calibri"/>
      <scheme val="minor"/>
    </font>
    <font>
      <b/>
      <sz val="12"/>
      <color theme="0"/>
      <name val="Calibri"/>
      <family val="2"/>
      <scheme val="minor"/>
    </font>
    <font>
      <b/>
      <sz val="2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0099"/>
        <bgColor indexed="64"/>
      </patternFill>
    </fill>
    <fill>
      <patternFill patternType="solid">
        <fgColor rgb="FFFECB00"/>
        <bgColor indexed="64"/>
      </patternFill>
    </fill>
    <fill>
      <patternFill patternType="solid">
        <fgColor rgb="FF660099"/>
        <bgColor rgb="FF000000"/>
      </patternFill>
    </fill>
    <fill>
      <patternFill patternType="solid">
        <fgColor theme="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ECB00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4" fillId="7" borderId="0"/>
    <xf numFmtId="0" fontId="28" fillId="0" borderId="0"/>
    <xf numFmtId="0" fontId="14" fillId="0" borderId="0"/>
    <xf numFmtId="44" fontId="14" fillId="0" borderId="0" applyFont="0" applyFill="0" applyBorder="0" applyAlignment="0" applyProtection="0"/>
    <xf numFmtId="0" fontId="28" fillId="0" borderId="0"/>
    <xf numFmtId="0" fontId="8" fillId="9" borderId="0" applyAlignment="0"/>
    <xf numFmtId="3" fontId="8" fillId="12" borderId="0"/>
    <xf numFmtId="44" fontId="28" fillId="0" borderId="0" applyFont="0" applyFill="0" applyBorder="0" applyAlignment="0" applyProtection="0"/>
    <xf numFmtId="170" fontId="14" fillId="0" borderId="0" applyFont="0" applyFill="0" applyBorder="0" applyAlignment="0" applyProtection="0"/>
  </cellStyleXfs>
  <cellXfs count="1243">
    <xf numFmtId="0" fontId="0" fillId="0" borderId="0" xfId="0"/>
    <xf numFmtId="164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0" fontId="4" fillId="2" borderId="2" xfId="0" applyFont="1" applyFill="1" applyBorder="1"/>
    <xf numFmtId="0" fontId="3" fillId="0" borderId="3" xfId="0" applyFont="1" applyBorder="1"/>
    <xf numFmtId="164" fontId="3" fillId="3" borderId="4" xfId="0" applyNumberFormat="1" applyFont="1" applyFill="1" applyBorder="1" applyAlignment="1">
      <alignment horizontal="center"/>
    </xf>
    <xf numFmtId="164" fontId="3" fillId="3" borderId="0" xfId="0" applyNumberFormat="1" applyFont="1" applyFill="1" applyAlignment="1">
      <alignment horizontal="center"/>
    </xf>
    <xf numFmtId="0" fontId="4" fillId="3" borderId="0" xfId="0" applyFont="1" applyFill="1"/>
    <xf numFmtId="0" fontId="3" fillId="3" borderId="5" xfId="0" applyFont="1" applyFill="1" applyBorder="1"/>
    <xf numFmtId="164" fontId="3" fillId="2" borderId="4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4" fillId="2" borderId="0" xfId="0" applyFont="1" applyFill="1"/>
    <xf numFmtId="0" fontId="3" fillId="0" borderId="5" xfId="0" applyFont="1" applyBorder="1"/>
    <xf numFmtId="164" fontId="5" fillId="4" borderId="1" xfId="0" applyNumberFormat="1" applyFont="1" applyFill="1" applyBorder="1" applyAlignment="1">
      <alignment horizontal="center"/>
    </xf>
    <xf numFmtId="164" fontId="5" fillId="4" borderId="2" xfId="0" applyNumberFormat="1" applyFont="1" applyFill="1" applyBorder="1" applyAlignment="1">
      <alignment horizontal="center"/>
    </xf>
    <xf numFmtId="0" fontId="5" fillId="4" borderId="2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164" fontId="6" fillId="3" borderId="6" xfId="0" applyNumberFormat="1" applyFont="1" applyFill="1" applyBorder="1" applyAlignment="1">
      <alignment horizontal="center"/>
    </xf>
    <xf numFmtId="164" fontId="6" fillId="3" borderId="7" xfId="0" applyNumberFormat="1" applyFont="1" applyFill="1" applyBorder="1" applyAlignment="1">
      <alignment horizontal="center"/>
    </xf>
    <xf numFmtId="164" fontId="6" fillId="3" borderId="0" xfId="0" applyNumberFormat="1" applyFont="1" applyFill="1" applyAlignment="1">
      <alignment horizontal="center"/>
    </xf>
    <xf numFmtId="0" fontId="6" fillId="3" borderId="0" xfId="0" applyFont="1" applyFill="1"/>
    <xf numFmtId="0" fontId="7" fillId="3" borderId="5" xfId="0" applyFont="1" applyFill="1" applyBorder="1"/>
    <xf numFmtId="164" fontId="6" fillId="5" borderId="8" xfId="0" applyNumberFormat="1" applyFont="1" applyFill="1" applyBorder="1" applyAlignment="1">
      <alignment horizontal="center"/>
    </xf>
    <xf numFmtId="0" fontId="6" fillId="5" borderId="9" xfId="0" applyFont="1" applyFill="1" applyBorder="1"/>
    <xf numFmtId="0" fontId="7" fillId="3" borderId="10" xfId="0" applyFont="1" applyFill="1" applyBorder="1"/>
    <xf numFmtId="164" fontId="8" fillId="3" borderId="11" xfId="0" applyNumberFormat="1" applyFont="1" applyFill="1" applyBorder="1" applyAlignment="1">
      <alignment horizontal="center"/>
    </xf>
    <xf numFmtId="164" fontId="8" fillId="3" borderId="8" xfId="0" applyNumberFormat="1" applyFont="1" applyFill="1" applyBorder="1" applyAlignment="1">
      <alignment horizontal="center"/>
    </xf>
    <xf numFmtId="3" fontId="8" fillId="3" borderId="8" xfId="0" applyNumberFormat="1" applyFont="1" applyFill="1" applyBorder="1"/>
    <xf numFmtId="0" fontId="8" fillId="3" borderId="5" xfId="0" applyFont="1" applyFill="1" applyBorder="1"/>
    <xf numFmtId="164" fontId="9" fillId="5" borderId="8" xfId="0" applyNumberFormat="1" applyFont="1" applyFill="1" applyBorder="1" applyAlignment="1">
      <alignment horizontal="center"/>
    </xf>
    <xf numFmtId="164" fontId="9" fillId="5" borderId="11" xfId="0" applyNumberFormat="1" applyFont="1" applyFill="1" applyBorder="1" applyAlignment="1">
      <alignment horizontal="center"/>
    </xf>
    <xf numFmtId="0" fontId="9" fillId="5" borderId="9" xfId="0" applyFont="1" applyFill="1" applyBorder="1"/>
    <xf numFmtId="164" fontId="8" fillId="3" borderId="1" xfId="0" applyNumberFormat="1" applyFont="1" applyFill="1" applyBorder="1" applyAlignment="1">
      <alignment horizontal="center"/>
    </xf>
    <xf numFmtId="164" fontId="8" fillId="3" borderId="0" xfId="0" applyNumberFormat="1" applyFont="1" applyFill="1" applyAlignment="1">
      <alignment horizontal="center"/>
    </xf>
    <xf numFmtId="164" fontId="8" fillId="3" borderId="4" xfId="0" applyNumberFormat="1" applyFont="1" applyFill="1" applyBorder="1" applyAlignment="1">
      <alignment horizontal="center"/>
    </xf>
    <xf numFmtId="0" fontId="8" fillId="3" borderId="0" xfId="0" applyFont="1" applyFill="1"/>
    <xf numFmtId="0" fontId="9" fillId="3" borderId="5" xfId="0" applyFont="1" applyFill="1" applyBorder="1"/>
    <xf numFmtId="0" fontId="0" fillId="5" borderId="1" xfId="0" applyFill="1" applyBorder="1"/>
    <xf numFmtId="164" fontId="8" fillId="5" borderId="8" xfId="0" applyNumberFormat="1" applyFont="1" applyFill="1" applyBorder="1" applyAlignment="1">
      <alignment horizontal="center"/>
    </xf>
    <xf numFmtId="164" fontId="8" fillId="5" borderId="11" xfId="0" applyNumberFormat="1" applyFont="1" applyFill="1" applyBorder="1" applyAlignment="1">
      <alignment horizontal="center"/>
    </xf>
    <xf numFmtId="0" fontId="8" fillId="5" borderId="8" xfId="0" applyFont="1" applyFill="1" applyBorder="1"/>
    <xf numFmtId="164" fontId="9" fillId="3" borderId="11" xfId="0" applyNumberFormat="1" applyFont="1" applyFill="1" applyBorder="1" applyAlignment="1">
      <alignment horizontal="center"/>
    </xf>
    <xf numFmtId="164" fontId="9" fillId="3" borderId="0" xfId="0" applyNumberFormat="1" applyFont="1" applyFill="1" applyAlignment="1">
      <alignment horizontal="center"/>
    </xf>
    <xf numFmtId="0" fontId="9" fillId="3" borderId="0" xfId="0" applyFont="1" applyFill="1"/>
    <xf numFmtId="0" fontId="0" fillId="3" borderId="4" xfId="0" applyFill="1" applyBorder="1"/>
    <xf numFmtId="3" fontId="8" fillId="3" borderId="0" xfId="0" applyNumberFormat="1" applyFont="1" applyFill="1"/>
    <xf numFmtId="0" fontId="0" fillId="5" borderId="11" xfId="0" applyFill="1" applyBorder="1"/>
    <xf numFmtId="0" fontId="0" fillId="3" borderId="1" xfId="0" applyFill="1" applyBorder="1"/>
    <xf numFmtId="0" fontId="10" fillId="3" borderId="5" xfId="0" applyFont="1" applyFill="1" applyBorder="1"/>
    <xf numFmtId="3" fontId="8" fillId="3" borderId="0" xfId="2" applyNumberFormat="1" applyFont="1" applyFill="1" applyBorder="1"/>
    <xf numFmtId="0" fontId="0" fillId="5" borderId="8" xfId="0" applyFill="1" applyBorder="1"/>
    <xf numFmtId="164" fontId="12" fillId="3" borderId="4" xfId="0" applyNumberFormat="1" applyFont="1" applyFill="1" applyBorder="1" applyAlignment="1">
      <alignment horizontal="center"/>
    </xf>
    <xf numFmtId="164" fontId="12" fillId="2" borderId="4" xfId="0" applyNumberFormat="1" applyFont="1" applyFill="1" applyBorder="1" applyAlignment="1">
      <alignment horizontal="center"/>
    </xf>
    <xf numFmtId="0" fontId="0" fillId="5" borderId="4" xfId="0" applyFill="1" applyBorder="1"/>
    <xf numFmtId="164" fontId="8" fillId="5" borderId="0" xfId="0" applyNumberFormat="1" applyFont="1" applyFill="1" applyAlignment="1">
      <alignment horizontal="center"/>
    </xf>
    <xf numFmtId="0" fontId="8" fillId="5" borderId="0" xfId="0" applyFont="1" applyFill="1"/>
    <xf numFmtId="0" fontId="9" fillId="5" borderId="5" xfId="0" applyFont="1" applyFill="1" applyBorder="1"/>
    <xf numFmtId="164" fontId="13" fillId="6" borderId="11" xfId="0" applyNumberFormat="1" applyFont="1" applyFill="1" applyBorder="1" applyAlignment="1">
      <alignment horizontal="center"/>
    </xf>
    <xf numFmtId="164" fontId="13" fillId="4" borderId="2" xfId="0" applyNumberFormat="1" applyFont="1" applyFill="1" applyBorder="1" applyAlignment="1">
      <alignment horizontal="center"/>
    </xf>
    <xf numFmtId="164" fontId="13" fillId="6" borderId="2" xfId="0" applyNumberFormat="1" applyFont="1" applyFill="1" applyBorder="1" applyAlignment="1">
      <alignment horizontal="center"/>
    </xf>
    <xf numFmtId="0" fontId="13" fillId="4" borderId="2" xfId="0" applyFont="1" applyFill="1" applyBorder="1" applyAlignment="1">
      <alignment horizontal="left"/>
    </xf>
    <xf numFmtId="0" fontId="13" fillId="4" borderId="3" xfId="0" applyFont="1" applyFill="1" applyBorder="1" applyAlignment="1">
      <alignment horizontal="left"/>
    </xf>
    <xf numFmtId="164" fontId="9" fillId="3" borderId="6" xfId="0" applyNumberFormat="1" applyFont="1" applyFill="1" applyBorder="1" applyAlignment="1">
      <alignment horizontal="center"/>
    </xf>
    <xf numFmtId="0" fontId="6" fillId="3" borderId="5" xfId="0" applyFont="1" applyFill="1" applyBorder="1"/>
    <xf numFmtId="164" fontId="8" fillId="3" borderId="6" xfId="0" applyNumberFormat="1" applyFont="1" applyFill="1" applyBorder="1" applyAlignment="1">
      <alignment horizontal="center"/>
    </xf>
    <xf numFmtId="164" fontId="8" fillId="5" borderId="1" xfId="0" applyNumberFormat="1" applyFont="1" applyFill="1" applyBorder="1" applyAlignment="1">
      <alignment horizontal="center"/>
    </xf>
    <xf numFmtId="164" fontId="8" fillId="2" borderId="4" xfId="0" applyNumberFormat="1" applyFont="1" applyFill="1" applyBorder="1" applyAlignment="1">
      <alignment horizontal="center"/>
    </xf>
    <xf numFmtId="164" fontId="8" fillId="2" borderId="0" xfId="0" applyNumberFormat="1" applyFont="1" applyFill="1" applyAlignment="1">
      <alignment horizontal="center"/>
    </xf>
    <xf numFmtId="3" fontId="8" fillId="2" borderId="0" xfId="2" applyNumberFormat="1" applyFont="1" applyFill="1" applyBorder="1"/>
    <xf numFmtId="164" fontId="8" fillId="3" borderId="4" xfId="3" applyNumberFormat="1" applyFont="1" applyFill="1" applyBorder="1" applyAlignment="1">
      <alignment horizontal="center"/>
    </xf>
    <xf numFmtId="164" fontId="8" fillId="8" borderId="4" xfId="3" applyNumberFormat="1" applyFont="1" applyFill="1" applyBorder="1" applyAlignment="1">
      <alignment horizontal="center"/>
    </xf>
    <xf numFmtId="3" fontId="8" fillId="2" borderId="0" xfId="0" applyNumberFormat="1" applyFont="1" applyFill="1"/>
    <xf numFmtId="164" fontId="0" fillId="0" borderId="0" xfId="0" applyNumberFormat="1"/>
    <xf numFmtId="164" fontId="8" fillId="8" borderId="0" xfId="3" applyNumberFormat="1" applyFont="1" applyFill="1" applyAlignment="1">
      <alignment horizontal="center" wrapText="1"/>
    </xf>
    <xf numFmtId="0" fontId="8" fillId="2" borderId="0" xfId="0" applyFont="1" applyFill="1"/>
    <xf numFmtId="164" fontId="8" fillId="5" borderId="1" xfId="0" applyNumberFormat="1" applyFont="1" applyFill="1" applyBorder="1"/>
    <xf numFmtId="164" fontId="8" fillId="5" borderId="2" xfId="0" applyNumberFormat="1" applyFont="1" applyFill="1" applyBorder="1"/>
    <xf numFmtId="164" fontId="8" fillId="5" borderId="8" xfId="0" applyNumberFormat="1" applyFont="1" applyFill="1" applyBorder="1"/>
    <xf numFmtId="164" fontId="13" fillId="4" borderId="11" xfId="0" applyNumberFormat="1" applyFont="1" applyFill="1" applyBorder="1" applyAlignment="1">
      <alignment horizontal="center"/>
    </xf>
    <xf numFmtId="164" fontId="13" fillId="4" borderId="8" xfId="0" applyNumberFormat="1" applyFont="1" applyFill="1" applyBorder="1" applyAlignment="1">
      <alignment horizontal="center"/>
    </xf>
    <xf numFmtId="164" fontId="9" fillId="9" borderId="11" xfId="0" applyNumberFormat="1" applyFont="1" applyFill="1" applyBorder="1" applyAlignment="1">
      <alignment horizontal="center"/>
    </xf>
    <xf numFmtId="164" fontId="9" fillId="3" borderId="9" xfId="0" applyNumberFormat="1" applyFont="1" applyFill="1" applyBorder="1" applyAlignment="1">
      <alignment horizontal="center"/>
    </xf>
    <xf numFmtId="164" fontId="9" fillId="9" borderId="6" xfId="0" applyNumberFormat="1" applyFont="1" applyFill="1" applyBorder="1" applyAlignment="1">
      <alignment horizontal="center"/>
    </xf>
    <xf numFmtId="164" fontId="9" fillId="3" borderId="7" xfId="0" applyNumberFormat="1" applyFont="1" applyFill="1" applyBorder="1" applyAlignment="1">
      <alignment horizontal="center"/>
    </xf>
    <xf numFmtId="0" fontId="9" fillId="9" borderId="0" xfId="0" applyFont="1" applyFill="1" applyAlignment="1">
      <alignment horizontal="center"/>
    </xf>
    <xf numFmtId="0" fontId="9" fillId="10" borderId="5" xfId="0" applyFont="1" applyFill="1" applyBorder="1" applyAlignment="1">
      <alignment horizontal="center"/>
    </xf>
    <xf numFmtId="49" fontId="13" fillId="6" borderId="12" xfId="0" applyNumberFormat="1" applyFont="1" applyFill="1" applyBorder="1" applyAlignment="1">
      <alignment horizontal="center"/>
    </xf>
    <xf numFmtId="49" fontId="13" fillId="4" borderId="11" xfId="0" applyNumberFormat="1" applyFont="1" applyFill="1" applyBorder="1" applyAlignment="1">
      <alignment horizontal="center"/>
    </xf>
    <xf numFmtId="49" fontId="13" fillId="4" borderId="12" xfId="0" applyNumberFormat="1" applyFont="1" applyFill="1" applyBorder="1" applyAlignment="1">
      <alignment horizontal="center"/>
    </xf>
    <xf numFmtId="49" fontId="13" fillId="6" borderId="1" xfId="0" applyNumberFormat="1" applyFont="1" applyFill="1" applyBorder="1" applyAlignment="1">
      <alignment horizontal="center"/>
    </xf>
    <xf numFmtId="49" fontId="13" fillId="6" borderId="3" xfId="0" applyNumberFormat="1" applyFont="1" applyFill="1" applyBorder="1" applyAlignment="1">
      <alignment horizontal="center"/>
    </xf>
    <xf numFmtId="49" fontId="9" fillId="3" borderId="12" xfId="0" applyNumberFormat="1" applyFont="1" applyFill="1" applyBorder="1" applyAlignment="1">
      <alignment horizontal="center"/>
    </xf>
    <xf numFmtId="49" fontId="9" fillId="3" borderId="11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13" xfId="0" applyNumberFormat="1" applyFont="1" applyFill="1" applyBorder="1" applyAlignment="1">
      <alignment horizontal="center"/>
    </xf>
    <xf numFmtId="49" fontId="15" fillId="3" borderId="1" xfId="0" applyNumberFormat="1" applyFont="1" applyFill="1" applyBorder="1" applyAlignment="1">
      <alignment horizontal="center" vertical="center"/>
    </xf>
    <xf numFmtId="49" fontId="15" fillId="3" borderId="2" xfId="0" applyNumberFormat="1" applyFont="1" applyFill="1" applyBorder="1" applyAlignment="1">
      <alignment horizontal="center" vertical="center"/>
    </xf>
    <xf numFmtId="49" fontId="15" fillId="3" borderId="3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/>
    </xf>
    <xf numFmtId="49" fontId="8" fillId="3" borderId="2" xfId="0" applyNumberFormat="1" applyFont="1" applyFill="1" applyBorder="1" applyAlignment="1">
      <alignment horizontal="center"/>
    </xf>
    <xf numFmtId="49" fontId="15" fillId="3" borderId="4" xfId="0" applyNumberFormat="1" applyFont="1" applyFill="1" applyBorder="1" applyAlignment="1">
      <alignment horizontal="center" vertical="center"/>
    </xf>
    <xf numFmtId="49" fontId="15" fillId="3" borderId="0" xfId="0" applyNumberFormat="1" applyFont="1" applyFill="1" applyAlignment="1">
      <alignment horizontal="center" vertical="center"/>
    </xf>
    <xf numFmtId="49" fontId="15" fillId="3" borderId="5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/>
    </xf>
    <xf numFmtId="49" fontId="8" fillId="3" borderId="0" xfId="0" applyNumberFormat="1" applyFont="1" applyFill="1" applyAlignment="1">
      <alignment horizontal="center"/>
    </xf>
    <xf numFmtId="49" fontId="15" fillId="3" borderId="6" xfId="0" applyNumberFormat="1" applyFont="1" applyFill="1" applyBorder="1" applyAlignment="1">
      <alignment horizontal="center" vertical="center"/>
    </xf>
    <xf numFmtId="49" fontId="15" fillId="3" borderId="7" xfId="0" applyNumberFormat="1" applyFont="1" applyFill="1" applyBorder="1" applyAlignment="1">
      <alignment horizontal="center" vertical="center"/>
    </xf>
    <xf numFmtId="49" fontId="16" fillId="3" borderId="13" xfId="0" applyNumberFormat="1" applyFont="1" applyFill="1" applyBorder="1" applyAlignment="1">
      <alignment horizontal="center" vertical="center"/>
    </xf>
    <xf numFmtId="0" fontId="14" fillId="7" borderId="0" xfId="3"/>
    <xf numFmtId="164" fontId="4" fillId="8" borderId="1" xfId="3" applyNumberFormat="1" applyFont="1" applyFill="1" applyBorder="1" applyAlignment="1">
      <alignment horizontal="center"/>
    </xf>
    <xf numFmtId="164" fontId="4" fillId="8" borderId="2" xfId="3" applyNumberFormat="1" applyFont="1" applyFill="1" applyBorder="1" applyAlignment="1">
      <alignment horizontal="center"/>
    </xf>
    <xf numFmtId="0" fontId="4" fillId="8" borderId="2" xfId="3" applyFont="1" applyFill="1" applyBorder="1" applyAlignment="1">
      <alignment horizontal="left"/>
    </xf>
    <xf numFmtId="0" fontId="4" fillId="10" borderId="3" xfId="3" applyFont="1" applyFill="1" applyBorder="1" applyAlignment="1">
      <alignment horizontal="left"/>
    </xf>
    <xf numFmtId="164" fontId="4" fillId="10" borderId="4" xfId="3" applyNumberFormat="1" applyFont="1" applyFill="1" applyBorder="1" applyAlignment="1">
      <alignment horizontal="center"/>
    </xf>
    <xf numFmtId="164" fontId="4" fillId="10" borderId="0" xfId="3" applyNumberFormat="1" applyFont="1" applyFill="1" applyAlignment="1">
      <alignment horizontal="center"/>
    </xf>
    <xf numFmtId="0" fontId="4" fillId="10" borderId="0" xfId="3" applyFont="1" applyFill="1" applyAlignment="1">
      <alignment horizontal="left"/>
    </xf>
    <xf numFmtId="0" fontId="4" fillId="10" borderId="5" xfId="3" applyFont="1" applyFill="1" applyBorder="1" applyAlignment="1">
      <alignment horizontal="left"/>
    </xf>
    <xf numFmtId="164" fontId="4" fillId="8" borderId="6" xfId="3" applyNumberFormat="1" applyFont="1" applyFill="1" applyBorder="1" applyAlignment="1">
      <alignment horizontal="center"/>
    </xf>
    <xf numFmtId="164" fontId="4" fillId="8" borderId="7" xfId="3" applyNumberFormat="1" applyFont="1" applyFill="1" applyBorder="1" applyAlignment="1">
      <alignment horizontal="center"/>
    </xf>
    <xf numFmtId="164" fontId="4" fillId="8" borderId="0" xfId="3" applyNumberFormat="1" applyFont="1" applyFill="1" applyAlignment="1">
      <alignment horizontal="center"/>
    </xf>
    <xf numFmtId="0" fontId="4" fillId="8" borderId="0" xfId="3" applyFont="1" applyFill="1" applyAlignment="1">
      <alignment horizontal="left"/>
    </xf>
    <xf numFmtId="164" fontId="4" fillId="11" borderId="4" xfId="3" applyNumberFormat="1" applyFont="1" applyFill="1" applyBorder="1" applyAlignment="1">
      <alignment horizontal="center"/>
    </xf>
    <xf numFmtId="164" fontId="4" fillId="11" borderId="0" xfId="3" applyNumberFormat="1" applyFont="1" applyFill="1" applyAlignment="1">
      <alignment horizontal="center"/>
    </xf>
    <xf numFmtId="164" fontId="4" fillId="11" borderId="2" xfId="3" applyNumberFormat="1" applyFont="1" applyFill="1" applyBorder="1" applyAlignment="1">
      <alignment horizontal="center"/>
    </xf>
    <xf numFmtId="1" fontId="4" fillId="11" borderId="2" xfId="3" applyNumberFormat="1" applyFont="1" applyFill="1" applyBorder="1" applyAlignment="1">
      <alignment horizontal="center"/>
    </xf>
    <xf numFmtId="0" fontId="4" fillId="11" borderId="2" xfId="3" applyFont="1" applyFill="1" applyBorder="1" applyAlignment="1">
      <alignment horizontal="left"/>
    </xf>
    <xf numFmtId="0" fontId="4" fillId="11" borderId="3" xfId="3" applyFont="1" applyFill="1" applyBorder="1" applyAlignment="1">
      <alignment horizontal="left"/>
    </xf>
    <xf numFmtId="164" fontId="6" fillId="10" borderId="4" xfId="3" applyNumberFormat="1" applyFont="1" applyFill="1" applyBorder="1" applyAlignment="1">
      <alignment horizontal="center"/>
    </xf>
    <xf numFmtId="164" fontId="6" fillId="10" borderId="0" xfId="3" applyNumberFormat="1" applyFont="1" applyFill="1" applyAlignment="1">
      <alignment horizontal="center"/>
    </xf>
    <xf numFmtId="1" fontId="6" fillId="10" borderId="0" xfId="3" applyNumberFormat="1" applyFont="1" applyFill="1" applyAlignment="1">
      <alignment horizontal="center"/>
    </xf>
    <xf numFmtId="0" fontId="6" fillId="10" borderId="0" xfId="3" applyFont="1" applyFill="1" applyAlignment="1">
      <alignment horizontal="left"/>
    </xf>
    <xf numFmtId="0" fontId="7" fillId="10" borderId="0" xfId="3" applyFont="1" applyFill="1" applyAlignment="1">
      <alignment horizontal="left"/>
    </xf>
    <xf numFmtId="0" fontId="6" fillId="10" borderId="5" xfId="3" applyFont="1" applyFill="1" applyBorder="1" applyAlignment="1">
      <alignment horizontal="left"/>
    </xf>
    <xf numFmtId="164" fontId="9" fillId="10" borderId="4" xfId="3" applyNumberFormat="1" applyFont="1" applyFill="1" applyBorder="1" applyAlignment="1">
      <alignment horizontal="center"/>
    </xf>
    <xf numFmtId="164" fontId="9" fillId="10" borderId="0" xfId="3" applyNumberFormat="1" applyFont="1" applyFill="1" applyAlignment="1">
      <alignment horizontal="center"/>
    </xf>
    <xf numFmtId="1" fontId="9" fillId="10" borderId="0" xfId="3" applyNumberFormat="1" applyFont="1" applyFill="1" applyAlignment="1">
      <alignment horizontal="center"/>
    </xf>
    <xf numFmtId="0" fontId="9" fillId="10" borderId="0" xfId="3" applyFont="1" applyFill="1" applyAlignment="1">
      <alignment horizontal="left"/>
    </xf>
    <xf numFmtId="0" fontId="8" fillId="10" borderId="0" xfId="3" applyFont="1" applyFill="1" applyAlignment="1">
      <alignment horizontal="left"/>
    </xf>
    <xf numFmtId="0" fontId="9" fillId="10" borderId="5" xfId="3" applyFont="1" applyFill="1" applyBorder="1" applyAlignment="1">
      <alignment horizontal="left"/>
    </xf>
    <xf numFmtId="164" fontId="9" fillId="10" borderId="11" xfId="3" applyNumberFormat="1" applyFont="1" applyFill="1" applyBorder="1" applyAlignment="1">
      <alignment horizontal="center"/>
    </xf>
    <xf numFmtId="164" fontId="9" fillId="10" borderId="8" xfId="3" applyNumberFormat="1" applyFont="1" applyFill="1" applyBorder="1" applyAlignment="1">
      <alignment horizontal="center"/>
    </xf>
    <xf numFmtId="1" fontId="9" fillId="10" borderId="8" xfId="3" applyNumberFormat="1" applyFont="1" applyFill="1" applyBorder="1" applyAlignment="1">
      <alignment horizontal="center"/>
    </xf>
    <xf numFmtId="0" fontId="9" fillId="10" borderId="8" xfId="3" applyFont="1" applyFill="1" applyBorder="1" applyAlignment="1">
      <alignment horizontal="left"/>
    </xf>
    <xf numFmtId="0" fontId="9" fillId="10" borderId="9" xfId="3" applyFont="1" applyFill="1" applyBorder="1" applyAlignment="1">
      <alignment horizontal="left"/>
    </xf>
    <xf numFmtId="0" fontId="9" fillId="10" borderId="5" xfId="3" applyFont="1" applyFill="1" applyBorder="1"/>
    <xf numFmtId="164" fontId="8" fillId="10" borderId="4" xfId="3" applyNumberFormat="1" applyFont="1" applyFill="1" applyBorder="1" applyAlignment="1">
      <alignment horizontal="center"/>
    </xf>
    <xf numFmtId="164" fontId="8" fillId="10" borderId="0" xfId="3" applyNumberFormat="1" applyFont="1" applyFill="1" applyAlignment="1">
      <alignment horizontal="center"/>
    </xf>
    <xf numFmtId="164" fontId="8" fillId="9" borderId="0" xfId="3" applyNumberFormat="1" applyFont="1" applyFill="1" applyAlignment="1">
      <alignment horizontal="center"/>
    </xf>
    <xf numFmtId="1" fontId="8" fillId="10" borderId="0" xfId="3" applyNumberFormat="1" applyFont="1" applyFill="1" applyAlignment="1">
      <alignment horizontal="center"/>
    </xf>
    <xf numFmtId="0" fontId="8" fillId="10" borderId="0" xfId="3" applyFont="1" applyFill="1" applyAlignment="1">
      <alignment horizontal="center"/>
    </xf>
    <xf numFmtId="0" fontId="9" fillId="10" borderId="0" xfId="3" applyFont="1" applyFill="1" applyAlignment="1">
      <alignment horizontal="center"/>
    </xf>
    <xf numFmtId="164" fontId="8" fillId="8" borderId="0" xfId="3" applyNumberFormat="1" applyFont="1" applyFill="1" applyAlignment="1">
      <alignment horizontal="center"/>
    </xf>
    <xf numFmtId="1" fontId="8" fillId="8" borderId="0" xfId="3" applyNumberFormat="1" applyFont="1" applyFill="1" applyAlignment="1">
      <alignment horizontal="center"/>
    </xf>
    <xf numFmtId="164" fontId="8" fillId="8" borderId="0" xfId="3" applyNumberFormat="1" applyFont="1" applyFill="1" applyAlignment="1">
      <alignment horizontal="left"/>
    </xf>
    <xf numFmtId="0" fontId="8" fillId="8" borderId="0" xfId="3" applyFont="1" applyFill="1" applyAlignment="1">
      <alignment horizontal="center"/>
    </xf>
    <xf numFmtId="164" fontId="8" fillId="10" borderId="0" xfId="3" applyNumberFormat="1" applyFont="1" applyFill="1" applyAlignment="1">
      <alignment horizontal="left"/>
    </xf>
    <xf numFmtId="0" fontId="9" fillId="10" borderId="0" xfId="3" applyFont="1" applyFill="1"/>
    <xf numFmtId="164" fontId="8" fillId="12" borderId="4" xfId="3" applyNumberFormat="1" applyFont="1" applyFill="1" applyBorder="1" applyAlignment="1">
      <alignment horizontal="center"/>
    </xf>
    <xf numFmtId="164" fontId="8" fillId="12" borderId="0" xfId="3" applyNumberFormat="1" applyFont="1" applyFill="1" applyAlignment="1">
      <alignment horizontal="center"/>
    </xf>
    <xf numFmtId="164" fontId="8" fillId="9" borderId="4" xfId="3" applyNumberFormat="1" applyFont="1" applyFill="1" applyBorder="1" applyAlignment="1">
      <alignment horizontal="center"/>
    </xf>
    <xf numFmtId="1" fontId="8" fillId="9" borderId="0" xfId="3" applyNumberFormat="1" applyFont="1" applyFill="1" applyAlignment="1">
      <alignment horizontal="center"/>
    </xf>
    <xf numFmtId="164" fontId="8" fillId="9" borderId="0" xfId="3" applyNumberFormat="1" applyFont="1" applyFill="1" applyAlignment="1">
      <alignment horizontal="left"/>
    </xf>
    <xf numFmtId="0" fontId="8" fillId="9" borderId="0" xfId="3" applyFont="1" applyFill="1" applyAlignment="1">
      <alignment horizontal="center"/>
    </xf>
    <xf numFmtId="2" fontId="8" fillId="8" borderId="0" xfId="3" applyNumberFormat="1" applyFont="1" applyFill="1" applyAlignment="1">
      <alignment horizontal="center"/>
    </xf>
    <xf numFmtId="1" fontId="8" fillId="12" borderId="0" xfId="3" applyNumberFormat="1" applyFont="1" applyFill="1" applyAlignment="1">
      <alignment horizontal="center"/>
    </xf>
    <xf numFmtId="164" fontId="8" fillId="12" borderId="0" xfId="3" applyNumberFormat="1" applyFont="1" applyFill="1" applyAlignment="1">
      <alignment horizontal="left"/>
    </xf>
    <xf numFmtId="0" fontId="8" fillId="12" borderId="0" xfId="3" applyFont="1" applyFill="1" applyAlignment="1">
      <alignment horizontal="center"/>
    </xf>
    <xf numFmtId="3" fontId="8" fillId="8" borderId="0" xfId="3" applyNumberFormat="1" applyFont="1" applyFill="1" applyAlignment="1">
      <alignment horizontal="center"/>
    </xf>
    <xf numFmtId="164" fontId="8" fillId="9" borderId="8" xfId="3" applyNumberFormat="1" applyFont="1" applyFill="1" applyBorder="1" applyAlignment="1">
      <alignment horizontal="center"/>
    </xf>
    <xf numFmtId="164" fontId="9" fillId="10" borderId="8" xfId="3" applyNumberFormat="1" applyFont="1" applyFill="1" applyBorder="1" applyAlignment="1">
      <alignment horizontal="left"/>
    </xf>
    <xf numFmtId="0" fontId="19" fillId="10" borderId="5" xfId="3" applyFont="1" applyFill="1" applyBorder="1"/>
    <xf numFmtId="165" fontId="8" fillId="10" borderId="0" xfId="3" applyNumberFormat="1" applyFont="1" applyFill="1" applyAlignment="1">
      <alignment horizontal="center"/>
    </xf>
    <xf numFmtId="166" fontId="8" fillId="8" borderId="0" xfId="3" applyNumberFormat="1" applyFont="1" applyFill="1" applyAlignment="1">
      <alignment horizontal="center"/>
    </xf>
    <xf numFmtId="2" fontId="8" fillId="9" borderId="0" xfId="3" applyNumberFormat="1" applyFont="1" applyFill="1" applyAlignment="1">
      <alignment horizontal="center"/>
    </xf>
    <xf numFmtId="0" fontId="9" fillId="0" borderId="5" xfId="3" applyFont="1" applyFill="1" applyBorder="1"/>
    <xf numFmtId="3" fontId="8" fillId="10" borderId="0" xfId="3" applyNumberFormat="1" applyFont="1" applyFill="1" applyAlignment="1">
      <alignment horizontal="center"/>
    </xf>
    <xf numFmtId="3" fontId="8" fillId="9" borderId="0" xfId="3" applyNumberFormat="1" applyFont="1" applyFill="1" applyAlignment="1">
      <alignment horizontal="center"/>
    </xf>
    <xf numFmtId="49" fontId="8" fillId="3" borderId="0" xfId="3" applyNumberFormat="1" applyFont="1" applyFill="1" applyAlignment="1">
      <alignment horizontal="center"/>
    </xf>
    <xf numFmtId="0" fontId="14" fillId="3" borderId="0" xfId="3" applyFill="1"/>
    <xf numFmtId="164" fontId="20" fillId="3" borderId="0" xfId="0" applyNumberFormat="1" applyFont="1" applyFill="1" applyAlignment="1">
      <alignment horizontal="center"/>
    </xf>
    <xf numFmtId="1" fontId="20" fillId="3" borderId="0" xfId="0" applyNumberFormat="1" applyFont="1" applyFill="1" applyAlignment="1">
      <alignment horizontal="center"/>
    </xf>
    <xf numFmtId="164" fontId="8" fillId="3" borderId="0" xfId="3" applyNumberFormat="1" applyFont="1" applyFill="1" applyAlignment="1">
      <alignment horizontal="center"/>
    </xf>
    <xf numFmtId="1" fontId="8" fillId="3" borderId="0" xfId="3" applyNumberFormat="1" applyFont="1" applyFill="1" applyAlignment="1">
      <alignment horizontal="center"/>
    </xf>
    <xf numFmtId="164" fontId="8" fillId="3" borderId="0" xfId="3" applyNumberFormat="1" applyFont="1" applyFill="1" applyAlignment="1">
      <alignment horizontal="left"/>
    </xf>
    <xf numFmtId="3" fontId="8" fillId="3" borderId="0" xfId="3" applyNumberFormat="1" applyFont="1" applyFill="1" applyAlignment="1">
      <alignment horizontal="center"/>
    </xf>
    <xf numFmtId="164" fontId="9" fillId="10" borderId="0" xfId="3" applyNumberFormat="1" applyFont="1" applyFill="1" applyAlignment="1">
      <alignment horizontal="left"/>
    </xf>
    <xf numFmtId="0" fontId="9" fillId="9" borderId="5" xfId="3" applyFont="1" applyFill="1" applyBorder="1"/>
    <xf numFmtId="164" fontId="9" fillId="11" borderId="1" xfId="3" applyNumberFormat="1" applyFont="1" applyFill="1" applyBorder="1" applyAlignment="1">
      <alignment horizontal="center"/>
    </xf>
    <xf numFmtId="164" fontId="9" fillId="11" borderId="2" xfId="3" applyNumberFormat="1" applyFont="1" applyFill="1" applyBorder="1" applyAlignment="1">
      <alignment horizontal="center"/>
    </xf>
    <xf numFmtId="1" fontId="9" fillId="11" borderId="2" xfId="3" applyNumberFormat="1" applyFont="1" applyFill="1" applyBorder="1" applyAlignment="1">
      <alignment horizontal="center"/>
    </xf>
    <xf numFmtId="164" fontId="9" fillId="11" borderId="2" xfId="3" applyNumberFormat="1" applyFont="1" applyFill="1" applyBorder="1" applyAlignment="1">
      <alignment horizontal="left"/>
    </xf>
    <xf numFmtId="0" fontId="9" fillId="11" borderId="2" xfId="3" applyFont="1" applyFill="1" applyBorder="1" applyAlignment="1">
      <alignment horizontal="left"/>
    </xf>
    <xf numFmtId="0" fontId="9" fillId="11" borderId="3" xfId="3" applyFont="1" applyFill="1" applyBorder="1" applyAlignment="1">
      <alignment horizontal="left"/>
    </xf>
    <xf numFmtId="0" fontId="6" fillId="10" borderId="0" xfId="3" applyFont="1" applyFill="1" applyAlignment="1">
      <alignment horizontal="center"/>
    </xf>
    <xf numFmtId="0" fontId="6" fillId="10" borderId="5" xfId="3" applyFont="1" applyFill="1" applyBorder="1"/>
    <xf numFmtId="164" fontId="6" fillId="10" borderId="0" xfId="3" applyNumberFormat="1" applyFont="1" applyFill="1" applyAlignment="1">
      <alignment horizontal="left"/>
    </xf>
    <xf numFmtId="0" fontId="14" fillId="3" borderId="4" xfId="3" applyFill="1" applyBorder="1"/>
    <xf numFmtId="164" fontId="8" fillId="8" borderId="4" xfId="3" quotePrefix="1" applyNumberFormat="1" applyFont="1" applyFill="1" applyBorder="1" applyAlignment="1">
      <alignment horizontal="center"/>
    </xf>
    <xf numFmtId="164" fontId="8" fillId="10" borderId="8" xfId="3" applyNumberFormat="1" applyFont="1" applyFill="1" applyBorder="1" applyAlignment="1">
      <alignment horizontal="center"/>
    </xf>
    <xf numFmtId="1" fontId="8" fillId="10" borderId="8" xfId="3" applyNumberFormat="1" applyFont="1" applyFill="1" applyBorder="1" applyAlignment="1">
      <alignment horizontal="center"/>
    </xf>
    <xf numFmtId="164" fontId="8" fillId="10" borderId="8" xfId="3" applyNumberFormat="1" applyFont="1" applyFill="1" applyBorder="1" applyAlignment="1">
      <alignment horizontal="left"/>
    </xf>
    <xf numFmtId="0" fontId="9" fillId="9" borderId="0" xfId="3" applyFont="1" applyFill="1"/>
    <xf numFmtId="164" fontId="9" fillId="10" borderId="7" xfId="3" applyNumberFormat="1" applyFont="1" applyFill="1" applyBorder="1" applyAlignment="1">
      <alignment horizontal="center"/>
    </xf>
    <xf numFmtId="1" fontId="9" fillId="10" borderId="7" xfId="3" applyNumberFormat="1" applyFont="1" applyFill="1" applyBorder="1" applyAlignment="1">
      <alignment horizontal="center"/>
    </xf>
    <xf numFmtId="0" fontId="9" fillId="10" borderId="5" xfId="3" applyFont="1" applyFill="1" applyBorder="1" applyAlignment="1">
      <alignment horizontal="center"/>
    </xf>
    <xf numFmtId="164" fontId="13" fillId="6" borderId="1" xfId="3" applyNumberFormat="1" applyFont="1" applyFill="1" applyBorder="1" applyAlignment="1">
      <alignment horizontal="center"/>
    </xf>
    <xf numFmtId="164" fontId="13" fillId="6" borderId="2" xfId="3" applyNumberFormat="1" applyFont="1" applyFill="1" applyBorder="1" applyAlignment="1">
      <alignment horizontal="center"/>
    </xf>
    <xf numFmtId="164" fontId="13" fillId="6" borderId="8" xfId="3" applyNumberFormat="1" applyFont="1" applyFill="1" applyBorder="1" applyAlignment="1">
      <alignment horizontal="center"/>
    </xf>
    <xf numFmtId="1" fontId="13" fillId="6" borderId="8" xfId="3" applyNumberFormat="1" applyFont="1" applyFill="1" applyBorder="1" applyAlignment="1">
      <alignment horizontal="center"/>
    </xf>
    <xf numFmtId="49" fontId="13" fillId="6" borderId="8" xfId="3" applyNumberFormat="1" applyFont="1" applyFill="1" applyBorder="1" applyAlignment="1">
      <alignment horizontal="center"/>
    </xf>
    <xf numFmtId="49" fontId="13" fillId="4" borderId="9" xfId="3" applyNumberFormat="1" applyFont="1" applyFill="1" applyBorder="1" applyAlignment="1">
      <alignment horizontal="center"/>
    </xf>
    <xf numFmtId="49" fontId="13" fillId="6" borderId="1" xfId="3" applyNumberFormat="1" applyFont="1" applyFill="1" applyBorder="1" applyAlignment="1">
      <alignment horizontal="center"/>
    </xf>
    <xf numFmtId="49" fontId="13" fillId="6" borderId="2" xfId="3" applyNumberFormat="1" applyFont="1" applyFill="1" applyBorder="1" applyAlignment="1">
      <alignment horizontal="center"/>
    </xf>
    <xf numFmtId="49" fontId="13" fillId="6" borderId="3" xfId="3" applyNumberFormat="1" applyFont="1" applyFill="1" applyBorder="1"/>
    <xf numFmtId="49" fontId="21" fillId="3" borderId="4" xfId="3" applyNumberFormat="1" applyFont="1" applyFill="1" applyBorder="1" applyAlignment="1">
      <alignment horizontal="left"/>
    </xf>
    <xf numFmtId="49" fontId="21" fillId="3" borderId="0" xfId="3" applyNumberFormat="1" applyFont="1" applyFill="1" applyAlignment="1">
      <alignment horizontal="left"/>
    </xf>
    <xf numFmtId="49" fontId="21" fillId="3" borderId="5" xfId="3" applyNumberFormat="1" applyFont="1" applyFill="1" applyBorder="1" applyAlignment="1">
      <alignment horizontal="left"/>
    </xf>
    <xf numFmtId="164" fontId="24" fillId="2" borderId="1" xfId="3" applyNumberFormat="1" applyFont="1" applyFill="1" applyBorder="1" applyAlignment="1">
      <alignment horizontal="center"/>
    </xf>
    <xf numFmtId="164" fontId="24" fillId="2" borderId="2" xfId="3" applyNumberFormat="1" applyFont="1" applyFill="1" applyBorder="1" applyAlignment="1">
      <alignment horizontal="center"/>
    </xf>
    <xf numFmtId="0" fontId="24" fillId="2" borderId="2" xfId="3" applyFont="1" applyFill="1" applyBorder="1"/>
    <xf numFmtId="0" fontId="24" fillId="3" borderId="3" xfId="3" applyFont="1" applyFill="1" applyBorder="1"/>
    <xf numFmtId="164" fontId="24" fillId="3" borderId="4" xfId="3" applyNumberFormat="1" applyFont="1" applyFill="1" applyBorder="1" applyAlignment="1">
      <alignment horizontal="center"/>
    </xf>
    <xf numFmtId="164" fontId="24" fillId="3" borderId="0" xfId="3" applyNumberFormat="1" applyFont="1" applyFill="1" applyAlignment="1">
      <alignment horizontal="center"/>
    </xf>
    <xf numFmtId="0" fontId="24" fillId="3" borderId="0" xfId="3" applyFont="1" applyFill="1"/>
    <xf numFmtId="0" fontId="24" fillId="3" borderId="5" xfId="3" applyFont="1" applyFill="1" applyBorder="1"/>
    <xf numFmtId="164" fontId="24" fillId="2" borderId="6" xfId="3" applyNumberFormat="1" applyFont="1" applyFill="1" applyBorder="1" applyAlignment="1">
      <alignment horizontal="center"/>
    </xf>
    <xf numFmtId="164" fontId="24" fillId="2" borderId="0" xfId="3" applyNumberFormat="1" applyFont="1" applyFill="1" applyAlignment="1">
      <alignment horizontal="center"/>
    </xf>
    <xf numFmtId="0" fontId="24" fillId="2" borderId="0" xfId="3" applyFont="1" applyFill="1"/>
    <xf numFmtId="164" fontId="24" fillId="5" borderId="1" xfId="3" applyNumberFormat="1" applyFont="1" applyFill="1" applyBorder="1" applyAlignment="1">
      <alignment horizontal="center"/>
    </xf>
    <xf numFmtId="164" fontId="24" fillId="5" borderId="2" xfId="3" applyNumberFormat="1" applyFont="1" applyFill="1" applyBorder="1" applyAlignment="1">
      <alignment horizontal="center"/>
    </xf>
    <xf numFmtId="1" fontId="24" fillId="5" borderId="2" xfId="3" applyNumberFormat="1" applyFont="1" applyFill="1" applyBorder="1" applyAlignment="1">
      <alignment horizontal="center"/>
    </xf>
    <xf numFmtId="0" fontId="24" fillId="5" borderId="2" xfId="3" applyFont="1" applyFill="1" applyBorder="1" applyAlignment="1">
      <alignment horizontal="left"/>
    </xf>
    <xf numFmtId="0" fontId="24" fillId="5" borderId="3" xfId="3" applyFont="1" applyFill="1" applyBorder="1" applyAlignment="1">
      <alignment horizontal="left"/>
    </xf>
    <xf numFmtId="1" fontId="24" fillId="3" borderId="0" xfId="3" applyNumberFormat="1" applyFont="1" applyFill="1" applyAlignment="1">
      <alignment horizontal="center"/>
    </xf>
    <xf numFmtId="0" fontId="20" fillId="3" borderId="0" xfId="3" applyFont="1" applyFill="1"/>
    <xf numFmtId="0" fontId="20" fillId="3" borderId="5" xfId="3" applyFont="1" applyFill="1" applyBorder="1"/>
    <xf numFmtId="164" fontId="24" fillId="3" borderId="11" xfId="3" applyNumberFormat="1" applyFont="1" applyFill="1" applyBorder="1" applyAlignment="1">
      <alignment horizontal="center"/>
    </xf>
    <xf numFmtId="164" fontId="24" fillId="3" borderId="8" xfId="3" applyNumberFormat="1" applyFont="1" applyFill="1" applyBorder="1" applyAlignment="1">
      <alignment horizontal="center"/>
    </xf>
    <xf numFmtId="1" fontId="24" fillId="3" borderId="8" xfId="3" applyNumberFormat="1" applyFont="1" applyFill="1" applyBorder="1" applyAlignment="1">
      <alignment horizontal="center"/>
    </xf>
    <xf numFmtId="0" fontId="24" fillId="3" borderId="8" xfId="3" applyFont="1" applyFill="1" applyBorder="1"/>
    <xf numFmtId="0" fontId="24" fillId="3" borderId="9" xfId="3" applyFont="1" applyFill="1" applyBorder="1"/>
    <xf numFmtId="164" fontId="20" fillId="2" borderId="4" xfId="3" applyNumberFormat="1" applyFont="1" applyFill="1" applyBorder="1" applyAlignment="1">
      <alignment horizontal="center"/>
    </xf>
    <xf numFmtId="164" fontId="20" fillId="2" borderId="0" xfId="3" applyNumberFormat="1" applyFont="1" applyFill="1" applyAlignment="1">
      <alignment horizontal="center"/>
    </xf>
    <xf numFmtId="1" fontId="20" fillId="2" borderId="0" xfId="3" applyNumberFormat="1" applyFont="1" applyFill="1" applyAlignment="1">
      <alignment horizontal="center"/>
    </xf>
    <xf numFmtId="0" fontId="20" fillId="2" borderId="0" xfId="3" applyFont="1" applyFill="1"/>
    <xf numFmtId="164" fontId="20" fillId="3" borderId="4" xfId="3" applyNumberFormat="1" applyFont="1" applyFill="1" applyBorder="1" applyAlignment="1">
      <alignment horizontal="center"/>
    </xf>
    <xf numFmtId="164" fontId="20" fillId="3" borderId="0" xfId="3" applyNumberFormat="1" applyFont="1" applyFill="1" applyAlignment="1">
      <alignment horizontal="center"/>
    </xf>
    <xf numFmtId="1" fontId="20" fillId="3" borderId="0" xfId="3" applyNumberFormat="1" applyFont="1" applyFill="1" applyAlignment="1">
      <alignment horizontal="center"/>
    </xf>
    <xf numFmtId="0" fontId="20" fillId="3" borderId="0" xfId="3" applyFont="1" applyFill="1" applyAlignment="1">
      <alignment horizontal="left"/>
    </xf>
    <xf numFmtId="0" fontId="20" fillId="2" borderId="0" xfId="3" applyFont="1" applyFill="1" applyAlignment="1">
      <alignment horizontal="left"/>
    </xf>
    <xf numFmtId="3" fontId="20" fillId="3" borderId="0" xfId="3" applyNumberFormat="1" applyFont="1" applyFill="1"/>
    <xf numFmtId="164" fontId="8" fillId="2" borderId="0" xfId="3" applyNumberFormat="1" applyFont="1" applyFill="1" applyAlignment="1">
      <alignment horizontal="center"/>
    </xf>
    <xf numFmtId="164" fontId="20" fillId="2" borderId="0" xfId="3" applyNumberFormat="1" applyFont="1" applyFill="1" applyAlignment="1">
      <alignment horizontal="center" wrapText="1"/>
    </xf>
    <xf numFmtId="164" fontId="20" fillId="3" borderId="0" xfId="3" applyNumberFormat="1" applyFont="1" applyFill="1" applyAlignment="1">
      <alignment horizontal="center" vertical="center"/>
    </xf>
    <xf numFmtId="1" fontId="20" fillId="3" borderId="0" xfId="3" applyNumberFormat="1" applyFont="1" applyFill="1" applyAlignment="1">
      <alignment horizontal="center" vertical="center"/>
    </xf>
    <xf numFmtId="0" fontId="20" fillId="3" borderId="0" xfId="3" applyFont="1" applyFill="1" applyAlignment="1">
      <alignment vertical="center"/>
    </xf>
    <xf numFmtId="0" fontId="24" fillId="3" borderId="0" xfId="3" applyFont="1" applyFill="1" applyAlignment="1">
      <alignment vertical="center"/>
    </xf>
    <xf numFmtId="164" fontId="20" fillId="2" borderId="0" xfId="3" applyNumberFormat="1" applyFont="1" applyFill="1" applyAlignment="1">
      <alignment horizontal="center" vertical="center"/>
    </xf>
    <xf numFmtId="1" fontId="20" fillId="2" borderId="0" xfId="3" applyNumberFormat="1" applyFont="1" applyFill="1" applyAlignment="1">
      <alignment horizontal="center" vertical="center"/>
    </xf>
    <xf numFmtId="164" fontId="20" fillId="2" borderId="0" xfId="3" applyNumberFormat="1" applyFont="1" applyFill="1" applyAlignment="1">
      <alignment horizontal="center" vertical="center" wrapText="1"/>
    </xf>
    <xf numFmtId="0" fontId="20" fillId="2" borderId="0" xfId="3" applyFont="1" applyFill="1" applyAlignment="1">
      <alignment vertical="center"/>
    </xf>
    <xf numFmtId="0" fontId="20" fillId="2" borderId="0" xfId="3" applyFont="1" applyFill="1" applyAlignment="1">
      <alignment horizontal="left" vertical="center"/>
    </xf>
    <xf numFmtId="3" fontId="20" fillId="2" borderId="0" xfId="3" applyNumberFormat="1" applyFont="1" applyFill="1"/>
    <xf numFmtId="0" fontId="25" fillId="3" borderId="5" xfId="3" applyFont="1" applyFill="1" applyBorder="1"/>
    <xf numFmtId="164" fontId="24" fillId="11" borderId="2" xfId="3" applyNumberFormat="1" applyFont="1" applyFill="1" applyBorder="1" applyAlignment="1">
      <alignment horizontal="center"/>
    </xf>
    <xf numFmtId="1" fontId="24" fillId="11" borderId="2" xfId="3" applyNumberFormat="1" applyFont="1" applyFill="1" applyBorder="1" applyAlignment="1">
      <alignment horizontal="center"/>
    </xf>
    <xf numFmtId="0" fontId="6" fillId="10" borderId="0" xfId="3" applyFont="1" applyFill="1"/>
    <xf numFmtId="164" fontId="24" fillId="3" borderId="6" xfId="3" applyNumberFormat="1" applyFont="1" applyFill="1" applyBorder="1" applyAlignment="1">
      <alignment horizontal="center"/>
    </xf>
    <xf numFmtId="164" fontId="24" fillId="9" borderId="7" xfId="3" applyNumberFormat="1" applyFont="1" applyFill="1" applyBorder="1" applyAlignment="1">
      <alignment horizontal="center"/>
    </xf>
    <xf numFmtId="1" fontId="24" fillId="9" borderId="7" xfId="3" applyNumberFormat="1" applyFont="1" applyFill="1" applyBorder="1" applyAlignment="1">
      <alignment horizontal="center"/>
    </xf>
    <xf numFmtId="164" fontId="24" fillId="3" borderId="7" xfId="3" applyNumberFormat="1" applyFont="1" applyFill="1" applyBorder="1" applyAlignment="1">
      <alignment horizontal="center"/>
    </xf>
    <xf numFmtId="0" fontId="24" fillId="9" borderId="0" xfId="3" applyFont="1" applyFill="1" applyAlignment="1">
      <alignment horizontal="center"/>
    </xf>
    <xf numFmtId="0" fontId="24" fillId="10" borderId="0" xfId="3" applyFont="1" applyFill="1" applyAlignment="1">
      <alignment horizontal="center"/>
    </xf>
    <xf numFmtId="0" fontId="24" fillId="10" borderId="5" xfId="3" applyFont="1" applyFill="1" applyBorder="1" applyAlignment="1">
      <alignment horizontal="center"/>
    </xf>
    <xf numFmtId="164" fontId="26" fillId="4" borderId="11" xfId="3" applyNumberFormat="1" applyFont="1" applyFill="1" applyBorder="1" applyAlignment="1">
      <alignment horizontal="center"/>
    </xf>
    <xf numFmtId="164" fontId="26" fillId="6" borderId="8" xfId="3" applyNumberFormat="1" applyFont="1" applyFill="1" applyBorder="1" applyAlignment="1">
      <alignment horizontal="center"/>
    </xf>
    <xf numFmtId="1" fontId="26" fillId="6" borderId="8" xfId="3" applyNumberFormat="1" applyFont="1" applyFill="1" applyBorder="1" applyAlignment="1">
      <alignment horizontal="center"/>
    </xf>
    <xf numFmtId="49" fontId="26" fillId="6" borderId="8" xfId="3" applyNumberFormat="1" applyFont="1" applyFill="1" applyBorder="1" applyAlignment="1">
      <alignment horizontal="center"/>
    </xf>
    <xf numFmtId="49" fontId="26" fillId="4" borderId="9" xfId="3" applyNumberFormat="1" applyFont="1" applyFill="1" applyBorder="1" applyAlignment="1">
      <alignment horizontal="center"/>
    </xf>
    <xf numFmtId="49" fontId="26" fillId="6" borderId="1" xfId="3" applyNumberFormat="1" applyFont="1" applyFill="1" applyBorder="1" applyAlignment="1">
      <alignment horizontal="center"/>
    </xf>
    <xf numFmtId="49" fontId="26" fillId="6" borderId="2" xfId="3" applyNumberFormat="1" applyFont="1" applyFill="1" applyBorder="1" applyAlignment="1">
      <alignment horizontal="center"/>
    </xf>
    <xf numFmtId="49" fontId="26" fillId="6" borderId="3" xfId="3" applyNumberFormat="1" applyFont="1" applyFill="1" applyBorder="1"/>
    <xf numFmtId="0" fontId="1" fillId="7" borderId="1" xfId="3" applyFont="1" applyBorder="1"/>
    <xf numFmtId="0" fontId="1" fillId="7" borderId="2" xfId="3" applyFont="1" applyBorder="1"/>
    <xf numFmtId="0" fontId="1" fillId="7" borderId="0" xfId="3" applyFont="1"/>
    <xf numFmtId="0" fontId="27" fillId="7" borderId="0" xfId="3" applyFont="1" applyAlignment="1">
      <alignment vertical="center"/>
    </xf>
    <xf numFmtId="164" fontId="24" fillId="2" borderId="1" xfId="0" applyNumberFormat="1" applyFont="1" applyFill="1" applyBorder="1" applyAlignment="1">
      <alignment horizontal="center"/>
    </xf>
    <xf numFmtId="164" fontId="24" fillId="2" borderId="2" xfId="0" applyNumberFormat="1" applyFont="1" applyFill="1" applyBorder="1" applyAlignment="1">
      <alignment horizontal="center"/>
    </xf>
    <xf numFmtId="0" fontId="24" fillId="2" borderId="2" xfId="0" applyFont="1" applyFill="1" applyBorder="1"/>
    <xf numFmtId="0" fontId="24" fillId="3" borderId="3" xfId="0" applyFont="1" applyFill="1" applyBorder="1"/>
    <xf numFmtId="164" fontId="24" fillId="3" borderId="4" xfId="0" applyNumberFormat="1" applyFont="1" applyFill="1" applyBorder="1" applyAlignment="1">
      <alignment horizontal="center"/>
    </xf>
    <xf numFmtId="164" fontId="24" fillId="3" borderId="0" xfId="0" applyNumberFormat="1" applyFont="1" applyFill="1" applyAlignment="1">
      <alignment horizontal="center"/>
    </xf>
    <xf numFmtId="0" fontId="24" fillId="3" borderId="0" xfId="0" applyFont="1" applyFill="1"/>
    <xf numFmtId="0" fontId="24" fillId="3" borderId="5" xfId="0" applyFont="1" applyFill="1" applyBorder="1"/>
    <xf numFmtId="164" fontId="24" fillId="2" borderId="6" xfId="0" applyNumberFormat="1" applyFont="1" applyFill="1" applyBorder="1" applyAlignment="1">
      <alignment horizontal="center"/>
    </xf>
    <xf numFmtId="164" fontId="24" fillId="2" borderId="0" xfId="0" applyNumberFormat="1" applyFont="1" applyFill="1" applyAlignment="1">
      <alignment horizontal="center"/>
    </xf>
    <xf numFmtId="0" fontId="24" fillId="2" borderId="0" xfId="0" applyFont="1" applyFill="1"/>
    <xf numFmtId="164" fontId="24" fillId="5" borderId="1" xfId="0" applyNumberFormat="1" applyFont="1" applyFill="1" applyBorder="1" applyAlignment="1">
      <alignment horizontal="center"/>
    </xf>
    <xf numFmtId="164" fontId="24" fillId="5" borderId="2" xfId="0" applyNumberFormat="1" applyFont="1" applyFill="1" applyBorder="1" applyAlignment="1">
      <alignment horizontal="center"/>
    </xf>
    <xf numFmtId="1" fontId="24" fillId="5" borderId="2" xfId="0" applyNumberFormat="1" applyFont="1" applyFill="1" applyBorder="1" applyAlignment="1">
      <alignment horizontal="center"/>
    </xf>
    <xf numFmtId="0" fontId="24" fillId="5" borderId="2" xfId="0" applyFont="1" applyFill="1" applyBorder="1" applyAlignment="1">
      <alignment horizontal="left"/>
    </xf>
    <xf numFmtId="0" fontId="24" fillId="5" borderId="3" xfId="0" applyFont="1" applyFill="1" applyBorder="1" applyAlignment="1">
      <alignment horizontal="left"/>
    </xf>
    <xf numFmtId="1" fontId="24" fillId="3" borderId="0" xfId="0" applyNumberFormat="1" applyFont="1" applyFill="1" applyAlignment="1">
      <alignment horizontal="center"/>
    </xf>
    <xf numFmtId="0" fontId="20" fillId="3" borderId="0" xfId="0" applyFont="1" applyFill="1"/>
    <xf numFmtId="0" fontId="20" fillId="3" borderId="5" xfId="0" applyFont="1" applyFill="1" applyBorder="1"/>
    <xf numFmtId="164" fontId="20" fillId="3" borderId="4" xfId="0" applyNumberFormat="1" applyFont="1" applyFill="1" applyBorder="1" applyAlignment="1">
      <alignment horizontal="center"/>
    </xf>
    <xf numFmtId="3" fontId="20" fillId="3" borderId="0" xfId="0" applyNumberFormat="1" applyFont="1" applyFill="1"/>
    <xf numFmtId="164" fontId="24" fillId="3" borderId="11" xfId="0" applyNumberFormat="1" applyFont="1" applyFill="1" applyBorder="1" applyAlignment="1">
      <alignment horizontal="center"/>
    </xf>
    <xf numFmtId="164" fontId="24" fillId="3" borderId="8" xfId="0" applyNumberFormat="1" applyFont="1" applyFill="1" applyBorder="1" applyAlignment="1">
      <alignment horizontal="center"/>
    </xf>
    <xf numFmtId="1" fontId="24" fillId="3" borderId="8" xfId="0" applyNumberFormat="1" applyFont="1" applyFill="1" applyBorder="1" applyAlignment="1">
      <alignment horizontal="center"/>
    </xf>
    <xf numFmtId="0" fontId="24" fillId="3" borderId="8" xfId="0" applyFont="1" applyFill="1" applyBorder="1"/>
    <xf numFmtId="0" fontId="24" fillId="3" borderId="9" xfId="0" applyFont="1" applyFill="1" applyBorder="1"/>
    <xf numFmtId="0" fontId="20" fillId="3" borderId="0" xfId="0" applyFont="1" applyFill="1" applyAlignment="1">
      <alignment horizontal="center"/>
    </xf>
    <xf numFmtId="164" fontId="20" fillId="2" borderId="4" xfId="0" applyNumberFormat="1" applyFont="1" applyFill="1" applyBorder="1" applyAlignment="1">
      <alignment horizontal="center"/>
    </xf>
    <xf numFmtId="164" fontId="20" fillId="2" borderId="0" xfId="0" applyNumberFormat="1" applyFont="1" applyFill="1" applyAlignment="1">
      <alignment horizontal="center"/>
    </xf>
    <xf numFmtId="1" fontId="20" fillId="2" borderId="0" xfId="0" applyNumberFormat="1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2" fontId="8" fillId="2" borderId="0" xfId="0" applyNumberFormat="1" applyFont="1" applyFill="1" applyAlignment="1">
      <alignment horizontal="center"/>
    </xf>
    <xf numFmtId="164" fontId="8" fillId="2" borderId="0" xfId="4" applyNumberFormat="1" applyFont="1" applyFill="1" applyAlignment="1">
      <alignment horizontal="center" vertical="center"/>
    </xf>
    <xf numFmtId="0" fontId="20" fillId="2" borderId="0" xfId="0" applyFont="1" applyFill="1"/>
    <xf numFmtId="2" fontId="8" fillId="3" borderId="0" xfId="0" applyNumberFormat="1" applyFont="1" applyFill="1" applyAlignment="1">
      <alignment horizontal="center"/>
    </xf>
    <xf numFmtId="3" fontId="20" fillId="2" borderId="0" xfId="0" applyNumberFormat="1" applyFont="1" applyFill="1" applyAlignment="1">
      <alignment horizontal="center"/>
    </xf>
    <xf numFmtId="164" fontId="9" fillId="3" borderId="8" xfId="0" applyNumberFormat="1" applyFont="1" applyFill="1" applyBorder="1" applyAlignment="1">
      <alignment horizontal="center"/>
    </xf>
    <xf numFmtId="1" fontId="9" fillId="3" borderId="8" xfId="0" applyNumberFormat="1" applyFont="1" applyFill="1" applyBorder="1" applyAlignment="1">
      <alignment horizontal="center"/>
    </xf>
    <xf numFmtId="3" fontId="9" fillId="3" borderId="8" xfId="0" applyNumberFormat="1" applyFont="1" applyFill="1" applyBorder="1"/>
    <xf numFmtId="0" fontId="9" fillId="3" borderId="9" xfId="0" applyFont="1" applyFill="1" applyBorder="1"/>
    <xf numFmtId="0" fontId="8" fillId="3" borderId="5" xfId="4" applyFont="1" applyFill="1" applyBorder="1"/>
    <xf numFmtId="164" fontId="8" fillId="2" borderId="4" xfId="4" applyNumberFormat="1" applyFont="1" applyFill="1" applyBorder="1" applyAlignment="1">
      <alignment horizontal="center"/>
    </xf>
    <xf numFmtId="164" fontId="8" fillId="2" borderId="0" xfId="4" applyNumberFormat="1" applyFont="1" applyFill="1" applyAlignment="1">
      <alignment horizontal="center"/>
    </xf>
    <xf numFmtId="1" fontId="8" fillId="2" borderId="0" xfId="4" applyNumberFormat="1" applyFont="1" applyFill="1" applyAlignment="1">
      <alignment horizontal="center"/>
    </xf>
    <xf numFmtId="0" fontId="8" fillId="2" borderId="0" xfId="4" applyFont="1" applyFill="1" applyAlignment="1">
      <alignment horizontal="center"/>
    </xf>
    <xf numFmtId="0" fontId="8" fillId="2" borderId="0" xfId="4" applyFont="1" applyFill="1"/>
    <xf numFmtId="164" fontId="8" fillId="3" borderId="4" xfId="4" applyNumberFormat="1" applyFont="1" applyFill="1" applyBorder="1" applyAlignment="1">
      <alignment horizontal="center"/>
    </xf>
    <xf numFmtId="164" fontId="8" fillId="3" borderId="0" xfId="4" applyNumberFormat="1" applyFont="1" applyFill="1" applyAlignment="1">
      <alignment horizontal="center"/>
    </xf>
    <xf numFmtId="1" fontId="8" fillId="3" borderId="0" xfId="4" applyNumberFormat="1" applyFont="1" applyFill="1" applyAlignment="1">
      <alignment horizontal="center"/>
    </xf>
    <xf numFmtId="3" fontId="8" fillId="3" borderId="0" xfId="4" applyNumberFormat="1" applyFont="1" applyFill="1" applyAlignment="1">
      <alignment horizontal="center"/>
    </xf>
    <xf numFmtId="3" fontId="8" fillId="2" borderId="0" xfId="4" applyNumberFormat="1" applyFont="1" applyFill="1" applyAlignment="1">
      <alignment horizontal="center"/>
    </xf>
    <xf numFmtId="0" fontId="8" fillId="3" borderId="0" xfId="4" applyFont="1" applyFill="1" applyAlignment="1">
      <alignment horizontal="center"/>
    </xf>
    <xf numFmtId="0" fontId="9" fillId="3" borderId="0" xfId="4" applyFont="1" applyFill="1"/>
    <xf numFmtId="0" fontId="9" fillId="3" borderId="5" xfId="4" applyFont="1" applyFill="1" applyBorder="1"/>
    <xf numFmtId="164" fontId="9" fillId="3" borderId="4" xfId="0" applyNumberFormat="1" applyFont="1" applyFill="1" applyBorder="1" applyAlignment="1">
      <alignment horizontal="center"/>
    </xf>
    <xf numFmtId="1" fontId="9" fillId="3" borderId="0" xfId="0" applyNumberFormat="1" applyFont="1" applyFill="1" applyAlignment="1">
      <alignment horizontal="center"/>
    </xf>
    <xf numFmtId="3" fontId="9" fillId="3" borderId="0" xfId="0" applyNumberFormat="1" applyFont="1" applyFill="1"/>
    <xf numFmtId="0" fontId="8" fillId="3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0" fillId="2" borderId="2" xfId="0" applyFill="1" applyBorder="1"/>
    <xf numFmtId="164" fontId="8" fillId="3" borderId="4" xfId="0" applyNumberFormat="1" applyFont="1" applyFill="1" applyBorder="1" applyAlignment="1">
      <alignment horizontal="center" vertical="center"/>
    </xf>
    <xf numFmtId="164" fontId="8" fillId="2" borderId="0" xfId="0" applyNumberFormat="1" applyFont="1" applyFill="1" applyAlignment="1">
      <alignment horizontal="center" vertical="center"/>
    </xf>
    <xf numFmtId="164" fontId="8" fillId="3" borderId="0" xfId="0" applyNumberFormat="1" applyFont="1" applyFill="1" applyAlignment="1">
      <alignment horizontal="center" vertical="center"/>
    </xf>
    <xf numFmtId="1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20" fillId="0" borderId="5" xfId="0" applyFont="1" applyBorder="1"/>
    <xf numFmtId="164" fontId="8" fillId="2" borderId="4" xfId="0" applyNumberFormat="1" applyFont="1" applyFill="1" applyBorder="1" applyAlignment="1">
      <alignment horizontal="center" vertical="center"/>
    </xf>
    <xf numFmtId="1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4" fontId="9" fillId="3" borderId="4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1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8" fillId="3" borderId="5" xfId="0" applyFont="1" applyFill="1" applyBorder="1" applyAlignment="1">
      <alignment vertical="center"/>
    </xf>
    <xf numFmtId="164" fontId="9" fillId="3" borderId="11" xfId="0" applyNumberFormat="1" applyFont="1" applyFill="1" applyBorder="1" applyAlignment="1">
      <alignment horizontal="center" vertical="center"/>
    </xf>
    <xf numFmtId="164" fontId="9" fillId="3" borderId="8" xfId="0" applyNumberFormat="1" applyFont="1" applyFill="1" applyBorder="1" applyAlignment="1">
      <alignment horizontal="center" vertical="center"/>
    </xf>
    <xf numFmtId="1" fontId="9" fillId="3" borderId="8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3" borderId="5" xfId="0" applyFont="1" applyFill="1" applyBorder="1" applyAlignment="1">
      <alignment vertical="center"/>
    </xf>
    <xf numFmtId="3" fontId="8" fillId="3" borderId="0" xfId="0" applyNumberFormat="1" applyFont="1" applyFill="1" applyAlignment="1">
      <alignment vertical="center"/>
    </xf>
    <xf numFmtId="0" fontId="10" fillId="3" borderId="0" xfId="0" applyFont="1" applyFill="1" applyAlignment="1">
      <alignment vertical="center"/>
    </xf>
    <xf numFmtId="164" fontId="24" fillId="11" borderId="2" xfId="0" applyNumberFormat="1" applyFont="1" applyFill="1" applyBorder="1" applyAlignment="1">
      <alignment horizontal="center"/>
    </xf>
    <xf numFmtId="1" fontId="24" fillId="11" borderId="2" xfId="0" applyNumberFormat="1" applyFont="1" applyFill="1" applyBorder="1" applyAlignment="1">
      <alignment horizontal="center"/>
    </xf>
    <xf numFmtId="3" fontId="20" fillId="3" borderId="0" xfId="0" applyNumberFormat="1" applyFont="1" applyFill="1" applyAlignment="1">
      <alignment horizontal="center"/>
    </xf>
    <xf numFmtId="0" fontId="14" fillId="0" borderId="0" xfId="0" applyFont="1" applyAlignment="1">
      <alignment horizontal="center"/>
    </xf>
    <xf numFmtId="1" fontId="8" fillId="3" borderId="0" xfId="0" applyNumberFormat="1" applyFont="1" applyFill="1" applyAlignment="1">
      <alignment horizontal="center"/>
    </xf>
    <xf numFmtId="3" fontId="8" fillId="3" borderId="0" xfId="0" applyNumberFormat="1" applyFont="1" applyFill="1" applyAlignment="1">
      <alignment horizontal="center"/>
    </xf>
    <xf numFmtId="1" fontId="8" fillId="3" borderId="8" xfId="0" applyNumberFormat="1" applyFont="1" applyFill="1" applyBorder="1" applyAlignment="1">
      <alignment horizontal="center"/>
    </xf>
    <xf numFmtId="3" fontId="8" fillId="3" borderId="8" xfId="0" applyNumberFormat="1" applyFont="1" applyFill="1" applyBorder="1" applyAlignment="1">
      <alignment horizontal="center"/>
    </xf>
    <xf numFmtId="1" fontId="8" fillId="2" borderId="0" xfId="0" applyNumberFormat="1" applyFont="1" applyFill="1" applyAlignment="1">
      <alignment horizontal="center"/>
    </xf>
    <xf numFmtId="164" fontId="20" fillId="3" borderId="4" xfId="0" applyNumberFormat="1" applyFont="1" applyFill="1" applyBorder="1"/>
    <xf numFmtId="164" fontId="20" fillId="3" borderId="0" xfId="0" applyNumberFormat="1" applyFont="1" applyFill="1"/>
    <xf numFmtId="1" fontId="20" fillId="3" borderId="0" xfId="0" applyNumberFormat="1" applyFont="1" applyFill="1"/>
    <xf numFmtId="167" fontId="0" fillId="0" borderId="0" xfId="0" applyNumberFormat="1"/>
    <xf numFmtId="3" fontId="8" fillId="2" borderId="0" xfId="0" applyNumberFormat="1" applyFont="1" applyFill="1" applyAlignment="1">
      <alignment horizontal="center"/>
    </xf>
    <xf numFmtId="0" fontId="24" fillId="5" borderId="3" xfId="0" applyFont="1" applyFill="1" applyBorder="1" applyAlignment="1">
      <alignment horizontal="left"/>
    </xf>
    <xf numFmtId="164" fontId="24" fillId="3" borderId="6" xfId="0" applyNumberFormat="1" applyFont="1" applyFill="1" applyBorder="1" applyAlignment="1">
      <alignment horizontal="center"/>
    </xf>
    <xf numFmtId="164" fontId="24" fillId="9" borderId="7" xfId="0" applyNumberFormat="1" applyFont="1" applyFill="1" applyBorder="1" applyAlignment="1">
      <alignment horizontal="center"/>
    </xf>
    <xf numFmtId="1" fontId="24" fillId="9" borderId="7" xfId="0" applyNumberFormat="1" applyFont="1" applyFill="1" applyBorder="1" applyAlignment="1">
      <alignment horizontal="center"/>
    </xf>
    <xf numFmtId="164" fontId="24" fillId="3" borderId="7" xfId="0" applyNumberFormat="1" applyFont="1" applyFill="1" applyBorder="1" applyAlignment="1">
      <alignment horizontal="center"/>
    </xf>
    <xf numFmtId="0" fontId="24" fillId="9" borderId="0" xfId="0" applyFont="1" applyFill="1" applyAlignment="1">
      <alignment horizontal="center"/>
    </xf>
    <xf numFmtId="0" fontId="24" fillId="10" borderId="0" xfId="0" applyFont="1" applyFill="1" applyAlignment="1">
      <alignment horizontal="center"/>
    </xf>
    <xf numFmtId="0" fontId="24" fillId="10" borderId="5" xfId="0" applyFont="1" applyFill="1" applyBorder="1" applyAlignment="1">
      <alignment horizontal="center"/>
    </xf>
    <xf numFmtId="164" fontId="26" fillId="4" borderId="11" xfId="0" applyNumberFormat="1" applyFont="1" applyFill="1" applyBorder="1" applyAlignment="1">
      <alignment horizontal="center"/>
    </xf>
    <xf numFmtId="164" fontId="26" fillId="6" borderId="8" xfId="0" applyNumberFormat="1" applyFont="1" applyFill="1" applyBorder="1" applyAlignment="1">
      <alignment horizontal="center"/>
    </xf>
    <xf numFmtId="1" fontId="26" fillId="6" borderId="8" xfId="0" applyNumberFormat="1" applyFont="1" applyFill="1" applyBorder="1" applyAlignment="1">
      <alignment horizontal="center"/>
    </xf>
    <xf numFmtId="49" fontId="26" fillId="6" borderId="8" xfId="0" applyNumberFormat="1" applyFont="1" applyFill="1" applyBorder="1" applyAlignment="1">
      <alignment horizontal="center"/>
    </xf>
    <xf numFmtId="49" fontId="26" fillId="4" borderId="9" xfId="0" applyNumberFormat="1" applyFont="1" applyFill="1" applyBorder="1" applyAlignment="1">
      <alignment horizontal="center"/>
    </xf>
    <xf numFmtId="49" fontId="26" fillId="6" borderId="1" xfId="0" applyNumberFormat="1" applyFont="1" applyFill="1" applyBorder="1" applyAlignment="1">
      <alignment horizontal="center"/>
    </xf>
    <xf numFmtId="49" fontId="26" fillId="6" borderId="2" xfId="0" applyNumberFormat="1" applyFont="1" applyFill="1" applyBorder="1" applyAlignment="1">
      <alignment horizontal="center"/>
    </xf>
    <xf numFmtId="49" fontId="26" fillId="6" borderId="3" xfId="0" applyNumberFormat="1" applyFont="1" applyFill="1" applyBorder="1"/>
    <xf numFmtId="0" fontId="27" fillId="3" borderId="0" xfId="0" applyFont="1" applyFill="1" applyAlignment="1">
      <alignment horizontal="left" vertical="center"/>
    </xf>
    <xf numFmtId="0" fontId="24" fillId="2" borderId="3" xfId="0" applyFont="1" applyFill="1" applyBorder="1"/>
    <xf numFmtId="164" fontId="24" fillId="2" borderId="7" xfId="0" applyNumberFormat="1" applyFont="1" applyFill="1" applyBorder="1" applyAlignment="1">
      <alignment horizontal="center"/>
    </xf>
    <xf numFmtId="0" fontId="24" fillId="2" borderId="7" xfId="0" applyFont="1" applyFill="1" applyBorder="1"/>
    <xf numFmtId="0" fontId="24" fillId="2" borderId="13" xfId="0" applyFont="1" applyFill="1" applyBorder="1"/>
    <xf numFmtId="164" fontId="24" fillId="5" borderId="4" xfId="0" applyNumberFormat="1" applyFont="1" applyFill="1" applyBorder="1" applyAlignment="1">
      <alignment horizontal="center"/>
    </xf>
    <xf numFmtId="164" fontId="24" fillId="5" borderId="0" xfId="0" applyNumberFormat="1" applyFont="1" applyFill="1" applyAlignment="1">
      <alignment horizontal="center"/>
    </xf>
    <xf numFmtId="1" fontId="24" fillId="5" borderId="0" xfId="0" applyNumberFormat="1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20" fillId="3" borderId="0" xfId="1" applyNumberFormat="1" applyFont="1" applyFill="1" applyBorder="1" applyAlignment="1">
      <alignment horizontal="center"/>
    </xf>
    <xf numFmtId="49" fontId="20" fillId="3" borderId="0" xfId="0" applyNumberFormat="1" applyFont="1" applyFill="1"/>
    <xf numFmtId="0" fontId="20" fillId="2" borderId="0" xfId="1" applyNumberFormat="1" applyFont="1" applyFill="1" applyBorder="1" applyAlignment="1">
      <alignment horizontal="center"/>
    </xf>
    <xf numFmtId="49" fontId="20" fillId="2" borderId="0" xfId="0" applyNumberFormat="1" applyFont="1" applyFill="1"/>
    <xf numFmtId="164" fontId="24" fillId="2" borderId="4" xfId="0" applyNumberFormat="1" applyFont="1" applyFill="1" applyBorder="1" applyAlignment="1">
      <alignment horizontal="center"/>
    </xf>
    <xf numFmtId="49" fontId="24" fillId="3" borderId="0" xfId="0" applyNumberFormat="1" applyFont="1" applyFill="1"/>
    <xf numFmtId="49" fontId="24" fillId="3" borderId="9" xfId="0" applyNumberFormat="1" applyFont="1" applyFill="1" applyBorder="1"/>
    <xf numFmtId="44" fontId="24" fillId="13" borderId="4" xfId="1" applyFont="1" applyFill="1" applyBorder="1" applyAlignment="1">
      <alignment horizontal="center"/>
    </xf>
    <xf numFmtId="164" fontId="20" fillId="13" borderId="0" xfId="0" applyNumberFormat="1" applyFont="1" applyFill="1" applyAlignment="1">
      <alignment horizontal="center"/>
    </xf>
    <xf numFmtId="1" fontId="20" fillId="13" borderId="0" xfId="0" applyNumberFormat="1" applyFont="1" applyFill="1" applyAlignment="1">
      <alignment horizontal="center"/>
    </xf>
    <xf numFmtId="0" fontId="20" fillId="13" borderId="0" xfId="0" applyFont="1" applyFill="1"/>
    <xf numFmtId="49" fontId="20" fillId="13" borderId="0" xfId="0" applyNumberFormat="1" applyFont="1" applyFill="1"/>
    <xf numFmtId="44" fontId="20" fillId="3" borderId="4" xfId="1" applyFont="1" applyFill="1" applyBorder="1" applyAlignment="1">
      <alignment horizontal="center"/>
    </xf>
    <xf numFmtId="44" fontId="20" fillId="2" borderId="4" xfId="1" applyFont="1" applyFill="1" applyBorder="1" applyAlignment="1">
      <alignment horizontal="center"/>
    </xf>
    <xf numFmtId="44" fontId="1" fillId="0" borderId="4" xfId="1" applyFont="1" applyBorder="1"/>
    <xf numFmtId="44" fontId="20" fillId="13" borderId="4" xfId="1" applyFont="1" applyFill="1" applyBorder="1" applyAlignment="1">
      <alignment horizontal="center"/>
    </xf>
    <xf numFmtId="3" fontId="20" fillId="2" borderId="0" xfId="0" applyNumberFormat="1" applyFont="1" applyFill="1"/>
    <xf numFmtId="3" fontId="24" fillId="3" borderId="8" xfId="0" applyNumberFormat="1" applyFont="1" applyFill="1" applyBorder="1"/>
    <xf numFmtId="164" fontId="20" fillId="13" borderId="4" xfId="0" applyNumberFormat="1" applyFont="1" applyFill="1" applyBorder="1" applyAlignment="1">
      <alignment horizontal="center"/>
    </xf>
    <xf numFmtId="3" fontId="20" fillId="13" borderId="0" xfId="0" applyNumberFormat="1" applyFont="1" applyFill="1"/>
    <xf numFmtId="0" fontId="24" fillId="5" borderId="2" xfId="0" applyFont="1" applyFill="1" applyBorder="1" applyAlignment="1">
      <alignment horizontal="left"/>
    </xf>
    <xf numFmtId="0" fontId="14" fillId="0" borderId="0" xfId="5"/>
    <xf numFmtId="164" fontId="14" fillId="0" borderId="0" xfId="5" applyNumberFormat="1" applyAlignment="1">
      <alignment horizontal="center"/>
    </xf>
    <xf numFmtId="164" fontId="24" fillId="2" borderId="4" xfId="3" applyNumberFormat="1" applyFont="1" applyFill="1" applyBorder="1" applyAlignment="1">
      <alignment horizontal="center"/>
    </xf>
    <xf numFmtId="164" fontId="20" fillId="2" borderId="1" xfId="3" applyNumberFormat="1" applyFont="1" applyFill="1" applyBorder="1" applyAlignment="1">
      <alignment horizontal="center"/>
    </xf>
    <xf numFmtId="49" fontId="20" fillId="2" borderId="0" xfId="3" applyNumberFormat="1" applyFont="1" applyFill="1"/>
    <xf numFmtId="49" fontId="20" fillId="3" borderId="0" xfId="3" applyNumberFormat="1" applyFont="1" applyFill="1"/>
    <xf numFmtId="164" fontId="14" fillId="7" borderId="4" xfId="6" applyNumberFormat="1" applyFill="1" applyBorder="1" applyAlignment="1">
      <alignment horizontal="center"/>
    </xf>
    <xf numFmtId="49" fontId="24" fillId="3" borderId="0" xfId="3" applyNumberFormat="1" applyFont="1" applyFill="1"/>
    <xf numFmtId="49" fontId="24" fillId="3" borderId="9" xfId="3" applyNumberFormat="1" applyFont="1" applyFill="1" applyBorder="1"/>
    <xf numFmtId="49" fontId="29" fillId="3" borderId="9" xfId="3" applyNumberFormat="1" applyFont="1" applyFill="1" applyBorder="1"/>
    <xf numFmtId="0" fontId="14" fillId="0" borderId="5" xfId="5" applyBorder="1"/>
    <xf numFmtId="164" fontId="14" fillId="2" borderId="0" xfId="5" applyNumberFormat="1" applyFill="1" applyAlignment="1">
      <alignment horizontal="center"/>
    </xf>
    <xf numFmtId="0" fontId="30" fillId="3" borderId="5" xfId="3" applyFont="1" applyFill="1" applyBorder="1"/>
    <xf numFmtId="0" fontId="31" fillId="7" borderId="0" xfId="3" applyFont="1"/>
    <xf numFmtId="3" fontId="24" fillId="3" borderId="8" xfId="3" applyNumberFormat="1" applyFont="1" applyFill="1" applyBorder="1"/>
    <xf numFmtId="164" fontId="31" fillId="3" borderId="1" xfId="3" applyNumberFormat="1" applyFont="1" applyFill="1" applyBorder="1" applyAlignment="1">
      <alignment horizontal="center"/>
    </xf>
    <xf numFmtId="49" fontId="31" fillId="3" borderId="0" xfId="3" applyNumberFormat="1" applyFont="1" applyFill="1"/>
    <xf numFmtId="164" fontId="31" fillId="2" borderId="4" xfId="3" applyNumberFormat="1" applyFont="1" applyFill="1" applyBorder="1" applyAlignment="1">
      <alignment horizontal="center"/>
    </xf>
    <xf numFmtId="164" fontId="31" fillId="2" borderId="0" xfId="1" applyNumberFormat="1" applyFont="1" applyFill="1" applyBorder="1"/>
    <xf numFmtId="0" fontId="31" fillId="2" borderId="0" xfId="3" applyFont="1" applyFill="1"/>
    <xf numFmtId="164" fontId="31" fillId="3" borderId="4" xfId="3" applyNumberFormat="1" applyFont="1" applyFill="1" applyBorder="1" applyAlignment="1">
      <alignment horizontal="center"/>
    </xf>
    <xf numFmtId="164" fontId="31" fillId="3" borderId="0" xfId="1" applyNumberFormat="1" applyFont="1" applyFill="1" applyBorder="1"/>
    <xf numFmtId="0" fontId="31" fillId="3" borderId="0" xfId="3" applyFont="1" applyFill="1"/>
    <xf numFmtId="164" fontId="31" fillId="3" borderId="0" xfId="1" applyNumberFormat="1" applyFont="1" applyFill="1" applyBorder="1" applyAlignment="1">
      <alignment horizontal="center" vertical="center"/>
    </xf>
    <xf numFmtId="164" fontId="31" fillId="2" borderId="0" xfId="1" applyNumberFormat="1" applyFont="1" applyFill="1" applyBorder="1" applyAlignment="1">
      <alignment horizontal="center" vertical="center"/>
    </xf>
    <xf numFmtId="8" fontId="31" fillId="2" borderId="0" xfId="3" applyNumberFormat="1" applyFont="1" applyFill="1" applyAlignment="1">
      <alignment horizontal="center"/>
    </xf>
    <xf numFmtId="0" fontId="31" fillId="2" borderId="0" xfId="3" applyFont="1" applyFill="1" applyAlignment="1">
      <alignment horizontal="center"/>
    </xf>
    <xf numFmtId="8" fontId="31" fillId="2" borderId="0" xfId="6" applyNumberFormat="1" applyFont="1" applyFill="1" applyBorder="1" applyAlignment="1">
      <alignment horizontal="center"/>
    </xf>
    <xf numFmtId="0" fontId="27" fillId="3" borderId="0" xfId="3" applyFont="1" applyFill="1" applyAlignment="1">
      <alignment horizontal="left" vertical="center"/>
    </xf>
    <xf numFmtId="0" fontId="8" fillId="3" borderId="0" xfId="7" applyFont="1" applyFill="1"/>
    <xf numFmtId="164" fontId="8" fillId="3" borderId="0" xfId="7" applyNumberFormat="1" applyFont="1" applyFill="1" applyAlignment="1">
      <alignment horizontal="center"/>
    </xf>
    <xf numFmtId="164" fontId="8" fillId="3" borderId="0" xfId="7" applyNumberFormat="1" applyFont="1" applyFill="1"/>
    <xf numFmtId="1" fontId="8" fillId="3" borderId="0" xfId="7" applyNumberFormat="1" applyFont="1" applyFill="1"/>
    <xf numFmtId="164" fontId="9" fillId="8" borderId="1" xfId="7" applyNumberFormat="1" applyFont="1" applyFill="1" applyBorder="1" applyAlignment="1">
      <alignment horizontal="center"/>
    </xf>
    <xf numFmtId="164" fontId="9" fillId="8" borderId="2" xfId="7" applyNumberFormat="1" applyFont="1" applyFill="1" applyBorder="1" applyAlignment="1">
      <alignment horizontal="center"/>
    </xf>
    <xf numFmtId="0" fontId="9" fillId="8" borderId="2" xfId="7" applyFont="1" applyFill="1" applyBorder="1"/>
    <xf numFmtId="0" fontId="9" fillId="10" borderId="3" xfId="7" applyFont="1" applyFill="1" applyBorder="1"/>
    <xf numFmtId="164" fontId="9" fillId="10" borderId="4" xfId="7" applyNumberFormat="1" applyFont="1" applyFill="1" applyBorder="1" applyAlignment="1">
      <alignment horizontal="center"/>
    </xf>
    <xf numFmtId="164" fontId="9" fillId="10" borderId="0" xfId="7" applyNumberFormat="1" applyFont="1" applyFill="1" applyAlignment="1">
      <alignment horizontal="center"/>
    </xf>
    <xf numFmtId="0" fontId="9" fillId="10" borderId="0" xfId="7" applyFont="1" applyFill="1"/>
    <xf numFmtId="0" fontId="9" fillId="10" borderId="5" xfId="7" applyFont="1" applyFill="1" applyBorder="1"/>
    <xf numFmtId="164" fontId="9" fillId="9" borderId="4" xfId="7" applyNumberFormat="1" applyFont="1" applyFill="1" applyBorder="1" applyAlignment="1">
      <alignment horizontal="center"/>
    </xf>
    <xf numFmtId="164" fontId="9" fillId="9" borderId="0" xfId="7" applyNumberFormat="1" applyFont="1" applyFill="1" applyAlignment="1">
      <alignment horizontal="center"/>
    </xf>
    <xf numFmtId="1" fontId="9" fillId="9" borderId="0" xfId="7" applyNumberFormat="1" applyFont="1" applyFill="1" applyAlignment="1">
      <alignment horizontal="center"/>
    </xf>
    <xf numFmtId="0" fontId="9" fillId="9" borderId="0" xfId="7" applyFont="1" applyFill="1"/>
    <xf numFmtId="0" fontId="9" fillId="9" borderId="0" xfId="7" applyFont="1" applyFill="1" applyAlignment="1">
      <alignment horizontal="right"/>
    </xf>
    <xf numFmtId="0" fontId="8" fillId="9" borderId="5" xfId="7" applyFont="1" applyFill="1" applyBorder="1"/>
    <xf numFmtId="164" fontId="9" fillId="9" borderId="1" xfId="7" applyNumberFormat="1" applyFont="1" applyFill="1" applyBorder="1" applyAlignment="1">
      <alignment horizontal="center"/>
    </xf>
    <xf numFmtId="164" fontId="9" fillId="9" borderId="2" xfId="7" applyNumberFormat="1" applyFont="1" applyFill="1" applyBorder="1" applyAlignment="1">
      <alignment horizontal="center"/>
    </xf>
    <xf numFmtId="164" fontId="9" fillId="9" borderId="8" xfId="7" applyNumberFormat="1" applyFont="1" applyFill="1" applyBorder="1" applyAlignment="1">
      <alignment horizontal="center"/>
    </xf>
    <xf numFmtId="1" fontId="9" fillId="9" borderId="8" xfId="7" applyNumberFormat="1" applyFont="1" applyFill="1" applyBorder="1" applyAlignment="1">
      <alignment horizontal="center"/>
    </xf>
    <xf numFmtId="0" fontId="9" fillId="9" borderId="8" xfId="7" applyFont="1" applyFill="1" applyBorder="1"/>
    <xf numFmtId="0" fontId="9" fillId="9" borderId="9" xfId="7" applyFont="1" applyFill="1" applyBorder="1" applyAlignment="1">
      <alignment horizontal="right"/>
    </xf>
    <xf numFmtId="164" fontId="8" fillId="9" borderId="1" xfId="8" applyNumberFormat="1" applyBorder="1" applyAlignment="1">
      <alignment horizontal="center"/>
    </xf>
    <xf numFmtId="164" fontId="8" fillId="9" borderId="2" xfId="8" applyNumberFormat="1" applyBorder="1" applyAlignment="1">
      <alignment horizontal="center"/>
    </xf>
    <xf numFmtId="164" fontId="8" fillId="9" borderId="0" xfId="8" applyNumberFormat="1" applyAlignment="1">
      <alignment horizontal="center"/>
    </xf>
    <xf numFmtId="0" fontId="8" fillId="9" borderId="0" xfId="8" applyAlignment="1">
      <alignment horizontal="center"/>
    </xf>
    <xf numFmtId="0" fontId="8" fillId="9" borderId="0" xfId="8" applyAlignment="1">
      <alignment horizontal="left"/>
    </xf>
    <xf numFmtId="0" fontId="8" fillId="9" borderId="0" xfId="8"/>
    <xf numFmtId="49" fontId="8" fillId="9" borderId="0" xfId="8" applyNumberFormat="1"/>
    <xf numFmtId="164" fontId="8" fillId="12" borderId="4" xfId="8" applyNumberFormat="1" applyFill="1" applyBorder="1" applyAlignment="1">
      <alignment horizontal="center"/>
    </xf>
    <xf numFmtId="164" fontId="8" fillId="12" borderId="0" xfId="8" applyNumberFormat="1" applyFill="1" applyAlignment="1">
      <alignment horizontal="center"/>
    </xf>
    <xf numFmtId="0" fontId="8" fillId="12" borderId="0" xfId="8" applyFill="1" applyAlignment="1">
      <alignment horizontal="center"/>
    </xf>
    <xf numFmtId="0" fontId="8" fillId="12" borderId="0" xfId="8" applyFill="1" applyAlignment="1">
      <alignment horizontal="left"/>
    </xf>
    <xf numFmtId="0" fontId="8" fillId="12" borderId="0" xfId="8" applyFill="1"/>
    <xf numFmtId="49" fontId="8" fillId="12" borderId="0" xfId="8" applyNumberFormat="1" applyFill="1"/>
    <xf numFmtId="164" fontId="8" fillId="9" borderId="4" xfId="7" applyNumberFormat="1" applyFont="1" applyFill="1" applyBorder="1" applyAlignment="1">
      <alignment horizontal="center"/>
    </xf>
    <xf numFmtId="164" fontId="8" fillId="9" borderId="0" xfId="7" applyNumberFormat="1" applyFont="1" applyFill="1" applyAlignment="1">
      <alignment horizontal="center"/>
    </xf>
    <xf numFmtId="1" fontId="8" fillId="9" borderId="0" xfId="7" applyNumberFormat="1" applyFont="1" applyFill="1" applyAlignment="1">
      <alignment horizontal="center"/>
    </xf>
    <xf numFmtId="0" fontId="8" fillId="9" borderId="0" xfId="7" applyFont="1" applyFill="1"/>
    <xf numFmtId="49" fontId="9" fillId="9" borderId="0" xfId="7" applyNumberFormat="1" applyFont="1" applyFill="1"/>
    <xf numFmtId="0" fontId="9" fillId="9" borderId="5" xfId="7" applyFont="1" applyFill="1" applyBorder="1"/>
    <xf numFmtId="168" fontId="8" fillId="9" borderId="0" xfId="8" applyNumberFormat="1" applyAlignment="1">
      <alignment horizontal="center"/>
    </xf>
    <xf numFmtId="168" fontId="8" fillId="12" borderId="0" xfId="8" applyNumberFormat="1" applyFill="1" applyAlignment="1">
      <alignment horizontal="center"/>
    </xf>
    <xf numFmtId="164" fontId="8" fillId="9" borderId="4" xfId="8" applyNumberFormat="1" applyBorder="1" applyAlignment="1">
      <alignment horizontal="center"/>
    </xf>
    <xf numFmtId="164" fontId="8" fillId="9" borderId="0" xfId="9" applyNumberFormat="1" applyFill="1" applyAlignment="1">
      <alignment horizontal="center"/>
    </xf>
    <xf numFmtId="3" fontId="8" fillId="9" borderId="0" xfId="9" applyFill="1" applyAlignment="1">
      <alignment horizontal="center"/>
    </xf>
    <xf numFmtId="3" fontId="8" fillId="9" borderId="0" xfId="9" applyFill="1"/>
    <xf numFmtId="49" fontId="9" fillId="9" borderId="0" xfId="7" applyNumberFormat="1" applyFont="1" applyFill="1" applyAlignment="1">
      <alignment horizontal="right"/>
    </xf>
    <xf numFmtId="49" fontId="9" fillId="9" borderId="9" xfId="7" applyNumberFormat="1" applyFont="1" applyFill="1" applyBorder="1" applyAlignment="1">
      <alignment horizontal="right"/>
    </xf>
    <xf numFmtId="44" fontId="8" fillId="3" borderId="0" xfId="1" applyFont="1" applyFill="1"/>
    <xf numFmtId="164" fontId="8" fillId="12" borderId="1" xfId="8" applyNumberFormat="1" applyFill="1" applyBorder="1" applyAlignment="1">
      <alignment horizontal="center"/>
    </xf>
    <xf numFmtId="164" fontId="8" fillId="0" borderId="4" xfId="9" applyNumberFormat="1" applyFill="1" applyBorder="1" applyAlignment="1">
      <alignment horizontal="center"/>
    </xf>
    <xf numFmtId="168" fontId="8" fillId="0" borderId="0" xfId="8" applyNumberFormat="1" applyFill="1" applyAlignment="1">
      <alignment horizontal="center"/>
    </xf>
    <xf numFmtId="164" fontId="8" fillId="12" borderId="4" xfId="9" applyNumberFormat="1" applyBorder="1" applyAlignment="1">
      <alignment horizontal="center"/>
    </xf>
    <xf numFmtId="164" fontId="8" fillId="12" borderId="0" xfId="9" applyNumberFormat="1" applyAlignment="1">
      <alignment horizontal="center"/>
    </xf>
    <xf numFmtId="3" fontId="8" fillId="12" borderId="0" xfId="9" applyAlignment="1">
      <alignment horizontal="center"/>
    </xf>
    <xf numFmtId="3" fontId="8" fillId="12" borderId="0" xfId="9"/>
    <xf numFmtId="49" fontId="8" fillId="12" borderId="0" xfId="9" applyNumberFormat="1"/>
    <xf numFmtId="164" fontId="9" fillId="9" borderId="11" xfId="7" applyNumberFormat="1" applyFont="1" applyFill="1" applyBorder="1" applyAlignment="1">
      <alignment horizontal="center"/>
    </xf>
    <xf numFmtId="164" fontId="8" fillId="9" borderId="1" xfId="9" applyNumberFormat="1" applyFill="1" applyBorder="1" applyAlignment="1">
      <alignment horizontal="center"/>
    </xf>
    <xf numFmtId="3" fontId="8" fillId="9" borderId="2" xfId="9" applyFill="1" applyBorder="1"/>
    <xf numFmtId="164" fontId="8" fillId="9" borderId="2" xfId="9" applyNumberFormat="1" applyFill="1" applyBorder="1" applyAlignment="1">
      <alignment horizontal="center"/>
    </xf>
    <xf numFmtId="3" fontId="8" fillId="9" borderId="2" xfId="9" applyFill="1" applyBorder="1" applyAlignment="1">
      <alignment horizontal="center"/>
    </xf>
    <xf numFmtId="49" fontId="8" fillId="9" borderId="2" xfId="9" applyNumberFormat="1" applyFill="1" applyBorder="1"/>
    <xf numFmtId="164" fontId="8" fillId="0" borderId="0" xfId="9" applyNumberFormat="1" applyFill="1" applyAlignment="1">
      <alignment horizontal="center"/>
    </xf>
    <xf numFmtId="164" fontId="8" fillId="3" borderId="4" xfId="9" applyNumberFormat="1" applyFill="1" applyBorder="1" applyAlignment="1">
      <alignment horizontal="center"/>
    </xf>
    <xf numFmtId="164" fontId="8" fillId="0" borderId="0" xfId="8" applyNumberFormat="1" applyFill="1" applyAlignment="1">
      <alignment horizontal="center"/>
    </xf>
    <xf numFmtId="0" fontId="9" fillId="3" borderId="0" xfId="7" applyFont="1" applyFill="1"/>
    <xf numFmtId="0" fontId="8" fillId="12" borderId="2" xfId="8" applyFill="1" applyBorder="1" applyAlignment="1">
      <alignment horizontal="center"/>
    </xf>
    <xf numFmtId="164" fontId="8" fillId="12" borderId="2" xfId="8" applyNumberFormat="1" applyFill="1" applyBorder="1" applyAlignment="1">
      <alignment horizontal="center"/>
    </xf>
    <xf numFmtId="0" fontId="8" fillId="12" borderId="2" xfId="8" applyFill="1" applyBorder="1" applyAlignment="1">
      <alignment horizontal="left"/>
    </xf>
    <xf numFmtId="0" fontId="8" fillId="12" borderId="2" xfId="8" applyFill="1" applyBorder="1"/>
    <xf numFmtId="49" fontId="8" fillId="12" borderId="2" xfId="8" applyNumberFormat="1" applyFill="1" applyBorder="1"/>
    <xf numFmtId="49" fontId="8" fillId="9" borderId="0" xfId="7" applyNumberFormat="1" applyFont="1" applyFill="1"/>
    <xf numFmtId="164" fontId="8" fillId="12" borderId="0" xfId="10" applyNumberFormat="1" applyFont="1" applyFill="1" applyAlignment="1">
      <alignment horizontal="center"/>
    </xf>
    <xf numFmtId="49" fontId="8" fillId="12" borderId="0" xfId="7" applyNumberFormat="1" applyFont="1" applyFill="1"/>
    <xf numFmtId="164" fontId="8" fillId="9" borderId="0" xfId="10" applyNumberFormat="1" applyFont="1" applyFill="1" applyAlignment="1">
      <alignment horizontal="center"/>
    </xf>
    <xf numFmtId="2" fontId="8" fillId="9" borderId="0" xfId="7" applyNumberFormat="1" applyFont="1" applyFill="1"/>
    <xf numFmtId="164" fontId="8" fillId="12" borderId="4" xfId="7" applyNumberFormat="1" applyFont="1" applyFill="1" applyBorder="1" applyAlignment="1">
      <alignment horizontal="center"/>
    </xf>
    <xf numFmtId="164" fontId="8" fillId="12" borderId="0" xfId="7" applyNumberFormat="1" applyFont="1" applyFill="1" applyAlignment="1">
      <alignment horizontal="center"/>
    </xf>
    <xf numFmtId="1" fontId="8" fillId="12" borderId="0" xfId="7" applyNumberFormat="1" applyFont="1" applyFill="1" applyAlignment="1">
      <alignment horizontal="center"/>
    </xf>
    <xf numFmtId="164" fontId="8" fillId="12" borderId="0" xfId="7" applyNumberFormat="1" applyFont="1" applyFill="1" applyAlignment="1">
      <alignment horizontal="left"/>
    </xf>
    <xf numFmtId="0" fontId="12" fillId="2" borderId="0" xfId="7" applyFont="1" applyFill="1"/>
    <xf numFmtId="2" fontId="8" fillId="12" borderId="0" xfId="7" applyNumberFormat="1" applyFont="1" applyFill="1"/>
    <xf numFmtId="0" fontId="10" fillId="9" borderId="5" xfId="7" applyFont="1" applyFill="1" applyBorder="1"/>
    <xf numFmtId="164" fontId="8" fillId="9" borderId="4" xfId="1" applyNumberFormat="1" applyFont="1" applyFill="1" applyBorder="1" applyAlignment="1">
      <alignment horizontal="center" vertical="center"/>
    </xf>
    <xf numFmtId="164" fontId="8" fillId="9" borderId="0" xfId="1" applyNumberFormat="1" applyFont="1" applyFill="1" applyBorder="1" applyAlignment="1">
      <alignment horizontal="center" vertical="center"/>
    </xf>
    <xf numFmtId="2" fontId="8" fillId="9" borderId="0" xfId="9" applyNumberFormat="1" applyFill="1"/>
    <xf numFmtId="164" fontId="8" fillId="12" borderId="4" xfId="1" applyNumberFormat="1" applyFont="1" applyFill="1" applyBorder="1" applyAlignment="1">
      <alignment horizontal="center" vertical="center"/>
    </xf>
    <xf numFmtId="164" fontId="8" fillId="12" borderId="0" xfId="1" applyNumberFormat="1" applyFont="1" applyFill="1" applyBorder="1" applyAlignment="1">
      <alignment horizontal="center" vertical="center"/>
    </xf>
    <xf numFmtId="2" fontId="8" fillId="12" borderId="0" xfId="9" applyNumberFormat="1"/>
    <xf numFmtId="164" fontId="8" fillId="9" borderId="0" xfId="7" applyNumberFormat="1" applyFont="1" applyFill="1" applyAlignment="1">
      <alignment horizontal="left"/>
    </xf>
    <xf numFmtId="3" fontId="8" fillId="9" borderId="0" xfId="7" applyNumberFormat="1" applyFont="1" applyFill="1"/>
    <xf numFmtId="3" fontId="8" fillId="12" borderId="0" xfId="7" applyNumberFormat="1" applyFont="1" applyFill="1"/>
    <xf numFmtId="164" fontId="9" fillId="11" borderId="1" xfId="7" applyNumberFormat="1" applyFont="1" applyFill="1" applyBorder="1" applyAlignment="1">
      <alignment horizontal="center"/>
    </xf>
    <xf numFmtId="164" fontId="9" fillId="11" borderId="2" xfId="7" applyNumberFormat="1" applyFont="1" applyFill="1" applyBorder="1" applyAlignment="1">
      <alignment horizontal="center"/>
    </xf>
    <xf numFmtId="1" fontId="9" fillId="11" borderId="2" xfId="7" applyNumberFormat="1" applyFont="1" applyFill="1" applyBorder="1" applyAlignment="1">
      <alignment horizontal="center"/>
    </xf>
    <xf numFmtId="0" fontId="9" fillId="11" borderId="2" xfId="7" applyFont="1" applyFill="1" applyBorder="1" applyAlignment="1">
      <alignment horizontal="left"/>
    </xf>
    <xf numFmtId="0" fontId="9" fillId="11" borderId="3" xfId="7" applyFont="1" applyFill="1" applyBorder="1" applyAlignment="1">
      <alignment horizontal="left"/>
    </xf>
    <xf numFmtId="1" fontId="9" fillId="10" borderId="0" xfId="7" applyNumberFormat="1" applyFont="1" applyFill="1" applyAlignment="1">
      <alignment horizontal="center"/>
    </xf>
    <xf numFmtId="164" fontId="24" fillId="10" borderId="6" xfId="7" applyNumberFormat="1" applyFont="1" applyFill="1" applyBorder="1" applyAlignment="1">
      <alignment horizontal="center"/>
    </xf>
    <xf numFmtId="164" fontId="24" fillId="10" borderId="7" xfId="7" applyNumberFormat="1" applyFont="1" applyFill="1" applyBorder="1" applyAlignment="1">
      <alignment horizontal="center"/>
    </xf>
    <xf numFmtId="1" fontId="24" fillId="10" borderId="7" xfId="7" applyNumberFormat="1" applyFont="1" applyFill="1" applyBorder="1" applyAlignment="1">
      <alignment horizontal="center"/>
    </xf>
    <xf numFmtId="164" fontId="24" fillId="10" borderId="0" xfId="7" applyNumberFormat="1" applyFont="1" applyFill="1" applyAlignment="1">
      <alignment horizontal="center"/>
    </xf>
    <xf numFmtId="0" fontId="24" fillId="10" borderId="0" xfId="7" applyFont="1" applyFill="1" applyAlignment="1">
      <alignment horizontal="center"/>
    </xf>
    <xf numFmtId="0" fontId="24" fillId="10" borderId="5" xfId="7" applyFont="1" applyFill="1" applyBorder="1" applyAlignment="1">
      <alignment horizontal="center"/>
    </xf>
    <xf numFmtId="49" fontId="32" fillId="3" borderId="0" xfId="7" applyNumberFormat="1" applyFont="1" applyFill="1"/>
    <xf numFmtId="49" fontId="13" fillId="3" borderId="0" xfId="7" applyNumberFormat="1" applyFont="1" applyFill="1" applyAlignment="1">
      <alignment horizontal="center"/>
    </xf>
    <xf numFmtId="164" fontId="13" fillId="4" borderId="11" xfId="7" applyNumberFormat="1" applyFont="1" applyFill="1" applyBorder="1" applyAlignment="1">
      <alignment horizontal="center"/>
    </xf>
    <xf numFmtId="164" fontId="13" fillId="6" borderId="8" xfId="7" applyNumberFormat="1" applyFont="1" applyFill="1" applyBorder="1" applyAlignment="1">
      <alignment horizontal="center"/>
    </xf>
    <xf numFmtId="1" fontId="13" fillId="6" borderId="8" xfId="7" applyNumberFormat="1" applyFont="1" applyFill="1" applyBorder="1" applyAlignment="1">
      <alignment horizontal="center"/>
    </xf>
    <xf numFmtId="49" fontId="13" fillId="6" borderId="8" xfId="7" applyNumberFormat="1" applyFont="1" applyFill="1" applyBorder="1" applyAlignment="1">
      <alignment horizontal="center"/>
    </xf>
    <xf numFmtId="49" fontId="13" fillId="4" borderId="2" xfId="7" applyNumberFormat="1" applyFont="1" applyFill="1" applyBorder="1" applyAlignment="1">
      <alignment horizontal="center"/>
    </xf>
    <xf numFmtId="49" fontId="13" fillId="6" borderId="2" xfId="7" applyNumberFormat="1" applyFont="1" applyFill="1" applyBorder="1" applyAlignment="1">
      <alignment horizontal="center"/>
    </xf>
    <xf numFmtId="49" fontId="13" fillId="6" borderId="3" xfId="7" applyNumberFormat="1" applyFont="1" applyFill="1" applyBorder="1"/>
    <xf numFmtId="49" fontId="8" fillId="3" borderId="0" xfId="7" applyNumberFormat="1" applyFont="1" applyFill="1"/>
    <xf numFmtId="49" fontId="9" fillId="3" borderId="0" xfId="7" applyNumberFormat="1" applyFont="1" applyFill="1" applyAlignment="1">
      <alignment horizontal="center"/>
    </xf>
    <xf numFmtId="49" fontId="21" fillId="3" borderId="6" xfId="7" applyNumberFormat="1" applyFont="1" applyFill="1" applyBorder="1" applyAlignment="1">
      <alignment horizontal="left"/>
    </xf>
    <xf numFmtId="49" fontId="21" fillId="3" borderId="7" xfId="7" applyNumberFormat="1" applyFont="1" applyFill="1" applyBorder="1" applyAlignment="1">
      <alignment horizontal="left"/>
    </xf>
    <xf numFmtId="49" fontId="21" fillId="3" borderId="13" xfId="7" applyNumberFormat="1" applyFont="1" applyFill="1" applyBorder="1" applyAlignment="1">
      <alignment horizontal="left"/>
    </xf>
    <xf numFmtId="0" fontId="31" fillId="0" borderId="0" xfId="0" applyFont="1"/>
    <xf numFmtId="164" fontId="31" fillId="0" borderId="0" xfId="0" applyNumberFormat="1" applyFont="1"/>
    <xf numFmtId="0" fontId="31" fillId="0" borderId="0" xfId="0" applyFont="1" applyAlignment="1">
      <alignment horizontal="left"/>
    </xf>
    <xf numFmtId="0" fontId="24" fillId="2" borderId="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4" fillId="2" borderId="0" xfId="0" applyFont="1" applyFill="1" applyAlignment="1">
      <alignment horizontal="left"/>
    </xf>
    <xf numFmtId="0" fontId="24" fillId="2" borderId="5" xfId="0" applyFont="1" applyFill="1" applyBorder="1"/>
    <xf numFmtId="0" fontId="31" fillId="3" borderId="4" xfId="0" applyFont="1" applyFill="1" applyBorder="1"/>
    <xf numFmtId="164" fontId="31" fillId="3" borderId="0" xfId="0" applyNumberFormat="1" applyFont="1" applyFill="1"/>
    <xf numFmtId="0" fontId="31" fillId="3" borderId="0" xfId="0" applyFont="1" applyFill="1"/>
    <xf numFmtId="0" fontId="31" fillId="3" borderId="0" xfId="0" applyFont="1" applyFill="1" applyAlignment="1">
      <alignment horizontal="left"/>
    </xf>
    <xf numFmtId="0" fontId="31" fillId="3" borderId="5" xfId="0" applyFont="1" applyFill="1" applyBorder="1"/>
    <xf numFmtId="164" fontId="29" fillId="3" borderId="4" xfId="0" applyNumberFormat="1" applyFont="1" applyFill="1" applyBorder="1"/>
    <xf numFmtId="164" fontId="29" fillId="3" borderId="0" xfId="0" applyNumberFormat="1" applyFont="1" applyFill="1"/>
    <xf numFmtId="0" fontId="29" fillId="3" borderId="0" xfId="0" applyFont="1" applyFill="1"/>
    <xf numFmtId="164" fontId="29" fillId="3" borderId="11" xfId="0" applyNumberFormat="1" applyFont="1" applyFill="1" applyBorder="1"/>
    <xf numFmtId="164" fontId="29" fillId="3" borderId="8" xfId="0" applyNumberFormat="1" applyFont="1" applyFill="1" applyBorder="1"/>
    <xf numFmtId="164" fontId="31" fillId="3" borderId="8" xfId="0" applyNumberFormat="1" applyFont="1" applyFill="1" applyBorder="1"/>
    <xf numFmtId="0" fontId="31" fillId="3" borderId="8" xfId="0" applyFont="1" applyFill="1" applyBorder="1"/>
    <xf numFmtId="1" fontId="31" fillId="3" borderId="8" xfId="0" applyNumberFormat="1" applyFont="1" applyFill="1" applyBorder="1"/>
    <xf numFmtId="0" fontId="29" fillId="3" borderId="9" xfId="0" applyFont="1" applyFill="1" applyBorder="1" applyAlignment="1">
      <alignment horizontal="left"/>
    </xf>
    <xf numFmtId="164" fontId="29" fillId="2" borderId="4" xfId="0" applyNumberFormat="1" applyFont="1" applyFill="1" applyBorder="1"/>
    <xf numFmtId="164" fontId="31" fillId="2" borderId="0" xfId="0" applyNumberFormat="1" applyFont="1" applyFill="1"/>
    <xf numFmtId="0" fontId="31" fillId="2" borderId="0" xfId="0" applyFont="1" applyFill="1"/>
    <xf numFmtId="2" fontId="31" fillId="2" borderId="0" xfId="0" applyNumberFormat="1" applyFont="1" applyFill="1" applyAlignment="1">
      <alignment horizontal="left"/>
    </xf>
    <xf numFmtId="0" fontId="2" fillId="3" borderId="0" xfId="0" applyFont="1" applyFill="1"/>
    <xf numFmtId="0" fontId="29" fillId="3" borderId="5" xfId="0" applyFont="1" applyFill="1" applyBorder="1"/>
    <xf numFmtId="0" fontId="29" fillId="3" borderId="8" xfId="0" applyFont="1" applyFill="1" applyBorder="1"/>
    <xf numFmtId="164" fontId="31" fillId="3" borderId="4" xfId="0" applyNumberFormat="1" applyFont="1" applyFill="1" applyBorder="1"/>
    <xf numFmtId="164" fontId="31" fillId="2" borderId="4" xfId="0" applyNumberFormat="1" applyFont="1" applyFill="1" applyBorder="1"/>
    <xf numFmtId="2" fontId="31" fillId="3" borderId="0" xfId="0" applyNumberFormat="1" applyFont="1" applyFill="1" applyAlignment="1">
      <alignment horizontal="left"/>
    </xf>
    <xf numFmtId="0" fontId="29" fillId="3" borderId="5" xfId="0" applyFont="1" applyFill="1" applyBorder="1"/>
    <xf numFmtId="0" fontId="31" fillId="2" borderId="0" xfId="0" applyFont="1" applyFill="1" applyAlignment="1">
      <alignment horizontal="left"/>
    </xf>
    <xf numFmtId="8" fontId="31" fillId="3" borderId="0" xfId="0" applyNumberFormat="1" applyFont="1" applyFill="1"/>
    <xf numFmtId="164" fontId="29" fillId="0" borderId="0" xfId="0" applyNumberFormat="1" applyFont="1"/>
    <xf numFmtId="164" fontId="26" fillId="4" borderId="1" xfId="0" applyNumberFormat="1" applyFont="1" applyFill="1" applyBorder="1" applyAlignment="1">
      <alignment horizontal="center"/>
    </xf>
    <xf numFmtId="164" fontId="26" fillId="6" borderId="2" xfId="0" applyNumberFormat="1" applyFont="1" applyFill="1" applyBorder="1" applyAlignment="1">
      <alignment horizontal="center"/>
    </xf>
    <xf numFmtId="1" fontId="26" fillId="6" borderId="2" xfId="0" applyNumberFormat="1" applyFont="1" applyFill="1" applyBorder="1" applyAlignment="1">
      <alignment horizontal="center"/>
    </xf>
    <xf numFmtId="49" fontId="26" fillId="4" borderId="3" xfId="0" applyNumberFormat="1" applyFont="1" applyFill="1" applyBorder="1" applyAlignment="1">
      <alignment horizontal="center"/>
    </xf>
    <xf numFmtId="0" fontId="26" fillId="6" borderId="2" xfId="0" applyFont="1" applyFill="1" applyBorder="1" applyAlignment="1">
      <alignment horizontal="left"/>
    </xf>
    <xf numFmtId="49" fontId="26" fillId="6" borderId="14" xfId="0" applyNumberFormat="1" applyFont="1" applyFill="1" applyBorder="1" applyAlignment="1">
      <alignment horizontal="center"/>
    </xf>
    <xf numFmtId="0" fontId="33" fillId="0" borderId="11" xfId="0" applyFont="1" applyBorder="1" applyAlignment="1">
      <alignment horizontal="left"/>
    </xf>
    <xf numFmtId="0" fontId="33" fillId="0" borderId="8" xfId="0" applyFont="1" applyBorder="1" applyAlignment="1">
      <alignment horizontal="left"/>
    </xf>
    <xf numFmtId="0" fontId="33" fillId="0" borderId="9" xfId="0" applyFont="1" applyBorder="1" applyAlignment="1">
      <alignment horizontal="left"/>
    </xf>
    <xf numFmtId="44" fontId="24" fillId="2" borderId="1" xfId="1" applyFont="1" applyFill="1" applyBorder="1" applyAlignment="1">
      <alignment horizontal="left" vertical="center"/>
    </xf>
    <xf numFmtId="44" fontId="24" fillId="3" borderId="4" xfId="1" applyFont="1" applyFill="1" applyBorder="1" applyAlignment="1">
      <alignment horizontal="left" vertical="center"/>
    </xf>
    <xf numFmtId="44" fontId="24" fillId="2" borderId="6" xfId="1" applyFont="1" applyFill="1" applyBorder="1" applyAlignment="1">
      <alignment horizontal="left" vertical="center"/>
    </xf>
    <xf numFmtId="44" fontId="24" fillId="5" borderId="1" xfId="1" applyFont="1" applyFill="1" applyBorder="1" applyAlignment="1">
      <alignment horizontal="left" vertical="center"/>
    </xf>
    <xf numFmtId="164" fontId="24" fillId="3" borderId="4" xfId="1" applyNumberFormat="1" applyFont="1" applyFill="1" applyBorder="1" applyAlignment="1">
      <alignment horizontal="center" vertical="center"/>
    </xf>
    <xf numFmtId="164" fontId="24" fillId="3" borderId="1" xfId="1" applyNumberFormat="1" applyFont="1" applyFill="1" applyBorder="1" applyAlignment="1">
      <alignment horizontal="center" vertical="center"/>
    </xf>
    <xf numFmtId="164" fontId="20" fillId="3" borderId="1" xfId="1" applyNumberFormat="1" applyFont="1" applyFill="1" applyBorder="1" applyAlignment="1">
      <alignment horizontal="center" vertical="center"/>
    </xf>
    <xf numFmtId="6" fontId="20" fillId="3" borderId="0" xfId="0" applyNumberFormat="1" applyFont="1" applyFill="1"/>
    <xf numFmtId="164" fontId="20" fillId="2" borderId="4" xfId="1" applyNumberFormat="1" applyFont="1" applyFill="1" applyBorder="1" applyAlignment="1">
      <alignment horizontal="center" vertical="center"/>
    </xf>
    <xf numFmtId="44" fontId="20" fillId="2" borderId="0" xfId="1" applyFont="1" applyFill="1" applyBorder="1" applyAlignment="1">
      <alignment horizontal="center"/>
    </xf>
    <xf numFmtId="6" fontId="20" fillId="2" borderId="0" xfId="0" applyNumberFormat="1" applyFont="1" applyFill="1"/>
    <xf numFmtId="164" fontId="24" fillId="3" borderId="11" xfId="1" applyNumberFormat="1" applyFont="1" applyFill="1" applyBorder="1" applyAlignment="1">
      <alignment horizontal="center" vertical="center"/>
    </xf>
    <xf numFmtId="164" fontId="20" fillId="2" borderId="1" xfId="1" applyNumberFormat="1" applyFont="1" applyFill="1" applyBorder="1" applyAlignment="1">
      <alignment horizontal="center" vertical="center"/>
    </xf>
    <xf numFmtId="164" fontId="20" fillId="0" borderId="0" xfId="1" applyNumberFormat="1" applyFont="1" applyFill="1" applyBorder="1" applyAlignment="1">
      <alignment horizontal="center" vertical="center"/>
    </xf>
    <xf numFmtId="44" fontId="20" fillId="0" borderId="0" xfId="1" applyFont="1" applyFill="1" applyBorder="1" applyAlignment="1">
      <alignment horizontal="center"/>
    </xf>
    <xf numFmtId="44" fontId="20" fillId="2" borderId="0" xfId="1" applyFont="1" applyFill="1" applyBorder="1"/>
    <xf numFmtId="44" fontId="20" fillId="3" borderId="4" xfId="1" applyFont="1" applyFill="1" applyBorder="1" applyAlignment="1">
      <alignment horizontal="left" vertical="center"/>
    </xf>
    <xf numFmtId="0" fontId="27" fillId="3" borderId="4" xfId="0" applyFont="1" applyFill="1" applyBorder="1" applyAlignment="1">
      <alignment horizontal="left" vertical="center"/>
    </xf>
    <xf numFmtId="0" fontId="34" fillId="0" borderId="0" xfId="5" applyFont="1"/>
    <xf numFmtId="0" fontId="35" fillId="0" borderId="0" xfId="5" applyFont="1"/>
    <xf numFmtId="0" fontId="14" fillId="0" borderId="7" xfId="5" applyBorder="1"/>
    <xf numFmtId="164" fontId="24" fillId="2" borderId="4" xfId="5" applyNumberFormat="1" applyFont="1" applyFill="1" applyBorder="1" applyAlignment="1">
      <alignment horizontal="center"/>
    </xf>
    <xf numFmtId="164" fontId="24" fillId="2" borderId="2" xfId="5" applyNumberFormat="1" applyFont="1" applyFill="1" applyBorder="1" applyAlignment="1">
      <alignment horizontal="center"/>
    </xf>
    <xf numFmtId="164" fontId="24" fillId="2" borderId="2" xfId="5" applyNumberFormat="1" applyFont="1" applyFill="1" applyBorder="1" applyAlignment="1">
      <alignment horizontal="center" wrapText="1"/>
    </xf>
    <xf numFmtId="0" fontId="24" fillId="2" borderId="2" xfId="5" applyFont="1" applyFill="1" applyBorder="1" applyAlignment="1">
      <alignment horizontal="center"/>
    </xf>
    <xf numFmtId="0" fontId="20" fillId="2" borderId="2" xfId="5" applyFont="1" applyFill="1" applyBorder="1"/>
    <xf numFmtId="0" fontId="24" fillId="3" borderId="3" xfId="5" applyFont="1" applyFill="1" applyBorder="1"/>
    <xf numFmtId="164" fontId="24" fillId="3" borderId="4" xfId="5" applyNumberFormat="1" applyFont="1" applyFill="1" applyBorder="1" applyAlignment="1">
      <alignment horizontal="center"/>
    </xf>
    <xf numFmtId="164" fontId="24" fillId="3" borderId="0" xfId="5" applyNumberFormat="1" applyFont="1" applyFill="1" applyAlignment="1">
      <alignment horizontal="center"/>
    </xf>
    <xf numFmtId="164" fontId="24" fillId="3" borderId="0" xfId="5" applyNumberFormat="1" applyFont="1" applyFill="1" applyAlignment="1">
      <alignment horizontal="center" wrapText="1"/>
    </xf>
    <xf numFmtId="0" fontId="24" fillId="3" borderId="0" xfId="5" applyFont="1" applyFill="1" applyAlignment="1">
      <alignment horizontal="center"/>
    </xf>
    <xf numFmtId="0" fontId="20" fillId="3" borderId="0" xfId="5" applyFont="1" applyFill="1"/>
    <xf numFmtId="0" fontId="24" fillId="3" borderId="5" xfId="5" applyFont="1" applyFill="1" applyBorder="1"/>
    <xf numFmtId="164" fontId="24" fillId="2" borderId="0" xfId="5" applyNumberFormat="1" applyFont="1" applyFill="1" applyAlignment="1">
      <alignment horizontal="center"/>
    </xf>
    <xf numFmtId="164" fontId="24" fillId="2" borderId="0" xfId="5" applyNumberFormat="1" applyFont="1" applyFill="1" applyAlignment="1">
      <alignment horizontal="center" wrapText="1"/>
    </xf>
    <xf numFmtId="0" fontId="24" fillId="2" borderId="0" xfId="5" applyFont="1" applyFill="1" applyAlignment="1">
      <alignment horizontal="center"/>
    </xf>
    <xf numFmtId="0" fontId="20" fillId="2" borderId="0" xfId="5" applyFont="1" applyFill="1"/>
    <xf numFmtId="164" fontId="24" fillId="5" borderId="1" xfId="5" applyNumberFormat="1" applyFont="1" applyFill="1" applyBorder="1" applyAlignment="1">
      <alignment horizontal="center"/>
    </xf>
    <xf numFmtId="164" fontId="24" fillId="5" borderId="2" xfId="5" applyNumberFormat="1" applyFont="1" applyFill="1" applyBorder="1" applyAlignment="1">
      <alignment horizontal="center"/>
    </xf>
    <xf numFmtId="1" fontId="24" fillId="5" borderId="2" xfId="5" applyNumberFormat="1" applyFont="1" applyFill="1" applyBorder="1" applyAlignment="1">
      <alignment horizontal="center"/>
    </xf>
    <xf numFmtId="164" fontId="24" fillId="5" borderId="2" xfId="5" applyNumberFormat="1" applyFont="1" applyFill="1" applyBorder="1" applyAlignment="1">
      <alignment horizontal="center" wrapText="1"/>
    </xf>
    <xf numFmtId="0" fontId="24" fillId="5" borderId="2" xfId="5" applyFont="1" applyFill="1" applyBorder="1" applyAlignment="1">
      <alignment horizontal="center"/>
    </xf>
    <xf numFmtId="0" fontId="20" fillId="5" borderId="2" xfId="5" applyFont="1" applyFill="1" applyBorder="1" applyAlignment="1">
      <alignment horizontal="left"/>
    </xf>
    <xf numFmtId="0" fontId="24" fillId="5" borderId="9" xfId="5" applyFont="1" applyFill="1" applyBorder="1" applyAlignment="1">
      <alignment horizontal="left"/>
    </xf>
    <xf numFmtId="0" fontId="14" fillId="3" borderId="1" xfId="5" applyFill="1" applyBorder="1" applyAlignment="1">
      <alignment horizontal="center"/>
    </xf>
    <xf numFmtId="0" fontId="14" fillId="3" borderId="2" xfId="5" applyFill="1" applyBorder="1" applyAlignment="1">
      <alignment horizontal="center"/>
    </xf>
    <xf numFmtId="164" fontId="14" fillId="3" borderId="4" xfId="5" applyNumberFormat="1" applyFill="1" applyBorder="1"/>
    <xf numFmtId="0" fontId="14" fillId="3" borderId="0" xfId="5" applyFill="1"/>
    <xf numFmtId="164" fontId="14" fillId="3" borderId="0" xfId="5" applyNumberFormat="1" applyFill="1"/>
    <xf numFmtId="0" fontId="36" fillId="3" borderId="0" xfId="5" applyFont="1" applyFill="1" applyAlignment="1">
      <alignment horizontal="left"/>
    </xf>
    <xf numFmtId="0" fontId="14" fillId="3" borderId="0" xfId="5" applyFill="1" applyAlignment="1">
      <alignment horizontal="center"/>
    </xf>
    <xf numFmtId="0" fontId="14" fillId="3" borderId="4" xfId="5" applyFill="1" applyBorder="1" applyAlignment="1">
      <alignment horizontal="center"/>
    </xf>
    <xf numFmtId="164" fontId="24" fillId="3" borderId="11" xfId="5" applyNumberFormat="1" applyFont="1" applyFill="1" applyBorder="1" applyAlignment="1">
      <alignment horizontal="center"/>
    </xf>
    <xf numFmtId="164" fontId="24" fillId="3" borderId="8" xfId="5" applyNumberFormat="1" applyFont="1" applyFill="1" applyBorder="1" applyAlignment="1">
      <alignment horizontal="center"/>
    </xf>
    <xf numFmtId="164" fontId="20" fillId="3" borderId="8" xfId="5" applyNumberFormat="1" applyFont="1" applyFill="1" applyBorder="1" applyAlignment="1">
      <alignment horizontal="center"/>
    </xf>
    <xf numFmtId="1" fontId="20" fillId="3" borderId="8" xfId="5" applyNumberFormat="1" applyFont="1" applyFill="1" applyBorder="1" applyAlignment="1">
      <alignment horizontal="center"/>
    </xf>
    <xf numFmtId="164" fontId="20" fillId="3" borderId="8" xfId="5" applyNumberFormat="1" applyFont="1" applyFill="1" applyBorder="1" applyAlignment="1">
      <alignment horizontal="center" wrapText="1"/>
    </xf>
    <xf numFmtId="3" fontId="20" fillId="3" borderId="8" xfId="5" applyNumberFormat="1" applyFont="1" applyFill="1" applyBorder="1" applyAlignment="1">
      <alignment horizontal="center"/>
    </xf>
    <xf numFmtId="0" fontId="24" fillId="3" borderId="9" xfId="5" applyFont="1" applyFill="1" applyBorder="1"/>
    <xf numFmtId="0" fontId="20" fillId="3" borderId="5" xfId="5" applyFont="1" applyFill="1" applyBorder="1"/>
    <xf numFmtId="164" fontId="20" fillId="13" borderId="4" xfId="5" applyNumberFormat="1" applyFont="1" applyFill="1" applyBorder="1" applyAlignment="1">
      <alignment horizontal="center"/>
    </xf>
    <xf numFmtId="164" fontId="20" fillId="13" borderId="0" xfId="5" applyNumberFormat="1" applyFont="1" applyFill="1" applyAlignment="1">
      <alignment horizontal="center"/>
    </xf>
    <xf numFmtId="1" fontId="20" fillId="13" borderId="0" xfId="5" applyNumberFormat="1" applyFont="1" applyFill="1" applyAlignment="1">
      <alignment horizontal="center"/>
    </xf>
    <xf numFmtId="164" fontId="20" fillId="13" borderId="0" xfId="5" applyNumberFormat="1" applyFont="1" applyFill="1" applyAlignment="1">
      <alignment horizontal="center" wrapText="1"/>
    </xf>
    <xf numFmtId="3" fontId="20" fillId="13" borderId="0" xfId="5" applyNumberFormat="1" applyFont="1" applyFill="1" applyAlignment="1">
      <alignment horizontal="center"/>
    </xf>
    <xf numFmtId="0" fontId="20" fillId="13" borderId="0" xfId="5" applyFont="1" applyFill="1" applyAlignment="1">
      <alignment horizontal="center"/>
    </xf>
    <xf numFmtId="164" fontId="20" fillId="3" borderId="4" xfId="5" applyNumberFormat="1" applyFont="1" applyFill="1" applyBorder="1" applyAlignment="1">
      <alignment horizontal="center"/>
    </xf>
    <xf numFmtId="164" fontId="20" fillId="14" borderId="0" xfId="5" applyNumberFormat="1" applyFont="1" applyFill="1" applyAlignment="1">
      <alignment horizontal="center"/>
    </xf>
    <xf numFmtId="164" fontId="20" fillId="15" borderId="0" xfId="5" applyNumberFormat="1" applyFont="1" applyFill="1" applyAlignment="1">
      <alignment horizontal="center"/>
    </xf>
    <xf numFmtId="1" fontId="20" fillId="15" borderId="0" xfId="5" applyNumberFormat="1" applyFont="1" applyFill="1" applyAlignment="1">
      <alignment horizontal="center"/>
    </xf>
    <xf numFmtId="3" fontId="20" fillId="15" borderId="0" xfId="5" applyNumberFormat="1" applyFont="1" applyFill="1" applyAlignment="1">
      <alignment horizontal="center"/>
    </xf>
    <xf numFmtId="0" fontId="20" fillId="16" borderId="0" xfId="5" applyFont="1" applyFill="1" applyAlignment="1">
      <alignment horizontal="center"/>
    </xf>
    <xf numFmtId="0" fontId="25" fillId="15" borderId="15" xfId="5" applyFont="1" applyFill="1" applyBorder="1" applyAlignment="1">
      <alignment horizontal="left" indent="2"/>
    </xf>
    <xf numFmtId="164" fontId="20" fillId="2" borderId="4" xfId="5" applyNumberFormat="1" applyFont="1" applyFill="1" applyBorder="1" applyAlignment="1">
      <alignment horizontal="center"/>
    </xf>
    <xf numFmtId="164" fontId="20" fillId="2" borderId="0" xfId="5" applyNumberFormat="1" applyFont="1" applyFill="1" applyAlignment="1">
      <alignment horizontal="center"/>
    </xf>
    <xf numFmtId="1" fontId="20" fillId="2" borderId="0" xfId="5" applyNumberFormat="1" applyFont="1" applyFill="1" applyAlignment="1">
      <alignment horizontal="center"/>
    </xf>
    <xf numFmtId="164" fontId="20" fillId="2" borderId="0" xfId="5" applyNumberFormat="1" applyFont="1" applyFill="1" applyAlignment="1">
      <alignment horizontal="center" wrapText="1"/>
    </xf>
    <xf numFmtId="3" fontId="20" fillId="2" borderId="0" xfId="5" applyNumberFormat="1" applyFont="1" applyFill="1" applyAlignment="1">
      <alignment horizontal="center"/>
    </xf>
    <xf numFmtId="0" fontId="1" fillId="2" borderId="0" xfId="5" applyFont="1" applyFill="1" applyAlignment="1">
      <alignment horizontal="center"/>
    </xf>
    <xf numFmtId="164" fontId="8" fillId="3" borderId="4" xfId="5" applyNumberFormat="1" applyFont="1" applyFill="1" applyBorder="1"/>
    <xf numFmtId="164" fontId="8" fillId="3" borderId="0" xfId="5" applyNumberFormat="1" applyFont="1" applyFill="1"/>
    <xf numFmtId="1" fontId="8" fillId="3" borderId="0" xfId="5" applyNumberFormat="1" applyFont="1" applyFill="1"/>
    <xf numFmtId="164" fontId="8" fillId="3" borderId="0" xfId="5" applyNumberFormat="1" applyFont="1" applyFill="1" applyAlignment="1">
      <alignment wrapText="1"/>
    </xf>
    <xf numFmtId="0" fontId="8" fillId="3" borderId="0" xfId="5" applyFont="1" applyFill="1" applyAlignment="1">
      <alignment horizontal="center"/>
    </xf>
    <xf numFmtId="0" fontId="8" fillId="3" borderId="0" xfId="5" applyFont="1" applyFill="1"/>
    <xf numFmtId="0" fontId="9" fillId="3" borderId="5" xfId="5" applyFont="1" applyFill="1" applyBorder="1"/>
    <xf numFmtId="0" fontId="14" fillId="0" borderId="4" xfId="5" applyBorder="1" applyAlignment="1">
      <alignment horizontal="center" wrapText="1"/>
    </xf>
    <xf numFmtId="0" fontId="14" fillId="0" borderId="0" xfId="5" applyAlignment="1">
      <alignment horizontal="center" wrapText="1"/>
    </xf>
    <xf numFmtId="44" fontId="24" fillId="3" borderId="11" xfId="1" applyFont="1" applyFill="1" applyBorder="1" applyAlignment="1">
      <alignment horizontal="center"/>
    </xf>
    <xf numFmtId="1" fontId="24" fillId="3" borderId="8" xfId="5" applyNumberFormat="1" applyFont="1" applyFill="1" applyBorder="1" applyAlignment="1">
      <alignment horizontal="center"/>
    </xf>
    <xf numFmtId="3" fontId="24" fillId="3" borderId="8" xfId="5" applyNumberFormat="1" applyFont="1" applyFill="1" applyBorder="1"/>
    <xf numFmtId="0" fontId="14" fillId="17" borderId="0" xfId="5" applyFill="1"/>
    <xf numFmtId="0" fontId="14" fillId="0" borderId="4" xfId="5" applyBorder="1" applyAlignment="1">
      <alignment horizontal="center"/>
    </xf>
    <xf numFmtId="0" fontId="14" fillId="0" borderId="0" xfId="5" applyAlignment="1">
      <alignment horizontal="center"/>
    </xf>
    <xf numFmtId="44" fontId="14" fillId="2" borderId="10" xfId="1" applyFont="1" applyFill="1" applyBorder="1"/>
    <xf numFmtId="0" fontId="20" fillId="2" borderId="0" xfId="5" applyFont="1" applyFill="1" applyAlignment="1">
      <alignment horizontal="center"/>
    </xf>
    <xf numFmtId="44" fontId="14" fillId="3" borderId="10" xfId="1" applyFont="1" applyFill="1" applyBorder="1"/>
    <xf numFmtId="164" fontId="20" fillId="3" borderId="0" xfId="5" applyNumberFormat="1" applyFont="1" applyFill="1" applyAlignment="1">
      <alignment horizontal="center"/>
    </xf>
    <xf numFmtId="1" fontId="20" fillId="3" borderId="0" xfId="5" applyNumberFormat="1" applyFont="1" applyFill="1" applyAlignment="1">
      <alignment horizontal="center"/>
    </xf>
    <xf numFmtId="3" fontId="20" fillId="3" borderId="0" xfId="5" applyNumberFormat="1" applyFont="1" applyFill="1" applyAlignment="1">
      <alignment horizontal="center"/>
    </xf>
    <xf numFmtId="0" fontId="20" fillId="3" borderId="0" xfId="5" applyFont="1" applyFill="1" applyAlignment="1">
      <alignment horizontal="center"/>
    </xf>
    <xf numFmtId="1" fontId="24" fillId="3" borderId="0" xfId="5" applyNumberFormat="1" applyFont="1" applyFill="1" applyAlignment="1">
      <alignment horizontal="center"/>
    </xf>
    <xf numFmtId="3" fontId="24" fillId="3" borderId="0" xfId="5" applyNumberFormat="1" applyFont="1" applyFill="1" applyAlignment="1">
      <alignment horizontal="center"/>
    </xf>
    <xf numFmtId="164" fontId="24" fillId="3" borderId="8" xfId="5" applyNumberFormat="1" applyFont="1" applyFill="1" applyBorder="1" applyAlignment="1">
      <alignment horizontal="center" wrapText="1"/>
    </xf>
    <xf numFmtId="3" fontId="24" fillId="3" borderId="8" xfId="5" applyNumberFormat="1" applyFont="1" applyFill="1" applyBorder="1" applyAlignment="1">
      <alignment horizontal="center"/>
    </xf>
    <xf numFmtId="49" fontId="20" fillId="3" borderId="0" xfId="5" applyNumberFormat="1" applyFont="1" applyFill="1"/>
    <xf numFmtId="0" fontId="24" fillId="3" borderId="8" xfId="5" applyFont="1" applyFill="1" applyBorder="1"/>
    <xf numFmtId="0" fontId="37" fillId="3" borderId="9" xfId="5" applyFont="1" applyFill="1" applyBorder="1"/>
    <xf numFmtId="164" fontId="20" fillId="17" borderId="4" xfId="5" applyNumberFormat="1" applyFont="1" applyFill="1" applyBorder="1" applyAlignment="1">
      <alignment horizontal="center"/>
    </xf>
    <xf numFmtId="164" fontId="20" fillId="17" borderId="0" xfId="5" applyNumberFormat="1" applyFont="1" applyFill="1" applyAlignment="1">
      <alignment horizontal="center"/>
    </xf>
    <xf numFmtId="1" fontId="20" fillId="17" borderId="0" xfId="5" applyNumberFormat="1" applyFont="1" applyFill="1" applyAlignment="1">
      <alignment horizontal="center"/>
    </xf>
    <xf numFmtId="3" fontId="20" fillId="17" borderId="0" xfId="5" applyNumberFormat="1" applyFont="1" applyFill="1" applyAlignment="1">
      <alignment horizontal="center"/>
    </xf>
    <xf numFmtId="0" fontId="20" fillId="17" borderId="0" xfId="5" applyFont="1" applyFill="1" applyAlignment="1">
      <alignment horizontal="center"/>
    </xf>
    <xf numFmtId="0" fontId="20" fillId="17" borderId="5" xfId="5" applyFont="1" applyFill="1" applyBorder="1"/>
    <xf numFmtId="0" fontId="30" fillId="3" borderId="5" xfId="5" applyFont="1" applyFill="1" applyBorder="1"/>
    <xf numFmtId="0" fontId="24" fillId="3" borderId="0" xfId="5" applyFont="1" applyFill="1"/>
    <xf numFmtId="0" fontId="25" fillId="3" borderId="5" xfId="5" applyFont="1" applyFill="1" applyBorder="1"/>
    <xf numFmtId="3" fontId="24" fillId="3" borderId="0" xfId="5" applyNumberFormat="1" applyFont="1" applyFill="1"/>
    <xf numFmtId="169" fontId="20" fillId="17" borderId="0" xfId="5" applyNumberFormat="1" applyFont="1" applyFill="1" applyAlignment="1">
      <alignment horizontal="center"/>
    </xf>
    <xf numFmtId="169" fontId="20" fillId="2" borderId="0" xfId="5" applyNumberFormat="1" applyFont="1" applyFill="1" applyAlignment="1">
      <alignment horizontal="center"/>
    </xf>
    <xf numFmtId="0" fontId="1" fillId="17" borderId="0" xfId="5" applyFont="1" applyFill="1"/>
    <xf numFmtId="3" fontId="20" fillId="3" borderId="0" xfId="5" applyNumberFormat="1" applyFont="1" applyFill="1"/>
    <xf numFmtId="3" fontId="20" fillId="2" borderId="0" xfId="5" applyNumberFormat="1" applyFont="1" applyFill="1"/>
    <xf numFmtId="164" fontId="20" fillId="3" borderId="0" xfId="5" applyNumberFormat="1" applyFont="1" applyFill="1" applyAlignment="1">
      <alignment horizontal="center" wrapText="1"/>
    </xf>
    <xf numFmtId="169" fontId="20" fillId="3" borderId="0" xfId="5" applyNumberFormat="1" applyFont="1" applyFill="1" applyAlignment="1">
      <alignment horizontal="center"/>
    </xf>
    <xf numFmtId="164" fontId="20" fillId="17" borderId="0" xfId="5" applyNumberFormat="1" applyFont="1" applyFill="1" applyAlignment="1">
      <alignment horizontal="center" wrapText="1"/>
    </xf>
    <xf numFmtId="3" fontId="20" fillId="17" borderId="0" xfId="5" applyNumberFormat="1" applyFont="1" applyFill="1"/>
    <xf numFmtId="0" fontId="14" fillId="3" borderId="6" xfId="5" applyFill="1" applyBorder="1"/>
    <xf numFmtId="0" fontId="14" fillId="3" borderId="7" xfId="5" applyFill="1" applyBorder="1"/>
    <xf numFmtId="164" fontId="24" fillId="3" borderId="6" xfId="5" applyNumberFormat="1" applyFont="1" applyFill="1" applyBorder="1" applyAlignment="1">
      <alignment horizontal="center"/>
    </xf>
    <xf numFmtId="164" fontId="20" fillId="16" borderId="4" xfId="5" applyNumberFormat="1" applyFont="1" applyFill="1" applyBorder="1" applyAlignment="1">
      <alignment horizontal="center"/>
    </xf>
    <xf numFmtId="1" fontId="20" fillId="14" borderId="0" xfId="5" applyNumberFormat="1" applyFont="1" applyFill="1" applyAlignment="1">
      <alignment horizontal="center"/>
    </xf>
    <xf numFmtId="0" fontId="20" fillId="14" borderId="0" xfId="5" applyFont="1" applyFill="1"/>
    <xf numFmtId="0" fontId="30" fillId="3" borderId="0" xfId="5" applyFont="1" applyFill="1"/>
    <xf numFmtId="164" fontId="24" fillId="15" borderId="16" xfId="5" applyNumberFormat="1" applyFont="1" applyFill="1" applyBorder="1" applyAlignment="1">
      <alignment horizontal="center"/>
    </xf>
    <xf numFmtId="164" fontId="24" fillId="15" borderId="17" xfId="5" applyNumberFormat="1" applyFont="1" applyFill="1" applyBorder="1" applyAlignment="1">
      <alignment horizontal="center"/>
    </xf>
    <xf numFmtId="1" fontId="24" fillId="15" borderId="17" xfId="5" applyNumberFormat="1" applyFont="1" applyFill="1" applyBorder="1" applyAlignment="1">
      <alignment horizontal="center"/>
    </xf>
    <xf numFmtId="0" fontId="24" fillId="15" borderId="17" xfId="5" applyFont="1" applyFill="1" applyBorder="1"/>
    <xf numFmtId="0" fontId="29" fillId="15" borderId="18" xfId="5" applyFont="1" applyFill="1" applyBorder="1" applyAlignment="1">
      <alignment horizontal="left" indent="2"/>
    </xf>
    <xf numFmtId="0" fontId="20" fillId="15" borderId="15" xfId="5" applyFont="1" applyFill="1" applyBorder="1" applyAlignment="1">
      <alignment horizontal="left" indent="2"/>
    </xf>
    <xf numFmtId="0" fontId="20" fillId="17" borderId="15" xfId="5" applyFont="1" applyFill="1" applyBorder="1" applyAlignment="1">
      <alignment horizontal="left" indent="2"/>
    </xf>
    <xf numFmtId="164" fontId="20" fillId="18" borderId="4" xfId="5" applyNumberFormat="1" applyFont="1" applyFill="1" applyBorder="1" applyAlignment="1">
      <alignment horizontal="center"/>
    </xf>
    <xf numFmtId="0" fontId="20" fillId="19" borderId="0" xfId="5" applyFont="1" applyFill="1" applyAlignment="1">
      <alignment horizontal="center"/>
    </xf>
    <xf numFmtId="164" fontId="20" fillId="16" borderId="0" xfId="5" applyNumberFormat="1" applyFont="1" applyFill="1" applyAlignment="1">
      <alignment horizontal="center"/>
    </xf>
    <xf numFmtId="1" fontId="20" fillId="16" borderId="0" xfId="5" applyNumberFormat="1" applyFont="1" applyFill="1" applyAlignment="1">
      <alignment horizontal="center"/>
    </xf>
    <xf numFmtId="3" fontId="20" fillId="16" borderId="0" xfId="5" applyNumberFormat="1" applyFont="1" applyFill="1" applyAlignment="1">
      <alignment horizontal="center"/>
    </xf>
    <xf numFmtId="164" fontId="20" fillId="18" borderId="0" xfId="5" applyNumberFormat="1" applyFont="1" applyFill="1" applyAlignment="1">
      <alignment horizontal="center"/>
    </xf>
    <xf numFmtId="1" fontId="20" fillId="18" borderId="0" xfId="5" applyNumberFormat="1" applyFont="1" applyFill="1" applyAlignment="1">
      <alignment horizontal="center"/>
    </xf>
    <xf numFmtId="3" fontId="20" fillId="18" borderId="0" xfId="5" applyNumberFormat="1" applyFont="1" applyFill="1" applyAlignment="1">
      <alignment horizontal="center"/>
    </xf>
    <xf numFmtId="164" fontId="20" fillId="15" borderId="19" xfId="5" applyNumberFormat="1" applyFont="1" applyFill="1" applyBorder="1" applyAlignment="1">
      <alignment horizontal="center"/>
    </xf>
    <xf numFmtId="0" fontId="20" fillId="15" borderId="0" xfId="5" applyFont="1" applyFill="1"/>
    <xf numFmtId="164" fontId="24" fillId="15" borderId="19" xfId="5" applyNumberFormat="1" applyFont="1" applyFill="1" applyBorder="1" applyAlignment="1">
      <alignment horizontal="center"/>
    </xf>
    <xf numFmtId="164" fontId="24" fillId="15" borderId="0" xfId="5" applyNumberFormat="1" applyFont="1" applyFill="1" applyAlignment="1">
      <alignment horizontal="center"/>
    </xf>
    <xf numFmtId="1" fontId="24" fillId="15" borderId="0" xfId="5" applyNumberFormat="1" applyFont="1" applyFill="1" applyAlignment="1">
      <alignment horizontal="center"/>
    </xf>
    <xf numFmtId="0" fontId="24" fillId="15" borderId="0" xfId="5" applyFont="1" applyFill="1"/>
    <xf numFmtId="0" fontId="29" fillId="15" borderId="0" xfId="5" applyFont="1" applyFill="1" applyAlignment="1">
      <alignment horizontal="left" indent="2"/>
    </xf>
    <xf numFmtId="0" fontId="20" fillId="15" borderId="0" xfId="5" applyFont="1" applyFill="1" applyAlignment="1">
      <alignment horizontal="left" indent="2"/>
    </xf>
    <xf numFmtId="0" fontId="25" fillId="17" borderId="15" xfId="5" applyFont="1" applyFill="1" applyBorder="1" applyAlignment="1">
      <alignment horizontal="left" indent="2"/>
    </xf>
    <xf numFmtId="164" fontId="20" fillId="15" borderId="4" xfId="5" applyNumberFormat="1" applyFont="1" applyFill="1" applyBorder="1" applyAlignment="1">
      <alignment horizontal="center"/>
    </xf>
    <xf numFmtId="164" fontId="24" fillId="15" borderId="4" xfId="5" applyNumberFormat="1" applyFont="1" applyFill="1" applyBorder="1" applyAlignment="1">
      <alignment horizontal="center"/>
    </xf>
    <xf numFmtId="0" fontId="24" fillId="15" borderId="0" xfId="5" applyFont="1" applyFill="1" applyAlignment="1">
      <alignment horizontal="left" indent="2"/>
    </xf>
    <xf numFmtId="164" fontId="20" fillId="20" borderId="4" xfId="5" applyNumberFormat="1" applyFont="1" applyFill="1" applyBorder="1" applyAlignment="1">
      <alignment horizontal="center"/>
    </xf>
    <xf numFmtId="164" fontId="20" fillId="20" borderId="0" xfId="5" applyNumberFormat="1" applyFont="1" applyFill="1" applyAlignment="1">
      <alignment horizontal="center"/>
    </xf>
    <xf numFmtId="1" fontId="20" fillId="20" borderId="0" xfId="5" applyNumberFormat="1" applyFont="1" applyFill="1" applyAlignment="1">
      <alignment horizontal="center"/>
    </xf>
    <xf numFmtId="3" fontId="20" fillId="20" borderId="0" xfId="5" applyNumberFormat="1" applyFont="1" applyFill="1" applyAlignment="1">
      <alignment horizontal="center"/>
    </xf>
    <xf numFmtId="0" fontId="20" fillId="20" borderId="0" xfId="5" applyFont="1" applyFill="1" applyAlignment="1">
      <alignment horizontal="center"/>
    </xf>
    <xf numFmtId="164" fontId="14" fillId="0" borderId="0" xfId="5" applyNumberFormat="1"/>
    <xf numFmtId="0" fontId="29" fillId="3" borderId="9" xfId="5" applyFont="1" applyFill="1" applyBorder="1"/>
    <xf numFmtId="8" fontId="20" fillId="17" borderId="0" xfId="5" applyNumberFormat="1" applyFont="1" applyFill="1" applyAlignment="1">
      <alignment horizontal="center"/>
    </xf>
    <xf numFmtId="0" fontId="31" fillId="17" borderId="0" xfId="5" applyFont="1" applyFill="1" applyAlignment="1">
      <alignment horizontal="center"/>
    </xf>
    <xf numFmtId="0" fontId="20" fillId="17" borderId="0" xfId="5" applyFont="1" applyFill="1"/>
    <xf numFmtId="0" fontId="24" fillId="17" borderId="5" xfId="5" applyFont="1" applyFill="1" applyBorder="1"/>
    <xf numFmtId="8" fontId="20" fillId="13" borderId="0" xfId="5" applyNumberFormat="1" applyFont="1" applyFill="1" applyAlignment="1">
      <alignment horizontal="center"/>
    </xf>
    <xf numFmtId="0" fontId="31" fillId="13" borderId="0" xfId="5" applyFont="1" applyFill="1" applyAlignment="1">
      <alignment horizontal="center"/>
    </xf>
    <xf numFmtId="0" fontId="31" fillId="3" borderId="0" xfId="5" applyFont="1" applyFill="1" applyAlignment="1">
      <alignment horizontal="center"/>
    </xf>
    <xf numFmtId="3" fontId="31" fillId="2" borderId="0" xfId="5" applyNumberFormat="1" applyFont="1" applyFill="1" applyAlignment="1">
      <alignment horizontal="center"/>
    </xf>
    <xf numFmtId="3" fontId="31" fillId="3" borderId="0" xfId="5" applyNumberFormat="1" applyFont="1" applyFill="1" applyAlignment="1">
      <alignment horizontal="center"/>
    </xf>
    <xf numFmtId="0" fontId="20" fillId="3" borderId="4" xfId="5" applyFont="1" applyFill="1" applyBorder="1"/>
    <xf numFmtId="164" fontId="20" fillId="3" borderId="4" xfId="5" applyNumberFormat="1" applyFont="1" applyFill="1" applyBorder="1"/>
    <xf numFmtId="164" fontId="24" fillId="3" borderId="7" xfId="5" applyNumberFormat="1" applyFont="1" applyFill="1" applyBorder="1" applyAlignment="1">
      <alignment horizontal="center"/>
    </xf>
    <xf numFmtId="1" fontId="24" fillId="3" borderId="7" xfId="5" applyNumberFormat="1" applyFont="1" applyFill="1" applyBorder="1" applyAlignment="1">
      <alignment horizontal="center"/>
    </xf>
    <xf numFmtId="0" fontId="24" fillId="3" borderId="7" xfId="5" applyFont="1" applyFill="1" applyBorder="1"/>
    <xf numFmtId="164" fontId="20" fillId="0" borderId="0" xfId="5" applyNumberFormat="1" applyFont="1" applyAlignment="1">
      <alignment horizontal="center"/>
    </xf>
    <xf numFmtId="164" fontId="24" fillId="17" borderId="11" xfId="5" applyNumberFormat="1" applyFont="1" applyFill="1" applyBorder="1" applyAlignment="1">
      <alignment horizontal="center"/>
    </xf>
    <xf numFmtId="164" fontId="24" fillId="17" borderId="8" xfId="5" applyNumberFormat="1" applyFont="1" applyFill="1" applyBorder="1" applyAlignment="1">
      <alignment horizontal="center"/>
    </xf>
    <xf numFmtId="1" fontId="24" fillId="17" borderId="8" xfId="5" applyNumberFormat="1" applyFont="1" applyFill="1" applyBorder="1" applyAlignment="1">
      <alignment horizontal="center"/>
    </xf>
    <xf numFmtId="0" fontId="24" fillId="17" borderId="8" xfId="5" applyFont="1" applyFill="1" applyBorder="1"/>
    <xf numFmtId="0" fontId="29" fillId="17" borderId="9" xfId="5" applyFont="1" applyFill="1" applyBorder="1" applyAlignment="1">
      <alignment vertical="center"/>
    </xf>
    <xf numFmtId="0" fontId="20" fillId="17" borderId="0" xfId="5" applyFont="1" applyFill="1" applyAlignment="1">
      <alignment vertical="center"/>
    </xf>
    <xf numFmtId="0" fontId="20" fillId="17" borderId="0" xfId="5" applyFont="1" applyFill="1" applyAlignment="1">
      <alignment horizontal="center" vertical="center"/>
    </xf>
    <xf numFmtId="0" fontId="31" fillId="2" borderId="0" xfId="5" applyFont="1" applyFill="1" applyAlignment="1">
      <alignment horizontal="center"/>
    </xf>
    <xf numFmtId="0" fontId="20" fillId="2" borderId="0" xfId="5" applyFont="1" applyFill="1" applyAlignment="1">
      <alignment horizontal="center" vertical="center"/>
    </xf>
    <xf numFmtId="0" fontId="30" fillId="17" borderId="4" xfId="5" applyFont="1" applyFill="1" applyBorder="1" applyAlignment="1">
      <alignment horizontal="left"/>
    </xf>
    <xf numFmtId="164" fontId="30" fillId="17" borderId="4" xfId="5" applyNumberFormat="1" applyFont="1" applyFill="1" applyBorder="1" applyAlignment="1">
      <alignment horizontal="left"/>
    </xf>
    <xf numFmtId="0" fontId="30" fillId="17" borderId="0" xfId="5" applyFont="1" applyFill="1" applyAlignment="1">
      <alignment horizontal="left"/>
    </xf>
    <xf numFmtId="0" fontId="38" fillId="17" borderId="0" xfId="5" applyFont="1" applyFill="1" applyAlignment="1">
      <alignment horizontal="left" vertical="center"/>
    </xf>
    <xf numFmtId="0" fontId="30" fillId="17" borderId="5" xfId="5" applyFont="1" applyFill="1" applyBorder="1" applyAlignment="1">
      <alignment horizontal="left"/>
    </xf>
    <xf numFmtId="0" fontId="20" fillId="13" borderId="0" xfId="5" applyFont="1" applyFill="1"/>
    <xf numFmtId="0" fontId="30" fillId="3" borderId="4" xfId="5" applyFont="1" applyFill="1" applyBorder="1" applyAlignment="1">
      <alignment horizontal="left"/>
    </xf>
    <xf numFmtId="164" fontId="30" fillId="3" borderId="4" xfId="5" applyNumberFormat="1" applyFont="1" applyFill="1" applyBorder="1" applyAlignment="1">
      <alignment horizontal="left"/>
    </xf>
    <xf numFmtId="0" fontId="30" fillId="3" borderId="0" xfId="5" applyFont="1" applyFill="1" applyAlignment="1">
      <alignment horizontal="left"/>
    </xf>
    <xf numFmtId="0" fontId="38" fillId="3" borderId="0" xfId="5" applyFont="1" applyFill="1" applyAlignment="1">
      <alignment horizontal="left"/>
    </xf>
    <xf numFmtId="0" fontId="30" fillId="3" borderId="5" xfId="5" applyFont="1" applyFill="1" applyBorder="1" applyAlignment="1">
      <alignment horizontal="left"/>
    </xf>
    <xf numFmtId="0" fontId="30" fillId="17" borderId="5" xfId="5" applyFont="1" applyFill="1" applyBorder="1"/>
    <xf numFmtId="3" fontId="31" fillId="13" borderId="0" xfId="5" applyNumberFormat="1" applyFont="1" applyFill="1" applyAlignment="1">
      <alignment horizontal="center"/>
    </xf>
    <xf numFmtId="3" fontId="31" fillId="17" borderId="0" xfId="5" applyNumberFormat="1" applyFont="1" applyFill="1" applyAlignment="1">
      <alignment horizontal="center"/>
    </xf>
    <xf numFmtId="0" fontId="1" fillId="0" borderId="0" xfId="5" applyFont="1"/>
    <xf numFmtId="0" fontId="14" fillId="3" borderId="4" xfId="5" applyFill="1" applyBorder="1"/>
    <xf numFmtId="49" fontId="20" fillId="13" borderId="0" xfId="5" applyNumberFormat="1" applyFont="1" applyFill="1"/>
    <xf numFmtId="49" fontId="20" fillId="3" borderId="0" xfId="5" applyNumberFormat="1" applyFont="1" applyFill="1" applyAlignment="1">
      <alignment horizontal="center"/>
    </xf>
    <xf numFmtId="49" fontId="20" fillId="2" borderId="0" xfId="5" applyNumberFormat="1" applyFont="1" applyFill="1" applyAlignment="1">
      <alignment horizontal="center"/>
    </xf>
    <xf numFmtId="164" fontId="31" fillId="17" borderId="0" xfId="5" applyNumberFormat="1" applyFont="1" applyFill="1" applyAlignment="1">
      <alignment horizontal="center"/>
    </xf>
    <xf numFmtId="49" fontId="20" fillId="17" borderId="0" xfId="5" applyNumberFormat="1" applyFont="1" applyFill="1"/>
    <xf numFmtId="164" fontId="31" fillId="13" borderId="0" xfId="5" applyNumberFormat="1" applyFont="1" applyFill="1" applyAlignment="1">
      <alignment horizontal="center"/>
    </xf>
    <xf numFmtId="49" fontId="20" fillId="13" borderId="0" xfId="5" applyNumberFormat="1" applyFont="1" applyFill="1" applyAlignment="1">
      <alignment horizontal="center"/>
    </xf>
    <xf numFmtId="164" fontId="24" fillId="3" borderId="11" xfId="1" applyNumberFormat="1" applyFont="1" applyFill="1" applyBorder="1" applyAlignment="1">
      <alignment horizontal="center"/>
    </xf>
    <xf numFmtId="164" fontId="31" fillId="3" borderId="0" xfId="5" applyNumberFormat="1" applyFont="1" applyFill="1" applyAlignment="1">
      <alignment horizontal="center"/>
    </xf>
    <xf numFmtId="170" fontId="31" fillId="3" borderId="4" xfId="11" applyFont="1" applyFill="1" applyBorder="1"/>
    <xf numFmtId="170" fontId="31" fillId="3" borderId="0" xfId="11" applyFont="1" applyFill="1" applyBorder="1"/>
    <xf numFmtId="164" fontId="29" fillId="3" borderId="0" xfId="5" applyNumberFormat="1" applyFont="1" applyFill="1" applyAlignment="1">
      <alignment horizontal="center"/>
    </xf>
    <xf numFmtId="164" fontId="31" fillId="3" borderId="0" xfId="5" applyNumberFormat="1" applyFont="1" applyFill="1"/>
    <xf numFmtId="0" fontId="31" fillId="3" borderId="0" xfId="5" applyFont="1" applyFill="1"/>
    <xf numFmtId="2" fontId="31" fillId="3" borderId="0" xfId="5" applyNumberFormat="1" applyFont="1" applyFill="1"/>
    <xf numFmtId="0" fontId="31" fillId="3" borderId="5" xfId="5" applyFont="1" applyFill="1" applyBorder="1"/>
    <xf numFmtId="164" fontId="31" fillId="3" borderId="11" xfId="11" applyNumberFormat="1" applyFont="1" applyFill="1" applyBorder="1"/>
    <xf numFmtId="170" fontId="31" fillId="3" borderId="8" xfId="11" applyFont="1" applyFill="1" applyBorder="1"/>
    <xf numFmtId="164" fontId="29" fillId="3" borderId="8" xfId="5" applyNumberFormat="1" applyFont="1" applyFill="1" applyBorder="1" applyAlignment="1">
      <alignment horizontal="center"/>
    </xf>
    <xf numFmtId="164" fontId="31" fillId="3" borderId="8" xfId="5" applyNumberFormat="1" applyFont="1" applyFill="1" applyBorder="1"/>
    <xf numFmtId="0" fontId="31" fillId="3" borderId="8" xfId="5" applyFont="1" applyFill="1" applyBorder="1"/>
    <xf numFmtId="2" fontId="31" fillId="3" borderId="8" xfId="5" applyNumberFormat="1" applyFont="1" applyFill="1" applyBorder="1"/>
    <xf numFmtId="0" fontId="31" fillId="3" borderId="8" xfId="5" applyFont="1" applyFill="1" applyBorder="1" applyAlignment="1">
      <alignment horizontal="center"/>
    </xf>
    <xf numFmtId="170" fontId="31" fillId="13" borderId="4" xfId="11" applyFont="1" applyFill="1" applyBorder="1"/>
    <xf numFmtId="170" fontId="31" fillId="13" borderId="0" xfId="11" applyFont="1" applyFill="1" applyBorder="1"/>
    <xf numFmtId="0" fontId="31" fillId="13" borderId="0" xfId="5" applyFont="1" applyFill="1"/>
    <xf numFmtId="0" fontId="31" fillId="17" borderId="5" xfId="5" applyFont="1" applyFill="1" applyBorder="1"/>
    <xf numFmtId="164" fontId="31" fillId="3" borderId="4" xfId="1" applyNumberFormat="1" applyFont="1" applyFill="1" applyBorder="1" applyAlignment="1">
      <alignment horizontal="center" vertical="center"/>
    </xf>
    <xf numFmtId="0" fontId="31" fillId="17" borderId="0" xfId="5" applyFont="1" applyFill="1"/>
    <xf numFmtId="171" fontId="31" fillId="17" borderId="0" xfId="5" applyNumberFormat="1" applyFont="1" applyFill="1"/>
    <xf numFmtId="164" fontId="31" fillId="13" borderId="4" xfId="1" applyNumberFormat="1" applyFont="1" applyFill="1" applyBorder="1" applyAlignment="1">
      <alignment horizontal="center" vertical="center"/>
    </xf>
    <xf numFmtId="0" fontId="31" fillId="3" borderId="4" xfId="5" applyFont="1" applyFill="1" applyBorder="1"/>
    <xf numFmtId="0" fontId="20" fillId="3" borderId="8" xfId="5" applyFont="1" applyFill="1" applyBorder="1"/>
    <xf numFmtId="49" fontId="29" fillId="3" borderId="9" xfId="5" applyNumberFormat="1" applyFont="1" applyFill="1" applyBorder="1"/>
    <xf numFmtId="49" fontId="20" fillId="17" borderId="0" xfId="5" applyNumberFormat="1" applyFont="1" applyFill="1" applyAlignment="1">
      <alignment horizontal="center"/>
    </xf>
    <xf numFmtId="3" fontId="20" fillId="13" borderId="0" xfId="5" applyNumberFormat="1" applyFont="1" applyFill="1"/>
    <xf numFmtId="0" fontId="14" fillId="13" borderId="0" xfId="5" applyFill="1"/>
    <xf numFmtId="164" fontId="20" fillId="9" borderId="0" xfId="5" applyNumberFormat="1" applyFont="1" applyFill="1" applyAlignment="1">
      <alignment horizontal="center"/>
    </xf>
    <xf numFmtId="164" fontId="20" fillId="12" borderId="0" xfId="5" applyNumberFormat="1" applyFont="1" applyFill="1" applyAlignment="1">
      <alignment horizontal="center"/>
    </xf>
    <xf numFmtId="164" fontId="24" fillId="5" borderId="11" xfId="5" applyNumberFormat="1" applyFont="1" applyFill="1" applyBorder="1" applyAlignment="1">
      <alignment horizontal="center"/>
    </xf>
    <xf numFmtId="164" fontId="24" fillId="11" borderId="8" xfId="5" applyNumberFormat="1" applyFont="1" applyFill="1" applyBorder="1" applyAlignment="1">
      <alignment horizontal="center"/>
    </xf>
    <xf numFmtId="1" fontId="24" fillId="11" borderId="8" xfId="5" applyNumberFormat="1" applyFont="1" applyFill="1" applyBorder="1" applyAlignment="1">
      <alignment horizontal="center"/>
    </xf>
    <xf numFmtId="164" fontId="24" fillId="5" borderId="8" xfId="5" applyNumberFormat="1" applyFont="1" applyFill="1" applyBorder="1" applyAlignment="1">
      <alignment horizontal="center" wrapText="1"/>
    </xf>
    <xf numFmtId="0" fontId="24" fillId="5" borderId="8" xfId="5" applyFont="1" applyFill="1" applyBorder="1" applyAlignment="1">
      <alignment horizontal="left"/>
    </xf>
    <xf numFmtId="0" fontId="20" fillId="5" borderId="8" xfId="5" applyFont="1" applyFill="1" applyBorder="1" applyAlignment="1">
      <alignment horizontal="left"/>
    </xf>
    <xf numFmtId="164" fontId="39" fillId="3" borderId="4" xfId="5" applyNumberFormat="1" applyFont="1" applyFill="1" applyBorder="1"/>
    <xf numFmtId="0" fontId="39" fillId="3" borderId="0" xfId="5" applyFont="1" applyFill="1"/>
    <xf numFmtId="164" fontId="40" fillId="3" borderId="0" xfId="5" applyNumberFormat="1" applyFont="1" applyFill="1"/>
    <xf numFmtId="0" fontId="40" fillId="3" borderId="0" xfId="5" applyFont="1" applyFill="1" applyAlignment="1">
      <alignment horizontal="left"/>
    </xf>
    <xf numFmtId="164" fontId="20" fillId="3" borderId="7" xfId="5" applyNumberFormat="1" applyFont="1" applyFill="1" applyBorder="1" applyAlignment="1">
      <alignment horizontal="center"/>
    </xf>
    <xf numFmtId="1" fontId="20" fillId="3" borderId="7" xfId="5" applyNumberFormat="1" applyFont="1" applyFill="1" applyBorder="1" applyAlignment="1">
      <alignment horizontal="center"/>
    </xf>
    <xf numFmtId="3" fontId="20" fillId="3" borderId="7" xfId="5" applyNumberFormat="1" applyFont="1" applyFill="1" applyBorder="1"/>
    <xf numFmtId="0" fontId="20" fillId="3" borderId="7" xfId="5" applyFont="1" applyFill="1" applyBorder="1"/>
    <xf numFmtId="3" fontId="20" fillId="3" borderId="8" xfId="5" applyNumberFormat="1" applyFont="1" applyFill="1" applyBorder="1"/>
    <xf numFmtId="164" fontId="31" fillId="3" borderId="4" xfId="5" applyNumberFormat="1" applyFont="1" applyFill="1" applyBorder="1" applyAlignment="1">
      <alignment vertical="center"/>
    </xf>
    <xf numFmtId="164" fontId="31" fillId="3" borderId="0" xfId="5" applyNumberFormat="1" applyFont="1" applyFill="1" applyAlignment="1">
      <alignment vertical="center"/>
    </xf>
    <xf numFmtId="164" fontId="31" fillId="3" borderId="0" xfId="5" applyNumberFormat="1" applyFont="1" applyFill="1" applyAlignment="1">
      <alignment horizontal="center" vertical="center"/>
    </xf>
    <xf numFmtId="1" fontId="31" fillId="3" borderId="0" xfId="5" applyNumberFormat="1" applyFont="1" applyFill="1" applyAlignment="1">
      <alignment horizontal="center" vertical="center"/>
    </xf>
    <xf numFmtId="164" fontId="31" fillId="3" borderId="0" xfId="5" applyNumberFormat="1" applyFont="1" applyFill="1" applyAlignment="1">
      <alignment horizontal="center" vertical="center" wrapText="1"/>
    </xf>
    <xf numFmtId="0" fontId="31" fillId="3" borderId="0" xfId="5" applyFont="1" applyFill="1" applyAlignment="1">
      <alignment horizontal="center" vertical="center"/>
    </xf>
    <xf numFmtId="164" fontId="31" fillId="2" borderId="4" xfId="5" applyNumberFormat="1" applyFont="1" applyFill="1" applyBorder="1" applyAlignment="1">
      <alignment vertical="center"/>
    </xf>
    <xf numFmtId="164" fontId="31" fillId="2" borderId="0" xfId="5" applyNumberFormat="1" applyFont="1" applyFill="1" applyAlignment="1">
      <alignment horizontal="center" vertical="center"/>
    </xf>
    <xf numFmtId="1" fontId="31" fillId="2" borderId="0" xfId="5" applyNumberFormat="1" applyFont="1" applyFill="1" applyAlignment="1">
      <alignment horizontal="center" vertical="center"/>
    </xf>
    <xf numFmtId="164" fontId="31" fillId="2" borderId="0" xfId="5" applyNumberFormat="1" applyFont="1" applyFill="1" applyAlignment="1">
      <alignment horizontal="center" vertical="center" wrapText="1"/>
    </xf>
    <xf numFmtId="0" fontId="31" fillId="2" borderId="0" xfId="5" applyFont="1" applyFill="1" applyAlignment="1">
      <alignment horizontal="center" vertical="center"/>
    </xf>
    <xf numFmtId="164" fontId="20" fillId="3" borderId="0" xfId="5" applyNumberFormat="1" applyFont="1" applyFill="1"/>
    <xf numFmtId="1" fontId="20" fillId="3" borderId="0" xfId="5" applyNumberFormat="1" applyFont="1" applyFill="1"/>
    <xf numFmtId="49" fontId="20" fillId="15" borderId="0" xfId="5" applyNumberFormat="1" applyFont="1" applyFill="1" applyAlignment="1">
      <alignment horizontal="left" indent="2"/>
    </xf>
    <xf numFmtId="49" fontId="24" fillId="15" borderId="18" xfId="5" applyNumberFormat="1" applyFont="1" applyFill="1" applyBorder="1" applyAlignment="1">
      <alignment horizontal="left" indent="2"/>
    </xf>
    <xf numFmtId="44" fontId="0" fillId="0" borderId="0" xfId="0" applyNumberFormat="1"/>
    <xf numFmtId="44" fontId="1" fillId="0" borderId="0" xfId="1" applyFont="1" applyBorder="1" applyAlignment="1">
      <alignment vertical="center" wrapText="1"/>
    </xf>
    <xf numFmtId="0" fontId="24" fillId="15" borderId="15" xfId="5" applyFont="1" applyFill="1" applyBorder="1"/>
    <xf numFmtId="49" fontId="20" fillId="16" borderId="0" xfId="5" applyNumberFormat="1" applyFont="1" applyFill="1" applyAlignment="1">
      <alignment horizontal="center"/>
    </xf>
    <xf numFmtId="0" fontId="20" fillId="15" borderId="15" xfId="5" applyFont="1" applyFill="1" applyBorder="1"/>
    <xf numFmtId="49" fontId="20" fillId="20" borderId="0" xfId="5" applyNumberFormat="1" applyFont="1" applyFill="1" applyAlignment="1">
      <alignment horizontal="center"/>
    </xf>
    <xf numFmtId="49" fontId="20" fillId="15" borderId="0" xfId="5" applyNumberFormat="1" applyFont="1" applyFill="1"/>
    <xf numFmtId="3" fontId="20" fillId="15" borderId="0" xfId="5" applyNumberFormat="1" applyFont="1" applyFill="1"/>
    <xf numFmtId="164" fontId="20" fillId="15" borderId="17" xfId="5" applyNumberFormat="1" applyFont="1" applyFill="1" applyBorder="1" applyAlignment="1">
      <alignment horizontal="center"/>
    </xf>
    <xf numFmtId="1" fontId="20" fillId="15" borderId="17" xfId="5" applyNumberFormat="1" applyFont="1" applyFill="1" applyBorder="1" applyAlignment="1">
      <alignment horizontal="center"/>
    </xf>
    <xf numFmtId="3" fontId="20" fillId="15" borderId="17" xfId="5" applyNumberFormat="1" applyFont="1" applyFill="1" applyBorder="1"/>
    <xf numFmtId="164" fontId="20" fillId="14" borderId="4" xfId="5" applyNumberFormat="1" applyFont="1" applyFill="1" applyBorder="1" applyAlignment="1">
      <alignment horizontal="center"/>
    </xf>
    <xf numFmtId="3" fontId="20" fillId="14" borderId="0" xfId="5" applyNumberFormat="1" applyFont="1" applyFill="1" applyAlignment="1">
      <alignment horizontal="center"/>
    </xf>
    <xf numFmtId="49" fontId="20" fillId="14" borderId="0" xfId="5" applyNumberFormat="1" applyFont="1" applyFill="1" applyAlignment="1">
      <alignment horizontal="center"/>
    </xf>
    <xf numFmtId="164" fontId="20" fillId="19" borderId="0" xfId="5" applyNumberFormat="1" applyFont="1" applyFill="1" applyAlignment="1">
      <alignment horizontal="center"/>
    </xf>
    <xf numFmtId="49" fontId="20" fillId="18" borderId="0" xfId="5" applyNumberFormat="1" applyFont="1" applyFill="1" applyAlignment="1">
      <alignment horizontal="center"/>
    </xf>
    <xf numFmtId="49" fontId="35" fillId="3" borderId="0" xfId="5" applyNumberFormat="1" applyFont="1" applyFill="1"/>
    <xf numFmtId="0" fontId="24" fillId="15" borderId="15" xfId="5" applyFont="1" applyFill="1" applyBorder="1" applyAlignment="1">
      <alignment horizontal="left" indent="2"/>
    </xf>
    <xf numFmtId="164" fontId="20" fillId="15" borderId="0" xfId="5" applyNumberFormat="1" applyFont="1" applyFill="1"/>
    <xf numFmtId="1" fontId="20" fillId="15" borderId="0" xfId="5" applyNumberFormat="1" applyFont="1" applyFill="1"/>
    <xf numFmtId="164" fontId="20" fillId="15" borderId="11" xfId="5" applyNumberFormat="1" applyFont="1" applyFill="1" applyBorder="1" applyAlignment="1">
      <alignment horizontal="center"/>
    </xf>
    <xf numFmtId="164" fontId="20" fillId="15" borderId="8" xfId="5" applyNumberFormat="1" applyFont="1" applyFill="1" applyBorder="1" applyAlignment="1">
      <alignment horizontal="center"/>
    </xf>
    <xf numFmtId="1" fontId="20" fillId="15" borderId="8" xfId="5" applyNumberFormat="1" applyFont="1" applyFill="1" applyBorder="1" applyAlignment="1">
      <alignment horizontal="center"/>
    </xf>
    <xf numFmtId="3" fontId="20" fillId="15" borderId="8" xfId="5" applyNumberFormat="1" applyFont="1" applyFill="1" applyBorder="1"/>
    <xf numFmtId="49" fontId="24" fillId="15" borderId="9" xfId="5" applyNumberFormat="1" applyFont="1" applyFill="1" applyBorder="1" applyAlignment="1">
      <alignment horizontal="left" indent="2"/>
    </xf>
    <xf numFmtId="0" fontId="1" fillId="3" borderId="0" xfId="5" applyFont="1" applyFill="1" applyAlignment="1">
      <alignment horizontal="center" wrapText="1"/>
    </xf>
    <xf numFmtId="3" fontId="20" fillId="14" borderId="0" xfId="5" applyNumberFormat="1" applyFont="1" applyFill="1" applyAlignment="1">
      <alignment horizontal="center" vertical="center" wrapText="1"/>
    </xf>
    <xf numFmtId="49" fontId="20" fillId="14" borderId="0" xfId="5" applyNumberFormat="1" applyFont="1" applyFill="1" applyAlignment="1">
      <alignment horizontal="center" vertical="center"/>
    </xf>
    <xf numFmtId="0" fontId="1" fillId="2" borderId="0" xfId="5" applyFont="1" applyFill="1" applyAlignment="1">
      <alignment horizontal="center" wrapText="1"/>
    </xf>
    <xf numFmtId="3" fontId="20" fillId="18" borderId="0" xfId="5" applyNumberFormat="1" applyFont="1" applyFill="1" applyAlignment="1">
      <alignment horizontal="center" vertical="center" wrapText="1"/>
    </xf>
    <xf numFmtId="49" fontId="20" fillId="18" borderId="0" xfId="5" applyNumberFormat="1" applyFont="1" applyFill="1" applyAlignment="1">
      <alignment horizontal="center" vertical="center"/>
    </xf>
    <xf numFmtId="164" fontId="31" fillId="16" borderId="4" xfId="5" applyNumberFormat="1" applyFont="1" applyFill="1" applyBorder="1" applyAlignment="1">
      <alignment horizontal="center"/>
    </xf>
    <xf numFmtId="164" fontId="31" fillId="16" borderId="0" xfId="5" applyNumberFormat="1" applyFont="1" applyFill="1" applyAlignment="1">
      <alignment horizontal="center"/>
    </xf>
    <xf numFmtId="164" fontId="20" fillId="16" borderId="0" xfId="11" applyNumberFormat="1" applyFont="1" applyFill="1" applyBorder="1" applyAlignment="1">
      <alignment horizontal="center"/>
    </xf>
    <xf numFmtId="164" fontId="20" fillId="14" borderId="0" xfId="11" applyNumberFormat="1" applyFont="1" applyFill="1" applyBorder="1" applyAlignment="1">
      <alignment horizontal="center"/>
    </xf>
    <xf numFmtId="0" fontId="41" fillId="3" borderId="0" xfId="5" applyFont="1" applyFill="1" applyAlignment="1">
      <alignment horizontal="center"/>
    </xf>
    <xf numFmtId="164" fontId="41" fillId="3" borderId="0" xfId="11" applyNumberFormat="1" applyFont="1" applyFill="1" applyBorder="1" applyAlignment="1">
      <alignment horizontal="center"/>
    </xf>
    <xf numFmtId="164" fontId="20" fillId="19" borderId="0" xfId="11" applyNumberFormat="1" applyFont="1" applyFill="1" applyBorder="1" applyAlignment="1">
      <alignment horizontal="center"/>
    </xf>
    <xf numFmtId="164" fontId="20" fillId="18" borderId="0" xfId="11" applyNumberFormat="1" applyFont="1" applyFill="1" applyBorder="1" applyAlignment="1">
      <alignment horizontal="center"/>
    </xf>
    <xf numFmtId="0" fontId="41" fillId="2" borderId="0" xfId="5" applyFont="1" applyFill="1" applyAlignment="1">
      <alignment horizontal="center"/>
    </xf>
    <xf numFmtId="164" fontId="41" fillId="2" borderId="0" xfId="11" applyNumberFormat="1" applyFont="1" applyFill="1" applyBorder="1" applyAlignment="1">
      <alignment horizontal="center"/>
    </xf>
    <xf numFmtId="49" fontId="20" fillId="3" borderId="7" xfId="5" applyNumberFormat="1" applyFont="1" applyFill="1" applyBorder="1"/>
    <xf numFmtId="49" fontId="24" fillId="3" borderId="9" xfId="5" applyNumberFormat="1" applyFont="1" applyFill="1" applyBorder="1"/>
    <xf numFmtId="49" fontId="31" fillId="3" borderId="0" xfId="5" applyNumberFormat="1" applyFont="1" applyFill="1" applyAlignment="1">
      <alignment horizontal="center"/>
    </xf>
    <xf numFmtId="164" fontId="31" fillId="3" borderId="4" xfId="5" applyNumberFormat="1" applyFont="1" applyFill="1" applyBorder="1" applyAlignment="1">
      <alignment horizontal="center" vertical="center"/>
    </xf>
    <xf numFmtId="164" fontId="20" fillId="2" borderId="4" xfId="5" applyNumberFormat="1" applyFont="1" applyFill="1" applyBorder="1" applyAlignment="1">
      <alignment horizontal="center" vertical="center"/>
    </xf>
    <xf numFmtId="164" fontId="31" fillId="2" borderId="0" xfId="5" applyNumberFormat="1" applyFont="1" applyFill="1" applyAlignment="1">
      <alignment horizontal="center"/>
    </xf>
    <xf numFmtId="49" fontId="31" fillId="2" borderId="0" xfId="5" applyNumberFormat="1" applyFont="1" applyFill="1" applyAlignment="1">
      <alignment horizontal="center"/>
    </xf>
    <xf numFmtId="164" fontId="20" fillId="3" borderId="4" xfId="5" applyNumberFormat="1" applyFont="1" applyFill="1" applyBorder="1" applyAlignment="1">
      <alignment horizontal="center" vertical="center"/>
    </xf>
    <xf numFmtId="164" fontId="31" fillId="2" borderId="4" xfId="5" applyNumberFormat="1" applyFont="1" applyFill="1" applyBorder="1" applyAlignment="1">
      <alignment horizontal="center" vertical="center"/>
    </xf>
    <xf numFmtId="1" fontId="31" fillId="2" borderId="0" xfId="5" applyNumberFormat="1" applyFont="1" applyFill="1" applyAlignment="1">
      <alignment horizontal="center"/>
    </xf>
    <xf numFmtId="164" fontId="31" fillId="3" borderId="4" xfId="5" applyNumberFormat="1" applyFont="1" applyFill="1" applyBorder="1"/>
    <xf numFmtId="1" fontId="31" fillId="3" borderId="0" xfId="5" applyNumberFormat="1" applyFont="1" applyFill="1" applyAlignment="1">
      <alignment horizontal="center"/>
    </xf>
    <xf numFmtId="164" fontId="31" fillId="2" borderId="4" xfId="5" applyNumberFormat="1" applyFont="1" applyFill="1" applyBorder="1" applyAlignment="1">
      <alignment horizontal="center"/>
    </xf>
    <xf numFmtId="49" fontId="31" fillId="13" borderId="0" xfId="5" applyNumberFormat="1" applyFont="1" applyFill="1" applyAlignment="1">
      <alignment horizontal="center"/>
    </xf>
    <xf numFmtId="49" fontId="31" fillId="17" borderId="0" xfId="5" applyNumberFormat="1" applyFont="1" applyFill="1" applyAlignment="1">
      <alignment horizontal="center"/>
    </xf>
    <xf numFmtId="0" fontId="24" fillId="5" borderId="3" xfId="5" applyFont="1" applyFill="1" applyBorder="1" applyAlignment="1">
      <alignment horizontal="left"/>
    </xf>
    <xf numFmtId="164" fontId="24" fillId="9" borderId="7" xfId="5" applyNumberFormat="1" applyFont="1" applyFill="1" applyBorder="1" applyAlignment="1">
      <alignment horizontal="center"/>
    </xf>
    <xf numFmtId="1" fontId="24" fillId="9" borderId="7" xfId="5" applyNumberFormat="1" applyFont="1" applyFill="1" applyBorder="1" applyAlignment="1">
      <alignment horizontal="center"/>
    </xf>
    <xf numFmtId="164" fontId="24" fillId="3" borderId="7" xfId="5" applyNumberFormat="1" applyFont="1" applyFill="1" applyBorder="1" applyAlignment="1">
      <alignment horizontal="center" wrapText="1"/>
    </xf>
    <xf numFmtId="0" fontId="24" fillId="9" borderId="0" xfId="5" applyFont="1" applyFill="1" applyAlignment="1">
      <alignment horizontal="center"/>
    </xf>
    <xf numFmtId="0" fontId="20" fillId="10" borderId="0" xfId="5" applyFont="1" applyFill="1" applyAlignment="1">
      <alignment horizontal="center"/>
    </xf>
    <xf numFmtId="0" fontId="24" fillId="10" borderId="5" xfId="5" applyFont="1" applyFill="1" applyBorder="1" applyAlignment="1">
      <alignment horizontal="center"/>
    </xf>
    <xf numFmtId="164" fontId="26" fillId="4" borderId="11" xfId="5" applyNumberFormat="1" applyFont="1" applyFill="1" applyBorder="1" applyAlignment="1">
      <alignment horizontal="center"/>
    </xf>
    <xf numFmtId="164" fontId="26" fillId="6" borderId="8" xfId="5" applyNumberFormat="1" applyFont="1" applyFill="1" applyBorder="1" applyAlignment="1">
      <alignment horizontal="center"/>
    </xf>
    <xf numFmtId="1" fontId="26" fillId="6" borderId="8" xfId="5" applyNumberFormat="1" applyFont="1" applyFill="1" applyBorder="1" applyAlignment="1">
      <alignment horizontal="center"/>
    </xf>
    <xf numFmtId="49" fontId="26" fillId="6" borderId="8" xfId="5" applyNumberFormat="1" applyFont="1" applyFill="1" applyBorder="1" applyAlignment="1">
      <alignment horizontal="center"/>
    </xf>
    <xf numFmtId="49" fontId="26" fillId="4" borderId="9" xfId="5" applyNumberFormat="1" applyFont="1" applyFill="1" applyBorder="1" applyAlignment="1">
      <alignment horizontal="center" wrapText="1"/>
    </xf>
    <xf numFmtId="49" fontId="26" fillId="6" borderId="1" xfId="5" applyNumberFormat="1" applyFont="1" applyFill="1" applyBorder="1" applyAlignment="1">
      <alignment horizontal="center"/>
    </xf>
    <xf numFmtId="49" fontId="26" fillId="6" borderId="2" xfId="5" applyNumberFormat="1" applyFont="1" applyFill="1" applyBorder="1" applyAlignment="1">
      <alignment horizontal="center"/>
    </xf>
    <xf numFmtId="49" fontId="26" fillId="6" borderId="3" xfId="5" applyNumberFormat="1" applyFont="1" applyFill="1" applyBorder="1"/>
    <xf numFmtId="0" fontId="42" fillId="0" borderId="13" xfId="5" applyFont="1" applyBorder="1" applyAlignment="1">
      <alignment horizontal="left"/>
    </xf>
    <xf numFmtId="164" fontId="24" fillId="2" borderId="1" xfId="5" applyNumberFormat="1" applyFont="1" applyFill="1" applyBorder="1" applyAlignment="1">
      <alignment horizontal="center"/>
    </xf>
    <xf numFmtId="0" fontId="24" fillId="2" borderId="2" xfId="5" applyFont="1" applyFill="1" applyBorder="1"/>
    <xf numFmtId="0" fontId="24" fillId="2" borderId="0" xfId="5" applyFont="1" applyFill="1"/>
    <xf numFmtId="0" fontId="24" fillId="5" borderId="2" xfId="5" applyFont="1" applyFill="1" applyBorder="1" applyAlignment="1">
      <alignment horizontal="left"/>
    </xf>
    <xf numFmtId="0" fontId="24" fillId="5" borderId="3" xfId="5" applyFont="1" applyFill="1" applyBorder="1" applyAlignment="1">
      <alignment horizontal="left"/>
    </xf>
    <xf numFmtId="164" fontId="24" fillId="3" borderId="1" xfId="5" applyNumberFormat="1" applyFont="1" applyFill="1" applyBorder="1" applyAlignment="1">
      <alignment horizontal="center"/>
    </xf>
    <xf numFmtId="164" fontId="24" fillId="3" borderId="2" xfId="5" applyNumberFormat="1" applyFont="1" applyFill="1" applyBorder="1" applyAlignment="1">
      <alignment horizontal="center"/>
    </xf>
    <xf numFmtId="1" fontId="24" fillId="3" borderId="2" xfId="5" applyNumberFormat="1" applyFont="1" applyFill="1" applyBorder="1" applyAlignment="1">
      <alignment horizontal="center"/>
    </xf>
    <xf numFmtId="0" fontId="24" fillId="3" borderId="2" xfId="5" applyFont="1" applyFill="1" applyBorder="1"/>
    <xf numFmtId="49" fontId="20" fillId="2" borderId="0" xfId="5" applyNumberFormat="1" applyFont="1" applyFill="1"/>
    <xf numFmtId="49" fontId="24" fillId="3" borderId="0" xfId="5" applyNumberFormat="1" applyFont="1" applyFill="1"/>
    <xf numFmtId="49" fontId="20" fillId="3" borderId="0" xfId="5" applyNumberFormat="1" applyFont="1" applyFill="1" applyAlignment="1">
      <alignment horizontal="left"/>
    </xf>
    <xf numFmtId="49" fontId="20" fillId="2" borderId="0" xfId="5" applyNumberFormat="1" applyFont="1" applyFill="1" applyAlignment="1">
      <alignment horizontal="left"/>
    </xf>
    <xf numFmtId="49" fontId="20" fillId="13" borderId="0" xfId="5" applyNumberFormat="1" applyFont="1" applyFill="1" applyAlignment="1">
      <alignment horizontal="left"/>
    </xf>
    <xf numFmtId="49" fontId="20" fillId="17" borderId="0" xfId="5" applyNumberFormat="1" applyFont="1" applyFill="1" applyAlignment="1">
      <alignment horizontal="left"/>
    </xf>
    <xf numFmtId="164" fontId="24" fillId="11" borderId="2" xfId="5" applyNumberFormat="1" applyFont="1" applyFill="1" applyBorder="1" applyAlignment="1">
      <alignment horizontal="center"/>
    </xf>
    <xf numFmtId="1" fontId="24" fillId="11" borderId="2" xfId="5" applyNumberFormat="1" applyFont="1" applyFill="1" applyBorder="1" applyAlignment="1">
      <alignment horizontal="center"/>
    </xf>
    <xf numFmtId="0" fontId="24" fillId="5" borderId="2" xfId="5" applyFont="1" applyFill="1" applyBorder="1" applyAlignment="1">
      <alignment horizontal="left"/>
    </xf>
    <xf numFmtId="0" fontId="24" fillId="10" borderId="0" xfId="5" applyFont="1" applyFill="1" applyAlignment="1">
      <alignment horizontal="center"/>
    </xf>
    <xf numFmtId="49" fontId="26" fillId="4" borderId="9" xfId="5" applyNumberFormat="1" applyFont="1" applyFill="1" applyBorder="1" applyAlignment="1">
      <alignment horizontal="center"/>
    </xf>
    <xf numFmtId="0" fontId="27" fillId="3" borderId="0" xfId="5" applyFont="1" applyFill="1" applyAlignment="1">
      <alignment horizontal="left" vertical="center"/>
    </xf>
    <xf numFmtId="164" fontId="24" fillId="8" borderId="1" xfId="5" applyNumberFormat="1" applyFont="1" applyFill="1" applyBorder="1" applyAlignment="1">
      <alignment horizontal="center"/>
    </xf>
    <xf numFmtId="164" fontId="24" fillId="8" borderId="2" xfId="5" applyNumberFormat="1" applyFont="1" applyFill="1" applyBorder="1" applyAlignment="1">
      <alignment horizontal="center"/>
    </xf>
    <xf numFmtId="0" fontId="24" fillId="8" borderId="2" xfId="5" applyFont="1" applyFill="1" applyBorder="1"/>
    <xf numFmtId="0" fontId="24" fillId="10" borderId="3" xfId="5" applyFont="1" applyFill="1" applyBorder="1"/>
    <xf numFmtId="164" fontId="24" fillId="10" borderId="4" xfId="5" applyNumberFormat="1" applyFont="1" applyFill="1" applyBorder="1" applyAlignment="1">
      <alignment horizontal="center"/>
    </xf>
    <xf numFmtId="164" fontId="24" fillId="10" borderId="0" xfId="5" applyNumberFormat="1" applyFont="1" applyFill="1" applyAlignment="1">
      <alignment horizontal="center"/>
    </xf>
    <xf numFmtId="0" fontId="24" fillId="10" borderId="0" xfId="5" applyFont="1" applyFill="1"/>
    <xf numFmtId="0" fontId="24" fillId="10" borderId="5" xfId="5" applyFont="1" applyFill="1" applyBorder="1"/>
    <xf numFmtId="164" fontId="24" fillId="8" borderId="4" xfId="5" applyNumberFormat="1" applyFont="1" applyFill="1" applyBorder="1" applyAlignment="1">
      <alignment horizontal="center"/>
    </xf>
    <xf numFmtId="164" fontId="24" fillId="8" borderId="0" xfId="5" applyNumberFormat="1" applyFont="1" applyFill="1" applyAlignment="1">
      <alignment horizontal="center"/>
    </xf>
    <xf numFmtId="0" fontId="24" fillId="8" borderId="0" xfId="5" applyFont="1" applyFill="1"/>
    <xf numFmtId="164" fontId="24" fillId="11" borderId="1" xfId="5" applyNumberFormat="1" applyFont="1" applyFill="1" applyBorder="1" applyAlignment="1">
      <alignment horizontal="center"/>
    </xf>
    <xf numFmtId="0" fontId="24" fillId="11" borderId="2" xfId="5" applyFont="1" applyFill="1" applyBorder="1" applyAlignment="1">
      <alignment horizontal="left"/>
    </xf>
    <xf numFmtId="0" fontId="24" fillId="11" borderId="3" xfId="5" applyFont="1" applyFill="1" applyBorder="1" applyAlignment="1">
      <alignment horizontal="left"/>
    </xf>
    <xf numFmtId="1" fontId="24" fillId="10" borderId="0" xfId="5" applyNumberFormat="1" applyFont="1" applyFill="1" applyAlignment="1">
      <alignment horizontal="center"/>
    </xf>
    <xf numFmtId="0" fontId="20" fillId="10" borderId="0" xfId="5" applyFont="1" applyFill="1"/>
    <xf numFmtId="0" fontId="20" fillId="10" borderId="5" xfId="5" applyFont="1" applyFill="1" applyBorder="1"/>
    <xf numFmtId="164" fontId="24" fillId="10" borderId="11" xfId="5" applyNumberFormat="1" applyFont="1" applyFill="1" applyBorder="1" applyAlignment="1">
      <alignment horizontal="center"/>
    </xf>
    <xf numFmtId="164" fontId="24" fillId="10" borderId="8" xfId="5" applyNumberFormat="1" applyFont="1" applyFill="1" applyBorder="1" applyAlignment="1">
      <alignment horizontal="center"/>
    </xf>
    <xf numFmtId="1" fontId="24" fillId="10" borderId="8" xfId="5" applyNumberFormat="1" applyFont="1" applyFill="1" applyBorder="1" applyAlignment="1">
      <alignment horizontal="center"/>
    </xf>
    <xf numFmtId="0" fontId="24" fillId="10" borderId="8" xfId="5" applyFont="1" applyFill="1" applyBorder="1"/>
    <xf numFmtId="0" fontId="24" fillId="10" borderId="9" xfId="5" applyFont="1" applyFill="1" applyBorder="1"/>
    <xf numFmtId="164" fontId="20" fillId="8" borderId="4" xfId="5" applyNumberFormat="1" applyFont="1" applyFill="1" applyBorder="1" applyAlignment="1">
      <alignment horizontal="center"/>
    </xf>
    <xf numFmtId="164" fontId="20" fillId="8" borderId="0" xfId="5" applyNumberFormat="1" applyFont="1" applyFill="1" applyAlignment="1">
      <alignment horizontal="center"/>
    </xf>
    <xf numFmtId="1" fontId="20" fillId="8" borderId="0" xfId="5" applyNumberFormat="1" applyFont="1" applyFill="1" applyAlignment="1">
      <alignment horizontal="center"/>
    </xf>
    <xf numFmtId="0" fontId="20" fillId="8" borderId="0" xfId="5" applyFont="1" applyFill="1" applyAlignment="1">
      <alignment horizontal="center"/>
    </xf>
    <xf numFmtId="49" fontId="20" fillId="8" borderId="0" xfId="5" applyNumberFormat="1" applyFont="1" applyFill="1"/>
    <xf numFmtId="164" fontId="20" fillId="10" borderId="4" xfId="5" applyNumberFormat="1" applyFont="1" applyFill="1" applyBorder="1" applyAlignment="1">
      <alignment horizontal="center"/>
    </xf>
    <xf numFmtId="164" fontId="20" fillId="10" borderId="0" xfId="5" applyNumberFormat="1" applyFont="1" applyFill="1" applyAlignment="1">
      <alignment horizontal="center"/>
    </xf>
    <xf numFmtId="1" fontId="20" fillId="10" borderId="0" xfId="5" applyNumberFormat="1" applyFont="1" applyFill="1" applyAlignment="1">
      <alignment horizontal="center"/>
    </xf>
    <xf numFmtId="49" fontId="24" fillId="10" borderId="0" xfId="5" applyNumberFormat="1" applyFont="1" applyFill="1"/>
    <xf numFmtId="164" fontId="20" fillId="12" borderId="4" xfId="5" applyNumberFormat="1" applyFont="1" applyFill="1" applyBorder="1" applyAlignment="1">
      <alignment horizontal="center"/>
    </xf>
    <xf numFmtId="1" fontId="20" fillId="12" borderId="0" xfId="5" applyNumberFormat="1" applyFont="1" applyFill="1" applyAlignment="1">
      <alignment horizontal="center"/>
    </xf>
    <xf numFmtId="0" fontId="20" fillId="12" borderId="0" xfId="5" applyFont="1" applyFill="1"/>
    <xf numFmtId="0" fontId="24" fillId="12" borderId="0" xfId="5" applyFont="1" applyFill="1"/>
    <xf numFmtId="49" fontId="20" fillId="10" borderId="0" xfId="5" applyNumberFormat="1" applyFont="1" applyFill="1"/>
    <xf numFmtId="0" fontId="8" fillId="10" borderId="0" xfId="5" applyFont="1" applyFill="1"/>
    <xf numFmtId="0" fontId="20" fillId="12" borderId="0" xfId="5" applyFont="1" applyFill="1" applyAlignment="1">
      <alignment horizontal="center"/>
    </xf>
    <xf numFmtId="49" fontId="20" fillId="12" borderId="0" xfId="5" applyNumberFormat="1" applyFont="1" applyFill="1"/>
    <xf numFmtId="164" fontId="20" fillId="9" borderId="4" xfId="5" applyNumberFormat="1" applyFont="1" applyFill="1" applyBorder="1" applyAlignment="1">
      <alignment horizontal="center"/>
    </xf>
    <xf numFmtId="1" fontId="20" fillId="9" borderId="0" xfId="5" applyNumberFormat="1" applyFont="1" applyFill="1" applyAlignment="1">
      <alignment horizontal="center"/>
    </xf>
    <xf numFmtId="0" fontId="20" fillId="9" borderId="0" xfId="5" applyFont="1" applyFill="1" applyAlignment="1">
      <alignment horizontal="center"/>
    </xf>
    <xf numFmtId="49" fontId="20" fillId="9" borderId="0" xfId="5" applyNumberFormat="1" applyFont="1" applyFill="1"/>
    <xf numFmtId="3" fontId="20" fillId="12" borderId="0" xfId="5" applyNumberFormat="1" applyFont="1" applyFill="1"/>
    <xf numFmtId="3" fontId="20" fillId="8" borderId="0" xfId="5" applyNumberFormat="1" applyFont="1" applyFill="1" applyAlignment="1">
      <alignment horizontal="center"/>
    </xf>
    <xf numFmtId="3" fontId="20" fillId="12" borderId="0" xfId="5" applyNumberFormat="1" applyFont="1" applyFill="1" applyAlignment="1">
      <alignment horizontal="center"/>
    </xf>
    <xf numFmtId="164" fontId="24" fillId="12" borderId="4" xfId="5" applyNumberFormat="1" applyFont="1" applyFill="1" applyBorder="1" applyAlignment="1">
      <alignment horizontal="center"/>
    </xf>
    <xf numFmtId="164" fontId="24" fillId="12" borderId="0" xfId="5" applyNumberFormat="1" applyFont="1" applyFill="1" applyAlignment="1">
      <alignment horizontal="center"/>
    </xf>
    <xf numFmtId="1" fontId="24" fillId="12" borderId="0" xfId="5" applyNumberFormat="1" applyFont="1" applyFill="1" applyAlignment="1">
      <alignment horizontal="center"/>
    </xf>
    <xf numFmtId="164" fontId="43" fillId="6" borderId="11" xfId="5" applyNumberFormat="1" applyFont="1" applyFill="1" applyBorder="1" applyAlignment="1">
      <alignment horizontal="center"/>
    </xf>
    <xf numFmtId="164" fontId="43" fillId="6" borderId="8" xfId="5" applyNumberFormat="1" applyFont="1" applyFill="1" applyBorder="1" applyAlignment="1">
      <alignment horizontal="center"/>
    </xf>
    <xf numFmtId="1" fontId="43" fillId="6" borderId="8" xfId="5" applyNumberFormat="1" applyFont="1" applyFill="1" applyBorder="1" applyAlignment="1">
      <alignment horizontal="center"/>
    </xf>
    <xf numFmtId="49" fontId="43" fillId="6" borderId="8" xfId="5" applyNumberFormat="1" applyFont="1" applyFill="1" applyBorder="1" applyAlignment="1">
      <alignment horizontal="center"/>
    </xf>
    <xf numFmtId="49" fontId="43" fillId="6" borderId="1" xfId="5" applyNumberFormat="1" applyFont="1" applyFill="1" applyBorder="1" applyAlignment="1">
      <alignment horizontal="center"/>
    </xf>
    <xf numFmtId="49" fontId="43" fillId="6" borderId="2" xfId="5" applyNumberFormat="1" applyFont="1" applyFill="1" applyBorder="1" applyAlignment="1">
      <alignment horizontal="center"/>
    </xf>
    <xf numFmtId="49" fontId="43" fillId="6" borderId="3" xfId="5" applyNumberFormat="1" applyFont="1" applyFill="1" applyBorder="1"/>
    <xf numFmtId="0" fontId="44" fillId="10" borderId="0" xfId="5" applyFont="1" applyFill="1" applyAlignment="1">
      <alignment horizontal="left" vertical="center"/>
    </xf>
    <xf numFmtId="164" fontId="24" fillId="2" borderId="6" xfId="5" applyNumberFormat="1" applyFont="1" applyFill="1" applyBorder="1" applyAlignment="1">
      <alignment horizontal="center"/>
    </xf>
    <xf numFmtId="2" fontId="20" fillId="3" borderId="0" xfId="5" applyNumberFormat="1" applyFont="1" applyFill="1" applyAlignment="1">
      <alignment horizontal="center"/>
    </xf>
    <xf numFmtId="2" fontId="20" fillId="2" borderId="0" xfId="5" applyNumberFormat="1" applyFont="1" applyFill="1" applyAlignment="1">
      <alignment horizontal="center"/>
    </xf>
    <xf numFmtId="0" fontId="45" fillId="3" borderId="5" xfId="5" applyFont="1" applyFill="1" applyBorder="1"/>
    <xf numFmtId="3" fontId="20" fillId="2" borderId="0" xfId="5" applyNumberFormat="1" applyFont="1" applyFill="1" applyAlignment="1">
      <alignment horizontal="left"/>
    </xf>
    <xf numFmtId="0" fontId="24" fillId="3" borderId="0" xfId="5" applyFont="1" applyFill="1" applyAlignment="1">
      <alignment horizontal="left"/>
    </xf>
    <xf numFmtId="0" fontId="24" fillId="3" borderId="5" xfId="5" applyFont="1" applyFill="1" applyBorder="1" applyAlignment="1">
      <alignment horizontal="left"/>
    </xf>
    <xf numFmtId="164" fontId="20" fillId="21" borderId="0" xfId="5" applyNumberFormat="1" applyFont="1" applyFill="1" applyAlignment="1">
      <alignment horizontal="center"/>
    </xf>
    <xf numFmtId="0" fontId="4" fillId="8" borderId="2" xfId="3" applyFont="1" applyFill="1" applyBorder="1"/>
    <xf numFmtId="0" fontId="14" fillId="7" borderId="2" xfId="3" applyBorder="1"/>
    <xf numFmtId="0" fontId="4" fillId="10" borderId="0" xfId="3" applyFont="1" applyFill="1"/>
    <xf numFmtId="164" fontId="4" fillId="8" borderId="4" xfId="3" applyNumberFormat="1" applyFont="1" applyFill="1" applyBorder="1" applyAlignment="1">
      <alignment horizontal="center"/>
    </xf>
    <xf numFmtId="0" fontId="4" fillId="8" borderId="0" xfId="3" applyFont="1" applyFill="1"/>
    <xf numFmtId="0" fontId="4" fillId="10" borderId="5" xfId="3" applyFont="1" applyFill="1" applyBorder="1"/>
    <xf numFmtId="164" fontId="4" fillId="11" borderId="1" xfId="3" applyNumberFormat="1" applyFont="1" applyFill="1" applyBorder="1" applyAlignment="1">
      <alignment horizontal="center"/>
    </xf>
    <xf numFmtId="0" fontId="4" fillId="11" borderId="2" xfId="3" applyFont="1" applyFill="1" applyBorder="1" applyAlignment="1">
      <alignment horizontal="left"/>
    </xf>
    <xf numFmtId="0" fontId="4" fillId="11" borderId="3" xfId="3" applyFont="1" applyFill="1" applyBorder="1" applyAlignment="1">
      <alignment horizontal="left"/>
    </xf>
    <xf numFmtId="0" fontId="7" fillId="10" borderId="0" xfId="3" applyFont="1" applyFill="1"/>
    <xf numFmtId="0" fontId="8" fillId="9" borderId="0" xfId="3" applyFont="1" applyFill="1"/>
    <xf numFmtId="164" fontId="9" fillId="3" borderId="4" xfId="3" applyNumberFormat="1" applyFont="1" applyFill="1" applyBorder="1" applyAlignment="1">
      <alignment horizontal="center"/>
    </xf>
    <xf numFmtId="164" fontId="9" fillId="3" borderId="0" xfId="3" applyNumberFormat="1" applyFont="1" applyFill="1" applyAlignment="1">
      <alignment horizontal="center"/>
    </xf>
    <xf numFmtId="1" fontId="9" fillId="3" borderId="0" xfId="3" applyNumberFormat="1" applyFont="1" applyFill="1" applyAlignment="1">
      <alignment horizontal="center"/>
    </xf>
    <xf numFmtId="0" fontId="9" fillId="3" borderId="0" xfId="3" applyFont="1" applyFill="1" applyAlignment="1">
      <alignment horizontal="center"/>
    </xf>
    <xf numFmtId="0" fontId="9" fillId="3" borderId="0" xfId="3" applyFont="1" applyFill="1"/>
    <xf numFmtId="0" fontId="9" fillId="3" borderId="5" xfId="3" applyFont="1" applyFill="1" applyBorder="1"/>
    <xf numFmtId="164" fontId="9" fillId="3" borderId="11" xfId="3" applyNumberFormat="1" applyFont="1" applyFill="1" applyBorder="1" applyAlignment="1">
      <alignment horizontal="center"/>
    </xf>
    <xf numFmtId="164" fontId="9" fillId="3" borderId="8" xfId="3" applyNumberFormat="1" applyFont="1" applyFill="1" applyBorder="1" applyAlignment="1">
      <alignment horizontal="center"/>
    </xf>
    <xf numFmtId="1" fontId="9" fillId="3" borderId="8" xfId="3" applyNumberFormat="1" applyFont="1" applyFill="1" applyBorder="1" applyAlignment="1">
      <alignment horizontal="center"/>
    </xf>
    <xf numFmtId="3" fontId="9" fillId="3" borderId="8" xfId="3" applyNumberFormat="1" applyFont="1" applyFill="1" applyBorder="1" applyAlignment="1">
      <alignment horizontal="center"/>
    </xf>
    <xf numFmtId="0" fontId="9" fillId="3" borderId="9" xfId="3" applyFont="1" applyFill="1" applyBorder="1"/>
    <xf numFmtId="0" fontId="8" fillId="3" borderId="5" xfId="3" applyFont="1" applyFill="1" applyBorder="1"/>
    <xf numFmtId="168" fontId="46" fillId="3" borderId="0" xfId="0" applyNumberFormat="1" applyFont="1" applyFill="1" applyAlignment="1">
      <alignment horizontal="center"/>
    </xf>
    <xf numFmtId="3" fontId="8" fillId="3" borderId="0" xfId="3" applyNumberFormat="1" applyFont="1" applyFill="1" applyAlignment="1">
      <alignment horizontal="left"/>
    </xf>
    <xf numFmtId="49" fontId="9" fillId="3" borderId="0" xfId="3" applyNumberFormat="1" applyFont="1" applyFill="1"/>
    <xf numFmtId="164" fontId="8" fillId="2" borderId="4" xfId="3" applyNumberFormat="1" applyFont="1" applyFill="1" applyBorder="1" applyAlignment="1">
      <alignment horizontal="center"/>
    </xf>
    <xf numFmtId="1" fontId="8" fillId="2" borderId="0" xfId="3" applyNumberFormat="1" applyFont="1" applyFill="1" applyAlignment="1">
      <alignment horizontal="center"/>
    </xf>
    <xf numFmtId="168" fontId="46" fillId="2" borderId="0" xfId="0" applyNumberFormat="1" applyFont="1" applyFill="1" applyAlignment="1">
      <alignment horizontal="center"/>
    </xf>
    <xf numFmtId="3" fontId="8" fillId="2" borderId="0" xfId="3" applyNumberFormat="1" applyFont="1" applyFill="1" applyAlignment="1">
      <alignment horizontal="left"/>
    </xf>
    <xf numFmtId="49" fontId="8" fillId="2" borderId="0" xfId="3" applyNumberFormat="1" applyFont="1" applyFill="1"/>
    <xf numFmtId="49" fontId="8" fillId="3" borderId="0" xfId="3" applyNumberFormat="1" applyFont="1" applyFill="1"/>
    <xf numFmtId="0" fontId="46" fillId="2" borderId="0" xfId="0" applyFont="1" applyFill="1" applyAlignment="1">
      <alignment horizontal="center"/>
    </xf>
    <xf numFmtId="49" fontId="8" fillId="2" borderId="0" xfId="3" applyNumberFormat="1" applyFont="1" applyFill="1" applyAlignment="1">
      <alignment horizontal="left"/>
    </xf>
    <xf numFmtId="172" fontId="46" fillId="3" borderId="0" xfId="0" applyNumberFormat="1" applyFont="1" applyFill="1" applyAlignment="1">
      <alignment horizontal="center"/>
    </xf>
    <xf numFmtId="0" fontId="46" fillId="3" borderId="0" xfId="0" applyFont="1" applyFill="1" applyAlignment="1">
      <alignment horizontal="center"/>
    </xf>
    <xf numFmtId="0" fontId="8" fillId="2" borderId="0" xfId="3" applyFont="1" applyFill="1" applyAlignment="1">
      <alignment horizontal="left"/>
    </xf>
    <xf numFmtId="0" fontId="9" fillId="0" borderId="0" xfId="3" applyFont="1" applyFill="1"/>
    <xf numFmtId="0" fontId="9" fillId="3" borderId="8" xfId="3" applyFont="1" applyFill="1" applyBorder="1"/>
    <xf numFmtId="0" fontId="9" fillId="0" borderId="9" xfId="3" applyFont="1" applyFill="1" applyBorder="1"/>
    <xf numFmtId="3" fontId="8" fillId="2" borderId="0" xfId="3" applyNumberFormat="1" applyFont="1" applyFill="1"/>
    <xf numFmtId="3" fontId="8" fillId="3" borderId="0" xfId="3" applyNumberFormat="1" applyFont="1" applyFill="1"/>
    <xf numFmtId="164" fontId="8" fillId="0" borderId="0" xfId="3" applyNumberFormat="1" applyFont="1" applyFill="1" applyAlignment="1">
      <alignment horizontal="center"/>
    </xf>
    <xf numFmtId="0" fontId="7" fillId="10" borderId="5" xfId="3" applyFont="1" applyFill="1" applyBorder="1"/>
    <xf numFmtId="0" fontId="8" fillId="10" borderId="5" xfId="3" applyFont="1" applyFill="1" applyBorder="1"/>
    <xf numFmtId="0" fontId="20" fillId="10" borderId="5" xfId="3" applyFont="1" applyFill="1" applyBorder="1"/>
    <xf numFmtId="164" fontId="47" fillId="6" borderId="11" xfId="3" applyNumberFormat="1" applyFont="1" applyFill="1" applyBorder="1" applyAlignment="1">
      <alignment horizontal="center"/>
    </xf>
    <xf numFmtId="164" fontId="47" fillId="6" borderId="8" xfId="3" applyNumberFormat="1" applyFont="1" applyFill="1" applyBorder="1" applyAlignment="1">
      <alignment horizontal="center"/>
    </xf>
    <xf numFmtId="1" fontId="47" fillId="6" borderId="8" xfId="3" applyNumberFormat="1" applyFont="1" applyFill="1" applyBorder="1" applyAlignment="1">
      <alignment horizontal="center"/>
    </xf>
    <xf numFmtId="49" fontId="47" fillId="6" borderId="8" xfId="3" applyNumberFormat="1" applyFont="1" applyFill="1" applyBorder="1" applyAlignment="1">
      <alignment horizontal="center"/>
    </xf>
    <xf numFmtId="49" fontId="47" fillId="6" borderId="1" xfId="3" applyNumberFormat="1" applyFont="1" applyFill="1" applyBorder="1" applyAlignment="1">
      <alignment horizontal="center"/>
    </xf>
    <xf numFmtId="49" fontId="47" fillId="6" borderId="2" xfId="3" applyNumberFormat="1" applyFont="1" applyFill="1" applyBorder="1" applyAlignment="1">
      <alignment horizontal="center"/>
    </xf>
    <xf numFmtId="49" fontId="47" fillId="6" borderId="3" xfId="3" applyNumberFormat="1" applyFont="1" applyFill="1" applyBorder="1"/>
    <xf numFmtId="164" fontId="48" fillId="2" borderId="1" xfId="5" applyNumberFormat="1" applyFont="1" applyFill="1" applyBorder="1" applyAlignment="1">
      <alignment horizontal="center"/>
    </xf>
    <xf numFmtId="164" fontId="48" fillId="2" borderId="2" xfId="5" applyNumberFormat="1" applyFont="1" applyFill="1" applyBorder="1" applyAlignment="1">
      <alignment horizontal="center"/>
    </xf>
    <xf numFmtId="0" fontId="48" fillId="2" borderId="2" xfId="5" applyFont="1" applyFill="1" applyBorder="1" applyAlignment="1">
      <alignment horizontal="center"/>
    </xf>
    <xf numFmtId="0" fontId="48" fillId="2" borderId="2" xfId="5" applyFont="1" applyFill="1" applyBorder="1"/>
    <xf numFmtId="0" fontId="48" fillId="3" borderId="3" xfId="5" applyFont="1" applyFill="1" applyBorder="1"/>
    <xf numFmtId="164" fontId="48" fillId="3" borderId="4" xfId="5" applyNumberFormat="1" applyFont="1" applyFill="1" applyBorder="1" applyAlignment="1">
      <alignment horizontal="center"/>
    </xf>
    <xf numFmtId="164" fontId="48" fillId="3" borderId="0" xfId="5" applyNumberFormat="1" applyFont="1" applyFill="1" applyAlignment="1">
      <alignment horizontal="center"/>
    </xf>
    <xf numFmtId="0" fontId="48" fillId="3" borderId="0" xfId="5" applyFont="1" applyFill="1" applyAlignment="1">
      <alignment horizontal="center"/>
    </xf>
    <xf numFmtId="0" fontId="48" fillId="3" borderId="0" xfId="5" applyFont="1" applyFill="1"/>
    <xf numFmtId="0" fontId="48" fillId="3" borderId="5" xfId="5" applyFont="1" applyFill="1" applyBorder="1"/>
    <xf numFmtId="164" fontId="48" fillId="2" borderId="6" xfId="5" applyNumberFormat="1" applyFont="1" applyFill="1" applyBorder="1" applyAlignment="1">
      <alignment horizontal="center"/>
    </xf>
    <xf numFmtId="164" fontId="48" fillId="2" borderId="7" xfId="5" applyNumberFormat="1" applyFont="1" applyFill="1" applyBorder="1" applyAlignment="1">
      <alignment horizontal="center"/>
    </xf>
    <xf numFmtId="0" fontId="48" fillId="2" borderId="7" xfId="5" applyFont="1" applyFill="1" applyBorder="1" applyAlignment="1">
      <alignment horizontal="center"/>
    </xf>
    <xf numFmtId="0" fontId="48" fillId="2" borderId="7" xfId="5" applyFont="1" applyFill="1" applyBorder="1"/>
    <xf numFmtId="0" fontId="48" fillId="3" borderId="13" xfId="5" applyFont="1" applyFill="1" applyBorder="1"/>
    <xf numFmtId="164" fontId="48" fillId="5" borderId="1" xfId="5" applyNumberFormat="1" applyFont="1" applyFill="1" applyBorder="1" applyAlignment="1">
      <alignment horizontal="center"/>
    </xf>
    <xf numFmtId="164" fontId="48" fillId="5" borderId="2" xfId="5" applyNumberFormat="1" applyFont="1" applyFill="1" applyBorder="1" applyAlignment="1">
      <alignment horizontal="center"/>
    </xf>
    <xf numFmtId="1" fontId="48" fillId="5" borderId="2" xfId="5" applyNumberFormat="1" applyFont="1" applyFill="1" applyBorder="1" applyAlignment="1">
      <alignment horizontal="center"/>
    </xf>
    <xf numFmtId="0" fontId="48" fillId="5" borderId="2" xfId="5" applyFont="1" applyFill="1" applyBorder="1" applyAlignment="1">
      <alignment horizontal="left"/>
    </xf>
    <xf numFmtId="0" fontId="48" fillId="5" borderId="3" xfId="5" applyFont="1" applyFill="1" applyBorder="1" applyAlignment="1">
      <alignment horizontal="left"/>
    </xf>
    <xf numFmtId="164" fontId="49" fillId="3" borderId="4" xfId="5" applyNumberFormat="1" applyFont="1" applyFill="1" applyBorder="1" applyAlignment="1">
      <alignment horizontal="center"/>
    </xf>
    <xf numFmtId="164" fontId="49" fillId="3" borderId="0" xfId="5" applyNumberFormat="1" applyFont="1" applyFill="1" applyAlignment="1">
      <alignment horizontal="center"/>
    </xf>
    <xf numFmtId="1" fontId="49" fillId="3" borderId="0" xfId="5" applyNumberFormat="1" applyFont="1" applyFill="1" applyAlignment="1">
      <alignment horizontal="center"/>
    </xf>
    <xf numFmtId="3" fontId="49" fillId="3" borderId="0" xfId="5" applyNumberFormat="1" applyFont="1" applyFill="1" applyAlignment="1">
      <alignment horizontal="center"/>
    </xf>
    <xf numFmtId="0" fontId="49" fillId="3" borderId="0" xfId="5" applyFont="1" applyFill="1"/>
    <xf numFmtId="0" fontId="49" fillId="3" borderId="5" xfId="5" applyFont="1" applyFill="1" applyBorder="1"/>
    <xf numFmtId="164" fontId="50" fillId="3" borderId="4" xfId="5" applyNumberFormat="1" applyFont="1" applyFill="1" applyBorder="1" applyAlignment="1">
      <alignment horizontal="center"/>
    </xf>
    <xf numFmtId="164" fontId="50" fillId="3" borderId="0" xfId="5" applyNumberFormat="1" applyFont="1" applyFill="1" applyAlignment="1">
      <alignment horizontal="center"/>
    </xf>
    <xf numFmtId="1" fontId="50" fillId="3" borderId="0" xfId="5" applyNumberFormat="1" applyFont="1" applyFill="1" applyAlignment="1">
      <alignment horizontal="center"/>
    </xf>
    <xf numFmtId="0" fontId="50" fillId="3" borderId="0" xfId="5" applyFont="1" applyFill="1" applyAlignment="1">
      <alignment horizontal="left"/>
    </xf>
    <xf numFmtId="0" fontId="49" fillId="3" borderId="0" xfId="5" applyFont="1" applyFill="1" applyAlignment="1">
      <alignment horizontal="center"/>
    </xf>
    <xf numFmtId="164" fontId="51" fillId="3" borderId="11" xfId="5" applyNumberFormat="1" applyFont="1" applyFill="1" applyBorder="1" applyAlignment="1">
      <alignment horizontal="center"/>
    </xf>
    <xf numFmtId="164" fontId="51" fillId="3" borderId="8" xfId="5" applyNumberFormat="1" applyFont="1" applyFill="1" applyBorder="1" applyAlignment="1">
      <alignment horizontal="center"/>
    </xf>
    <xf numFmtId="1" fontId="51" fillId="3" borderId="8" xfId="5" applyNumberFormat="1" applyFont="1" applyFill="1" applyBorder="1" applyAlignment="1">
      <alignment horizontal="center"/>
    </xf>
    <xf numFmtId="3" fontId="51" fillId="3" borderId="8" xfId="5" applyNumberFormat="1" applyFont="1" applyFill="1" applyBorder="1" applyAlignment="1">
      <alignment horizontal="center"/>
    </xf>
    <xf numFmtId="0" fontId="51" fillId="3" borderId="9" xfId="5" applyFont="1" applyFill="1" applyBorder="1"/>
    <xf numFmtId="0" fontId="51" fillId="3" borderId="0" xfId="5" applyFont="1" applyFill="1"/>
    <xf numFmtId="0" fontId="51" fillId="3" borderId="5" xfId="5" applyFont="1" applyFill="1" applyBorder="1"/>
    <xf numFmtId="164" fontId="49" fillId="2" borderId="4" xfId="5" applyNumberFormat="1" applyFont="1" applyFill="1" applyBorder="1" applyAlignment="1">
      <alignment horizontal="center"/>
    </xf>
    <xf numFmtId="164" fontId="49" fillId="2" borderId="0" xfId="5" applyNumberFormat="1" applyFont="1" applyFill="1" applyAlignment="1">
      <alignment horizontal="center"/>
    </xf>
    <xf numFmtId="1" fontId="49" fillId="2" borderId="0" xfId="5" applyNumberFormat="1" applyFont="1" applyFill="1" applyAlignment="1">
      <alignment horizontal="center"/>
    </xf>
    <xf numFmtId="3" fontId="49" fillId="2" borderId="0" xfId="5" applyNumberFormat="1" applyFont="1" applyFill="1" applyAlignment="1">
      <alignment horizontal="center"/>
    </xf>
    <xf numFmtId="49" fontId="49" fillId="2" borderId="0" xfId="5" applyNumberFormat="1" applyFont="1" applyFill="1" applyAlignment="1">
      <alignment horizontal="center"/>
    </xf>
    <xf numFmtId="0" fontId="14" fillId="2" borderId="0" xfId="5" applyFill="1" applyAlignment="1">
      <alignment horizontal="center"/>
    </xf>
    <xf numFmtId="0" fontId="49" fillId="2" borderId="0" xfId="5" applyFont="1" applyFill="1" applyAlignment="1">
      <alignment horizontal="center"/>
    </xf>
    <xf numFmtId="49" fontId="49" fillId="3" borderId="0" xfId="5" applyNumberFormat="1" applyFont="1" applyFill="1" applyAlignment="1">
      <alignment horizontal="center"/>
    </xf>
    <xf numFmtId="0" fontId="49" fillId="0" borderId="5" xfId="5" applyFont="1" applyBorder="1"/>
    <xf numFmtId="164" fontId="51" fillId="5" borderId="1" xfId="5" applyNumberFormat="1" applyFont="1" applyFill="1" applyBorder="1" applyAlignment="1">
      <alignment horizontal="center"/>
    </xf>
    <xf numFmtId="164" fontId="51" fillId="11" borderId="2" xfId="5" applyNumberFormat="1" applyFont="1" applyFill="1" applyBorder="1" applyAlignment="1">
      <alignment horizontal="center"/>
    </xf>
    <xf numFmtId="1" fontId="51" fillId="11" borderId="2" xfId="5" applyNumberFormat="1" applyFont="1" applyFill="1" applyBorder="1" applyAlignment="1">
      <alignment horizontal="center"/>
    </xf>
    <xf numFmtId="164" fontId="51" fillId="5" borderId="2" xfId="5" applyNumberFormat="1" applyFont="1" applyFill="1" applyBorder="1" applyAlignment="1">
      <alignment horizontal="center"/>
    </xf>
    <xf numFmtId="0" fontId="51" fillId="5" borderId="2" xfId="5" applyFont="1" applyFill="1" applyBorder="1" applyAlignment="1">
      <alignment horizontal="left"/>
    </xf>
    <xf numFmtId="0" fontId="51" fillId="5" borderId="3" xfId="5" applyFont="1" applyFill="1" applyBorder="1" applyAlignment="1">
      <alignment horizontal="left"/>
    </xf>
    <xf numFmtId="164" fontId="51" fillId="3" borderId="4" xfId="5" applyNumberFormat="1" applyFont="1" applyFill="1" applyBorder="1" applyAlignment="1">
      <alignment horizontal="center"/>
    </xf>
    <xf numFmtId="164" fontId="51" fillId="3" borderId="0" xfId="5" applyNumberFormat="1" applyFont="1" applyFill="1" applyAlignment="1">
      <alignment horizontal="center"/>
    </xf>
    <xf numFmtId="1" fontId="51" fillId="3" borderId="0" xfId="5" applyNumberFormat="1" applyFont="1" applyFill="1" applyAlignment="1">
      <alignment horizontal="center"/>
    </xf>
    <xf numFmtId="0" fontId="50" fillId="3" borderId="0" xfId="5" applyFont="1" applyFill="1" applyAlignment="1">
      <alignment horizontal="center"/>
    </xf>
    <xf numFmtId="0" fontId="50" fillId="3" borderId="0" xfId="5" applyFont="1" applyFill="1"/>
    <xf numFmtId="0" fontId="50" fillId="3" borderId="5" xfId="5" applyFont="1" applyFill="1" applyBorder="1"/>
    <xf numFmtId="1" fontId="51" fillId="5" borderId="2" xfId="5" applyNumberFormat="1" applyFont="1" applyFill="1" applyBorder="1" applyAlignment="1">
      <alignment horizontal="center"/>
    </xf>
    <xf numFmtId="164" fontId="51" fillId="3" borderId="6" xfId="5" applyNumberFormat="1" applyFont="1" applyFill="1" applyBorder="1" applyAlignment="1">
      <alignment horizontal="center"/>
    </xf>
    <xf numFmtId="164" fontId="51" fillId="9" borderId="7" xfId="5" applyNumberFormat="1" applyFont="1" applyFill="1" applyBorder="1" applyAlignment="1">
      <alignment horizontal="center"/>
    </xf>
    <xf numFmtId="1" fontId="51" fillId="9" borderId="7" xfId="5" applyNumberFormat="1" applyFont="1" applyFill="1" applyBorder="1" applyAlignment="1">
      <alignment horizontal="center"/>
    </xf>
    <xf numFmtId="164" fontId="51" fillId="3" borderId="7" xfId="5" applyNumberFormat="1" applyFont="1" applyFill="1" applyBorder="1" applyAlignment="1">
      <alignment horizontal="center"/>
    </xf>
    <xf numFmtId="0" fontId="51" fillId="9" borderId="0" xfId="5" applyFont="1" applyFill="1" applyAlignment="1">
      <alignment horizontal="center"/>
    </xf>
    <xf numFmtId="0" fontId="51" fillId="10" borderId="0" xfId="5" applyFont="1" applyFill="1" applyAlignment="1">
      <alignment horizontal="center"/>
    </xf>
    <xf numFmtId="0" fontId="51" fillId="10" borderId="5" xfId="5" applyFont="1" applyFill="1" applyBorder="1" applyAlignment="1">
      <alignment horizontal="center"/>
    </xf>
    <xf numFmtId="164" fontId="52" fillId="4" borderId="11" xfId="5" applyNumberFormat="1" applyFont="1" applyFill="1" applyBorder="1" applyAlignment="1">
      <alignment horizontal="center"/>
    </xf>
    <xf numFmtId="164" fontId="52" fillId="6" borderId="8" xfId="5" applyNumberFormat="1" applyFont="1" applyFill="1" applyBorder="1" applyAlignment="1">
      <alignment horizontal="center"/>
    </xf>
    <xf numFmtId="1" fontId="52" fillId="6" borderId="8" xfId="5" applyNumberFormat="1" applyFont="1" applyFill="1" applyBorder="1" applyAlignment="1">
      <alignment horizontal="center"/>
    </xf>
    <xf numFmtId="49" fontId="52" fillId="6" borderId="8" xfId="5" applyNumberFormat="1" applyFont="1" applyFill="1" applyBorder="1" applyAlignment="1">
      <alignment horizontal="center"/>
    </xf>
    <xf numFmtId="49" fontId="52" fillId="4" borderId="9" xfId="5" applyNumberFormat="1" applyFont="1" applyFill="1" applyBorder="1" applyAlignment="1">
      <alignment horizontal="center"/>
    </xf>
    <xf numFmtId="49" fontId="52" fillId="6" borderId="1" xfId="5" applyNumberFormat="1" applyFont="1" applyFill="1" applyBorder="1" applyAlignment="1">
      <alignment horizontal="center"/>
    </xf>
    <xf numFmtId="49" fontId="52" fillId="6" borderId="2" xfId="5" applyNumberFormat="1" applyFont="1" applyFill="1" applyBorder="1" applyAlignment="1">
      <alignment horizontal="center"/>
    </xf>
    <xf numFmtId="49" fontId="52" fillId="6" borderId="3" xfId="5" applyNumberFormat="1" applyFont="1" applyFill="1" applyBorder="1"/>
    <xf numFmtId="49" fontId="53" fillId="3" borderId="6" xfId="5" applyNumberFormat="1" applyFont="1" applyFill="1" applyBorder="1" applyAlignment="1">
      <alignment horizontal="left"/>
    </xf>
    <xf numFmtId="49" fontId="53" fillId="3" borderId="7" xfId="5" applyNumberFormat="1" applyFont="1" applyFill="1" applyBorder="1" applyAlignment="1">
      <alignment horizontal="left"/>
    </xf>
    <xf numFmtId="49" fontId="53" fillId="3" borderId="13" xfId="5" applyNumberFormat="1" applyFont="1" applyFill="1" applyBorder="1" applyAlignment="1">
      <alignment horizontal="left"/>
    </xf>
    <xf numFmtId="0" fontId="1" fillId="3" borderId="0" xfId="5" applyFont="1" applyFill="1"/>
    <xf numFmtId="164" fontId="20" fillId="3" borderId="1" xfId="5" applyNumberFormat="1" applyFont="1" applyFill="1" applyBorder="1" applyAlignment="1">
      <alignment horizontal="center"/>
    </xf>
    <xf numFmtId="0" fontId="1" fillId="3" borderId="6" xfId="5" applyFont="1" applyFill="1" applyBorder="1"/>
    <xf numFmtId="164" fontId="24" fillId="8" borderId="1" xfId="3" applyNumberFormat="1" applyFont="1" applyFill="1" applyBorder="1" applyAlignment="1">
      <alignment horizontal="center"/>
    </xf>
    <xf numFmtId="164" fontId="24" fillId="8" borderId="2" xfId="3" applyNumberFormat="1" applyFont="1" applyFill="1" applyBorder="1" applyAlignment="1">
      <alignment horizontal="center"/>
    </xf>
    <xf numFmtId="0" fontId="24" fillId="8" borderId="2" xfId="3" applyFont="1" applyFill="1" applyBorder="1"/>
    <xf numFmtId="0" fontId="24" fillId="10" borderId="3" xfId="3" applyFont="1" applyFill="1" applyBorder="1"/>
    <xf numFmtId="164" fontId="24" fillId="10" borderId="4" xfId="3" applyNumberFormat="1" applyFont="1" applyFill="1" applyBorder="1" applyAlignment="1">
      <alignment horizontal="center"/>
    </xf>
    <xf numFmtId="164" fontId="24" fillId="10" borderId="0" xfId="3" applyNumberFormat="1" applyFont="1" applyFill="1" applyAlignment="1">
      <alignment horizontal="center"/>
    </xf>
    <xf numFmtId="0" fontId="24" fillId="10" borderId="0" xfId="3" applyFont="1" applyFill="1"/>
    <xf numFmtId="0" fontId="24" fillId="10" borderId="5" xfId="3" applyFont="1" applyFill="1" applyBorder="1"/>
    <xf numFmtId="164" fontId="24" fillId="8" borderId="4" xfId="3" applyNumberFormat="1" applyFont="1" applyFill="1" applyBorder="1" applyAlignment="1">
      <alignment horizontal="center"/>
    </xf>
    <xf numFmtId="164" fontId="24" fillId="8" borderId="0" xfId="3" applyNumberFormat="1" applyFont="1" applyFill="1" applyAlignment="1">
      <alignment horizontal="center"/>
    </xf>
    <xf numFmtId="0" fontId="24" fillId="8" borderId="0" xfId="3" applyFont="1" applyFill="1"/>
    <xf numFmtId="164" fontId="24" fillId="11" borderId="1" xfId="3" applyNumberFormat="1" applyFont="1" applyFill="1" applyBorder="1" applyAlignment="1">
      <alignment horizontal="center"/>
    </xf>
    <xf numFmtId="0" fontId="24" fillId="11" borderId="2" xfId="3" applyFont="1" applyFill="1" applyBorder="1" applyAlignment="1">
      <alignment horizontal="left"/>
    </xf>
    <xf numFmtId="0" fontId="24" fillId="11" borderId="3" xfId="3" applyFont="1" applyFill="1" applyBorder="1" applyAlignment="1">
      <alignment horizontal="left"/>
    </xf>
    <xf numFmtId="164" fontId="14" fillId="7" borderId="0" xfId="3" applyNumberFormat="1"/>
    <xf numFmtId="1" fontId="24" fillId="10" borderId="0" xfId="3" applyNumberFormat="1" applyFont="1" applyFill="1" applyAlignment="1">
      <alignment horizontal="center"/>
    </xf>
    <xf numFmtId="0" fontId="20" fillId="10" borderId="0" xfId="3" applyFont="1" applyFill="1"/>
    <xf numFmtId="0" fontId="9" fillId="3" borderId="9" xfId="3" applyFont="1" applyFill="1" applyBorder="1" applyAlignment="1">
      <alignment horizontal="left"/>
    </xf>
    <xf numFmtId="3" fontId="8" fillId="2" borderId="0" xfId="3" applyNumberFormat="1" applyFont="1" applyFill="1" applyAlignment="1">
      <alignment horizontal="center"/>
    </xf>
    <xf numFmtId="0" fontId="8" fillId="2" borderId="0" xfId="3" applyFont="1" applyFill="1" applyAlignment="1">
      <alignment horizontal="center"/>
    </xf>
    <xf numFmtId="3" fontId="9" fillId="3" borderId="0" xfId="3" applyNumberFormat="1" applyFont="1" applyFill="1" applyAlignment="1">
      <alignment horizontal="center"/>
    </xf>
    <xf numFmtId="0" fontId="9" fillId="3" borderId="0" xfId="3" applyFont="1" applyFill="1" applyAlignment="1">
      <alignment horizontal="left"/>
    </xf>
    <xf numFmtId="49" fontId="8" fillId="2" borderId="0" xfId="3" applyNumberFormat="1" applyFont="1" applyFill="1" applyAlignment="1">
      <alignment horizontal="center"/>
    </xf>
    <xf numFmtId="0" fontId="8" fillId="3" borderId="0" xfId="3" applyFont="1" applyFill="1" applyAlignment="1">
      <alignment horizontal="center"/>
    </xf>
    <xf numFmtId="164" fontId="43" fillId="6" borderId="11" xfId="3" applyNumberFormat="1" applyFont="1" applyFill="1" applyBorder="1" applyAlignment="1">
      <alignment horizontal="center"/>
    </xf>
    <xf numFmtId="164" fontId="43" fillId="6" borderId="8" xfId="3" applyNumberFormat="1" applyFont="1" applyFill="1" applyBorder="1" applyAlignment="1">
      <alignment horizontal="center"/>
    </xf>
    <xf numFmtId="1" fontId="43" fillId="6" borderId="8" xfId="3" applyNumberFormat="1" applyFont="1" applyFill="1" applyBorder="1" applyAlignment="1">
      <alignment horizontal="center"/>
    </xf>
    <xf numFmtId="49" fontId="43" fillId="6" borderId="8" xfId="3" applyNumberFormat="1" applyFont="1" applyFill="1" applyBorder="1" applyAlignment="1">
      <alignment horizontal="center"/>
    </xf>
    <xf numFmtId="49" fontId="43" fillId="6" borderId="1" xfId="3" applyNumberFormat="1" applyFont="1" applyFill="1" applyBorder="1" applyAlignment="1">
      <alignment horizontal="center"/>
    </xf>
    <xf numFmtId="49" fontId="43" fillId="6" borderId="2" xfId="3" applyNumberFormat="1" applyFont="1" applyFill="1" applyBorder="1" applyAlignment="1">
      <alignment horizontal="center"/>
    </xf>
    <xf numFmtId="49" fontId="43" fillId="6" borderId="3" xfId="3" applyNumberFormat="1" applyFont="1" applyFill="1" applyBorder="1"/>
    <xf numFmtId="0" fontId="44" fillId="10" borderId="20" xfId="3" applyFont="1" applyFill="1" applyBorder="1" applyAlignment="1">
      <alignment horizontal="left" vertical="center"/>
    </xf>
    <xf numFmtId="0" fontId="44" fillId="10" borderId="0" xfId="3" applyFont="1" applyFill="1" applyAlignment="1">
      <alignment horizontal="left" vertical="center"/>
    </xf>
    <xf numFmtId="49" fontId="39" fillId="2" borderId="0" xfId="0" applyNumberFormat="1" applyFont="1" applyFill="1"/>
    <xf numFmtId="0" fontId="39" fillId="2" borderId="0" xfId="0" applyFont="1" applyFill="1"/>
    <xf numFmtId="44" fontId="39" fillId="2" borderId="0" xfId="1" applyFont="1" applyFill="1"/>
    <xf numFmtId="0" fontId="39" fillId="2" borderId="0" xfId="0" applyFont="1" applyFill="1" applyAlignment="1">
      <alignment horizontal="center"/>
    </xf>
    <xf numFmtId="49" fontId="39" fillId="3" borderId="0" xfId="0" applyNumberFormat="1" applyFont="1" applyFill="1"/>
    <xf numFmtId="0" fontId="39" fillId="3" borderId="0" xfId="0" applyFont="1" applyFill="1"/>
    <xf numFmtId="44" fontId="39" fillId="3" borderId="0" xfId="1" applyFont="1" applyFill="1"/>
    <xf numFmtId="0" fontId="39" fillId="3" borderId="0" xfId="0" applyFont="1" applyFill="1" applyAlignment="1">
      <alignment horizontal="center"/>
    </xf>
    <xf numFmtId="0" fontId="25" fillId="3" borderId="5" xfId="0" applyFont="1" applyFill="1" applyBorder="1"/>
    <xf numFmtId="49" fontId="8" fillId="3" borderId="0" xfId="0" applyNumberFormat="1" applyFont="1" applyFill="1"/>
    <xf numFmtId="49" fontId="8" fillId="2" borderId="0" xfId="0" applyNumberFormat="1" applyFont="1" applyFill="1"/>
    <xf numFmtId="44" fontId="8" fillId="2" borderId="0" xfId="1" applyFont="1" applyFill="1" applyBorder="1" applyAlignment="1">
      <alignment horizontal="center"/>
    </xf>
    <xf numFmtId="44" fontId="8" fillId="3" borderId="0" xfId="1" applyFont="1" applyFill="1" applyBorder="1" applyAlignment="1">
      <alignment horizontal="center"/>
    </xf>
    <xf numFmtId="164" fontId="8" fillId="0" borderId="0" xfId="0" applyNumberFormat="1" applyFont="1" applyAlignment="1">
      <alignment horizontal="center"/>
    </xf>
  </cellXfs>
  <cellStyles count="12">
    <cellStyle name="Currency" xfId="1" builtinId="4"/>
    <cellStyle name="Currency 2" xfId="11" xr:uid="{1B3C1CE4-9322-4088-A748-6916A5A3CF44}"/>
    <cellStyle name="Currency 3" xfId="10" xr:uid="{3724BEF3-39E6-46A3-9AAD-F543EC86831F}"/>
    <cellStyle name="Currency 4" xfId="6" xr:uid="{381525A5-16A4-4723-9C64-2D85C0B22FC7}"/>
    <cellStyle name="Engsoc Style" xfId="9" xr:uid="{82EEA343-59C0-4144-993F-3B31E9C8CAA1}"/>
    <cellStyle name="Engsoc Style 2" xfId="8" xr:uid="{F4CE2EED-7091-44B0-95AD-0F77614FECEB}"/>
    <cellStyle name="Hyperlink" xfId="2" builtinId="8"/>
    <cellStyle name="Normal" xfId="0" builtinId="0"/>
    <cellStyle name="Normal 2" xfId="5" xr:uid="{DDB217A5-96B4-41A8-BA2C-F3BC151AC63B}"/>
    <cellStyle name="Normal 3" xfId="3" xr:uid="{B66A7292-6C22-49A0-B5AA-19144877BEBB}"/>
    <cellStyle name="Normal 4" xfId="7" xr:uid="{258C7FDB-D873-44B3-A22F-3091B51E2617}"/>
    <cellStyle name="Normal 6" xfId="4" xr:uid="{D7EBC2C0-2D5D-457B-A2A4-AD065D88C468}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123825</xdr:rowOff>
    </xdr:from>
    <xdr:ext cx="1476375" cy="1769269"/>
    <xdr:pic>
      <xdr:nvPicPr>
        <xdr:cNvPr id="2" name="Picture 1">
          <a:extLst>
            <a:ext uri="{FF2B5EF4-FFF2-40B4-BE49-F238E27FC236}">
              <a16:creationId xmlns:a16="http://schemas.microsoft.com/office/drawing/2014/main" id="{7B598CAF-5BAA-481E-8580-9CD4C64B9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23825"/>
          <a:ext cx="1476375" cy="1769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perational%20Budget%202017-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ident"/>
      <sheetName val="Leah's expenses"/>
      <sheetName val="FYC"/>
      <sheetName val="Drop down"/>
      <sheetName val="Frozen Pivot"/>
      <sheetName val="pivot"/>
    </sheetNames>
    <sheetDataSet>
      <sheetData sheetId="0">
        <row r="45">
          <cell r="H45">
            <v>21030.036</v>
          </cell>
          <cell r="J45">
            <v>18532.45</v>
          </cell>
        </row>
      </sheetData>
      <sheetData sheetId="1" refreshError="1"/>
      <sheetData sheetId="2" refreshError="1"/>
      <sheetData sheetId="3" refreshError="1"/>
      <sheetData sheetId="4">
        <row r="38">
          <cell r="B38">
            <v>0</v>
          </cell>
        </row>
        <row r="39">
          <cell r="B39">
            <v>0</v>
          </cell>
        </row>
        <row r="41">
          <cell r="B41">
            <v>0</v>
          </cell>
        </row>
        <row r="48">
          <cell r="B48">
            <v>0</v>
          </cell>
        </row>
        <row r="65">
          <cell r="B65">
            <v>0</v>
          </cell>
        </row>
        <row r="66">
          <cell r="B66">
            <v>0</v>
          </cell>
        </row>
        <row r="67">
          <cell r="B67">
            <v>0</v>
          </cell>
        </row>
        <row r="68">
          <cell r="B68">
            <v>0</v>
          </cell>
        </row>
        <row r="69">
          <cell r="B69">
            <v>820.33</v>
          </cell>
        </row>
        <row r="70">
          <cell r="B70">
            <v>916.58</v>
          </cell>
        </row>
        <row r="71">
          <cell r="B71">
            <v>415.28999999999996</v>
          </cell>
        </row>
        <row r="72">
          <cell r="B72">
            <v>6400</v>
          </cell>
        </row>
        <row r="73">
          <cell r="B73">
            <v>300</v>
          </cell>
        </row>
        <row r="74">
          <cell r="B74">
            <v>1575.13</v>
          </cell>
        </row>
        <row r="75">
          <cell r="B75">
            <v>0</v>
          </cell>
        </row>
        <row r="76">
          <cell r="B76">
            <v>0</v>
          </cell>
        </row>
        <row r="77">
          <cell r="B77">
            <v>623.86999999999989</v>
          </cell>
        </row>
        <row r="78">
          <cell r="B78">
            <v>780</v>
          </cell>
        </row>
        <row r="79">
          <cell r="B79">
            <v>2397.4</v>
          </cell>
        </row>
        <row r="80">
          <cell r="B80">
            <v>490.99</v>
          </cell>
        </row>
        <row r="81">
          <cell r="B81">
            <v>800</v>
          </cell>
        </row>
        <row r="82">
          <cell r="B82">
            <v>147.79</v>
          </cell>
        </row>
        <row r="83">
          <cell r="B83">
            <v>1282.4000000000001</v>
          </cell>
        </row>
        <row r="84">
          <cell r="B84">
            <v>0</v>
          </cell>
        </row>
        <row r="85">
          <cell r="B85">
            <v>0</v>
          </cell>
        </row>
        <row r="86">
          <cell r="B86">
            <v>648.78</v>
          </cell>
        </row>
        <row r="87">
          <cell r="B87">
            <v>385.51</v>
          </cell>
        </row>
        <row r="88">
          <cell r="B88">
            <v>289.99</v>
          </cell>
        </row>
        <row r="89">
          <cell r="B89">
            <v>746.12</v>
          </cell>
        </row>
        <row r="90">
          <cell r="B90">
            <v>45</v>
          </cell>
        </row>
        <row r="91">
          <cell r="B91">
            <v>539.70000000000005</v>
          </cell>
        </row>
        <row r="92">
          <cell r="B92">
            <v>0</v>
          </cell>
        </row>
        <row r="93">
          <cell r="B93">
            <v>0</v>
          </cell>
        </row>
        <row r="94">
          <cell r="B94">
            <v>0</v>
          </cell>
        </row>
        <row r="95">
          <cell r="B95">
            <v>0</v>
          </cell>
        </row>
        <row r="96">
          <cell r="B96">
            <v>0</v>
          </cell>
        </row>
        <row r="97">
          <cell r="B97">
            <v>0</v>
          </cell>
        </row>
        <row r="98">
          <cell r="B98">
            <v>250.53</v>
          </cell>
        </row>
        <row r="99">
          <cell r="B99">
            <v>0</v>
          </cell>
        </row>
        <row r="100">
          <cell r="B100">
            <v>0</v>
          </cell>
        </row>
        <row r="101">
          <cell r="B101">
            <v>784.46</v>
          </cell>
        </row>
        <row r="102">
          <cell r="B102">
            <v>252.15</v>
          </cell>
        </row>
        <row r="103">
          <cell r="B103">
            <v>0</v>
          </cell>
        </row>
        <row r="104">
          <cell r="B104">
            <v>0</v>
          </cell>
        </row>
        <row r="105">
          <cell r="B105">
            <v>0</v>
          </cell>
        </row>
        <row r="106">
          <cell r="B106">
            <v>372.39</v>
          </cell>
        </row>
        <row r="107">
          <cell r="B107">
            <v>0</v>
          </cell>
        </row>
        <row r="108">
          <cell r="B108">
            <v>20.99</v>
          </cell>
        </row>
        <row r="109">
          <cell r="B109">
            <v>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0</v>
          </cell>
        </row>
        <row r="115">
          <cell r="B115">
            <v>210.57</v>
          </cell>
        </row>
        <row r="121">
          <cell r="B121">
            <v>0</v>
          </cell>
        </row>
        <row r="126">
          <cell r="B126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2">
          <cell r="B132">
            <v>149.65</v>
          </cell>
        </row>
        <row r="133">
          <cell r="B133">
            <v>0</v>
          </cell>
        </row>
        <row r="134">
          <cell r="B134">
            <v>0</v>
          </cell>
        </row>
        <row r="135">
          <cell r="B135">
            <v>0</v>
          </cell>
        </row>
        <row r="136">
          <cell r="B136">
            <v>0</v>
          </cell>
        </row>
        <row r="137">
          <cell r="B137">
            <v>187.25</v>
          </cell>
        </row>
        <row r="138">
          <cell r="B138">
            <v>0</v>
          </cell>
        </row>
        <row r="139">
          <cell r="B139">
            <v>0</v>
          </cell>
        </row>
        <row r="140">
          <cell r="B140">
            <v>0</v>
          </cell>
        </row>
        <row r="142">
          <cell r="B142">
            <v>0</v>
          </cell>
        </row>
        <row r="143">
          <cell r="B143">
            <v>54.92</v>
          </cell>
        </row>
        <row r="145">
          <cell r="B145">
            <v>206.14</v>
          </cell>
        </row>
        <row r="146">
          <cell r="B146">
            <v>0</v>
          </cell>
        </row>
        <row r="147">
          <cell r="B147">
            <v>72.66</v>
          </cell>
        </row>
        <row r="148">
          <cell r="B148">
            <v>20</v>
          </cell>
        </row>
        <row r="149">
          <cell r="B149">
            <v>107.42999999999999</v>
          </cell>
        </row>
        <row r="150">
          <cell r="B150">
            <v>137.36000000000001</v>
          </cell>
        </row>
        <row r="151">
          <cell r="B151">
            <v>110</v>
          </cell>
        </row>
        <row r="152">
          <cell r="B152">
            <v>0</v>
          </cell>
        </row>
        <row r="153">
          <cell r="B153">
            <v>0</v>
          </cell>
        </row>
        <row r="154">
          <cell r="B154">
            <v>0</v>
          </cell>
        </row>
        <row r="155">
          <cell r="B155">
            <v>0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</row>
        <row r="160">
          <cell r="B160">
            <v>0</v>
          </cell>
        </row>
        <row r="161">
          <cell r="B161">
            <v>0</v>
          </cell>
        </row>
        <row r="163">
          <cell r="B163">
            <v>0</v>
          </cell>
        </row>
        <row r="164">
          <cell r="B164">
            <v>0</v>
          </cell>
        </row>
        <row r="165">
          <cell r="B165">
            <v>0</v>
          </cell>
        </row>
        <row r="166">
          <cell r="B166">
            <v>294</v>
          </cell>
        </row>
        <row r="167">
          <cell r="B167">
            <v>69.05</v>
          </cell>
        </row>
        <row r="171">
          <cell r="B171">
            <v>36.83</v>
          </cell>
        </row>
        <row r="172">
          <cell r="B172">
            <v>0</v>
          </cell>
        </row>
        <row r="173">
          <cell r="B173">
            <v>0</v>
          </cell>
        </row>
        <row r="174">
          <cell r="B174">
            <v>0</v>
          </cell>
        </row>
        <row r="175">
          <cell r="B175">
            <v>0</v>
          </cell>
        </row>
        <row r="176">
          <cell r="B176">
            <v>180.69</v>
          </cell>
        </row>
        <row r="177">
          <cell r="B177">
            <v>0</v>
          </cell>
        </row>
        <row r="178">
          <cell r="B178">
            <v>0</v>
          </cell>
        </row>
        <row r="179">
          <cell r="B179">
            <v>30.85</v>
          </cell>
        </row>
        <row r="180">
          <cell r="B180">
            <v>0</v>
          </cell>
        </row>
        <row r="181">
          <cell r="B181">
            <v>0</v>
          </cell>
        </row>
        <row r="182">
          <cell r="B182">
            <v>0</v>
          </cell>
        </row>
        <row r="183">
          <cell r="B183">
            <v>0</v>
          </cell>
        </row>
        <row r="184">
          <cell r="B184">
            <v>900</v>
          </cell>
        </row>
        <row r="185">
          <cell r="B185">
            <v>0</v>
          </cell>
        </row>
        <row r="186">
          <cell r="B186">
            <v>0</v>
          </cell>
        </row>
        <row r="187">
          <cell r="B187">
            <v>200</v>
          </cell>
        </row>
        <row r="188">
          <cell r="B188">
            <v>360</v>
          </cell>
        </row>
        <row r="189">
          <cell r="B189">
            <v>160</v>
          </cell>
        </row>
        <row r="190">
          <cell r="B190">
            <v>160</v>
          </cell>
        </row>
        <row r="191">
          <cell r="B191">
            <v>0</v>
          </cell>
        </row>
        <row r="192">
          <cell r="B192">
            <v>0</v>
          </cell>
        </row>
        <row r="193">
          <cell r="B193">
            <v>0</v>
          </cell>
        </row>
        <row r="194">
          <cell r="B194">
            <v>0</v>
          </cell>
        </row>
        <row r="195">
          <cell r="B195">
            <v>55.88</v>
          </cell>
        </row>
        <row r="196">
          <cell r="B196">
            <v>0</v>
          </cell>
        </row>
        <row r="197">
          <cell r="B197">
            <v>0</v>
          </cell>
        </row>
        <row r="198">
          <cell r="B198">
            <v>0</v>
          </cell>
        </row>
        <row r="199">
          <cell r="B199">
            <v>240</v>
          </cell>
        </row>
        <row r="200">
          <cell r="B200">
            <v>50</v>
          </cell>
        </row>
        <row r="201">
          <cell r="B201">
            <v>80</v>
          </cell>
        </row>
        <row r="202">
          <cell r="B202">
            <v>0</v>
          </cell>
        </row>
        <row r="203">
          <cell r="B203">
            <v>0</v>
          </cell>
        </row>
        <row r="204">
          <cell r="B204">
            <v>0</v>
          </cell>
        </row>
        <row r="205">
          <cell r="B205">
            <v>0</v>
          </cell>
        </row>
        <row r="206">
          <cell r="B206">
            <v>0</v>
          </cell>
        </row>
        <row r="207">
          <cell r="B207">
            <v>0</v>
          </cell>
        </row>
        <row r="208">
          <cell r="B208">
            <v>80</v>
          </cell>
        </row>
        <row r="209">
          <cell r="B209">
            <v>0</v>
          </cell>
        </row>
        <row r="210">
          <cell r="B210">
            <v>92.76</v>
          </cell>
        </row>
        <row r="211">
          <cell r="B211">
            <v>0</v>
          </cell>
        </row>
        <row r="212">
          <cell r="B212">
            <v>177.79</v>
          </cell>
        </row>
        <row r="213">
          <cell r="B213">
            <v>0</v>
          </cell>
        </row>
        <row r="214">
          <cell r="B214">
            <v>0</v>
          </cell>
        </row>
        <row r="215">
          <cell r="B215">
            <v>0</v>
          </cell>
        </row>
        <row r="216">
          <cell r="B216">
            <v>138.65</v>
          </cell>
        </row>
        <row r="217">
          <cell r="B217">
            <v>0</v>
          </cell>
        </row>
        <row r="218">
          <cell r="B218">
            <v>0</v>
          </cell>
        </row>
        <row r="219">
          <cell r="B219">
            <v>407.34</v>
          </cell>
        </row>
        <row r="221">
          <cell r="B221">
            <v>0</v>
          </cell>
        </row>
        <row r="222">
          <cell r="B222">
            <v>0</v>
          </cell>
        </row>
        <row r="223">
          <cell r="B223">
            <v>0</v>
          </cell>
        </row>
        <row r="224">
          <cell r="B224">
            <v>0</v>
          </cell>
        </row>
        <row r="225">
          <cell r="B225">
            <v>0</v>
          </cell>
        </row>
        <row r="226">
          <cell r="B226">
            <v>0</v>
          </cell>
        </row>
        <row r="227">
          <cell r="B227">
            <v>0</v>
          </cell>
        </row>
        <row r="228">
          <cell r="B228">
            <v>0</v>
          </cell>
        </row>
        <row r="229">
          <cell r="B229">
            <v>591.14</v>
          </cell>
        </row>
        <row r="232">
          <cell r="B232">
            <v>479.39</v>
          </cell>
        </row>
        <row r="233">
          <cell r="B233">
            <v>334.89</v>
          </cell>
        </row>
        <row r="234">
          <cell r="B234">
            <v>393.05</v>
          </cell>
        </row>
        <row r="235">
          <cell r="B235">
            <v>0</v>
          </cell>
        </row>
        <row r="236">
          <cell r="B236">
            <v>0</v>
          </cell>
        </row>
        <row r="237">
          <cell r="B237">
            <v>0</v>
          </cell>
        </row>
        <row r="238">
          <cell r="B238">
            <v>0</v>
          </cell>
        </row>
        <row r="239">
          <cell r="B239">
            <v>0</v>
          </cell>
        </row>
        <row r="240">
          <cell r="B240">
            <v>0</v>
          </cell>
        </row>
        <row r="241">
          <cell r="B241">
            <v>0</v>
          </cell>
        </row>
        <row r="242">
          <cell r="B242">
            <v>0</v>
          </cell>
        </row>
        <row r="243">
          <cell r="B243">
            <v>0</v>
          </cell>
        </row>
        <row r="244">
          <cell r="B244">
            <v>0</v>
          </cell>
        </row>
        <row r="245">
          <cell r="B245">
            <v>0</v>
          </cell>
        </row>
        <row r="246">
          <cell r="B246">
            <v>14</v>
          </cell>
        </row>
        <row r="247">
          <cell r="B247">
            <v>25.42</v>
          </cell>
        </row>
        <row r="248">
          <cell r="B248">
            <v>0</v>
          </cell>
        </row>
        <row r="249">
          <cell r="B249">
            <v>0</v>
          </cell>
        </row>
        <row r="250">
          <cell r="B250">
            <v>0</v>
          </cell>
        </row>
        <row r="251">
          <cell r="B251">
            <v>46.28</v>
          </cell>
        </row>
        <row r="252">
          <cell r="B252">
            <v>0</v>
          </cell>
        </row>
        <row r="253">
          <cell r="B253">
            <v>0</v>
          </cell>
        </row>
        <row r="254">
          <cell r="B254">
            <v>78.19</v>
          </cell>
        </row>
        <row r="255">
          <cell r="B255">
            <v>0</v>
          </cell>
        </row>
        <row r="256">
          <cell r="B256">
            <v>342</v>
          </cell>
        </row>
        <row r="257">
          <cell r="B257">
            <v>0</v>
          </cell>
        </row>
        <row r="258">
          <cell r="B258">
            <v>0</v>
          </cell>
        </row>
        <row r="259">
          <cell r="B259">
            <v>0</v>
          </cell>
        </row>
        <row r="260">
          <cell r="B260">
            <v>0</v>
          </cell>
        </row>
        <row r="261">
          <cell r="B261">
            <v>0</v>
          </cell>
        </row>
        <row r="262">
          <cell r="B262">
            <v>0</v>
          </cell>
        </row>
        <row r="265">
          <cell r="B265">
            <v>0</v>
          </cell>
        </row>
        <row r="266">
          <cell r="B266">
            <v>77.95</v>
          </cell>
        </row>
        <row r="267">
          <cell r="B267">
            <v>0</v>
          </cell>
        </row>
        <row r="268">
          <cell r="B268">
            <v>0</v>
          </cell>
        </row>
        <row r="269">
          <cell r="B269">
            <v>228.26</v>
          </cell>
        </row>
        <row r="270">
          <cell r="B270">
            <v>0</v>
          </cell>
        </row>
        <row r="271">
          <cell r="B271">
            <v>40</v>
          </cell>
        </row>
        <row r="276">
          <cell r="B276">
            <v>0</v>
          </cell>
        </row>
        <row r="291">
          <cell r="B291">
            <v>0</v>
          </cell>
        </row>
        <row r="292">
          <cell r="B292">
            <v>0</v>
          </cell>
        </row>
        <row r="293">
          <cell r="B293">
            <v>0</v>
          </cell>
        </row>
        <row r="294">
          <cell r="B294">
            <v>0</v>
          </cell>
        </row>
        <row r="295">
          <cell r="B295">
            <v>0</v>
          </cell>
        </row>
        <row r="296">
          <cell r="B296">
            <v>0</v>
          </cell>
        </row>
        <row r="297">
          <cell r="B297">
            <v>0</v>
          </cell>
        </row>
        <row r="298">
          <cell r="B298">
            <v>0</v>
          </cell>
        </row>
        <row r="299">
          <cell r="B299">
            <v>0</v>
          </cell>
        </row>
        <row r="300">
          <cell r="B300">
            <v>0</v>
          </cell>
        </row>
        <row r="301">
          <cell r="B301">
            <v>0</v>
          </cell>
        </row>
        <row r="302">
          <cell r="B302">
            <v>403</v>
          </cell>
        </row>
        <row r="303">
          <cell r="B303">
            <v>0</v>
          </cell>
        </row>
        <row r="304">
          <cell r="B304">
            <v>0</v>
          </cell>
        </row>
        <row r="305">
          <cell r="B305">
            <v>14.67</v>
          </cell>
        </row>
        <row r="306">
          <cell r="B306">
            <v>0</v>
          </cell>
        </row>
        <row r="307">
          <cell r="B307">
            <v>0</v>
          </cell>
        </row>
        <row r="308">
          <cell r="B308">
            <v>0</v>
          </cell>
        </row>
        <row r="309">
          <cell r="B309">
            <v>0</v>
          </cell>
        </row>
        <row r="310">
          <cell r="B310">
            <v>0</v>
          </cell>
        </row>
        <row r="311">
          <cell r="B311">
            <v>0</v>
          </cell>
        </row>
        <row r="312">
          <cell r="B312">
            <v>353.78</v>
          </cell>
        </row>
        <row r="313">
          <cell r="B313">
            <v>150</v>
          </cell>
        </row>
        <row r="314">
          <cell r="B314">
            <v>0</v>
          </cell>
        </row>
        <row r="315">
          <cell r="B315">
            <v>0</v>
          </cell>
        </row>
        <row r="316">
          <cell r="B316">
            <v>0</v>
          </cell>
        </row>
        <row r="317">
          <cell r="B317">
            <v>0</v>
          </cell>
        </row>
        <row r="318">
          <cell r="B318">
            <v>1886.8600000000001</v>
          </cell>
        </row>
        <row r="319">
          <cell r="B319">
            <v>0</v>
          </cell>
        </row>
        <row r="320">
          <cell r="B320">
            <v>355.55</v>
          </cell>
        </row>
        <row r="321">
          <cell r="B321">
            <v>86.5</v>
          </cell>
        </row>
        <row r="322">
          <cell r="B322">
            <v>56.5</v>
          </cell>
        </row>
        <row r="323">
          <cell r="B323">
            <v>0</v>
          </cell>
        </row>
        <row r="324">
          <cell r="B324">
            <v>0</v>
          </cell>
        </row>
        <row r="325">
          <cell r="B325">
            <v>180.99</v>
          </cell>
        </row>
        <row r="326">
          <cell r="B326">
            <v>25.87</v>
          </cell>
        </row>
        <row r="327">
          <cell r="B327">
            <v>0</v>
          </cell>
        </row>
        <row r="328">
          <cell r="B328">
            <v>30.79</v>
          </cell>
        </row>
        <row r="329">
          <cell r="B329">
            <v>0</v>
          </cell>
        </row>
        <row r="330">
          <cell r="B330">
            <v>4.5199999999999996</v>
          </cell>
        </row>
        <row r="331">
          <cell r="B331">
            <v>0</v>
          </cell>
        </row>
        <row r="332">
          <cell r="B332">
            <v>0</v>
          </cell>
        </row>
        <row r="333">
          <cell r="B333">
            <v>0</v>
          </cell>
        </row>
        <row r="334">
          <cell r="B334">
            <v>0</v>
          </cell>
        </row>
        <row r="335">
          <cell r="B335">
            <v>0</v>
          </cell>
        </row>
        <row r="336">
          <cell r="B336">
            <v>54.38</v>
          </cell>
        </row>
        <row r="337">
          <cell r="B337">
            <v>78.290000000000006</v>
          </cell>
        </row>
        <row r="338">
          <cell r="B338">
            <v>0</v>
          </cell>
        </row>
        <row r="339">
          <cell r="B339">
            <v>11.3</v>
          </cell>
        </row>
        <row r="340">
          <cell r="B340">
            <v>936.52</v>
          </cell>
        </row>
        <row r="341">
          <cell r="B341">
            <v>67.75</v>
          </cell>
        </row>
        <row r="342">
          <cell r="B342">
            <v>158.19999999999999</v>
          </cell>
        </row>
        <row r="343">
          <cell r="B343">
            <v>0</v>
          </cell>
        </row>
        <row r="344">
          <cell r="B344">
            <v>151.41999999999999</v>
          </cell>
        </row>
        <row r="345">
          <cell r="B345">
            <v>282.5</v>
          </cell>
        </row>
        <row r="346">
          <cell r="B346">
            <v>0</v>
          </cell>
        </row>
        <row r="347">
          <cell r="B347">
            <v>24.84</v>
          </cell>
        </row>
        <row r="348">
          <cell r="B348">
            <v>2.2599999999999998</v>
          </cell>
        </row>
        <row r="349">
          <cell r="B349">
            <v>1352</v>
          </cell>
        </row>
        <row r="350">
          <cell r="B350">
            <v>200</v>
          </cell>
        </row>
        <row r="351">
          <cell r="B351">
            <v>23.36</v>
          </cell>
        </row>
        <row r="352">
          <cell r="B352">
            <v>24.01</v>
          </cell>
        </row>
        <row r="353">
          <cell r="B353">
            <v>1577.48</v>
          </cell>
        </row>
        <row r="354">
          <cell r="B354">
            <v>94.42</v>
          </cell>
        </row>
        <row r="355">
          <cell r="B355">
            <v>176.28</v>
          </cell>
        </row>
        <row r="356">
          <cell r="B356">
            <v>125</v>
          </cell>
        </row>
        <row r="357">
          <cell r="B357">
            <v>0</v>
          </cell>
        </row>
        <row r="358">
          <cell r="B358">
            <v>0</v>
          </cell>
        </row>
        <row r="359">
          <cell r="B359">
            <v>50.58</v>
          </cell>
        </row>
        <row r="360">
          <cell r="B360">
            <v>16.920000000000002</v>
          </cell>
        </row>
        <row r="361">
          <cell r="B361">
            <v>2842.78</v>
          </cell>
        </row>
        <row r="362">
          <cell r="B362">
            <v>0</v>
          </cell>
        </row>
        <row r="363">
          <cell r="B363">
            <v>0</v>
          </cell>
        </row>
        <row r="364">
          <cell r="B364">
            <v>0</v>
          </cell>
        </row>
        <row r="365">
          <cell r="B365">
            <v>0</v>
          </cell>
        </row>
        <row r="366">
          <cell r="B366">
            <v>0</v>
          </cell>
        </row>
        <row r="367">
          <cell r="B367">
            <v>444.49</v>
          </cell>
        </row>
        <row r="368">
          <cell r="B368">
            <v>728</v>
          </cell>
        </row>
        <row r="369">
          <cell r="B369">
            <v>728</v>
          </cell>
        </row>
        <row r="370">
          <cell r="B370">
            <v>242.43</v>
          </cell>
        </row>
        <row r="371">
          <cell r="B371">
            <v>394.64</v>
          </cell>
        </row>
        <row r="372">
          <cell r="B372">
            <v>1949.25</v>
          </cell>
        </row>
        <row r="373">
          <cell r="B373">
            <v>1949.25</v>
          </cell>
        </row>
        <row r="374">
          <cell r="B374">
            <v>0</v>
          </cell>
        </row>
        <row r="375">
          <cell r="B375">
            <v>301.88</v>
          </cell>
        </row>
        <row r="376">
          <cell r="B376">
            <v>837.37</v>
          </cell>
        </row>
        <row r="377">
          <cell r="B377">
            <v>871.23</v>
          </cell>
        </row>
        <row r="378">
          <cell r="B378">
            <v>114.565</v>
          </cell>
        </row>
        <row r="379">
          <cell r="B379">
            <v>114.565</v>
          </cell>
        </row>
        <row r="380">
          <cell r="B380">
            <v>206.23</v>
          </cell>
        </row>
        <row r="381">
          <cell r="B381">
            <v>150.88</v>
          </cell>
        </row>
        <row r="382">
          <cell r="B382">
            <v>292.5</v>
          </cell>
        </row>
        <row r="383">
          <cell r="B383">
            <v>392.8</v>
          </cell>
        </row>
        <row r="384">
          <cell r="B384">
            <v>283</v>
          </cell>
        </row>
        <row r="385">
          <cell r="B385">
            <v>0</v>
          </cell>
        </row>
        <row r="386">
          <cell r="B386">
            <v>115</v>
          </cell>
        </row>
        <row r="387">
          <cell r="B387">
            <v>0</v>
          </cell>
        </row>
        <row r="388">
          <cell r="B388">
            <v>0</v>
          </cell>
        </row>
        <row r="389">
          <cell r="B389">
            <v>0</v>
          </cell>
        </row>
        <row r="390">
          <cell r="B390">
            <v>0</v>
          </cell>
        </row>
        <row r="391">
          <cell r="B391">
            <v>0</v>
          </cell>
        </row>
        <row r="392">
          <cell r="B392">
            <v>0</v>
          </cell>
        </row>
        <row r="393">
          <cell r="B393">
            <v>0</v>
          </cell>
        </row>
        <row r="394">
          <cell r="B394">
            <v>0</v>
          </cell>
        </row>
        <row r="395">
          <cell r="B395">
            <v>0</v>
          </cell>
        </row>
        <row r="396">
          <cell r="B396">
            <v>0</v>
          </cell>
        </row>
        <row r="397">
          <cell r="B397">
            <v>190.97</v>
          </cell>
        </row>
        <row r="398">
          <cell r="B398">
            <v>0</v>
          </cell>
        </row>
        <row r="399">
          <cell r="B399">
            <v>0</v>
          </cell>
        </row>
        <row r="400">
          <cell r="B400">
            <v>0</v>
          </cell>
        </row>
        <row r="401">
          <cell r="B401">
            <v>3522.18</v>
          </cell>
        </row>
        <row r="402">
          <cell r="B402">
            <v>0</v>
          </cell>
        </row>
        <row r="403">
          <cell r="B403">
            <v>0</v>
          </cell>
        </row>
        <row r="404">
          <cell r="B404">
            <v>60</v>
          </cell>
        </row>
        <row r="405">
          <cell r="B405">
            <v>0</v>
          </cell>
        </row>
        <row r="406">
          <cell r="B406">
            <v>0</v>
          </cell>
        </row>
        <row r="407">
          <cell r="B407">
            <v>0</v>
          </cell>
        </row>
        <row r="408">
          <cell r="B408">
            <v>0</v>
          </cell>
        </row>
        <row r="409">
          <cell r="B409">
            <v>0</v>
          </cell>
        </row>
        <row r="410">
          <cell r="B410">
            <v>0</v>
          </cell>
        </row>
        <row r="411">
          <cell r="B411">
            <v>0</v>
          </cell>
        </row>
        <row r="412">
          <cell r="B412">
            <v>0</v>
          </cell>
        </row>
        <row r="413">
          <cell r="B413">
            <v>84.75</v>
          </cell>
        </row>
        <row r="414">
          <cell r="B414">
            <v>224.51</v>
          </cell>
        </row>
        <row r="416">
          <cell r="B416">
            <v>233.98</v>
          </cell>
        </row>
        <row r="417">
          <cell r="B417">
            <v>233.98</v>
          </cell>
        </row>
        <row r="418">
          <cell r="B418">
            <v>224.92</v>
          </cell>
        </row>
        <row r="419">
          <cell r="B419">
            <v>235.14</v>
          </cell>
        </row>
        <row r="420">
          <cell r="B420">
            <v>0</v>
          </cell>
        </row>
        <row r="421">
          <cell r="B421">
            <v>0</v>
          </cell>
        </row>
        <row r="422">
          <cell r="B422">
            <v>211.32</v>
          </cell>
        </row>
        <row r="423">
          <cell r="B423">
            <v>225.17</v>
          </cell>
        </row>
        <row r="424">
          <cell r="B424">
            <v>256.48</v>
          </cell>
        </row>
        <row r="425">
          <cell r="B425">
            <v>0</v>
          </cell>
        </row>
        <row r="426">
          <cell r="B426">
            <v>0</v>
          </cell>
        </row>
        <row r="427">
          <cell r="B427">
            <v>0</v>
          </cell>
        </row>
        <row r="428">
          <cell r="B428">
            <v>0</v>
          </cell>
        </row>
        <row r="429">
          <cell r="B429">
            <v>0</v>
          </cell>
        </row>
        <row r="430">
          <cell r="B430">
            <v>0</v>
          </cell>
        </row>
        <row r="431">
          <cell r="B431">
            <v>185.19</v>
          </cell>
        </row>
        <row r="432">
          <cell r="B432">
            <v>0</v>
          </cell>
        </row>
        <row r="433">
          <cell r="B433">
            <v>0</v>
          </cell>
        </row>
        <row r="434">
          <cell r="B434">
            <v>0</v>
          </cell>
        </row>
        <row r="435">
          <cell r="B435">
            <v>129.97999999999999</v>
          </cell>
        </row>
        <row r="436">
          <cell r="B436">
            <v>50</v>
          </cell>
        </row>
        <row r="437">
          <cell r="B437">
            <v>112.73</v>
          </cell>
        </row>
        <row r="438">
          <cell r="B438">
            <v>0</v>
          </cell>
        </row>
        <row r="439">
          <cell r="B439">
            <v>0</v>
          </cell>
        </row>
        <row r="440">
          <cell r="B440">
            <v>713.2</v>
          </cell>
        </row>
        <row r="441">
          <cell r="B441">
            <v>84.75</v>
          </cell>
        </row>
        <row r="442">
          <cell r="B442">
            <v>0</v>
          </cell>
        </row>
        <row r="443">
          <cell r="B443">
            <v>0</v>
          </cell>
        </row>
        <row r="444">
          <cell r="B444">
            <v>0</v>
          </cell>
        </row>
        <row r="445">
          <cell r="B445">
            <v>0</v>
          </cell>
        </row>
        <row r="446">
          <cell r="B446">
            <v>0</v>
          </cell>
        </row>
        <row r="447">
          <cell r="B447">
            <v>0</v>
          </cell>
        </row>
        <row r="448">
          <cell r="B448">
            <v>0</v>
          </cell>
        </row>
        <row r="449">
          <cell r="B449">
            <v>0</v>
          </cell>
        </row>
        <row r="450">
          <cell r="B450">
            <v>0</v>
          </cell>
        </row>
        <row r="451">
          <cell r="B451">
            <v>0</v>
          </cell>
        </row>
        <row r="452">
          <cell r="B452">
            <v>0</v>
          </cell>
        </row>
        <row r="453">
          <cell r="B453">
            <v>0</v>
          </cell>
        </row>
        <row r="454">
          <cell r="B454">
            <v>0</v>
          </cell>
        </row>
        <row r="455">
          <cell r="B455">
            <v>0</v>
          </cell>
        </row>
        <row r="456">
          <cell r="B456">
            <v>0</v>
          </cell>
        </row>
        <row r="457">
          <cell r="B457">
            <v>0</v>
          </cell>
        </row>
        <row r="458">
          <cell r="B458">
            <v>0</v>
          </cell>
        </row>
        <row r="459">
          <cell r="B459">
            <v>0</v>
          </cell>
        </row>
        <row r="460">
          <cell r="B460">
            <v>0</v>
          </cell>
        </row>
        <row r="462">
          <cell r="B462">
            <v>86.95</v>
          </cell>
        </row>
        <row r="463">
          <cell r="B463">
            <v>217.77</v>
          </cell>
        </row>
        <row r="464">
          <cell r="B464">
            <v>0</v>
          </cell>
        </row>
        <row r="465">
          <cell r="B465">
            <v>0</v>
          </cell>
        </row>
        <row r="466">
          <cell r="B466">
            <v>0</v>
          </cell>
        </row>
        <row r="467">
          <cell r="B467">
            <v>432.23</v>
          </cell>
        </row>
        <row r="468">
          <cell r="B468">
            <v>697.05000000000007</v>
          </cell>
        </row>
        <row r="469">
          <cell r="B469">
            <v>0</v>
          </cell>
        </row>
        <row r="470">
          <cell r="B470">
            <v>1786.0616883116882</v>
          </cell>
        </row>
        <row r="471">
          <cell r="B471">
            <v>520.67012987012993</v>
          </cell>
        </row>
        <row r="472">
          <cell r="B472">
            <v>423.04448051948043</v>
          </cell>
        </row>
        <row r="473">
          <cell r="B473">
            <v>1496.9266233766234</v>
          </cell>
        </row>
        <row r="474">
          <cell r="B474">
            <v>130.16753246753248</v>
          </cell>
        </row>
        <row r="475">
          <cell r="B475">
            <v>97.625649350649354</v>
          </cell>
        </row>
        <row r="476">
          <cell r="B476">
            <v>585.75441558441548</v>
          </cell>
        </row>
        <row r="477">
          <cell r="B477">
            <v>0</v>
          </cell>
        </row>
        <row r="478">
          <cell r="B478">
            <v>0</v>
          </cell>
        </row>
        <row r="479">
          <cell r="B479">
            <v>0</v>
          </cell>
        </row>
        <row r="480">
          <cell r="B480">
            <v>0</v>
          </cell>
        </row>
        <row r="481">
          <cell r="B481">
            <v>0</v>
          </cell>
        </row>
        <row r="482">
          <cell r="B482">
            <v>2077.44</v>
          </cell>
        </row>
        <row r="483">
          <cell r="B483">
            <v>779.1</v>
          </cell>
        </row>
        <row r="485">
          <cell r="B485">
            <v>0</v>
          </cell>
        </row>
        <row r="486">
          <cell r="B486">
            <v>0</v>
          </cell>
        </row>
        <row r="487">
          <cell r="B487">
            <v>20.350000000000001</v>
          </cell>
        </row>
        <row r="488">
          <cell r="B488">
            <v>29.59</v>
          </cell>
        </row>
        <row r="489">
          <cell r="B489">
            <v>0</v>
          </cell>
        </row>
        <row r="490">
          <cell r="B490">
            <v>515.72</v>
          </cell>
        </row>
        <row r="491">
          <cell r="B491">
            <v>3446.5</v>
          </cell>
        </row>
        <row r="492">
          <cell r="B492">
            <v>0</v>
          </cell>
        </row>
        <row r="493">
          <cell r="B493">
            <v>82.44</v>
          </cell>
        </row>
        <row r="494">
          <cell r="B494">
            <v>0</v>
          </cell>
        </row>
        <row r="495">
          <cell r="B495">
            <v>0</v>
          </cell>
        </row>
        <row r="496">
          <cell r="B496">
            <v>0</v>
          </cell>
        </row>
        <row r="497">
          <cell r="B497">
            <v>116.6</v>
          </cell>
        </row>
        <row r="498">
          <cell r="B498">
            <v>59</v>
          </cell>
        </row>
        <row r="499">
          <cell r="B499">
            <v>0</v>
          </cell>
        </row>
        <row r="500">
          <cell r="B500">
            <v>113</v>
          </cell>
        </row>
        <row r="501">
          <cell r="B501">
            <v>39.119999999999997</v>
          </cell>
        </row>
        <row r="502">
          <cell r="B502">
            <v>0</v>
          </cell>
        </row>
        <row r="503">
          <cell r="B503">
            <v>0</v>
          </cell>
        </row>
        <row r="504">
          <cell r="B504">
            <v>295.88</v>
          </cell>
        </row>
        <row r="505">
          <cell r="B505">
            <v>0</v>
          </cell>
        </row>
        <row r="506">
          <cell r="B506">
            <v>0</v>
          </cell>
        </row>
        <row r="507">
          <cell r="B507">
            <v>233.91000000000003</v>
          </cell>
        </row>
        <row r="508">
          <cell r="B508">
            <v>0</v>
          </cell>
        </row>
        <row r="509">
          <cell r="B509">
            <v>0</v>
          </cell>
        </row>
        <row r="510">
          <cell r="B510">
            <v>0</v>
          </cell>
        </row>
        <row r="511">
          <cell r="B511">
            <v>0</v>
          </cell>
        </row>
        <row r="512">
          <cell r="B512">
            <v>0</v>
          </cell>
        </row>
        <row r="513">
          <cell r="B513">
            <v>762.3</v>
          </cell>
        </row>
        <row r="514">
          <cell r="B514">
            <v>0</v>
          </cell>
        </row>
        <row r="515">
          <cell r="B515">
            <v>0</v>
          </cell>
        </row>
        <row r="518">
          <cell r="B518">
            <v>122.36</v>
          </cell>
        </row>
        <row r="519">
          <cell r="B519">
            <v>0</v>
          </cell>
        </row>
        <row r="520">
          <cell r="B520">
            <v>0</v>
          </cell>
        </row>
        <row r="521">
          <cell r="B521">
            <v>624.08000000000004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67DA8-F06F-4BE0-A976-72D4E6F55072}">
  <sheetPr codeName="Sheet1"/>
  <dimension ref="A1:I123"/>
  <sheetViews>
    <sheetView zoomScale="80" zoomScaleNormal="80" workbookViewId="0">
      <selection activeCell="H86" sqref="H86"/>
    </sheetView>
  </sheetViews>
  <sheetFormatPr defaultColWidth="12.28515625" defaultRowHeight="15" x14ac:dyDescent="0.25"/>
  <cols>
    <col min="2" max="2" width="44.42578125" bestFit="1" customWidth="1"/>
    <col min="3" max="3" width="37.28515625" customWidth="1"/>
    <col min="4" max="4" width="33.28515625" customWidth="1"/>
    <col min="5" max="5" width="18.7109375" bestFit="1" customWidth="1"/>
    <col min="6" max="6" width="52" customWidth="1"/>
  </cols>
  <sheetData>
    <row r="1" spans="1:9" ht="38.25" customHeight="1" x14ac:dyDescent="0.25">
      <c r="A1" s="104"/>
      <c r="B1" s="103"/>
      <c r="C1" s="107" t="s">
        <v>88</v>
      </c>
      <c r="D1" s="106"/>
      <c r="E1" s="106"/>
      <c r="F1" s="105"/>
    </row>
    <row r="2" spans="1:9" ht="38.25" customHeight="1" x14ac:dyDescent="0.25">
      <c r="A2" s="104"/>
      <c r="B2" s="103"/>
      <c r="C2" s="102"/>
      <c r="D2" s="101"/>
      <c r="E2" s="101"/>
      <c r="F2" s="100"/>
    </row>
    <row r="3" spans="1:9" ht="38.25" customHeight="1" x14ac:dyDescent="0.25">
      <c r="A3" s="104"/>
      <c r="B3" s="103"/>
      <c r="C3" s="102"/>
      <c r="D3" s="101"/>
      <c r="E3" s="101"/>
      <c r="F3" s="100"/>
    </row>
    <row r="4" spans="1:9" ht="38.25" customHeight="1" x14ac:dyDescent="0.25">
      <c r="A4" s="99"/>
      <c r="B4" s="98"/>
      <c r="C4" s="97"/>
      <c r="D4" s="96"/>
      <c r="E4" s="96"/>
      <c r="F4" s="95"/>
    </row>
    <row r="5" spans="1:9" ht="17.25" x14ac:dyDescent="0.3">
      <c r="A5" s="94"/>
      <c r="B5" s="93"/>
      <c r="C5" s="91" t="s">
        <v>87</v>
      </c>
      <c r="D5" s="91"/>
      <c r="E5" s="92" t="s">
        <v>86</v>
      </c>
      <c r="F5" s="91"/>
    </row>
    <row r="6" spans="1:9" ht="17.25" x14ac:dyDescent="0.3">
      <c r="A6" s="90" t="s">
        <v>85</v>
      </c>
      <c r="B6" s="89"/>
      <c r="C6" s="88" t="s">
        <v>83</v>
      </c>
      <c r="D6" s="86" t="s">
        <v>84</v>
      </c>
      <c r="E6" s="87" t="s">
        <v>83</v>
      </c>
      <c r="F6" s="86" t="s">
        <v>82</v>
      </c>
    </row>
    <row r="7" spans="1:9" ht="17.25" x14ac:dyDescent="0.3">
      <c r="A7" s="85"/>
      <c r="B7" s="84"/>
      <c r="C7" s="83"/>
      <c r="D7" s="82"/>
      <c r="E7" s="81"/>
      <c r="F7" s="80"/>
    </row>
    <row r="8" spans="1:9" ht="17.25" x14ac:dyDescent="0.3">
      <c r="A8" s="61" t="s">
        <v>81</v>
      </c>
      <c r="B8" s="60"/>
      <c r="C8" s="58"/>
      <c r="D8" s="58"/>
      <c r="E8" s="79"/>
      <c r="F8" s="78"/>
    </row>
    <row r="9" spans="1:9" ht="17.25" x14ac:dyDescent="0.3">
      <c r="A9" s="31" t="s">
        <v>80</v>
      </c>
      <c r="B9" s="40"/>
      <c r="C9" s="77"/>
      <c r="D9" s="77"/>
      <c r="E9" s="76"/>
      <c r="F9" s="75"/>
    </row>
    <row r="10" spans="1:9" ht="17.25" x14ac:dyDescent="0.3">
      <c r="A10" s="36"/>
      <c r="B10" s="74" t="s">
        <v>79</v>
      </c>
      <c r="C10" s="67">
        <f>General!H7</f>
        <v>0</v>
      </c>
      <c r="D10" s="66"/>
      <c r="E10" s="67">
        <v>2100</v>
      </c>
      <c r="F10" s="52">
        <v>2169.5</v>
      </c>
    </row>
    <row r="11" spans="1:9" ht="17.25" x14ac:dyDescent="0.3">
      <c r="A11" s="28"/>
      <c r="B11" s="45" t="s">
        <v>78</v>
      </c>
      <c r="C11" s="33">
        <f>General!H9</f>
        <v>3821.5520000000001</v>
      </c>
      <c r="D11" s="34">
        <f>General!I9</f>
        <v>2069.83</v>
      </c>
      <c r="E11" s="33">
        <v>5400</v>
      </c>
      <c r="F11" s="69">
        <v>10252</v>
      </c>
    </row>
    <row r="12" spans="1:9" ht="17.25" x14ac:dyDescent="0.3">
      <c r="A12" s="28"/>
      <c r="B12" s="71" t="s">
        <v>54</v>
      </c>
      <c r="C12" s="67">
        <f>General!H11</f>
        <v>700</v>
      </c>
      <c r="D12" s="66"/>
      <c r="E12" s="67" t="str">
        <f>General!J11</f>
        <v>TBD</v>
      </c>
      <c r="F12" s="70">
        <v>466</v>
      </c>
    </row>
    <row r="13" spans="1:9" ht="17.25" x14ac:dyDescent="0.3">
      <c r="A13" s="28"/>
      <c r="B13" s="45" t="s">
        <v>77</v>
      </c>
      <c r="C13" s="33">
        <f>General!H13</f>
        <v>38417.399999999994</v>
      </c>
      <c r="D13" s="34">
        <f>3247*12</f>
        <v>38964</v>
      </c>
      <c r="E13" s="33">
        <v>37695.360000000001</v>
      </c>
      <c r="F13" s="69">
        <v>25611.599999999999</v>
      </c>
    </row>
    <row r="14" spans="1:9" ht="17.25" x14ac:dyDescent="0.3">
      <c r="A14" s="28"/>
      <c r="B14" s="71" t="s">
        <v>76</v>
      </c>
      <c r="C14" s="67">
        <f>General!H15</f>
        <v>8000</v>
      </c>
      <c r="D14" s="66">
        <f>General!I15</f>
        <v>10299.950000000001</v>
      </c>
      <c r="E14" s="73">
        <v>8000</v>
      </c>
      <c r="F14" s="70">
        <v>9040</v>
      </c>
    </row>
    <row r="15" spans="1:9" ht="17.25" x14ac:dyDescent="0.3">
      <c r="A15" s="28"/>
      <c r="B15" s="45" t="s">
        <v>75</v>
      </c>
      <c r="C15" s="33">
        <f>General!H17</f>
        <v>184410</v>
      </c>
      <c r="D15" s="34">
        <f>General!I17+17691</f>
        <v>117251.81</v>
      </c>
      <c r="E15" s="33">
        <v>169568</v>
      </c>
      <c r="F15" s="69">
        <v>94256.16</v>
      </c>
      <c r="I15" s="72"/>
    </row>
    <row r="16" spans="1:9" ht="17.25" x14ac:dyDescent="0.3">
      <c r="A16" s="28"/>
      <c r="B16" s="71" t="s">
        <v>74</v>
      </c>
      <c r="C16" s="67">
        <f>General!H19+General!H20</f>
        <v>10749.25</v>
      </c>
      <c r="D16" s="66">
        <f>SUM(General!I19:I20)</f>
        <v>15331.68</v>
      </c>
      <c r="E16" s="67">
        <v>12666</v>
      </c>
      <c r="F16" s="70">
        <v>5199.99</v>
      </c>
    </row>
    <row r="17" spans="1:6" ht="17.25" x14ac:dyDescent="0.3">
      <c r="A17" s="28"/>
      <c r="B17" s="45" t="s">
        <v>73</v>
      </c>
      <c r="C17" s="33">
        <f>General!H22</f>
        <v>22165.82</v>
      </c>
      <c r="D17" s="34">
        <f>General!I22</f>
        <v>22165.82</v>
      </c>
      <c r="E17" s="33">
        <v>22152.5</v>
      </c>
      <c r="F17" s="69">
        <v>7925.89</v>
      </c>
    </row>
    <row r="18" spans="1:6" ht="17.25" x14ac:dyDescent="0.3">
      <c r="A18" s="28"/>
      <c r="B18" s="45"/>
      <c r="C18" s="33"/>
      <c r="D18" s="32"/>
      <c r="E18" s="33"/>
      <c r="F18" s="32"/>
    </row>
    <row r="19" spans="1:6" ht="17.25" x14ac:dyDescent="0.3">
      <c r="A19" s="36"/>
      <c r="B19" s="31" t="s">
        <v>72</v>
      </c>
      <c r="C19" s="29">
        <f>SUM(C10:C17)</f>
        <v>268264.022</v>
      </c>
      <c r="D19" s="30">
        <f>SUM(D11:D17)</f>
        <v>206083.09</v>
      </c>
      <c r="E19" s="29">
        <f>SUM(E10:E17)</f>
        <v>257581.86</v>
      </c>
      <c r="F19" s="30"/>
    </row>
    <row r="20" spans="1:6" ht="17.25" x14ac:dyDescent="0.3">
      <c r="A20" s="36"/>
      <c r="B20" s="43"/>
      <c r="C20" s="42"/>
      <c r="D20" s="42"/>
      <c r="E20" s="42"/>
      <c r="F20" s="41"/>
    </row>
    <row r="21" spans="1:6" ht="17.25" x14ac:dyDescent="0.3">
      <c r="A21" s="31" t="s">
        <v>71</v>
      </c>
      <c r="B21" s="40"/>
      <c r="C21" s="38"/>
      <c r="D21" s="38"/>
      <c r="E21" s="38"/>
      <c r="F21" s="65"/>
    </row>
    <row r="22" spans="1:6" ht="17.25" x14ac:dyDescent="0.3">
      <c r="A22" s="28"/>
      <c r="B22" s="49" t="s">
        <v>48</v>
      </c>
      <c r="C22" s="33">
        <v>0</v>
      </c>
      <c r="D22" s="34">
        <v>0</v>
      </c>
      <c r="E22" s="33">
        <v>4000</v>
      </c>
      <c r="F22" s="34">
        <v>1299.57</v>
      </c>
    </row>
    <row r="23" spans="1:6" ht="17.25" x14ac:dyDescent="0.3">
      <c r="A23" s="28"/>
      <c r="B23" s="49" t="s">
        <v>47</v>
      </c>
      <c r="C23" s="33">
        <f>'Vice President Operations'!H6</f>
        <v>0</v>
      </c>
      <c r="D23" s="34">
        <v>0</v>
      </c>
      <c r="E23" s="33">
        <v>0</v>
      </c>
      <c r="F23" s="34">
        <v>12203.59</v>
      </c>
    </row>
    <row r="24" spans="1:6" ht="17.25" x14ac:dyDescent="0.3">
      <c r="A24" s="28"/>
      <c r="B24" s="49" t="s">
        <v>46</v>
      </c>
      <c r="C24" s="33">
        <f>'Vice President Student Affairs'!H6</f>
        <v>0</v>
      </c>
      <c r="D24" s="34">
        <v>0</v>
      </c>
      <c r="E24" s="33">
        <v>0</v>
      </c>
      <c r="F24" s="34">
        <v>0</v>
      </c>
    </row>
    <row r="25" spans="1:6" ht="17.25" x14ac:dyDescent="0.3">
      <c r="A25" s="28"/>
      <c r="B25" s="49" t="s">
        <v>45</v>
      </c>
      <c r="C25" s="33">
        <v>0</v>
      </c>
      <c r="D25" s="34">
        <v>0</v>
      </c>
      <c r="E25" s="33">
        <v>33380</v>
      </c>
      <c r="F25" s="34">
        <v>33965.96</v>
      </c>
    </row>
    <row r="26" spans="1:6" ht="17.25" x14ac:dyDescent="0.3">
      <c r="A26" s="28"/>
      <c r="B26" s="49" t="s">
        <v>44</v>
      </c>
      <c r="C26" s="33">
        <f>'Comm '!H6</f>
        <v>0</v>
      </c>
      <c r="D26" s="34">
        <v>0</v>
      </c>
      <c r="E26" s="33">
        <v>0</v>
      </c>
      <c r="F26" s="34">
        <v>0</v>
      </c>
    </row>
    <row r="27" spans="1:6" ht="17.25" x14ac:dyDescent="0.3">
      <c r="A27" s="28"/>
      <c r="B27" s="49" t="s">
        <v>43</v>
      </c>
      <c r="C27" s="33">
        <f>'Comm '!H6</f>
        <v>0</v>
      </c>
      <c r="D27" s="34">
        <f>'Community Outreach'!J23</f>
        <v>641.20000000000005</v>
      </c>
      <c r="E27" s="33">
        <v>0</v>
      </c>
      <c r="F27" s="34">
        <v>448</v>
      </c>
    </row>
    <row r="28" spans="1:6" ht="17.25" x14ac:dyDescent="0.3">
      <c r="A28" s="28"/>
      <c r="B28" s="49" t="s">
        <v>42</v>
      </c>
      <c r="C28" s="33">
        <v>0</v>
      </c>
      <c r="D28" s="34">
        <v>0</v>
      </c>
      <c r="E28" s="33">
        <v>0</v>
      </c>
      <c r="F28" s="34">
        <v>0</v>
      </c>
    </row>
    <row r="29" spans="1:6" ht="17.25" x14ac:dyDescent="0.3">
      <c r="A29" s="28"/>
      <c r="B29" s="49" t="s">
        <v>41</v>
      </c>
      <c r="C29" s="33">
        <f>Design!H6</f>
        <v>0</v>
      </c>
      <c r="D29" s="34">
        <v>0</v>
      </c>
      <c r="E29" s="33">
        <v>0</v>
      </c>
      <c r="F29" s="34">
        <v>0</v>
      </c>
    </row>
    <row r="30" spans="1:6" ht="17.25" x14ac:dyDescent="0.3">
      <c r="A30" s="28"/>
      <c r="B30" s="49" t="s">
        <v>40</v>
      </c>
      <c r="C30" s="33">
        <f>Events!H351</f>
        <v>21055.395</v>
      </c>
      <c r="D30" s="34">
        <f>Events!J351</f>
        <v>6007.31</v>
      </c>
      <c r="E30" s="33">
        <v>21333</v>
      </c>
      <c r="F30" s="34">
        <v>10951.35</v>
      </c>
    </row>
    <row r="31" spans="1:6" ht="17.25" x14ac:dyDescent="0.3">
      <c r="A31" s="28"/>
      <c r="B31" s="49" t="s">
        <v>39</v>
      </c>
      <c r="C31" s="33">
        <f>'First Year'!H82</f>
        <v>5084.9999999999991</v>
      </c>
      <c r="D31" s="34">
        <f>'First Year'!J82</f>
        <v>2842.78</v>
      </c>
      <c r="E31" s="33">
        <v>4520</v>
      </c>
      <c r="F31" s="34">
        <v>1177.58</v>
      </c>
    </row>
    <row r="32" spans="1:6" ht="17.25" x14ac:dyDescent="0.3">
      <c r="A32" s="28"/>
      <c r="B32" s="49" t="s">
        <v>38</v>
      </c>
      <c r="C32" s="33">
        <v>0</v>
      </c>
      <c r="D32" s="34">
        <v>0</v>
      </c>
      <c r="E32" s="33">
        <v>0</v>
      </c>
      <c r="F32" s="34">
        <v>0</v>
      </c>
    </row>
    <row r="33" spans="1:6" ht="17.25" x14ac:dyDescent="0.3">
      <c r="A33" s="28"/>
      <c r="B33" s="68" t="s">
        <v>37</v>
      </c>
      <c r="C33" s="67">
        <v>0</v>
      </c>
      <c r="D33" s="66">
        <v>0</v>
      </c>
      <c r="E33" s="67">
        <v>0</v>
      </c>
      <c r="F33" s="66">
        <v>0</v>
      </c>
    </row>
    <row r="34" spans="1:6" ht="17.25" x14ac:dyDescent="0.3">
      <c r="A34" s="28"/>
      <c r="B34" s="49" t="s">
        <v>36</v>
      </c>
      <c r="C34" s="33">
        <v>0</v>
      </c>
      <c r="D34" s="34">
        <v>0</v>
      </c>
      <c r="E34" s="33">
        <v>1678.05</v>
      </c>
      <c r="F34" s="34">
        <v>300</v>
      </c>
    </row>
    <row r="35" spans="1:6" ht="17.25" x14ac:dyDescent="0.3">
      <c r="A35" s="28"/>
      <c r="B35" s="68" t="s">
        <v>35</v>
      </c>
      <c r="C35" s="67">
        <v>0</v>
      </c>
      <c r="D35" s="66">
        <v>0</v>
      </c>
      <c r="E35" s="67">
        <v>0</v>
      </c>
      <c r="F35" s="66">
        <v>0</v>
      </c>
    </row>
    <row r="36" spans="1:6" ht="17.25" x14ac:dyDescent="0.3">
      <c r="A36" s="28"/>
      <c r="B36" s="49" t="s">
        <v>34</v>
      </c>
      <c r="C36" s="33">
        <f>PD!H92</f>
        <v>16350</v>
      </c>
      <c r="D36" s="34">
        <f>PD!J92</f>
        <v>3086.54</v>
      </c>
      <c r="E36" s="33">
        <v>23400</v>
      </c>
      <c r="F36" s="34">
        <v>3649.82</v>
      </c>
    </row>
    <row r="37" spans="1:6" ht="17.25" x14ac:dyDescent="0.3">
      <c r="A37" s="28"/>
      <c r="B37" s="49" t="s">
        <v>33</v>
      </c>
      <c r="C37" s="33">
        <v>0</v>
      </c>
      <c r="D37" s="34">
        <v>0</v>
      </c>
      <c r="E37" s="33">
        <v>0</v>
      </c>
      <c r="F37" s="34">
        <v>0</v>
      </c>
    </row>
    <row r="38" spans="1:6" ht="17.25" x14ac:dyDescent="0.3">
      <c r="A38" s="28"/>
      <c r="B38" s="45"/>
      <c r="C38" s="33"/>
      <c r="D38" s="34"/>
      <c r="E38" s="33"/>
      <c r="F38" s="34"/>
    </row>
    <row r="39" spans="1:6" ht="17.25" x14ac:dyDescent="0.3">
      <c r="A39" s="36"/>
      <c r="B39" s="31" t="s">
        <v>70</v>
      </c>
      <c r="C39" s="29">
        <f>SUM(C22:C38)</f>
        <v>42490.395000000004</v>
      </c>
      <c r="D39" s="30">
        <f>SUM(D22:D37)</f>
        <v>12577.830000000002</v>
      </c>
      <c r="E39" s="29">
        <f>SUM(E22:E38)</f>
        <v>88311.05</v>
      </c>
      <c r="F39" s="29">
        <f>SUM(F22:F38)</f>
        <v>63995.869999999995</v>
      </c>
    </row>
    <row r="40" spans="1:6" ht="17.25" x14ac:dyDescent="0.3">
      <c r="A40" s="36"/>
      <c r="B40" s="43"/>
      <c r="C40" s="42"/>
      <c r="D40" s="42"/>
      <c r="E40" s="42"/>
      <c r="F40" s="41"/>
    </row>
    <row r="41" spans="1:6" ht="17.25" x14ac:dyDescent="0.3">
      <c r="A41" s="31" t="s">
        <v>69</v>
      </c>
      <c r="B41" s="40"/>
      <c r="C41" s="38"/>
      <c r="D41" s="38"/>
      <c r="E41" s="38"/>
      <c r="F41" s="65"/>
    </row>
    <row r="42" spans="1:6" ht="17.25" x14ac:dyDescent="0.3">
      <c r="A42" s="28"/>
      <c r="B42" s="45" t="s">
        <v>68</v>
      </c>
      <c r="C42" s="33">
        <f>General!H28</f>
        <v>16758.804</v>
      </c>
      <c r="D42" s="34">
        <f>General!I28</f>
        <v>7829.84</v>
      </c>
      <c r="E42" s="33">
        <v>10182.75</v>
      </c>
      <c r="F42" s="64">
        <v>10182.75</v>
      </c>
    </row>
    <row r="43" spans="1:6" ht="17.25" x14ac:dyDescent="0.3">
      <c r="A43" s="28"/>
      <c r="B43" s="45" t="s">
        <v>67</v>
      </c>
      <c r="C43" s="33">
        <f>General!H30</f>
        <v>35622.798000000003</v>
      </c>
      <c r="D43" s="34">
        <f>General!I30</f>
        <v>17125.169999999998</v>
      </c>
      <c r="E43" s="33">
        <v>29498.560000000001</v>
      </c>
      <c r="F43" s="34">
        <v>29498.560000000001</v>
      </c>
    </row>
    <row r="44" spans="1:6" ht="17.25" x14ac:dyDescent="0.3">
      <c r="A44" s="28"/>
      <c r="B44" s="45" t="s">
        <v>66</v>
      </c>
      <c r="C44" s="33">
        <f>General!H32</f>
        <v>15061.439999999999</v>
      </c>
      <c r="D44" s="34">
        <f>General!I32</f>
        <v>8774.2199999999993</v>
      </c>
      <c r="E44" s="33">
        <v>14682</v>
      </c>
      <c r="F44" s="34">
        <v>14682</v>
      </c>
    </row>
    <row r="45" spans="1:6" ht="17.25" x14ac:dyDescent="0.3">
      <c r="A45" s="28"/>
      <c r="B45" s="45" t="s">
        <v>65</v>
      </c>
      <c r="C45" s="33">
        <f>General!H34</f>
        <v>3102.12</v>
      </c>
      <c r="D45" s="34">
        <f>General!I34</f>
        <v>1278.76</v>
      </c>
      <c r="E45" s="33">
        <v>2935.68</v>
      </c>
      <c r="F45" s="34">
        <v>2935.68</v>
      </c>
    </row>
    <row r="46" spans="1:6" ht="17.25" x14ac:dyDescent="0.3">
      <c r="A46" s="28"/>
      <c r="B46" s="45" t="s">
        <v>64</v>
      </c>
      <c r="C46" s="33">
        <f>General!H36</f>
        <v>3166.68</v>
      </c>
      <c r="D46" s="34">
        <f>General!I36</f>
        <v>1729.79</v>
      </c>
      <c r="E46" s="33">
        <v>2799.96</v>
      </c>
      <c r="F46" s="34">
        <v>2799.96</v>
      </c>
    </row>
    <row r="47" spans="1:6" ht="17.25" x14ac:dyDescent="0.3">
      <c r="A47" s="28"/>
      <c r="B47" s="45" t="s">
        <v>63</v>
      </c>
      <c r="C47" s="33">
        <f>General!H38</f>
        <v>720</v>
      </c>
      <c r="D47" s="34">
        <f>General!I38</f>
        <v>5800.92</v>
      </c>
      <c r="E47" s="33">
        <v>699.96</v>
      </c>
      <c r="F47" s="34">
        <v>699.96</v>
      </c>
    </row>
    <row r="48" spans="1:6" ht="17.25" x14ac:dyDescent="0.3">
      <c r="A48" s="28"/>
      <c r="B48" s="45" t="s">
        <v>62</v>
      </c>
      <c r="C48" s="33">
        <f>General!H40</f>
        <v>2859.96</v>
      </c>
      <c r="D48" s="34">
        <f>General!I40</f>
        <v>0</v>
      </c>
      <c r="E48" s="33">
        <v>0</v>
      </c>
      <c r="F48" s="34">
        <v>0</v>
      </c>
    </row>
    <row r="49" spans="1:6" ht="17.25" x14ac:dyDescent="0.3">
      <c r="A49" s="28"/>
      <c r="B49" s="45" t="s">
        <v>61</v>
      </c>
      <c r="C49" s="33">
        <f>General!H42</f>
        <v>1800</v>
      </c>
      <c r="D49" s="34">
        <f>General!I42</f>
        <v>775</v>
      </c>
      <c r="E49" s="33">
        <v>0</v>
      </c>
      <c r="F49" s="34">
        <v>0</v>
      </c>
    </row>
    <row r="50" spans="1:6" ht="17.25" x14ac:dyDescent="0.3">
      <c r="A50" s="28"/>
      <c r="B50" s="45"/>
      <c r="C50" s="33"/>
      <c r="D50" s="34"/>
      <c r="E50" s="33"/>
      <c r="F50" s="44"/>
    </row>
    <row r="51" spans="1:6" ht="17.25" x14ac:dyDescent="0.3">
      <c r="A51" s="36"/>
      <c r="B51" s="31" t="s">
        <v>60</v>
      </c>
      <c r="C51" s="29">
        <f>SUM(C42:C50)</f>
        <v>79091.801999999996</v>
      </c>
      <c r="D51" s="30">
        <f>SUM(D42:D49)</f>
        <v>43313.7</v>
      </c>
      <c r="E51" s="29">
        <f>SUM(E42:E50)</f>
        <v>60798.909999999996</v>
      </c>
      <c r="F51" s="29">
        <f>SUM(F42:F50)</f>
        <v>60798.909999999996</v>
      </c>
    </row>
    <row r="52" spans="1:6" ht="17.25" x14ac:dyDescent="0.3">
      <c r="A52" s="36"/>
      <c r="B52" s="43"/>
      <c r="C52" s="42"/>
      <c r="D52" s="42"/>
      <c r="E52" s="42"/>
      <c r="F52" s="47"/>
    </row>
    <row r="53" spans="1:6" ht="18.75" x14ac:dyDescent="0.35">
      <c r="A53" s="63"/>
      <c r="B53" s="23" t="s">
        <v>59</v>
      </c>
      <c r="C53" s="29">
        <f>SUM(C39+C19+C51)</f>
        <v>389846.21900000004</v>
      </c>
      <c r="D53" s="30">
        <f>D51+D39+D19</f>
        <v>261974.62</v>
      </c>
      <c r="E53" s="29">
        <f>SUM(E39+E19+E51)</f>
        <v>406691.81999999995</v>
      </c>
      <c r="F53" s="29">
        <f>SUM(F39+F19+F51)</f>
        <v>124794.78</v>
      </c>
    </row>
    <row r="54" spans="1:6" ht="18.75" x14ac:dyDescent="0.35">
      <c r="A54" s="63"/>
      <c r="B54" s="20"/>
      <c r="C54" s="42"/>
      <c r="D54" s="42"/>
      <c r="E54" s="42"/>
      <c r="F54" s="62"/>
    </row>
    <row r="55" spans="1:6" ht="17.25" x14ac:dyDescent="0.3">
      <c r="A55" s="61" t="s">
        <v>58</v>
      </c>
      <c r="B55" s="60"/>
      <c r="C55" s="58"/>
      <c r="D55" s="59"/>
      <c r="E55" s="58"/>
      <c r="F55" s="57"/>
    </row>
    <row r="56" spans="1:6" ht="17.25" x14ac:dyDescent="0.3">
      <c r="A56" s="56" t="s">
        <v>57</v>
      </c>
      <c r="B56" s="55"/>
      <c r="C56" s="54"/>
      <c r="D56" s="54"/>
      <c r="E56" s="54"/>
      <c r="F56" s="53"/>
    </row>
    <row r="57" spans="1:6" ht="17.25" x14ac:dyDescent="0.3">
      <c r="A57" s="28"/>
      <c r="B57" s="45" t="s">
        <v>56</v>
      </c>
      <c r="C57" s="33">
        <f>General!H51</f>
        <v>2277.864</v>
      </c>
      <c r="D57" s="34">
        <v>0</v>
      </c>
      <c r="E57" s="33">
        <v>2100</v>
      </c>
      <c r="F57" s="34">
        <f>221.43+295.31+421.32+655.78</f>
        <v>1593.84</v>
      </c>
    </row>
    <row r="58" spans="1:6" ht="17.25" x14ac:dyDescent="0.3">
      <c r="A58" s="28"/>
      <c r="B58" s="45" t="s">
        <v>55</v>
      </c>
      <c r="C58" s="33">
        <f>General!H53+General!H54+General!H55</f>
        <v>9495.36</v>
      </c>
      <c r="D58" s="34">
        <f>SUM(General!I53:I55)</f>
        <v>4516.29</v>
      </c>
      <c r="E58" s="33">
        <v>7238.32</v>
      </c>
      <c r="F58" s="52">
        <f>3157.29+844.1</f>
        <v>4001.39</v>
      </c>
    </row>
    <row r="59" spans="1:6" ht="17.25" x14ac:dyDescent="0.3">
      <c r="A59" s="28"/>
      <c r="B59" s="45" t="s">
        <v>54</v>
      </c>
      <c r="C59" s="33">
        <f>General!H57</f>
        <v>350</v>
      </c>
      <c r="D59" s="34">
        <f>General!I57</f>
        <v>214.59</v>
      </c>
      <c r="E59" s="33">
        <v>300</v>
      </c>
      <c r="F59" s="34"/>
    </row>
    <row r="60" spans="1:6" ht="17.25" x14ac:dyDescent="0.3">
      <c r="A60" s="28"/>
      <c r="B60" s="45" t="s">
        <v>53</v>
      </c>
      <c r="C60" s="33">
        <f>General!H59</f>
        <v>700</v>
      </c>
      <c r="D60" s="34">
        <f>General!I59</f>
        <v>1545.11</v>
      </c>
      <c r="E60" s="33">
        <v>700</v>
      </c>
      <c r="F60" s="52"/>
    </row>
    <row r="61" spans="1:6" ht="17.25" x14ac:dyDescent="0.3">
      <c r="A61" s="28"/>
      <c r="B61" s="45" t="s">
        <v>52</v>
      </c>
      <c r="C61" s="33">
        <f>General!H61</f>
        <v>14000</v>
      </c>
      <c r="D61" s="34">
        <f>General!I61</f>
        <v>0</v>
      </c>
      <c r="E61" s="33">
        <v>14000</v>
      </c>
      <c r="F61" s="51"/>
    </row>
    <row r="62" spans="1:6" ht="17.25" x14ac:dyDescent="0.3">
      <c r="A62" s="28"/>
      <c r="B62" s="45" t="s">
        <v>51</v>
      </c>
      <c r="C62" s="33">
        <f>General!H63</f>
        <v>10000</v>
      </c>
      <c r="D62" s="34">
        <f>General!I63</f>
        <v>9994.2999999999993</v>
      </c>
      <c r="E62" s="33">
        <v>9000</v>
      </c>
      <c r="F62" s="52"/>
    </row>
    <row r="63" spans="1:6" ht="17.25" x14ac:dyDescent="0.3">
      <c r="A63" s="28"/>
      <c r="B63" s="45"/>
      <c r="C63" s="33"/>
      <c r="D63" s="32"/>
      <c r="E63" s="33"/>
      <c r="F63" s="51"/>
    </row>
    <row r="64" spans="1:6" ht="17.25" x14ac:dyDescent="0.3">
      <c r="A64" s="36"/>
      <c r="B64" s="31" t="s">
        <v>50</v>
      </c>
      <c r="C64" s="29">
        <f>SUM(C57:C62)</f>
        <v>36823.224000000002</v>
      </c>
      <c r="D64" s="30">
        <f>SUM(D57:D62)</f>
        <v>16270.289999999999</v>
      </c>
      <c r="E64" s="29">
        <f>SUM(E57:E62)</f>
        <v>33338.32</v>
      </c>
      <c r="F64" s="29">
        <f>SUM(F57:F62)</f>
        <v>5595.23</v>
      </c>
    </row>
    <row r="65" spans="1:6" ht="17.25" x14ac:dyDescent="0.3">
      <c r="A65" s="36"/>
      <c r="B65" s="43"/>
      <c r="C65" s="42"/>
      <c r="D65" s="42"/>
      <c r="E65" s="42"/>
      <c r="F65" s="25"/>
    </row>
    <row r="66" spans="1:6" ht="17.25" x14ac:dyDescent="0.3">
      <c r="A66" s="31" t="s">
        <v>49</v>
      </c>
      <c r="B66" s="40"/>
      <c r="C66" s="38"/>
      <c r="D66" s="38"/>
      <c r="E66" s="38"/>
      <c r="F66" s="50"/>
    </row>
    <row r="67" spans="1:6" ht="17.25" x14ac:dyDescent="0.3">
      <c r="A67" s="48"/>
      <c r="B67" s="49" t="s">
        <v>48</v>
      </c>
      <c r="C67" s="33">
        <f>[1]President!H45</f>
        <v>21030.036</v>
      </c>
      <c r="D67" s="34">
        <f>[1]President!J45</f>
        <v>18532.45</v>
      </c>
      <c r="E67" s="33">
        <v>16686.626</v>
      </c>
      <c r="F67" s="34">
        <v>27269.5</v>
      </c>
    </row>
    <row r="68" spans="1:6" ht="17.25" x14ac:dyDescent="0.3">
      <c r="A68" s="48"/>
      <c r="B68" s="49" t="s">
        <v>47</v>
      </c>
      <c r="C68" s="33">
        <f>'Vice President Operations'!H25</f>
        <v>2519.9</v>
      </c>
      <c r="D68" s="34">
        <f>'Vice President Operations'!J25</f>
        <v>4267.67</v>
      </c>
      <c r="E68" s="33">
        <v>2516.4899999999998</v>
      </c>
      <c r="F68" s="34">
        <v>4397.51</v>
      </c>
    </row>
    <row r="69" spans="1:6" ht="17.25" x14ac:dyDescent="0.3">
      <c r="A69" s="48"/>
      <c r="B69" s="49" t="s">
        <v>46</v>
      </c>
      <c r="C69" s="33">
        <f>'Vice President Student Affairs'!H44</f>
        <v>2924.8693999999996</v>
      </c>
      <c r="D69" s="34">
        <f>'Vice President Student Affairs'!J44</f>
        <v>3070.8100000000004</v>
      </c>
      <c r="E69" s="33">
        <v>8327.6366999999991</v>
      </c>
      <c r="F69" s="34">
        <v>2886.68</v>
      </c>
    </row>
    <row r="70" spans="1:6" ht="17.25" x14ac:dyDescent="0.3">
      <c r="A70" s="48"/>
      <c r="B70" s="49" t="s">
        <v>45</v>
      </c>
      <c r="C70" s="33">
        <f>Academics!H29</f>
        <v>1694.8304999999998</v>
      </c>
      <c r="D70" s="34">
        <f>Academics!J29</f>
        <v>250.53</v>
      </c>
      <c r="E70" s="33">
        <v>28662.531800000001</v>
      </c>
      <c r="F70" s="34">
        <v>24962.87</v>
      </c>
    </row>
    <row r="71" spans="1:6" ht="17.25" x14ac:dyDescent="0.3">
      <c r="A71" s="48"/>
      <c r="B71" s="49" t="s">
        <v>44</v>
      </c>
      <c r="C71" s="33">
        <f>'Comm '!H37</f>
        <v>3564.7883999999999</v>
      </c>
      <c r="D71" s="34">
        <f>'Comm '!J37</f>
        <v>2138.56</v>
      </c>
      <c r="E71" s="33">
        <v>4107.8437999999996</v>
      </c>
      <c r="F71" s="34">
        <v>5962.18</v>
      </c>
    </row>
    <row r="72" spans="1:6" ht="17.25" x14ac:dyDescent="0.3">
      <c r="A72" s="48"/>
      <c r="B72" s="49" t="s">
        <v>43</v>
      </c>
      <c r="C72" s="33">
        <f>'Community Outreach'!H146</f>
        <v>10073.949999999999</v>
      </c>
      <c r="D72" s="34">
        <f>'Community Outreach'!J146</f>
        <v>2990.8</v>
      </c>
      <c r="E72" s="33">
        <v>6169.8</v>
      </c>
      <c r="F72" s="34">
        <v>1443.55</v>
      </c>
    </row>
    <row r="73" spans="1:6" ht="17.25" x14ac:dyDescent="0.3">
      <c r="A73" s="48"/>
      <c r="B73" s="49" t="s">
        <v>42</v>
      </c>
      <c r="C73" s="33">
        <f>Conferences!H72</f>
        <v>12193.279999999999</v>
      </c>
      <c r="D73" s="34">
        <f>Conferences!J72</f>
        <v>2399.59</v>
      </c>
      <c r="E73" s="33">
        <v>15060.28</v>
      </c>
      <c r="F73" s="34">
        <v>11616.72</v>
      </c>
    </row>
    <row r="74" spans="1:6" ht="17.25" x14ac:dyDescent="0.3">
      <c r="A74" s="48"/>
      <c r="B74" s="49" t="s">
        <v>41</v>
      </c>
      <c r="C74" s="33">
        <f>Design!H41</f>
        <v>3401.2660999999994</v>
      </c>
      <c r="D74" s="34">
        <f>Design!J41</f>
        <v>3002.5400000000004</v>
      </c>
      <c r="E74" s="33">
        <v>11368.798299999999</v>
      </c>
      <c r="F74" s="34">
        <v>4253.68</v>
      </c>
    </row>
    <row r="75" spans="1:6" ht="17.25" x14ac:dyDescent="0.3">
      <c r="A75" s="48"/>
      <c r="B75" s="49" t="s">
        <v>40</v>
      </c>
      <c r="C75" s="33">
        <f>Events!H352</f>
        <v>22978.024550000002</v>
      </c>
      <c r="D75" s="34">
        <f>Events!J352</f>
        <v>12485.189999999999</v>
      </c>
      <c r="E75" s="33">
        <v>35116.064599999998</v>
      </c>
      <c r="F75" s="34">
        <v>10951.35</v>
      </c>
    </row>
    <row r="76" spans="1:6" ht="17.25" x14ac:dyDescent="0.3">
      <c r="A76" s="48"/>
      <c r="B76" s="49" t="s">
        <v>39</v>
      </c>
      <c r="C76" s="33">
        <f>'First Year'!H83</f>
        <v>16053.785699999999</v>
      </c>
      <c r="D76" s="34">
        <f>'First Year'!J83</f>
        <v>10116.079999999998</v>
      </c>
      <c r="E76" s="33">
        <v>14739.719999999998</v>
      </c>
      <c r="F76" s="34">
        <v>2488.9</v>
      </c>
    </row>
    <row r="77" spans="1:6" ht="17.25" x14ac:dyDescent="0.3">
      <c r="A77" s="48"/>
      <c r="B77" s="49" t="s">
        <v>38</v>
      </c>
      <c r="C77" s="33">
        <f>Finance!H24</f>
        <v>406.8</v>
      </c>
      <c r="D77" s="34">
        <f>Finance!J24</f>
        <v>67.5</v>
      </c>
      <c r="E77" s="33">
        <v>2065.64</v>
      </c>
      <c r="F77" s="34">
        <v>0</v>
      </c>
    </row>
    <row r="78" spans="1:6" ht="17.25" x14ac:dyDescent="0.3">
      <c r="A78" s="48"/>
      <c r="B78" s="49" t="s">
        <v>37</v>
      </c>
      <c r="C78" s="33">
        <f>HR!H62</f>
        <v>6957.22</v>
      </c>
      <c r="D78" s="34">
        <f>HR!J62</f>
        <v>4172.8099999999995</v>
      </c>
      <c r="E78" s="33">
        <v>6053.4004999999997</v>
      </c>
      <c r="F78" s="34">
        <v>4684.6099999999997</v>
      </c>
    </row>
    <row r="79" spans="1:6" ht="17.25" x14ac:dyDescent="0.3">
      <c r="A79" s="48"/>
      <c r="B79" s="49" t="s">
        <v>36</v>
      </c>
      <c r="C79" s="33">
        <f>IT!H59</f>
        <v>17480.168399999999</v>
      </c>
      <c r="D79" s="34">
        <f>IT!J59</f>
        <v>13888.710519480519</v>
      </c>
      <c r="E79" s="33">
        <v>14833.374400000001</v>
      </c>
      <c r="F79" s="34">
        <v>8927.61</v>
      </c>
    </row>
    <row r="80" spans="1:6" ht="17.25" x14ac:dyDescent="0.3">
      <c r="A80" s="48"/>
      <c r="B80" s="49" t="s">
        <v>35</v>
      </c>
      <c r="C80" s="33">
        <f>IA!H92</f>
        <v>19771.045000000002</v>
      </c>
      <c r="D80" s="34">
        <f>IA!J92</f>
        <v>16311.754199999998</v>
      </c>
      <c r="E80" s="33">
        <v>18943.885000000002</v>
      </c>
      <c r="F80" s="34">
        <v>18678.55</v>
      </c>
    </row>
    <row r="81" spans="1:6" ht="17.25" x14ac:dyDescent="0.3">
      <c r="A81" s="48"/>
      <c r="B81" s="49" t="s">
        <v>34</v>
      </c>
      <c r="C81" s="33">
        <f>PD!H93</f>
        <v>13666.553099999997</v>
      </c>
      <c r="D81" s="34">
        <f>PD!J93</f>
        <v>5771.91</v>
      </c>
      <c r="E81" s="33">
        <v>50509.604999999996</v>
      </c>
      <c r="F81" s="34">
        <v>25033.13</v>
      </c>
    </row>
    <row r="82" spans="1:6" ht="17.25" x14ac:dyDescent="0.3">
      <c r="A82" s="28"/>
      <c r="B82" s="49" t="s">
        <v>33</v>
      </c>
      <c r="C82" s="33">
        <f>'Services '!H29</f>
        <v>3794.3149999999996</v>
      </c>
      <c r="D82" s="34">
        <f>'Services '!J29</f>
        <v>2661.9</v>
      </c>
      <c r="E82" s="33">
        <v>3583.0429999999997</v>
      </c>
      <c r="F82" s="34">
        <v>3205.42</v>
      </c>
    </row>
    <row r="83" spans="1:6" ht="17.25" x14ac:dyDescent="0.3">
      <c r="A83" s="28"/>
      <c r="B83" s="35"/>
      <c r="C83" s="33"/>
      <c r="D83" s="34"/>
      <c r="E83" s="33"/>
      <c r="F83" s="34"/>
    </row>
    <row r="84" spans="1:6" ht="17.25" x14ac:dyDescent="0.3">
      <c r="A84" s="28"/>
      <c r="B84" s="31" t="s">
        <v>32</v>
      </c>
      <c r="C84" s="29">
        <f>SUM(C67:C83)</f>
        <v>158510.83215</v>
      </c>
      <c r="D84" s="30">
        <f>SUM(D67:D82)</f>
        <v>102128.80471948051</v>
      </c>
      <c r="E84" s="29">
        <f>SUM(E67:E83)</f>
        <v>238744.73910000001</v>
      </c>
      <c r="F84" s="29">
        <f>SUM(F67:F83)</f>
        <v>156762.26</v>
      </c>
    </row>
    <row r="85" spans="1:6" ht="17.25" x14ac:dyDescent="0.3">
      <c r="A85" s="28"/>
      <c r="B85" s="35"/>
      <c r="C85" s="33"/>
      <c r="D85" s="33"/>
      <c r="E85" s="33"/>
      <c r="F85" s="25"/>
    </row>
    <row r="86" spans="1:6" ht="17.25" x14ac:dyDescent="0.3">
      <c r="A86" s="31" t="s">
        <v>31</v>
      </c>
      <c r="B86" s="40"/>
      <c r="C86" s="38"/>
      <c r="D86" s="38"/>
      <c r="E86" s="38"/>
      <c r="F86" s="37"/>
    </row>
    <row r="87" spans="1:6" ht="17.25" x14ac:dyDescent="0.3">
      <c r="A87" s="28"/>
      <c r="B87" s="45" t="s">
        <v>30</v>
      </c>
      <c r="C87" s="33">
        <f>SUM(General!H69:H74)</f>
        <v>38315</v>
      </c>
      <c r="D87" s="34">
        <f>SUM(General!I69:I71)</f>
        <v>3035</v>
      </c>
      <c r="E87" s="33">
        <v>29932.399999999998</v>
      </c>
      <c r="F87" s="34"/>
    </row>
    <row r="88" spans="1:6" ht="17.25" x14ac:dyDescent="0.3">
      <c r="A88" s="28"/>
      <c r="B88" s="35" t="s">
        <v>29</v>
      </c>
      <c r="C88" s="33">
        <f>General!H76</f>
        <v>854.75999999999988</v>
      </c>
      <c r="D88" s="34">
        <f>General!I76</f>
        <v>109.19</v>
      </c>
      <c r="E88" s="33">
        <v>696.32</v>
      </c>
      <c r="F88" s="34"/>
    </row>
    <row r="89" spans="1:6" ht="17.25" x14ac:dyDescent="0.3">
      <c r="A89" s="28"/>
      <c r="B89" s="35" t="s">
        <v>28</v>
      </c>
      <c r="C89" s="33">
        <f>General!H78</f>
        <v>1540.9560000000001</v>
      </c>
      <c r="D89" s="34">
        <v>0</v>
      </c>
      <c r="E89" s="33">
        <v>1112.6300000000001</v>
      </c>
      <c r="F89" s="34"/>
    </row>
    <row r="90" spans="1:6" ht="17.25" x14ac:dyDescent="0.3">
      <c r="A90" s="48"/>
      <c r="B90" s="35" t="s">
        <v>27</v>
      </c>
      <c r="C90" s="33">
        <f>SUM(General!H80:H83)</f>
        <v>21467.79</v>
      </c>
      <c r="D90" s="34">
        <v>0</v>
      </c>
      <c r="E90" s="33">
        <v>10687.13</v>
      </c>
      <c r="F90" s="34"/>
    </row>
    <row r="91" spans="1:6" ht="17.25" x14ac:dyDescent="0.3">
      <c r="A91" s="28"/>
      <c r="B91" s="35"/>
      <c r="C91" s="33"/>
      <c r="D91" s="34"/>
      <c r="E91" s="33"/>
      <c r="F91" s="47"/>
    </row>
    <row r="92" spans="1:6" ht="17.25" x14ac:dyDescent="0.3">
      <c r="A92" s="28"/>
      <c r="B92" s="31" t="s">
        <v>26</v>
      </c>
      <c r="C92" s="29">
        <f>SUM(C87:C90)</f>
        <v>62178.506000000001</v>
      </c>
      <c r="D92" s="30">
        <f>SUM(D87:D90)</f>
        <v>3144.19</v>
      </c>
      <c r="E92" s="29">
        <f>SUM(E87:E90)</f>
        <v>42428.479999999996</v>
      </c>
      <c r="F92" s="29">
        <f>SUM(F87:F90)</f>
        <v>0</v>
      </c>
    </row>
    <row r="93" spans="1:6" ht="17.25" x14ac:dyDescent="0.3">
      <c r="A93" s="28"/>
      <c r="B93" s="35"/>
      <c r="C93" s="33"/>
      <c r="D93" s="33"/>
      <c r="E93" s="33"/>
      <c r="F93" s="25"/>
    </row>
    <row r="94" spans="1:6" ht="17.25" x14ac:dyDescent="0.3">
      <c r="A94" s="31" t="s">
        <v>25</v>
      </c>
      <c r="B94" s="40"/>
      <c r="C94" s="38"/>
      <c r="D94" s="38"/>
      <c r="E94" s="38"/>
      <c r="F94" s="46"/>
    </row>
    <row r="95" spans="1:6" ht="17.25" x14ac:dyDescent="0.3">
      <c r="A95" s="28"/>
      <c r="B95" s="45" t="s">
        <v>24</v>
      </c>
      <c r="C95" s="33">
        <v>23840</v>
      </c>
      <c r="D95" s="34">
        <f>SUM(General!I89:I90)</f>
        <v>21729.33</v>
      </c>
      <c r="E95" s="33">
        <v>23840</v>
      </c>
      <c r="F95" s="34"/>
    </row>
    <row r="96" spans="1:6" ht="17.25" x14ac:dyDescent="0.3">
      <c r="A96" s="28" t="s">
        <v>23</v>
      </c>
      <c r="B96" s="35" t="s">
        <v>22</v>
      </c>
      <c r="C96" s="33">
        <f>SUM(General!H93:H95)</f>
        <v>59857.004000000008</v>
      </c>
      <c r="D96" s="34">
        <f>SUM(General!I93:I95)</f>
        <v>59857.004000000008</v>
      </c>
      <c r="E96" s="33">
        <v>59510.810000000005</v>
      </c>
      <c r="F96" s="34"/>
    </row>
    <row r="97" spans="1:6" ht="17.25" x14ac:dyDescent="0.3">
      <c r="A97" s="28"/>
      <c r="B97" s="35" t="s">
        <v>21</v>
      </c>
      <c r="C97" s="33">
        <f>SUM(General!H97:H98)</f>
        <v>22232.639999999999</v>
      </c>
      <c r="D97" s="34">
        <f>General!I97</f>
        <v>976.31999999999994</v>
      </c>
      <c r="E97" s="33">
        <v>22199.9604</v>
      </c>
      <c r="F97" s="34"/>
    </row>
    <row r="98" spans="1:6" ht="17.25" x14ac:dyDescent="0.3">
      <c r="A98" s="28"/>
      <c r="B98" s="35" t="s">
        <v>20</v>
      </c>
      <c r="C98" s="33">
        <f>SUM(General!H100:H102)</f>
        <v>958.76400000000001</v>
      </c>
      <c r="D98" s="34">
        <f>SUM(General!I100:I102)</f>
        <v>1841.4300000000003</v>
      </c>
      <c r="E98" s="33">
        <v>5273.5199999999995</v>
      </c>
      <c r="F98" s="34"/>
    </row>
    <row r="99" spans="1:6" ht="17.25" x14ac:dyDescent="0.3">
      <c r="A99" s="36"/>
      <c r="B99" s="35" t="s">
        <v>19</v>
      </c>
      <c r="C99" s="33">
        <f>SUM(General!H104:H105)</f>
        <v>5453.68</v>
      </c>
      <c r="D99" s="34">
        <f>SUM(General!I104:I105)</f>
        <v>5312.8099999999995</v>
      </c>
      <c r="E99" s="33">
        <v>5400</v>
      </c>
      <c r="F99" s="34"/>
    </row>
    <row r="100" spans="1:6" ht="17.25" x14ac:dyDescent="0.3">
      <c r="A100" s="36"/>
      <c r="B100" s="35" t="s">
        <v>18</v>
      </c>
      <c r="C100" s="33">
        <f>SUM(General!H108:H111)</f>
        <v>3120</v>
      </c>
      <c r="D100" s="34">
        <f>SUM(General!I108:I111)</f>
        <v>4984.6500000000015</v>
      </c>
      <c r="E100" s="33">
        <v>3760</v>
      </c>
      <c r="F100" s="34"/>
    </row>
    <row r="101" spans="1:6" ht="17.25" x14ac:dyDescent="0.3">
      <c r="A101" s="28"/>
      <c r="B101" s="35"/>
      <c r="C101" s="33"/>
      <c r="D101" s="34"/>
      <c r="E101" s="33"/>
      <c r="F101" s="44"/>
    </row>
    <row r="102" spans="1:6" ht="17.25" x14ac:dyDescent="0.3">
      <c r="A102" s="28"/>
      <c r="B102" s="31" t="s">
        <v>17</v>
      </c>
      <c r="C102" s="29">
        <f>SUM(C95:C100)</f>
        <v>115462.08800000002</v>
      </c>
      <c r="D102" s="30">
        <f>SUM(D95:D100)</f>
        <v>94701.543999999994</v>
      </c>
      <c r="E102" s="29">
        <f>SUM(E95:E100)</f>
        <v>119984.2904</v>
      </c>
      <c r="F102" s="29">
        <f>SUM(F95:F100)</f>
        <v>0</v>
      </c>
    </row>
    <row r="103" spans="1:6" ht="17.25" x14ac:dyDescent="0.3">
      <c r="A103" s="28"/>
      <c r="B103" s="43"/>
      <c r="C103" s="42"/>
      <c r="D103" s="42"/>
      <c r="E103" s="42"/>
      <c r="F103" s="41"/>
    </row>
    <row r="104" spans="1:6" ht="17.25" x14ac:dyDescent="0.3">
      <c r="A104" s="31" t="s">
        <v>16</v>
      </c>
      <c r="B104" s="40"/>
      <c r="C104" s="38"/>
      <c r="D104" s="39"/>
      <c r="E104" s="38"/>
      <c r="F104" s="37"/>
    </row>
    <row r="105" spans="1:6" ht="17.25" x14ac:dyDescent="0.3">
      <c r="A105" s="36"/>
      <c r="B105" s="35" t="s">
        <v>15</v>
      </c>
      <c r="C105" s="33">
        <f>General!H117</f>
        <v>2000</v>
      </c>
      <c r="D105" s="34">
        <f>General!I117</f>
        <v>922.03</v>
      </c>
      <c r="E105" s="33">
        <v>0</v>
      </c>
      <c r="F105" s="34">
        <v>0</v>
      </c>
    </row>
    <row r="106" spans="1:6" ht="17.25" x14ac:dyDescent="0.3">
      <c r="A106" s="36"/>
      <c r="B106" s="35" t="s">
        <v>14</v>
      </c>
      <c r="C106" s="33">
        <f>General!H119</f>
        <v>949.19999999999993</v>
      </c>
      <c r="D106" s="34">
        <f>General!I119</f>
        <v>636.75</v>
      </c>
      <c r="E106" s="33">
        <v>949.19999999999993</v>
      </c>
      <c r="F106" s="34"/>
    </row>
    <row r="107" spans="1:6" ht="17.25" x14ac:dyDescent="0.3">
      <c r="A107" s="36"/>
      <c r="B107" s="35" t="s">
        <v>13</v>
      </c>
      <c r="C107" s="33">
        <f>General!H121</f>
        <v>500</v>
      </c>
      <c r="D107" s="34">
        <f>General!I121</f>
        <v>273.32</v>
      </c>
      <c r="E107" s="33">
        <v>600</v>
      </c>
      <c r="F107" s="34"/>
    </row>
    <row r="108" spans="1:6" ht="17.25" x14ac:dyDescent="0.3">
      <c r="A108" s="36"/>
      <c r="B108" s="35" t="s">
        <v>12</v>
      </c>
      <c r="C108" s="33">
        <f>General!H123</f>
        <v>1355.9999999999998</v>
      </c>
      <c r="D108" s="34">
        <f>General!I123</f>
        <v>1640.27</v>
      </c>
      <c r="E108" s="33">
        <v>600</v>
      </c>
      <c r="F108" s="34"/>
    </row>
    <row r="109" spans="1:6" ht="17.25" x14ac:dyDescent="0.3">
      <c r="A109" s="36"/>
      <c r="B109" s="35" t="s">
        <v>11</v>
      </c>
      <c r="C109" s="33">
        <f>General!H125</f>
        <v>1500</v>
      </c>
      <c r="D109" s="34">
        <f>General!I125</f>
        <v>792.81</v>
      </c>
      <c r="E109" s="33">
        <v>1400</v>
      </c>
      <c r="F109" s="34"/>
    </row>
    <row r="110" spans="1:6" ht="17.25" x14ac:dyDescent="0.3">
      <c r="A110" s="36"/>
      <c r="B110" s="35" t="s">
        <v>10</v>
      </c>
      <c r="C110" s="33">
        <f>General!H127</f>
        <v>1000</v>
      </c>
      <c r="D110" s="34">
        <f>General!I127</f>
        <v>5136.2299999999996</v>
      </c>
      <c r="E110" s="33">
        <v>1000</v>
      </c>
      <c r="F110" s="34"/>
    </row>
    <row r="111" spans="1:6" ht="17.25" x14ac:dyDescent="0.3">
      <c r="A111" s="36"/>
      <c r="B111" s="35" t="s">
        <v>9</v>
      </c>
      <c r="C111" s="33">
        <f>General!H129</f>
        <v>750</v>
      </c>
      <c r="D111" s="34">
        <f>General!I129</f>
        <v>2476.54</v>
      </c>
      <c r="E111" s="33">
        <v>1000</v>
      </c>
      <c r="F111" s="34"/>
    </row>
    <row r="112" spans="1:6" ht="17.25" x14ac:dyDescent="0.3">
      <c r="A112" s="36"/>
      <c r="B112" s="35" t="s">
        <v>8</v>
      </c>
      <c r="C112" s="33">
        <f>General!H131+General!H132+General!H133</f>
        <v>2050</v>
      </c>
      <c r="D112" s="34"/>
      <c r="E112" s="33">
        <v>1000</v>
      </c>
      <c r="F112" s="34"/>
    </row>
    <row r="113" spans="1:6" ht="17.25" x14ac:dyDescent="0.3">
      <c r="A113" s="36"/>
      <c r="B113" s="35" t="s">
        <v>7</v>
      </c>
      <c r="C113" s="33">
        <f>General!H135</f>
        <v>15000</v>
      </c>
      <c r="D113" s="34"/>
      <c r="E113" s="33">
        <v>15000</v>
      </c>
      <c r="F113" s="34"/>
    </row>
    <row r="114" spans="1:6" ht="17.25" x14ac:dyDescent="0.3">
      <c r="A114" s="36"/>
      <c r="B114" s="35" t="s">
        <v>6</v>
      </c>
      <c r="C114" s="33">
        <v>0</v>
      </c>
      <c r="D114" s="34"/>
      <c r="E114" s="33">
        <v>0</v>
      </c>
      <c r="F114" s="34"/>
    </row>
    <row r="115" spans="1:6" ht="17.25" x14ac:dyDescent="0.3">
      <c r="A115" s="36"/>
      <c r="B115" s="35"/>
      <c r="C115" s="33"/>
      <c r="D115" s="34"/>
      <c r="E115" s="33"/>
      <c r="F115" s="32"/>
    </row>
    <row r="116" spans="1:6" ht="17.25" x14ac:dyDescent="0.3">
      <c r="A116" s="28"/>
      <c r="B116" s="31" t="s">
        <v>5</v>
      </c>
      <c r="C116" s="29">
        <f>SUM(C105:C113)</f>
        <v>25105.200000000001</v>
      </c>
      <c r="D116" s="30">
        <f>SUM(D105:D114)</f>
        <v>11877.95</v>
      </c>
      <c r="E116" s="29">
        <f>SUM(E105:E113)</f>
        <v>21549.200000000001</v>
      </c>
      <c r="F116" s="29">
        <f>SUM(F105:F113)</f>
        <v>0</v>
      </c>
    </row>
    <row r="117" spans="1:6" ht="17.25" x14ac:dyDescent="0.3">
      <c r="A117" s="28"/>
      <c r="B117" s="27"/>
      <c r="C117" s="26"/>
      <c r="D117" s="26"/>
      <c r="E117" s="26"/>
      <c r="F117" s="25"/>
    </row>
    <row r="118" spans="1:6" ht="18.75" x14ac:dyDescent="0.35">
      <c r="A118" s="24"/>
      <c r="B118" s="23" t="s">
        <v>4</v>
      </c>
      <c r="C118" s="22">
        <f>C116+C102+C92+C84+C64</f>
        <v>398079.85015000001</v>
      </c>
      <c r="D118" s="22">
        <f>D116+D102+D92+D84+D64</f>
        <v>228122.77871948053</v>
      </c>
      <c r="E118" s="22">
        <f>E116+E102+E92+E84+E64</f>
        <v>456045.0295</v>
      </c>
      <c r="F118" s="22">
        <f>F116+F102+F92+F84+F64</f>
        <v>162357.49000000002</v>
      </c>
    </row>
    <row r="119" spans="1:6" ht="18.75" x14ac:dyDescent="0.35">
      <c r="A119" s="21"/>
      <c r="B119" s="20"/>
      <c r="C119" s="19"/>
      <c r="D119" s="19"/>
      <c r="E119" s="18"/>
      <c r="F119" s="17"/>
    </row>
    <row r="120" spans="1:6" ht="20.25" x14ac:dyDescent="0.35">
      <c r="A120" s="16" t="s">
        <v>3</v>
      </c>
      <c r="B120" s="15"/>
      <c r="C120" s="14"/>
      <c r="D120" s="14"/>
      <c r="E120" s="14"/>
      <c r="F120" s="13"/>
    </row>
    <row r="121" spans="1:6" ht="20.25" x14ac:dyDescent="0.35">
      <c r="A121" s="12"/>
      <c r="B121" s="11" t="s">
        <v>2</v>
      </c>
      <c r="C121" s="10">
        <f>C53</f>
        <v>389846.21900000004</v>
      </c>
      <c r="D121" s="10">
        <f>D53</f>
        <v>261974.62</v>
      </c>
      <c r="E121" s="10">
        <f>E53</f>
        <v>406691.81999999995</v>
      </c>
      <c r="F121" s="9">
        <f>F118</f>
        <v>162357.49000000002</v>
      </c>
    </row>
    <row r="122" spans="1:6" ht="20.25" x14ac:dyDescent="0.35">
      <c r="A122" s="8"/>
      <c r="B122" s="7" t="s">
        <v>1</v>
      </c>
      <c r="C122" s="6">
        <f>C118</f>
        <v>398079.85015000001</v>
      </c>
      <c r="D122" s="6">
        <f>D118</f>
        <v>228122.77871948053</v>
      </c>
      <c r="E122" s="6">
        <f>E118</f>
        <v>456045.0295</v>
      </c>
      <c r="F122" s="5">
        <f>F53</f>
        <v>124794.78</v>
      </c>
    </row>
    <row r="123" spans="1:6" ht="20.25" x14ac:dyDescent="0.35">
      <c r="A123" s="4"/>
      <c r="B123" s="3" t="s">
        <v>0</v>
      </c>
      <c r="C123" s="2">
        <f>C121-C122</f>
        <v>-8233.631149999972</v>
      </c>
      <c r="D123" s="2">
        <f>D121-D122</f>
        <v>33851.841280519468</v>
      </c>
      <c r="E123" s="2">
        <f>E121-E122</f>
        <v>-49353.209500000055</v>
      </c>
      <c r="F123" s="1">
        <f>F121-F122</f>
        <v>37562.710000000021</v>
      </c>
    </row>
  </sheetData>
  <mergeCells count="9">
    <mergeCell ref="A55:B55"/>
    <mergeCell ref="A120:B120"/>
    <mergeCell ref="C1:F4"/>
    <mergeCell ref="A5:B5"/>
    <mergeCell ref="C5:D5"/>
    <mergeCell ref="E5:F5"/>
    <mergeCell ref="A6:B6"/>
    <mergeCell ref="A8:B8"/>
    <mergeCell ref="A1:B4"/>
  </mergeCells>
  <conditionalFormatting sqref="B57:D62 B67:D82 B87:D90 B105:D114 B42:D49 B95:D100 B22:D38 F22:F38 F95:F100 F105:F114 F87:F90 F67:F82 F57:F62 B10:F18 A121:F123">
    <cfRule type="expression" dxfId="2" priority="3">
      <formula>MOD(ROW(),2)=0</formula>
    </cfRule>
  </conditionalFormatting>
  <conditionalFormatting sqref="E57:E62 E67:E82 E87:E90 E105:E114 E42:E49 E95:E100 E22:E38">
    <cfRule type="expression" dxfId="1" priority="2">
      <formula>MOD(ROW(),2)=0</formula>
    </cfRule>
  </conditionalFormatting>
  <conditionalFormatting sqref="F42:F49">
    <cfRule type="expression" dxfId="0" priority="1">
      <formula>MOD(ROW(),2)=0</formula>
    </cfRule>
  </conditionalFormatting>
  <hyperlinks>
    <hyperlink ref="B22" location="'11-PRES'!A1" display="President" xr:uid="{9A04645C-F58A-4E01-B562-D2DDD0D82E52}"/>
    <hyperlink ref="B23" location="'12-VPOPS'!A1" display="VP Operations" xr:uid="{5FB4E62A-1CB5-4555-9001-3670F3CEBBEC}"/>
    <hyperlink ref="B24" location="'13-VPSA'!A1" display="VP Student Affairs" xr:uid="{1AC8AF92-6714-4427-9C4E-3B2622FBBC6E}"/>
    <hyperlink ref="B25" location="'14 - Academics'!A1" display="Director of Academics" xr:uid="{740F9084-D266-49F7-B7A5-1FA7AB4FF086}"/>
    <hyperlink ref="B26" location="'15-Design'!A1" display="Director of Design" xr:uid="{34F5F7E9-E27A-462E-A9C6-AAF930B9E2C1}"/>
    <hyperlink ref="B28" location="'16-PD'!A1" display="Director of Professional Development" xr:uid="{796C864D-15D7-4271-B842-AADD9500CA55}"/>
    <hyperlink ref="B31" location="'18-FY'!A1" display="Director of First Year" xr:uid="{419F49AF-95D9-4F67-A6AE-7611FCDE1FC1}"/>
    <hyperlink ref="B32" location="'19-FINANCE'!A1" display="Director of Finance" xr:uid="{FF3F1593-6D22-4175-8B91-D5FEC494C3BF}"/>
    <hyperlink ref="B37" location="'20-SERVICES'!A1" display="Director of Services" xr:uid="{2363F311-7981-4D15-A819-56016F87160C}"/>
    <hyperlink ref="B67" location="'11-PRES'!A1" display="President" xr:uid="{29A0C6E5-7552-43A8-912A-BEC59FB07C0C}"/>
    <hyperlink ref="B68" location="'12-VPOPS'!A1" display="VP Operations" xr:uid="{BB8DD3F1-BC31-4ECB-A5EC-5349E011A34E}"/>
    <hyperlink ref="B69" location="'13-VPSA'!A1" display="VP Student Affairs" xr:uid="{3F72FC3B-6199-474E-97BD-E0E499D66CD5}"/>
    <hyperlink ref="B70" location="'14 - Academics'!A1" display="Director of Academics" xr:uid="{C4C01DC3-46C8-4FA4-8DDC-2AC614238917}"/>
    <hyperlink ref="B71" location="'15-Design'!A1" display="Director of Design" xr:uid="{6F8191FB-92EA-4C48-988E-D644547701EE}"/>
    <hyperlink ref="B73" location="'16-PD'!A1" display="Director of Professional Development" xr:uid="{82A8CD34-3EC0-45B3-B6CD-002925686480}"/>
    <hyperlink ref="B76" location="'18-FY'!A1" display="Director of First Year" xr:uid="{24542E78-B013-40CE-BEDA-6302788809C9}"/>
    <hyperlink ref="B77" location="'19-FINANCE'!A1" display="Director of Finance" xr:uid="{14FD7F9E-C010-4747-87A3-C38DE024CFB5}"/>
    <hyperlink ref="B82" location="'20-SERVICES'!A1" display="Director of Services" xr:uid="{7D3BB610-56AA-41EE-892E-DC1BA8FFB20F}"/>
  </hyperlinks>
  <pageMargins left="0.75" right="0.75" top="1" bottom="1" header="0.3" footer="0.3"/>
  <pageSetup orientation="portrait" verticalDpi="0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F431A-5019-46FA-90D3-F896D05CA74A}">
  <sheetPr codeName="Sheet10"/>
  <dimension ref="A1:J42"/>
  <sheetViews>
    <sheetView zoomScale="85" workbookViewId="0">
      <selection activeCell="L33" sqref="L33"/>
    </sheetView>
  </sheetViews>
  <sheetFormatPr defaultColWidth="12.28515625" defaultRowHeight="15.75" x14ac:dyDescent="0.25"/>
  <cols>
    <col min="1" max="2" width="12.28515625" style="432"/>
    <col min="3" max="3" width="33.7109375" style="432" customWidth="1"/>
    <col min="4" max="4" width="86.85546875" style="432" customWidth="1"/>
    <col min="5" max="7" width="12.28515625" style="432"/>
    <col min="8" max="8" width="14.28515625" style="432" customWidth="1"/>
    <col min="9" max="9" width="0" style="432" hidden="1" customWidth="1"/>
    <col min="10" max="16384" width="12.28515625" style="432"/>
  </cols>
  <sheetData>
    <row r="1" spans="1:10" ht="26.25" x14ac:dyDescent="0.25">
      <c r="A1" s="996" t="s">
        <v>1080</v>
      </c>
      <c r="B1" s="996"/>
      <c r="C1" s="996"/>
      <c r="D1" s="996"/>
      <c r="E1" s="996"/>
      <c r="F1" s="996"/>
      <c r="G1" s="996"/>
      <c r="H1" s="996"/>
      <c r="I1" s="996"/>
      <c r="J1" s="996"/>
    </row>
    <row r="2" spans="1:10" ht="16.5" x14ac:dyDescent="0.3">
      <c r="A2" s="974"/>
      <c r="B2" s="973" t="s">
        <v>213</v>
      </c>
      <c r="C2" s="972" t="s">
        <v>212</v>
      </c>
      <c r="D2" s="995" t="s">
        <v>211</v>
      </c>
      <c r="E2" s="970" t="s">
        <v>210</v>
      </c>
      <c r="F2" s="969" t="s">
        <v>209</v>
      </c>
      <c r="G2" s="968" t="s">
        <v>208</v>
      </c>
      <c r="H2" s="968" t="s">
        <v>207</v>
      </c>
      <c r="I2" s="968" t="s">
        <v>232</v>
      </c>
      <c r="J2" s="967" t="s">
        <v>206</v>
      </c>
    </row>
    <row r="3" spans="1:10" ht="16.5" x14ac:dyDescent="0.3">
      <c r="A3" s="966"/>
      <c r="B3" s="994"/>
      <c r="C3" s="964"/>
      <c r="D3" s="806"/>
      <c r="E3" s="961"/>
      <c r="F3" s="962"/>
      <c r="G3" s="961"/>
      <c r="H3" s="961"/>
      <c r="I3" s="961"/>
      <c r="J3" s="756"/>
    </row>
    <row r="4" spans="1:10" ht="16.5" x14ac:dyDescent="0.3">
      <c r="A4" s="960" t="s">
        <v>81</v>
      </c>
      <c r="B4" s="993"/>
      <c r="C4" s="993"/>
      <c r="D4" s="665"/>
      <c r="E4" s="665"/>
      <c r="F4" s="666"/>
      <c r="G4" s="665"/>
      <c r="H4" s="665"/>
      <c r="I4" s="665"/>
      <c r="J4" s="664"/>
    </row>
    <row r="5" spans="1:10" ht="16.5" x14ac:dyDescent="0.3">
      <c r="A5" s="659"/>
      <c r="B5" s="742"/>
      <c r="C5" s="742"/>
      <c r="D5" s="655"/>
      <c r="E5" s="655"/>
      <c r="F5" s="728"/>
      <c r="G5" s="655"/>
      <c r="H5" s="655"/>
      <c r="I5" s="655"/>
      <c r="J5" s="654"/>
    </row>
    <row r="6" spans="1:10" ht="16.5" x14ac:dyDescent="0.3">
      <c r="A6" s="659"/>
      <c r="B6" s="742"/>
      <c r="C6" s="742" t="s">
        <v>59</v>
      </c>
      <c r="D6" s="655"/>
      <c r="E6" s="655"/>
      <c r="F6" s="728"/>
      <c r="G6" s="655"/>
      <c r="H6" s="655">
        <v>0</v>
      </c>
      <c r="I6" s="655">
        <v>0</v>
      </c>
      <c r="J6" s="654">
        <v>0</v>
      </c>
    </row>
    <row r="7" spans="1:10" ht="16.5" x14ac:dyDescent="0.3">
      <c r="A7" s="659"/>
      <c r="B7" s="742"/>
      <c r="C7" s="742"/>
      <c r="D7" s="655"/>
      <c r="E7" s="655"/>
      <c r="F7" s="728"/>
      <c r="G7" s="655"/>
      <c r="H7" s="655"/>
      <c r="I7" s="655"/>
      <c r="J7" s="654"/>
    </row>
    <row r="8" spans="1:10" ht="16.5" x14ac:dyDescent="0.3">
      <c r="A8" s="960" t="s">
        <v>58</v>
      </c>
      <c r="B8" s="993"/>
      <c r="C8" s="993"/>
      <c r="D8" s="665"/>
      <c r="E8" s="991"/>
      <c r="F8" s="992"/>
      <c r="G8" s="991"/>
      <c r="H8" s="991"/>
      <c r="I8" s="991"/>
      <c r="J8" s="664"/>
    </row>
    <row r="9" spans="1:10" ht="16.5" x14ac:dyDescent="0.3">
      <c r="A9" s="659" t="s">
        <v>1079</v>
      </c>
      <c r="B9" s="742"/>
      <c r="C9" s="658"/>
      <c r="D9" s="724"/>
      <c r="E9" s="724"/>
      <c r="F9" s="725"/>
      <c r="G9" s="724"/>
      <c r="H9" s="724"/>
      <c r="I9" s="724"/>
      <c r="J9" s="693"/>
    </row>
    <row r="10" spans="1:10" ht="16.5" x14ac:dyDescent="0.3">
      <c r="A10" s="686"/>
      <c r="B10" s="985" t="s">
        <v>1078</v>
      </c>
      <c r="C10" s="663" t="s">
        <v>252</v>
      </c>
      <c r="D10" s="701" t="s">
        <v>1077</v>
      </c>
      <c r="E10" s="701">
        <v>80</v>
      </c>
      <c r="F10" s="702">
        <v>3</v>
      </c>
      <c r="G10" s="701">
        <f>F10*E10</f>
        <v>240</v>
      </c>
      <c r="H10" s="701">
        <f>G10*1.13</f>
        <v>271.2</v>
      </c>
      <c r="I10" s="701">
        <f>'[1]Frozen Pivot'!B209</f>
        <v>0</v>
      </c>
      <c r="J10" s="700">
        <v>92.76</v>
      </c>
    </row>
    <row r="11" spans="1:10" ht="16.5" x14ac:dyDescent="0.3">
      <c r="A11" s="686"/>
      <c r="B11" s="732"/>
      <c r="C11" s="748"/>
      <c r="D11" s="724"/>
      <c r="E11" s="724"/>
      <c r="F11" s="725"/>
      <c r="G11" s="724"/>
      <c r="H11" s="724"/>
      <c r="I11" s="724"/>
      <c r="J11" s="693"/>
    </row>
    <row r="12" spans="1:10" ht="16.5" x14ac:dyDescent="0.3">
      <c r="A12" s="686"/>
      <c r="B12" s="946" t="s">
        <v>1076</v>
      </c>
      <c r="C12" s="717"/>
      <c r="D12" s="680"/>
      <c r="E12" s="680"/>
      <c r="F12" s="716"/>
      <c r="G12" s="680"/>
      <c r="H12" s="680">
        <f>SUM(H9:H10)</f>
        <v>271.2</v>
      </c>
      <c r="I12" s="680">
        <f>SUM(I9:I10)</f>
        <v>0</v>
      </c>
      <c r="J12" s="679">
        <f>SUM(J9:J10)</f>
        <v>92.76</v>
      </c>
    </row>
    <row r="13" spans="1:10" ht="16.5" x14ac:dyDescent="0.3">
      <c r="A13" s="659"/>
      <c r="B13" s="986"/>
      <c r="C13" s="742"/>
      <c r="D13" s="655"/>
      <c r="E13" s="655"/>
      <c r="F13" s="728"/>
      <c r="G13" s="655"/>
      <c r="H13" s="655"/>
      <c r="I13" s="655"/>
      <c r="J13" s="654"/>
    </row>
    <row r="14" spans="1:10" ht="16.5" x14ac:dyDescent="0.3">
      <c r="A14" s="659" t="s">
        <v>1075</v>
      </c>
      <c r="B14" s="986"/>
      <c r="C14" s="658"/>
      <c r="D14" s="724"/>
      <c r="E14" s="724"/>
      <c r="F14" s="725"/>
      <c r="G14" s="724"/>
      <c r="H14" s="724"/>
      <c r="I14" s="724"/>
      <c r="J14" s="693"/>
    </row>
    <row r="15" spans="1:10" ht="16.5" x14ac:dyDescent="0.3">
      <c r="A15" s="743"/>
      <c r="B15" s="988" t="s">
        <v>1074</v>
      </c>
      <c r="C15" s="749" t="s">
        <v>1073</v>
      </c>
      <c r="D15" s="701" t="s">
        <v>1072</v>
      </c>
      <c r="E15" s="701">
        <v>488</v>
      </c>
      <c r="F15" s="702">
        <v>2</v>
      </c>
      <c r="G15" s="701">
        <f>F15*E15</f>
        <v>976</v>
      </c>
      <c r="H15" s="701">
        <f>G15*1.13</f>
        <v>1102.8799999999999</v>
      </c>
      <c r="I15" s="701">
        <f>'[1]Frozen Pivot'!B210</f>
        <v>92.76</v>
      </c>
      <c r="J15" s="700">
        <f>'[1]Frozen Pivot'!C211</f>
        <v>0</v>
      </c>
    </row>
    <row r="16" spans="1:10" ht="16.5" x14ac:dyDescent="0.3">
      <c r="A16" s="743"/>
      <c r="B16" s="990" t="s">
        <v>1071</v>
      </c>
      <c r="C16" s="753" t="s">
        <v>1070</v>
      </c>
      <c r="D16" s="736" t="s">
        <v>1069</v>
      </c>
      <c r="E16" s="736">
        <v>125</v>
      </c>
      <c r="F16" s="737">
        <v>2</v>
      </c>
      <c r="G16" s="736">
        <f>F16*E16</f>
        <v>250</v>
      </c>
      <c r="H16" s="724">
        <f>G16*1.13</f>
        <v>282.5</v>
      </c>
      <c r="I16" s="724">
        <f>'[1]Frozen Pivot'!B211</f>
        <v>0</v>
      </c>
      <c r="J16" s="693">
        <v>177.79</v>
      </c>
    </row>
    <row r="17" spans="1:10" ht="16.5" x14ac:dyDescent="0.3">
      <c r="A17" s="743"/>
      <c r="B17" s="989" t="s">
        <v>1068</v>
      </c>
      <c r="C17" s="824" t="s">
        <v>1067</v>
      </c>
      <c r="D17" s="688" t="s">
        <v>1059</v>
      </c>
      <c r="E17" s="688">
        <v>20</v>
      </c>
      <c r="F17" s="689">
        <v>3</v>
      </c>
      <c r="G17" s="688">
        <f>F17*E17</f>
        <v>60</v>
      </c>
      <c r="H17" s="688">
        <f>G17*1.13</f>
        <v>67.8</v>
      </c>
      <c r="I17" s="701">
        <f>'[1]Frozen Pivot'!B212</f>
        <v>177.79</v>
      </c>
      <c r="J17" s="700">
        <f>'[1]Frozen Pivot'!C213</f>
        <v>0</v>
      </c>
    </row>
    <row r="18" spans="1:10" ht="16.5" x14ac:dyDescent="0.3">
      <c r="A18" s="743"/>
      <c r="B18" s="987" t="s">
        <v>1066</v>
      </c>
      <c r="C18" s="658" t="s">
        <v>1065</v>
      </c>
      <c r="D18" s="724" t="s">
        <v>1059</v>
      </c>
      <c r="E18" s="724">
        <v>18</v>
      </c>
      <c r="F18" s="725">
        <v>2</v>
      </c>
      <c r="G18" s="724">
        <f>F18*E18</f>
        <v>36</v>
      </c>
      <c r="H18" s="724">
        <f>G18*1.13</f>
        <v>40.679999999999993</v>
      </c>
      <c r="I18" s="724">
        <f>'[1]Frozen Pivot'!B213</f>
        <v>0</v>
      </c>
      <c r="J18" s="693">
        <f>'[1]Frozen Pivot'!C214</f>
        <v>0</v>
      </c>
    </row>
    <row r="19" spans="1:10" ht="16.5" x14ac:dyDescent="0.3">
      <c r="A19" s="743"/>
      <c r="B19" s="989" t="s">
        <v>1064</v>
      </c>
      <c r="C19" s="824" t="s">
        <v>1063</v>
      </c>
      <c r="D19" s="688" t="s">
        <v>1062</v>
      </c>
      <c r="E19" s="688">
        <v>216</v>
      </c>
      <c r="F19" s="689">
        <v>1</v>
      </c>
      <c r="G19" s="688">
        <f>F19*E19</f>
        <v>216</v>
      </c>
      <c r="H19" s="688">
        <f>G19*1.13</f>
        <v>244.07999999999998</v>
      </c>
      <c r="I19" s="701">
        <f>'[1]Frozen Pivot'!B214</f>
        <v>0</v>
      </c>
      <c r="J19" s="700">
        <f>'[1]Frozen Pivot'!C215</f>
        <v>0</v>
      </c>
    </row>
    <row r="20" spans="1:10" ht="16.5" x14ac:dyDescent="0.3">
      <c r="A20" s="743"/>
      <c r="B20" s="987" t="s">
        <v>1061</v>
      </c>
      <c r="C20" s="658" t="s">
        <v>1060</v>
      </c>
      <c r="D20" s="724" t="s">
        <v>1059</v>
      </c>
      <c r="E20" s="724">
        <v>79.97</v>
      </c>
      <c r="F20" s="725">
        <v>1</v>
      </c>
      <c r="G20" s="724">
        <f>F20*E20</f>
        <v>79.97</v>
      </c>
      <c r="H20" s="724">
        <f>G20*1.13</f>
        <v>90.366099999999989</v>
      </c>
      <c r="I20" s="724">
        <f>'[1]Frozen Pivot'!B215</f>
        <v>0</v>
      </c>
      <c r="J20" s="693">
        <v>138.65</v>
      </c>
    </row>
    <row r="21" spans="1:10" ht="16.5" x14ac:dyDescent="0.3">
      <c r="A21" s="743"/>
      <c r="B21" s="988" t="s">
        <v>1058</v>
      </c>
      <c r="C21" s="663" t="s">
        <v>1057</v>
      </c>
      <c r="D21" s="701" t="s">
        <v>1056</v>
      </c>
      <c r="E21" s="701">
        <v>281</v>
      </c>
      <c r="F21" s="702">
        <v>2</v>
      </c>
      <c r="G21" s="701">
        <f>E21*F21</f>
        <v>562</v>
      </c>
      <c r="H21" s="701">
        <f>G21*1.13</f>
        <v>635.05999999999995</v>
      </c>
      <c r="I21" s="701">
        <f>'[1]Frozen Pivot'!B216</f>
        <v>138.65</v>
      </c>
      <c r="J21" s="700">
        <f>'[1]Frozen Pivot'!C217</f>
        <v>0</v>
      </c>
    </row>
    <row r="22" spans="1:10" ht="16.5" x14ac:dyDescent="0.3">
      <c r="A22" s="743"/>
      <c r="B22" s="987" t="s">
        <v>1055</v>
      </c>
      <c r="C22" s="658" t="s">
        <v>1054</v>
      </c>
      <c r="D22" s="724" t="s">
        <v>1053</v>
      </c>
      <c r="E22" s="724">
        <v>100</v>
      </c>
      <c r="F22" s="725">
        <v>2</v>
      </c>
      <c r="G22" s="724">
        <f>E22*F22</f>
        <v>200</v>
      </c>
      <c r="H22" s="724">
        <f>G22*1.13</f>
        <v>225.99999999999997</v>
      </c>
      <c r="I22" s="724">
        <f>'[1]Frozen Pivot'!B217</f>
        <v>0</v>
      </c>
      <c r="J22" s="693">
        <f>'[1]Frozen Pivot'!C218</f>
        <v>0</v>
      </c>
    </row>
    <row r="23" spans="1:10" ht="16.5" x14ac:dyDescent="0.3">
      <c r="A23" s="686"/>
      <c r="B23" s="985"/>
      <c r="C23" s="749"/>
      <c r="D23" s="701"/>
      <c r="E23" s="701"/>
      <c r="F23" s="702"/>
      <c r="G23" s="701"/>
      <c r="H23" s="701"/>
      <c r="I23" s="701"/>
      <c r="J23" s="700"/>
    </row>
    <row r="24" spans="1:10" ht="16.5" x14ac:dyDescent="0.3">
      <c r="A24" s="686"/>
      <c r="B24" s="946" t="s">
        <v>1052</v>
      </c>
      <c r="C24" s="733"/>
      <c r="D24" s="680"/>
      <c r="E24" s="680"/>
      <c r="F24" s="716"/>
      <c r="G24" s="680"/>
      <c r="H24" s="680">
        <f>SUM(H15:H23)</f>
        <v>2689.3660999999997</v>
      </c>
      <c r="I24" s="680">
        <f>SUM(I15:I23)</f>
        <v>409.20000000000005</v>
      </c>
      <c r="J24" s="679">
        <f>SUM(J15:J22)</f>
        <v>316.44</v>
      </c>
    </row>
    <row r="25" spans="1:10" ht="16.5" x14ac:dyDescent="0.3">
      <c r="A25" s="686"/>
      <c r="B25" s="732"/>
      <c r="C25" s="742"/>
      <c r="D25" s="655"/>
      <c r="E25" s="655"/>
      <c r="F25" s="728"/>
      <c r="G25" s="655"/>
      <c r="H25" s="655"/>
      <c r="I25" s="655"/>
      <c r="J25" s="654"/>
    </row>
    <row r="26" spans="1:10" ht="16.5" x14ac:dyDescent="0.3">
      <c r="A26" s="659" t="s">
        <v>1051</v>
      </c>
      <c r="B26" s="986"/>
      <c r="C26" s="658"/>
      <c r="D26" s="724"/>
      <c r="E26" s="724"/>
      <c r="F26" s="725"/>
      <c r="G26" s="724"/>
      <c r="H26" s="724"/>
      <c r="I26" s="724"/>
      <c r="J26" s="693"/>
    </row>
    <row r="27" spans="1:10" ht="16.5" x14ac:dyDescent="0.3">
      <c r="A27" s="659"/>
      <c r="B27" s="985" t="s">
        <v>1050</v>
      </c>
      <c r="C27" s="663" t="s">
        <v>1049</v>
      </c>
      <c r="D27" s="701" t="s">
        <v>1048</v>
      </c>
      <c r="E27" s="701">
        <v>180</v>
      </c>
      <c r="F27" s="702">
        <v>2</v>
      </c>
      <c r="G27" s="701">
        <f>F27*E27</f>
        <v>360</v>
      </c>
      <c r="H27" s="701">
        <f>G27*1.13</f>
        <v>406.79999999999995</v>
      </c>
      <c r="I27" s="701">
        <f>'[1]Frozen Pivot'!$B$218</f>
        <v>0</v>
      </c>
      <c r="J27" s="700">
        <v>407.34</v>
      </c>
    </row>
    <row r="28" spans="1:10" ht="16.5" x14ac:dyDescent="0.3">
      <c r="A28" s="659"/>
      <c r="B28" s="732" t="s">
        <v>1047</v>
      </c>
      <c r="C28" s="658" t="s">
        <v>1046</v>
      </c>
      <c r="D28" s="724" t="s">
        <v>1045</v>
      </c>
      <c r="E28" s="724">
        <v>30</v>
      </c>
      <c r="F28" s="725">
        <v>1</v>
      </c>
      <c r="G28" s="724">
        <f>F28*E28</f>
        <v>30</v>
      </c>
      <c r="H28" s="724">
        <f>G28*1.13</f>
        <v>33.9</v>
      </c>
      <c r="I28" s="724">
        <f>'[1]Frozen Pivot'!$B$219</f>
        <v>407.34</v>
      </c>
      <c r="J28" s="693">
        <v>61</v>
      </c>
    </row>
    <row r="29" spans="1:10" ht="16.5" x14ac:dyDescent="0.3">
      <c r="A29" s="659"/>
      <c r="B29" s="978"/>
      <c r="C29" s="663"/>
      <c r="D29" s="701"/>
      <c r="E29" s="701"/>
      <c r="F29" s="702"/>
      <c r="G29" s="701"/>
      <c r="H29" s="701"/>
      <c r="I29" s="701"/>
      <c r="J29" s="700"/>
    </row>
    <row r="30" spans="1:10" ht="16.5" x14ac:dyDescent="0.3">
      <c r="A30" s="686"/>
      <c r="B30" s="685" t="s">
        <v>1044</v>
      </c>
      <c r="C30" s="733"/>
      <c r="D30" s="680"/>
      <c r="E30" s="680"/>
      <c r="F30" s="716"/>
      <c r="G30" s="680"/>
      <c r="H30" s="680">
        <f>SUM(H27:H29)</f>
        <v>440.69999999999993</v>
      </c>
      <c r="I30" s="680">
        <f>SUM(I27:I29)</f>
        <v>407.34</v>
      </c>
      <c r="J30" s="679">
        <f>SUM(J27:J29)</f>
        <v>468.34</v>
      </c>
    </row>
    <row r="31" spans="1:10" ht="16.5" x14ac:dyDescent="0.3">
      <c r="A31" s="686"/>
      <c r="B31" s="742"/>
      <c r="C31" s="742"/>
      <c r="D31" s="655"/>
      <c r="E31" s="655"/>
      <c r="F31" s="728"/>
      <c r="G31" s="655"/>
      <c r="H31" s="655"/>
      <c r="I31" s="655"/>
      <c r="J31" s="654"/>
    </row>
    <row r="32" spans="1:10" ht="16.5" x14ac:dyDescent="0.3">
      <c r="A32" s="659" t="s">
        <v>311</v>
      </c>
      <c r="B32" s="986"/>
      <c r="C32" s="658"/>
      <c r="D32" s="724"/>
      <c r="E32" s="724"/>
      <c r="F32" s="725"/>
      <c r="G32" s="724"/>
      <c r="H32" s="724"/>
      <c r="I32" s="724"/>
      <c r="J32" s="693"/>
    </row>
    <row r="33" spans="1:10" ht="16.5" x14ac:dyDescent="0.3">
      <c r="A33" s="659"/>
      <c r="B33" s="985" t="s">
        <v>1043</v>
      </c>
      <c r="C33" s="663" t="s">
        <v>1042</v>
      </c>
      <c r="D33" s="701" t="s">
        <v>1041</v>
      </c>
      <c r="E33" s="701"/>
      <c r="F33" s="702"/>
      <c r="G33" s="701"/>
      <c r="H33" s="701"/>
      <c r="I33" s="701">
        <v>2125</v>
      </c>
      <c r="J33" s="700">
        <f>I33</f>
        <v>2125</v>
      </c>
    </row>
    <row r="34" spans="1:10" ht="16.5" x14ac:dyDescent="0.3">
      <c r="A34" s="659"/>
      <c r="B34" s="978"/>
      <c r="C34" s="663"/>
      <c r="D34" s="701"/>
      <c r="E34" s="701"/>
      <c r="F34" s="702"/>
      <c r="G34" s="701"/>
      <c r="H34" s="701"/>
      <c r="I34" s="701"/>
      <c r="J34" s="700"/>
    </row>
    <row r="35" spans="1:10" ht="16.5" x14ac:dyDescent="0.3">
      <c r="A35" s="686"/>
      <c r="B35" s="685" t="s">
        <v>371</v>
      </c>
      <c r="C35" s="733"/>
      <c r="D35" s="680"/>
      <c r="E35" s="680"/>
      <c r="F35" s="716"/>
      <c r="G35" s="680"/>
      <c r="H35" s="680">
        <f>SUM(H33:H34)</f>
        <v>0</v>
      </c>
      <c r="I35" s="680">
        <f>SUM(I33:I34)</f>
        <v>2125</v>
      </c>
      <c r="J35" s="679">
        <f>SUM(J33:J34)</f>
        <v>2125</v>
      </c>
    </row>
    <row r="36" spans="1:10" ht="16.5" x14ac:dyDescent="0.3">
      <c r="A36" s="686"/>
      <c r="B36" s="808"/>
      <c r="C36" s="808"/>
      <c r="D36" s="806"/>
      <c r="E36" s="806"/>
      <c r="F36" s="807"/>
      <c r="G36" s="806"/>
      <c r="H36" s="806"/>
      <c r="I36" s="806"/>
      <c r="J36" s="756"/>
    </row>
    <row r="37" spans="1:10" ht="16.5" x14ac:dyDescent="0.3">
      <c r="A37" s="686"/>
      <c r="B37" s="742"/>
      <c r="C37" s="657" t="s">
        <v>4</v>
      </c>
      <c r="D37" s="657"/>
      <c r="E37" s="655"/>
      <c r="F37" s="728"/>
      <c r="G37" s="655"/>
      <c r="H37" s="655">
        <f>SUM(H24,H12,H30)</f>
        <v>3401.2660999999994</v>
      </c>
      <c r="I37" s="655">
        <f>I35+I30+I24+I12</f>
        <v>2941.54</v>
      </c>
      <c r="J37" s="654">
        <f>J35+J30+J24+J12</f>
        <v>3002.5400000000004</v>
      </c>
    </row>
    <row r="38" spans="1:10" ht="16.5" x14ac:dyDescent="0.3">
      <c r="A38" s="686"/>
      <c r="B38" s="984"/>
      <c r="C38" s="984"/>
      <c r="D38" s="982"/>
      <c r="E38" s="982"/>
      <c r="F38" s="983"/>
      <c r="G38" s="982"/>
      <c r="H38" s="982"/>
      <c r="I38" s="982"/>
      <c r="J38" s="981"/>
    </row>
    <row r="39" spans="1:10" ht="16.5" x14ac:dyDescent="0.3">
      <c r="A39" s="980" t="s">
        <v>3</v>
      </c>
      <c r="B39" s="979"/>
      <c r="C39" s="979"/>
      <c r="D39" s="665"/>
      <c r="E39" s="665"/>
      <c r="F39" s="666"/>
      <c r="G39" s="665"/>
      <c r="H39" s="665"/>
      <c r="I39" s="665"/>
      <c r="J39" s="664"/>
    </row>
    <row r="40" spans="1:10" ht="16.5" x14ac:dyDescent="0.3">
      <c r="A40" s="659"/>
      <c r="B40" s="978" t="s">
        <v>2</v>
      </c>
      <c r="C40" s="978"/>
      <c r="D40" s="660"/>
      <c r="E40" s="660"/>
      <c r="F40" s="660"/>
      <c r="G40" s="660"/>
      <c r="H40" s="660">
        <v>0</v>
      </c>
      <c r="I40" s="660">
        <v>0</v>
      </c>
      <c r="J40" s="660">
        <v>0</v>
      </c>
    </row>
    <row r="41" spans="1:10" ht="16.5" x14ac:dyDescent="0.3">
      <c r="A41" s="659"/>
      <c r="B41" s="742" t="s">
        <v>1</v>
      </c>
      <c r="C41" s="742"/>
      <c r="D41" s="655"/>
      <c r="E41" s="655"/>
      <c r="F41" s="655"/>
      <c r="G41" s="655"/>
      <c r="H41" s="655">
        <f>H37</f>
        <v>3401.2660999999994</v>
      </c>
      <c r="I41" s="655">
        <f>I37</f>
        <v>2941.54</v>
      </c>
      <c r="J41" s="654">
        <f>J37</f>
        <v>3002.5400000000004</v>
      </c>
    </row>
    <row r="42" spans="1:10" ht="16.5" x14ac:dyDescent="0.3">
      <c r="A42" s="653"/>
      <c r="B42" s="977" t="s">
        <v>0</v>
      </c>
      <c r="C42" s="977"/>
      <c r="D42" s="649"/>
      <c r="E42" s="649"/>
      <c r="F42" s="649"/>
      <c r="G42" s="649"/>
      <c r="H42" s="649">
        <f>H40-H41</f>
        <v>-3401.2660999999994</v>
      </c>
      <c r="I42" s="649">
        <f>I40-I41</f>
        <v>-2941.54</v>
      </c>
      <c r="J42" s="976">
        <f>J40-J41</f>
        <v>-3002.5400000000004</v>
      </c>
    </row>
  </sheetData>
  <mergeCells count="3">
    <mergeCell ref="A1:J1"/>
    <mergeCell ref="A4:C4"/>
    <mergeCell ref="A8:C8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D8C71-549C-4C22-9C82-6E8D2B371D22}">
  <sheetPr codeName="Sheet11"/>
  <dimension ref="A1:AC354"/>
  <sheetViews>
    <sheetView topLeftCell="A230" zoomScale="80" zoomScaleNormal="80" zoomScalePageLayoutView="80" workbookViewId="0">
      <selection activeCell="M10" sqref="M10"/>
    </sheetView>
  </sheetViews>
  <sheetFormatPr defaultColWidth="12.42578125" defaultRowHeight="15.75" x14ac:dyDescent="0.25"/>
  <cols>
    <col min="1" max="1" width="12.42578125" style="432"/>
    <col min="2" max="2" width="13" style="432" customWidth="1"/>
    <col min="3" max="3" width="39.28515625" style="432" customWidth="1"/>
    <col min="4" max="4" width="69.28515625" style="432" customWidth="1"/>
    <col min="5" max="5" width="12.42578125" style="432"/>
    <col min="6" max="6" width="30.7109375" style="432" customWidth="1"/>
    <col min="7" max="7" width="12.42578125" style="432"/>
    <col min="8" max="8" width="12.85546875" style="432" bestFit="1" customWidth="1"/>
    <col min="9" max="9" width="12.42578125" style="432" hidden="1" customWidth="1"/>
    <col min="10" max="12" width="12.42578125" style="432"/>
    <col min="13" max="13" width="19.140625" style="432" bestFit="1" customWidth="1"/>
    <col min="14" max="16384" width="12.42578125" style="432"/>
  </cols>
  <sheetData>
    <row r="1" spans="1:14" ht="66" customHeight="1" x14ac:dyDescent="0.6">
      <c r="A1" s="975" t="s">
        <v>1040</v>
      </c>
      <c r="B1" s="975"/>
      <c r="C1" s="975"/>
      <c r="D1" s="975"/>
      <c r="E1" s="975"/>
      <c r="F1" s="975"/>
      <c r="G1" s="975"/>
      <c r="H1" s="975"/>
      <c r="I1" s="975"/>
      <c r="J1" s="975"/>
    </row>
    <row r="2" spans="1:14" ht="16.5" x14ac:dyDescent="0.3">
      <c r="A2" s="974"/>
      <c r="B2" s="973" t="s">
        <v>213</v>
      </c>
      <c r="C2" s="972" t="s">
        <v>212</v>
      </c>
      <c r="D2" s="971" t="s">
        <v>211</v>
      </c>
      <c r="E2" s="970" t="s">
        <v>210</v>
      </c>
      <c r="F2" s="969" t="s">
        <v>209</v>
      </c>
      <c r="G2" s="968" t="s">
        <v>208</v>
      </c>
      <c r="H2" s="968" t="s">
        <v>207</v>
      </c>
      <c r="I2" s="968" t="s">
        <v>232</v>
      </c>
      <c r="J2" s="967" t="s">
        <v>206</v>
      </c>
    </row>
    <row r="3" spans="1:14" ht="16.5" x14ac:dyDescent="0.3">
      <c r="A3" s="966"/>
      <c r="B3" s="965"/>
      <c r="C3" s="964"/>
      <c r="D3" s="963"/>
      <c r="E3" s="961"/>
      <c r="F3" s="962"/>
      <c r="G3" s="961"/>
      <c r="H3" s="961"/>
      <c r="I3" s="961"/>
      <c r="J3" s="756"/>
    </row>
    <row r="4" spans="1:14" ht="16.5" x14ac:dyDescent="0.3">
      <c r="A4" s="960" t="s">
        <v>81</v>
      </c>
      <c r="B4" s="960"/>
      <c r="C4" s="960"/>
      <c r="D4" s="667"/>
      <c r="E4" s="665"/>
      <c r="F4" s="666"/>
      <c r="G4" s="665"/>
      <c r="H4" s="665"/>
      <c r="I4" s="665"/>
      <c r="J4" s="664"/>
      <c r="N4" s="793"/>
    </row>
    <row r="5" spans="1:14" ht="16.5" x14ac:dyDescent="0.3">
      <c r="A5" s="659" t="s">
        <v>964</v>
      </c>
      <c r="B5" s="658"/>
      <c r="C5" s="658"/>
      <c r="D5" s="900"/>
      <c r="E5" s="900"/>
      <c r="F5" s="901"/>
      <c r="G5" s="900"/>
      <c r="H5" s="900"/>
      <c r="I5" s="900"/>
      <c r="J5" s="805"/>
    </row>
    <row r="6" spans="1:14" ht="16.5" x14ac:dyDescent="0.3">
      <c r="A6" s="686"/>
      <c r="B6" s="958" t="s">
        <v>1039</v>
      </c>
      <c r="C6" s="691" t="s">
        <v>1038</v>
      </c>
      <c r="D6" s="688" t="s">
        <v>1037</v>
      </c>
      <c r="E6" s="688">
        <v>20</v>
      </c>
      <c r="F6" s="689">
        <v>20</v>
      </c>
      <c r="G6" s="688">
        <f>E6*F6</f>
        <v>400</v>
      </c>
      <c r="H6" s="688">
        <v>400</v>
      </c>
      <c r="I6" s="687">
        <f>'[1]Frozen Pivot'!$B$221</f>
        <v>0</v>
      </c>
      <c r="J6" s="687">
        <v>311.33</v>
      </c>
      <c r="K6" s="833"/>
    </row>
    <row r="7" spans="1:14" s="718" customFormat="1" ht="16.5" x14ac:dyDescent="0.3">
      <c r="A7" s="740"/>
      <c r="B7" s="959" t="s">
        <v>1036</v>
      </c>
      <c r="C7" s="738" t="s">
        <v>1035</v>
      </c>
      <c r="D7" s="736" t="s">
        <v>1034</v>
      </c>
      <c r="E7" s="736">
        <v>10</v>
      </c>
      <c r="F7" s="737">
        <v>32</v>
      </c>
      <c r="G7" s="736">
        <f>E7*F7</f>
        <v>320</v>
      </c>
      <c r="H7" s="736">
        <f>G7</f>
        <v>320</v>
      </c>
      <c r="I7" s="693">
        <f>'[1]Frozen Pivot'!$B$222</f>
        <v>0</v>
      </c>
      <c r="J7" s="693">
        <v>0</v>
      </c>
      <c r="K7" s="747"/>
    </row>
    <row r="8" spans="1:14" ht="16.5" x14ac:dyDescent="0.3">
      <c r="A8" s="686"/>
      <c r="B8" s="958" t="s">
        <v>1033</v>
      </c>
      <c r="C8" s="691" t="s">
        <v>1032</v>
      </c>
      <c r="D8" s="688" t="s">
        <v>1031</v>
      </c>
      <c r="E8" s="688">
        <v>30</v>
      </c>
      <c r="F8" s="689">
        <v>24</v>
      </c>
      <c r="G8" s="688">
        <f>E8*F8</f>
        <v>720</v>
      </c>
      <c r="H8" s="688">
        <f>G8</f>
        <v>720</v>
      </c>
      <c r="I8" s="687">
        <f>'[1]Frozen Pivot'!$B$223</f>
        <v>0</v>
      </c>
      <c r="J8" s="687">
        <v>342.87</v>
      </c>
      <c r="K8" s="833"/>
    </row>
    <row r="9" spans="1:14" s="718" customFormat="1" ht="16.5" x14ac:dyDescent="0.3">
      <c r="A9" s="740"/>
      <c r="B9" s="959" t="s">
        <v>1030</v>
      </c>
      <c r="C9" s="738" t="s">
        <v>1029</v>
      </c>
      <c r="D9" s="736" t="s">
        <v>918</v>
      </c>
      <c r="E9" s="736">
        <v>30</v>
      </c>
      <c r="F9" s="737">
        <v>1</v>
      </c>
      <c r="G9" s="736">
        <f>E9*F9</f>
        <v>30</v>
      </c>
      <c r="H9" s="724">
        <f>G9</f>
        <v>30</v>
      </c>
      <c r="I9" s="693">
        <f>'[1]Frozen Pivot'!$B$224</f>
        <v>0</v>
      </c>
      <c r="J9" s="693">
        <v>0</v>
      </c>
    </row>
    <row r="10" spans="1:14" ht="16.5" x14ac:dyDescent="0.3">
      <c r="A10" s="686"/>
      <c r="B10" s="958" t="s">
        <v>1028</v>
      </c>
      <c r="C10" s="691" t="s">
        <v>1027</v>
      </c>
      <c r="D10" s="688" t="s">
        <v>1026</v>
      </c>
      <c r="E10" s="688">
        <v>5</v>
      </c>
      <c r="F10" s="689">
        <v>80</v>
      </c>
      <c r="G10" s="688">
        <f>E10*F10</f>
        <v>400</v>
      </c>
      <c r="H10" s="688">
        <f>G10</f>
        <v>400</v>
      </c>
      <c r="I10" s="687">
        <f>'[1]Frozen Pivot'!$B$225</f>
        <v>0</v>
      </c>
      <c r="J10" s="687">
        <v>0</v>
      </c>
    </row>
    <row r="11" spans="1:14" s="718" customFormat="1" ht="16.5" x14ac:dyDescent="0.3">
      <c r="A11" s="740"/>
      <c r="B11" s="959" t="s">
        <v>1025</v>
      </c>
      <c r="C11" s="738" t="s">
        <v>906</v>
      </c>
      <c r="D11" s="736" t="s">
        <v>1024</v>
      </c>
      <c r="E11" s="736">
        <v>20</v>
      </c>
      <c r="F11" s="737">
        <v>20</v>
      </c>
      <c r="G11" s="736">
        <f>E11*F11</f>
        <v>400</v>
      </c>
      <c r="H11" s="724">
        <f>G11</f>
        <v>400</v>
      </c>
      <c r="I11" s="693">
        <f>'[1]Frozen Pivot'!$B$226</f>
        <v>0</v>
      </c>
      <c r="J11" s="693">
        <v>0</v>
      </c>
    </row>
    <row r="12" spans="1:14" s="718" customFormat="1" ht="16.5" x14ac:dyDescent="0.3">
      <c r="A12" s="740"/>
      <c r="B12" s="958"/>
      <c r="C12" s="691"/>
      <c r="D12" s="688"/>
      <c r="E12" s="688"/>
      <c r="F12" s="689"/>
      <c r="G12" s="688"/>
      <c r="H12" s="688"/>
      <c r="I12" s="688"/>
      <c r="J12" s="687"/>
    </row>
    <row r="13" spans="1:14" ht="16.5" x14ac:dyDescent="0.3">
      <c r="A13" s="686"/>
      <c r="B13" s="946" t="s">
        <v>1023</v>
      </c>
      <c r="C13" s="888"/>
      <c r="D13" s="681"/>
      <c r="E13" s="681"/>
      <c r="F13" s="682"/>
      <c r="G13" s="681"/>
      <c r="H13" s="680">
        <f>SUM(H5:H11)</f>
        <v>2270</v>
      </c>
      <c r="I13" s="680">
        <f>SUM(I5:I8)</f>
        <v>0</v>
      </c>
      <c r="J13" s="679">
        <f>SUM(J6:J11)</f>
        <v>654.20000000000005</v>
      </c>
    </row>
    <row r="14" spans="1:14" ht="16.5" x14ac:dyDescent="0.3">
      <c r="A14" s="686"/>
      <c r="B14" s="945"/>
      <c r="C14" s="886"/>
      <c r="D14" s="884"/>
      <c r="E14" s="884"/>
      <c r="F14" s="885"/>
      <c r="G14" s="884"/>
      <c r="H14" s="806"/>
      <c r="I14" s="806"/>
      <c r="J14" s="756"/>
    </row>
    <row r="15" spans="1:14" ht="16.5" x14ac:dyDescent="0.3">
      <c r="A15" s="659" t="s">
        <v>1022</v>
      </c>
      <c r="B15" s="732"/>
      <c r="C15" s="658"/>
      <c r="D15" s="900"/>
      <c r="E15" s="900"/>
      <c r="F15" s="901"/>
      <c r="G15" s="900"/>
      <c r="H15" s="900"/>
      <c r="I15" s="900"/>
      <c r="J15" s="805"/>
    </row>
    <row r="16" spans="1:14" ht="16.5" x14ac:dyDescent="0.3">
      <c r="A16" s="659"/>
      <c r="B16" s="951" t="s">
        <v>1021</v>
      </c>
      <c r="C16" s="817" t="s">
        <v>967</v>
      </c>
      <c r="D16" s="950" t="s">
        <v>1020</v>
      </c>
      <c r="E16" s="950">
        <v>400</v>
      </c>
      <c r="F16" s="954">
        <v>1</v>
      </c>
      <c r="G16" s="950">
        <f>E16*F16</f>
        <v>400</v>
      </c>
      <c r="H16" s="950">
        <v>400</v>
      </c>
      <c r="I16" s="957">
        <f>'[1]Frozen Pivot'!$B$227</f>
        <v>0</v>
      </c>
      <c r="J16" s="957">
        <v>0</v>
      </c>
    </row>
    <row r="17" spans="1:10" ht="16.5" x14ac:dyDescent="0.3">
      <c r="A17" s="659"/>
      <c r="B17" s="947"/>
      <c r="C17" s="801"/>
      <c r="D17" s="843"/>
      <c r="E17" s="843"/>
      <c r="F17" s="956"/>
      <c r="G17" s="843"/>
      <c r="H17" s="843"/>
      <c r="I17" s="847"/>
      <c r="J17" s="955"/>
    </row>
    <row r="18" spans="1:10" ht="16.5" x14ac:dyDescent="0.3">
      <c r="A18" s="686"/>
      <c r="B18" s="946" t="s">
        <v>1019</v>
      </c>
      <c r="C18" s="888"/>
      <c r="D18" s="681"/>
      <c r="E18" s="681"/>
      <c r="F18" s="682"/>
      <c r="G18" s="681"/>
      <c r="H18" s="680">
        <f>SUM(H15:H16)</f>
        <v>400</v>
      </c>
      <c r="I18" s="680">
        <f>SUM(I15:I16)</f>
        <v>0</v>
      </c>
      <c r="J18" s="679">
        <f>SUM(J15:J16)</f>
        <v>0</v>
      </c>
    </row>
    <row r="19" spans="1:10" ht="16.5" x14ac:dyDescent="0.3">
      <c r="A19" s="686"/>
      <c r="B19" s="945"/>
      <c r="C19" s="886"/>
      <c r="D19" s="884"/>
      <c r="E19" s="884"/>
      <c r="F19" s="885"/>
      <c r="G19" s="884"/>
      <c r="H19" s="806"/>
      <c r="I19" s="806"/>
      <c r="J19" s="756"/>
    </row>
    <row r="20" spans="1:10" ht="16.5" x14ac:dyDescent="0.3">
      <c r="A20" s="659" t="s">
        <v>878</v>
      </c>
      <c r="B20" s="732"/>
      <c r="C20" s="658"/>
      <c r="D20" s="900"/>
      <c r="E20" s="900"/>
      <c r="F20" s="901"/>
      <c r="G20" s="900"/>
      <c r="H20" s="900"/>
      <c r="I20" s="900"/>
      <c r="J20" s="805"/>
    </row>
    <row r="21" spans="1:10" ht="16.5" x14ac:dyDescent="0.3">
      <c r="A21" s="659"/>
      <c r="B21" s="951" t="s">
        <v>1018</v>
      </c>
      <c r="C21" s="817" t="s">
        <v>1017</v>
      </c>
      <c r="D21" s="950"/>
      <c r="E21" s="950">
        <v>30</v>
      </c>
      <c r="F21" s="954">
        <v>32</v>
      </c>
      <c r="G21" s="950">
        <f>E21*F21</f>
        <v>960</v>
      </c>
      <c r="H21" s="950">
        <f>G21</f>
        <v>960</v>
      </c>
      <c r="I21" s="687">
        <f>'[1]Frozen Pivot'!$B$228</f>
        <v>0</v>
      </c>
      <c r="J21" s="953">
        <v>200</v>
      </c>
    </row>
    <row r="22" spans="1:10" ht="16.5" x14ac:dyDescent="0.3">
      <c r="A22" s="659"/>
      <c r="B22" s="947" t="s">
        <v>1016</v>
      </c>
      <c r="C22" s="727" t="s">
        <v>1015</v>
      </c>
      <c r="D22" s="724"/>
      <c r="E22" s="724">
        <v>30</v>
      </c>
      <c r="F22" s="725">
        <v>26</v>
      </c>
      <c r="G22" s="843">
        <f>E22*F22</f>
        <v>780</v>
      </c>
      <c r="H22" s="843">
        <f>G22</f>
        <v>780</v>
      </c>
      <c r="I22" s="693">
        <f>'[1]Frozen Pivot'!B229</f>
        <v>591.14</v>
      </c>
      <c r="J22" s="952">
        <v>600</v>
      </c>
    </row>
    <row r="23" spans="1:10" ht="16.5" x14ac:dyDescent="0.3">
      <c r="A23" s="686"/>
      <c r="B23" s="951" t="s">
        <v>1014</v>
      </c>
      <c r="C23" s="704" t="s">
        <v>860</v>
      </c>
      <c r="D23" s="701"/>
      <c r="E23" s="701">
        <v>5</v>
      </c>
      <c r="F23" s="702">
        <v>150</v>
      </c>
      <c r="G23" s="950">
        <f>E23*F23</f>
        <v>750</v>
      </c>
      <c r="H23" s="950">
        <f>G23</f>
        <v>750</v>
      </c>
      <c r="I23" s="687"/>
      <c r="J23" s="953">
        <v>0</v>
      </c>
    </row>
    <row r="24" spans="1:10" ht="16.5" x14ac:dyDescent="0.3">
      <c r="A24" s="686"/>
      <c r="B24" s="947" t="s">
        <v>1013</v>
      </c>
      <c r="C24" s="726" t="s">
        <v>1012</v>
      </c>
      <c r="D24" s="724"/>
      <c r="E24" s="724">
        <v>10</v>
      </c>
      <c r="F24" s="725">
        <v>150</v>
      </c>
      <c r="G24" s="843">
        <f>E24*F24</f>
        <v>1500</v>
      </c>
      <c r="H24" s="843">
        <f>G24</f>
        <v>1500</v>
      </c>
      <c r="I24" s="693"/>
      <c r="J24" s="952">
        <v>0</v>
      </c>
    </row>
    <row r="25" spans="1:10" ht="16.5" x14ac:dyDescent="0.3">
      <c r="A25" s="686"/>
      <c r="B25" s="951" t="s">
        <v>1011</v>
      </c>
      <c r="C25" s="704" t="s">
        <v>581</v>
      </c>
      <c r="D25" s="701"/>
      <c r="E25" s="701">
        <v>5</v>
      </c>
      <c r="F25" s="702">
        <v>60</v>
      </c>
      <c r="G25" s="950">
        <f>E25*F25</f>
        <v>300</v>
      </c>
      <c r="H25" s="950">
        <f>G25</f>
        <v>300</v>
      </c>
      <c r="I25" s="700"/>
      <c r="J25" s="949">
        <v>0</v>
      </c>
    </row>
    <row r="26" spans="1:10" ht="16.5" x14ac:dyDescent="0.3">
      <c r="A26" s="686"/>
      <c r="B26" s="947" t="s">
        <v>1010</v>
      </c>
      <c r="C26" s="726" t="s">
        <v>1009</v>
      </c>
      <c r="D26" s="724"/>
      <c r="E26" s="724">
        <v>5</v>
      </c>
      <c r="F26" s="725">
        <v>120</v>
      </c>
      <c r="G26" s="843">
        <f>E26*F26</f>
        <v>600</v>
      </c>
      <c r="H26" s="843">
        <f>G26</f>
        <v>600</v>
      </c>
      <c r="I26" s="693">
        <f>'[1]Frozen Pivot'!B232</f>
        <v>479.39</v>
      </c>
      <c r="J26" s="948">
        <v>835</v>
      </c>
    </row>
    <row r="27" spans="1:10" ht="16.5" x14ac:dyDescent="0.3">
      <c r="A27" s="686"/>
      <c r="B27" s="951" t="s">
        <v>1008</v>
      </c>
      <c r="C27" s="704" t="s">
        <v>834</v>
      </c>
      <c r="D27" s="701"/>
      <c r="E27" s="701">
        <v>30</v>
      </c>
      <c r="F27" s="702">
        <v>16</v>
      </c>
      <c r="G27" s="950">
        <f>E27*F27</f>
        <v>480</v>
      </c>
      <c r="H27" s="950">
        <f>G27</f>
        <v>480</v>
      </c>
      <c r="I27" s="700">
        <f>'[1]Frozen Pivot'!B233</f>
        <v>334.89</v>
      </c>
      <c r="J27" s="949">
        <v>21.77</v>
      </c>
    </row>
    <row r="28" spans="1:10" ht="16.5" x14ac:dyDescent="0.3">
      <c r="A28" s="686"/>
      <c r="B28" s="947" t="s">
        <v>1007</v>
      </c>
      <c r="C28" s="726" t="s">
        <v>840</v>
      </c>
      <c r="D28" s="724"/>
      <c r="E28" s="724">
        <v>5</v>
      </c>
      <c r="F28" s="725">
        <v>110</v>
      </c>
      <c r="G28" s="843">
        <f>E28*F28</f>
        <v>550</v>
      </c>
      <c r="H28" s="843">
        <f>G28</f>
        <v>550</v>
      </c>
      <c r="I28" s="693">
        <f>'[1]Frozen Pivot'!B234</f>
        <v>393.05</v>
      </c>
      <c r="J28" s="948">
        <v>575</v>
      </c>
    </row>
    <row r="29" spans="1:10" ht="16.5" x14ac:dyDescent="0.3">
      <c r="A29" s="686"/>
      <c r="B29" s="947"/>
      <c r="C29" s="726"/>
      <c r="D29" s="724"/>
      <c r="E29" s="724"/>
      <c r="F29" s="725"/>
      <c r="G29" s="843"/>
      <c r="H29" s="843"/>
      <c r="I29" s="724"/>
      <c r="J29" s="693"/>
    </row>
    <row r="30" spans="1:10" ht="16.5" x14ac:dyDescent="0.3">
      <c r="A30" s="686"/>
      <c r="B30" s="946" t="s">
        <v>1006</v>
      </c>
      <c r="C30" s="888"/>
      <c r="D30" s="681"/>
      <c r="E30" s="681"/>
      <c r="F30" s="682"/>
      <c r="G30" s="681"/>
      <c r="H30" s="680">
        <f>SUM(H20:H28)</f>
        <v>5920</v>
      </c>
      <c r="I30" s="680">
        <f>SUM(I20:I27)</f>
        <v>1405.42</v>
      </c>
      <c r="J30" s="679">
        <f>SUM(J21:J28)</f>
        <v>2231.77</v>
      </c>
    </row>
    <row r="31" spans="1:10" ht="16.5" x14ac:dyDescent="0.3">
      <c r="A31" s="686"/>
      <c r="B31" s="945"/>
      <c r="C31" s="886"/>
      <c r="D31" s="884"/>
      <c r="E31" s="884"/>
      <c r="F31" s="885"/>
      <c r="G31" s="884"/>
      <c r="H31" s="806"/>
      <c r="I31" s="806"/>
      <c r="J31" s="756"/>
    </row>
    <row r="32" spans="1:10" ht="16.5" x14ac:dyDescent="0.3">
      <c r="A32" s="659" t="s">
        <v>786</v>
      </c>
      <c r="B32" s="732"/>
      <c r="C32" s="658"/>
      <c r="D32" s="724"/>
      <c r="E32" s="724"/>
      <c r="F32" s="725"/>
      <c r="G32" s="724"/>
      <c r="H32" s="724"/>
      <c r="I32" s="724"/>
      <c r="J32" s="693"/>
    </row>
    <row r="33" spans="1:10" ht="16.5" x14ac:dyDescent="0.3">
      <c r="A33" s="741" t="s">
        <v>1005</v>
      </c>
      <c r="B33" s="910"/>
      <c r="C33" s="777"/>
      <c r="D33" s="922"/>
      <c r="E33" s="922"/>
      <c r="F33" s="923"/>
      <c r="G33" s="922"/>
      <c r="H33" s="922"/>
      <c r="I33" s="695"/>
      <c r="J33" s="785"/>
    </row>
    <row r="34" spans="1:10" ht="16.5" x14ac:dyDescent="0.3">
      <c r="A34" s="766"/>
      <c r="B34" s="909" t="s">
        <v>1004</v>
      </c>
      <c r="C34" s="791" t="s">
        <v>1003</v>
      </c>
      <c r="D34" s="789" t="s">
        <v>1002</v>
      </c>
      <c r="E34" s="789">
        <v>15</v>
      </c>
      <c r="F34" s="790">
        <v>525</v>
      </c>
      <c r="G34" s="789">
        <f>E34*F34</f>
        <v>7875</v>
      </c>
      <c r="H34" s="789">
        <f>G34</f>
        <v>7875</v>
      </c>
      <c r="I34" s="687">
        <f>'[1]Frozen Pivot'!B235</f>
        <v>0</v>
      </c>
      <c r="J34" s="788">
        <f>647.85+388.9+153.54+98+300</f>
        <v>1588.29</v>
      </c>
    </row>
    <row r="35" spans="1:10" ht="16.5" x14ac:dyDescent="0.3">
      <c r="A35" s="766"/>
      <c r="B35" s="907" t="s">
        <v>1001</v>
      </c>
      <c r="C35" s="697" t="s">
        <v>1000</v>
      </c>
      <c r="D35" s="695" t="s">
        <v>999</v>
      </c>
      <c r="E35" s="695">
        <v>5</v>
      </c>
      <c r="F35" s="696">
        <v>330</v>
      </c>
      <c r="G35" s="695">
        <f>E35*F35</f>
        <v>1650</v>
      </c>
      <c r="H35" s="694">
        <f>G35</f>
        <v>1650</v>
      </c>
      <c r="I35" s="693">
        <f>'[1]Frozen Pivot'!B236</f>
        <v>0</v>
      </c>
      <c r="J35" s="757">
        <v>0</v>
      </c>
    </row>
    <row r="36" spans="1:10" ht="16.5" x14ac:dyDescent="0.3">
      <c r="A36" s="766"/>
      <c r="B36" s="909" t="s">
        <v>998</v>
      </c>
      <c r="C36" s="943" t="s">
        <v>997</v>
      </c>
      <c r="D36" s="943" t="s">
        <v>996</v>
      </c>
      <c r="E36" s="944">
        <v>1</v>
      </c>
      <c r="F36" s="943">
        <v>50</v>
      </c>
      <c r="G36" s="942">
        <f>E36*F36</f>
        <v>50</v>
      </c>
      <c r="H36" s="941">
        <f>G36</f>
        <v>50</v>
      </c>
      <c r="I36" s="687">
        <f>'[1]Frozen Pivot'!B237</f>
        <v>0</v>
      </c>
      <c r="J36" s="788">
        <v>0</v>
      </c>
    </row>
    <row r="37" spans="1:10" ht="16.5" x14ac:dyDescent="0.3">
      <c r="A37" s="766"/>
      <c r="B37" s="917"/>
      <c r="C37" s="939"/>
      <c r="D37" s="939"/>
      <c r="E37" s="940"/>
      <c r="F37" s="939"/>
      <c r="G37" s="938"/>
      <c r="H37" s="937"/>
      <c r="I37" s="936"/>
      <c r="J37" s="935"/>
    </row>
    <row r="38" spans="1:10" ht="16.5" x14ac:dyDescent="0.3">
      <c r="A38" s="766"/>
      <c r="B38" s="903" t="s">
        <v>995</v>
      </c>
      <c r="C38" s="914"/>
      <c r="D38" s="912"/>
      <c r="E38" s="912"/>
      <c r="F38" s="913"/>
      <c r="G38" s="912"/>
      <c r="H38" s="762">
        <f>SUM(H34:H36)</f>
        <v>9575</v>
      </c>
      <c r="I38" s="762">
        <f>SUM(I34:I36)</f>
        <v>0</v>
      </c>
      <c r="J38" s="761">
        <f>SUM(J34:J36)</f>
        <v>1588.29</v>
      </c>
    </row>
    <row r="39" spans="1:10" ht="16.5" x14ac:dyDescent="0.3">
      <c r="A39" s="783"/>
      <c r="B39" s="902"/>
      <c r="C39" s="911"/>
      <c r="D39" s="695"/>
      <c r="E39" s="695"/>
      <c r="F39" s="696"/>
      <c r="G39" s="695"/>
      <c r="H39" s="779"/>
      <c r="I39" s="779"/>
      <c r="J39" s="786"/>
    </row>
    <row r="40" spans="1:10" ht="16.5" x14ac:dyDescent="0.3">
      <c r="A40" s="741" t="s">
        <v>994</v>
      </c>
      <c r="B40" s="902"/>
      <c r="C40" s="911"/>
      <c r="D40" s="695"/>
      <c r="E40" s="695"/>
      <c r="F40" s="696"/>
      <c r="G40" s="695"/>
      <c r="H40" s="779"/>
      <c r="I40" s="779"/>
      <c r="J40" s="786"/>
    </row>
    <row r="41" spans="1:10" ht="16.5" x14ac:dyDescent="0.3">
      <c r="A41" s="766"/>
      <c r="B41" s="934" t="s">
        <v>993</v>
      </c>
      <c r="C41" s="933" t="s">
        <v>980</v>
      </c>
      <c r="D41" s="932" t="s">
        <v>992</v>
      </c>
      <c r="E41" s="773">
        <v>5</v>
      </c>
      <c r="F41" s="774" t="s">
        <v>991</v>
      </c>
      <c r="G41" s="773">
        <f>E41*75</f>
        <v>375</v>
      </c>
      <c r="H41" s="773">
        <f>G41</f>
        <v>375</v>
      </c>
      <c r="I41" s="788">
        <f>'[1]Frozen Pivot'!B238</f>
        <v>0</v>
      </c>
      <c r="J41" s="788">
        <v>53.5</v>
      </c>
    </row>
    <row r="42" spans="1:10" ht="16.5" x14ac:dyDescent="0.3">
      <c r="A42" s="766"/>
      <c r="B42" s="931"/>
      <c r="C42" s="930"/>
      <c r="D42" s="929"/>
      <c r="E42" s="694"/>
      <c r="F42" s="758"/>
      <c r="G42" s="694"/>
      <c r="H42" s="694"/>
      <c r="I42" s="694"/>
      <c r="J42" s="915"/>
    </row>
    <row r="43" spans="1:10" ht="16.5" x14ac:dyDescent="0.3">
      <c r="A43" s="766"/>
      <c r="B43" s="928" t="s">
        <v>990</v>
      </c>
      <c r="C43" s="927"/>
      <c r="D43" s="925"/>
      <c r="E43" s="925"/>
      <c r="F43" s="926"/>
      <c r="G43" s="925"/>
      <c r="H43" s="925">
        <f>H41</f>
        <v>375</v>
      </c>
      <c r="I43" s="925">
        <v>0</v>
      </c>
      <c r="J43" s="924">
        <f>J41</f>
        <v>53.5</v>
      </c>
    </row>
    <row r="44" spans="1:10" ht="16.5" x14ac:dyDescent="0.3">
      <c r="A44" s="783"/>
      <c r="B44" s="902"/>
      <c r="C44" s="911"/>
      <c r="D44" s="695"/>
      <c r="E44" s="695"/>
      <c r="F44" s="696"/>
      <c r="G44" s="695"/>
      <c r="H44" s="695"/>
      <c r="I44" s="695"/>
      <c r="J44" s="785"/>
    </row>
    <row r="45" spans="1:10" ht="16.5" x14ac:dyDescent="0.3">
      <c r="A45" s="741" t="s">
        <v>989</v>
      </c>
      <c r="B45" s="910"/>
      <c r="C45" s="777"/>
      <c r="D45" s="922"/>
      <c r="E45" s="922"/>
      <c r="F45" s="923"/>
      <c r="G45" s="922"/>
      <c r="H45" s="922"/>
      <c r="I45" s="779"/>
      <c r="J45" s="786"/>
    </row>
    <row r="46" spans="1:10" ht="16.5" x14ac:dyDescent="0.3">
      <c r="A46" s="766"/>
      <c r="B46" s="919" t="s">
        <v>988</v>
      </c>
      <c r="C46" s="775" t="s">
        <v>987</v>
      </c>
      <c r="D46" s="918" t="s">
        <v>984</v>
      </c>
      <c r="E46" s="773">
        <v>5</v>
      </c>
      <c r="F46" s="774">
        <v>15</v>
      </c>
      <c r="G46" s="773">
        <f>E46*F46</f>
        <v>75</v>
      </c>
      <c r="H46" s="918">
        <f>G46</f>
        <v>75</v>
      </c>
      <c r="I46" s="768">
        <f>'[1]Frozen Pivot'!B239</f>
        <v>0</v>
      </c>
      <c r="J46" s="768">
        <v>30</v>
      </c>
    </row>
    <row r="47" spans="1:10" ht="16.5" x14ac:dyDescent="0.3">
      <c r="A47" s="766"/>
      <c r="B47" s="917" t="s">
        <v>986</v>
      </c>
      <c r="C47" s="772" t="s">
        <v>985</v>
      </c>
      <c r="D47" s="770" t="s">
        <v>984</v>
      </c>
      <c r="E47" s="770">
        <v>5</v>
      </c>
      <c r="F47" s="771">
        <v>15</v>
      </c>
      <c r="G47" s="770">
        <f>E47*F47</f>
        <v>75</v>
      </c>
      <c r="H47" s="770">
        <f>G47</f>
        <v>75</v>
      </c>
      <c r="I47" s="915">
        <f>'[1]Frozen Pivot'!B240</f>
        <v>0</v>
      </c>
      <c r="J47" s="915">
        <v>0</v>
      </c>
    </row>
    <row r="48" spans="1:10" ht="16.5" x14ac:dyDescent="0.3">
      <c r="A48" s="766"/>
      <c r="B48" s="917"/>
      <c r="C48" s="772"/>
      <c r="D48" s="770"/>
      <c r="E48" s="770"/>
      <c r="F48" s="771"/>
      <c r="G48" s="770"/>
      <c r="H48" s="770"/>
      <c r="I48" s="770"/>
      <c r="J48" s="757"/>
    </row>
    <row r="49" spans="1:12" ht="16.5" x14ac:dyDescent="0.3">
      <c r="A49" s="921"/>
      <c r="B49" s="903" t="s">
        <v>983</v>
      </c>
      <c r="C49" s="914"/>
      <c r="D49" s="912"/>
      <c r="E49" s="912"/>
      <c r="F49" s="913"/>
      <c r="G49" s="912"/>
      <c r="H49" s="762">
        <f>SUM(H46:H47)</f>
        <v>150</v>
      </c>
      <c r="I49" s="762">
        <f>SUM(I45:I47)</f>
        <v>0</v>
      </c>
      <c r="J49" s="761">
        <f>SUM(J45:J47)</f>
        <v>30</v>
      </c>
    </row>
    <row r="50" spans="1:12" ht="16.5" x14ac:dyDescent="0.3">
      <c r="A50" s="787"/>
      <c r="B50" s="902"/>
      <c r="C50" s="911"/>
      <c r="D50" s="695"/>
      <c r="E50" s="695"/>
      <c r="F50" s="696"/>
      <c r="G50" s="695"/>
      <c r="H50" s="779"/>
      <c r="I50" s="779"/>
      <c r="J50" s="786"/>
    </row>
    <row r="51" spans="1:12" ht="16.5" x14ac:dyDescent="0.3">
      <c r="A51" s="741" t="s">
        <v>982</v>
      </c>
      <c r="B51" s="920"/>
      <c r="C51" s="698"/>
      <c r="D51" s="770"/>
      <c r="E51" s="770"/>
      <c r="F51" s="770"/>
      <c r="G51" s="770"/>
      <c r="H51" s="770"/>
      <c r="I51" s="770"/>
      <c r="J51" s="757"/>
    </row>
    <row r="52" spans="1:12" ht="16.5" x14ac:dyDescent="0.3">
      <c r="A52" s="766"/>
      <c r="B52" s="919" t="s">
        <v>981</v>
      </c>
      <c r="C52" s="775" t="s">
        <v>980</v>
      </c>
      <c r="D52" s="918" t="s">
        <v>979</v>
      </c>
      <c r="E52" s="773">
        <v>5</v>
      </c>
      <c r="F52" s="774">
        <v>30</v>
      </c>
      <c r="G52" s="773">
        <f>E52*F52</f>
        <v>150</v>
      </c>
      <c r="H52" s="918">
        <f>G52</f>
        <v>150</v>
      </c>
      <c r="I52" s="768">
        <f>'[1]Frozen Pivot'!B241</f>
        <v>0</v>
      </c>
      <c r="J52" s="768">
        <v>150</v>
      </c>
    </row>
    <row r="53" spans="1:12" ht="16.5" x14ac:dyDescent="0.3">
      <c r="A53" s="766"/>
      <c r="B53" s="917"/>
      <c r="C53" s="916"/>
      <c r="D53" s="770"/>
      <c r="E53" s="694"/>
      <c r="F53" s="758"/>
      <c r="G53" s="694"/>
      <c r="H53" s="770"/>
      <c r="I53" s="694"/>
      <c r="J53" s="915"/>
    </row>
    <row r="54" spans="1:12" ht="16.5" x14ac:dyDescent="0.3">
      <c r="A54" s="766"/>
      <c r="B54" s="903" t="s">
        <v>978</v>
      </c>
      <c r="C54" s="914"/>
      <c r="D54" s="912"/>
      <c r="E54" s="912"/>
      <c r="F54" s="913"/>
      <c r="G54" s="912"/>
      <c r="H54" s="762">
        <f>SUM(H51:H52)</f>
        <v>150</v>
      </c>
      <c r="I54" s="762">
        <f>SUM(I51:I52)</f>
        <v>0</v>
      </c>
      <c r="J54" s="761">
        <f>SUM(J51:J52)</f>
        <v>150</v>
      </c>
    </row>
    <row r="55" spans="1:12" ht="16.5" x14ac:dyDescent="0.3">
      <c r="A55" s="783"/>
      <c r="B55" s="902"/>
      <c r="C55" s="911"/>
      <c r="D55" s="695"/>
      <c r="E55" s="695"/>
      <c r="F55" s="696"/>
      <c r="G55" s="695"/>
      <c r="H55" s="779"/>
      <c r="I55" s="779"/>
      <c r="J55" s="786"/>
    </row>
    <row r="56" spans="1:12" ht="16.5" x14ac:dyDescent="0.3">
      <c r="A56" s="741" t="s">
        <v>785</v>
      </c>
      <c r="B56" s="910"/>
      <c r="C56" s="777"/>
      <c r="D56" s="695"/>
      <c r="E56" s="695"/>
      <c r="F56" s="696"/>
      <c r="G56" s="695"/>
      <c r="H56" s="695"/>
      <c r="I56" s="695"/>
      <c r="J56" s="785"/>
    </row>
    <row r="57" spans="1:12" ht="16.5" x14ac:dyDescent="0.3">
      <c r="A57" s="908"/>
      <c r="B57" s="909" t="s">
        <v>977</v>
      </c>
      <c r="C57" s="791" t="s">
        <v>976</v>
      </c>
      <c r="D57" s="789" t="s">
        <v>973</v>
      </c>
      <c r="E57" s="789">
        <v>3</v>
      </c>
      <c r="F57" s="790">
        <v>50</v>
      </c>
      <c r="G57" s="789">
        <f>E57*F57</f>
        <v>150</v>
      </c>
      <c r="H57" s="789">
        <f>G57</f>
        <v>150</v>
      </c>
      <c r="I57" s="788">
        <f>'[1]Frozen Pivot'!B242</f>
        <v>0</v>
      </c>
      <c r="J57" s="788">
        <v>594.77499999999998</v>
      </c>
    </row>
    <row r="58" spans="1:12" ht="16.5" x14ac:dyDescent="0.3">
      <c r="A58" s="908"/>
      <c r="B58" s="907" t="s">
        <v>975</v>
      </c>
      <c r="C58" s="697" t="s">
        <v>974</v>
      </c>
      <c r="D58" s="695" t="s">
        <v>973</v>
      </c>
      <c r="E58" s="695">
        <v>4</v>
      </c>
      <c r="F58" s="696">
        <v>50</v>
      </c>
      <c r="G58" s="695">
        <f>E58*F58</f>
        <v>200</v>
      </c>
      <c r="H58" s="694">
        <f>G58</f>
        <v>200</v>
      </c>
      <c r="I58" s="757">
        <f>'[1]Frozen Pivot'!B243</f>
        <v>0</v>
      </c>
      <c r="J58" s="757">
        <v>594.77499999999998</v>
      </c>
      <c r="L58" s="905"/>
    </row>
    <row r="59" spans="1:12" ht="16.5" x14ac:dyDescent="0.3">
      <c r="A59" s="908"/>
      <c r="B59" s="909" t="s">
        <v>972</v>
      </c>
      <c r="C59" s="791" t="s">
        <v>971</v>
      </c>
      <c r="D59" s="789" t="s">
        <v>970</v>
      </c>
      <c r="E59" s="789">
        <v>0.5</v>
      </c>
      <c r="F59" s="790">
        <v>75</v>
      </c>
      <c r="G59" s="789">
        <f>E59*F59</f>
        <v>37.5</v>
      </c>
      <c r="H59" s="789">
        <f>G59</f>
        <v>37.5</v>
      </c>
      <c r="I59" s="788">
        <f>'[1]Frozen Pivot'!B244</f>
        <v>0</v>
      </c>
      <c r="J59" s="788">
        <v>110</v>
      </c>
      <c r="L59" s="905"/>
    </row>
    <row r="60" spans="1:12" ht="16.5" x14ac:dyDescent="0.3">
      <c r="A60" s="908"/>
      <c r="B60" s="907"/>
      <c r="C60" s="772"/>
      <c r="D60" s="770"/>
      <c r="E60" s="770"/>
      <c r="F60" s="771"/>
      <c r="G60" s="770"/>
      <c r="H60" s="770"/>
      <c r="I60" s="770"/>
      <c r="J60" s="757"/>
      <c r="L60" s="905"/>
    </row>
    <row r="61" spans="1:12" ht="16.5" x14ac:dyDescent="0.3">
      <c r="A61" s="906"/>
      <c r="B61" s="903" t="s">
        <v>969</v>
      </c>
      <c r="C61" s="764"/>
      <c r="D61" s="762"/>
      <c r="E61" s="762"/>
      <c r="F61" s="763"/>
      <c r="G61" s="762"/>
      <c r="H61" s="762">
        <f>SUM(H57:H59)</f>
        <v>387.5</v>
      </c>
      <c r="I61" s="762">
        <f>SUM(I57:I59)</f>
        <v>0</v>
      </c>
      <c r="J61" s="761">
        <f>SUM(J57:J59)</f>
        <v>1299.55</v>
      </c>
      <c r="L61" s="905"/>
    </row>
    <row r="62" spans="1:12" ht="16.5" x14ac:dyDescent="0.3">
      <c r="A62" s="659"/>
      <c r="B62" s="732"/>
      <c r="C62" s="742"/>
      <c r="D62" s="655"/>
      <c r="E62" s="655"/>
      <c r="F62" s="728"/>
      <c r="G62" s="655"/>
      <c r="H62" s="655"/>
      <c r="I62" s="655"/>
      <c r="J62" s="654"/>
      <c r="L62" s="904"/>
    </row>
    <row r="63" spans="1:12" ht="16.5" x14ac:dyDescent="0.3">
      <c r="A63" s="659"/>
      <c r="B63" s="903" t="s">
        <v>968</v>
      </c>
      <c r="C63" s="764"/>
      <c r="D63" s="762"/>
      <c r="E63" s="762"/>
      <c r="F63" s="763"/>
      <c r="G63" s="762"/>
      <c r="H63" s="680">
        <f>H38++H43+H49+H54+H61</f>
        <v>10637.5</v>
      </c>
      <c r="I63" s="762">
        <f>SUM(I59:I61)</f>
        <v>0</v>
      </c>
      <c r="J63" s="761">
        <f>J61+J54+J49+J43+J38</f>
        <v>3121.34</v>
      </c>
    </row>
    <row r="64" spans="1:12" ht="16.5" x14ac:dyDescent="0.3">
      <c r="A64" s="742"/>
      <c r="B64" s="902"/>
      <c r="C64" s="781"/>
      <c r="D64" s="779"/>
      <c r="E64" s="779"/>
      <c r="F64" s="780"/>
      <c r="G64" s="779"/>
      <c r="H64" s="655"/>
      <c r="I64" s="779"/>
      <c r="J64" s="786"/>
    </row>
    <row r="65" spans="1:10" ht="16.5" x14ac:dyDescent="0.3">
      <c r="A65" s="659" t="s">
        <v>678</v>
      </c>
      <c r="B65" s="658"/>
      <c r="C65" s="658"/>
      <c r="D65" s="900"/>
      <c r="E65" s="900"/>
      <c r="F65" s="901"/>
      <c r="G65" s="900"/>
      <c r="H65" s="900"/>
      <c r="I65" s="900"/>
      <c r="J65" s="805"/>
    </row>
    <row r="66" spans="1:10" ht="33" x14ac:dyDescent="0.3">
      <c r="A66" s="659"/>
      <c r="B66" s="899">
        <v>9.0250000000000004</v>
      </c>
      <c r="C66" s="899" t="s">
        <v>967</v>
      </c>
      <c r="D66" s="898" t="s">
        <v>966</v>
      </c>
      <c r="E66" s="896">
        <f>H340/2</f>
        <v>1827.8949999999998</v>
      </c>
      <c r="F66" s="897">
        <v>1</v>
      </c>
      <c r="G66" s="896">
        <f>E66*F66</f>
        <v>1827.8949999999998</v>
      </c>
      <c r="H66" s="896">
        <f>G66</f>
        <v>1827.8949999999998</v>
      </c>
      <c r="I66" s="895">
        <f>'[1]Frozen Pivot'!B245</f>
        <v>0</v>
      </c>
      <c r="J66" s="895">
        <v>0</v>
      </c>
    </row>
    <row r="67" spans="1:10" ht="16.5" x14ac:dyDescent="0.3">
      <c r="A67" s="659"/>
      <c r="B67" s="894"/>
      <c r="C67" s="894"/>
      <c r="D67" s="893"/>
      <c r="E67" s="891"/>
      <c r="F67" s="892"/>
      <c r="G67" s="891"/>
      <c r="H67" s="891"/>
      <c r="I67" s="890"/>
      <c r="J67" s="889"/>
    </row>
    <row r="68" spans="1:10" ht="16.5" x14ac:dyDescent="0.3">
      <c r="A68" s="686"/>
      <c r="B68" s="685" t="s">
        <v>965</v>
      </c>
      <c r="C68" s="888"/>
      <c r="D68" s="681"/>
      <c r="E68" s="681"/>
      <c r="F68" s="682"/>
      <c r="G68" s="681"/>
      <c r="H68" s="680">
        <f>H66</f>
        <v>1827.8949999999998</v>
      </c>
      <c r="I68" s="680">
        <f>SUM(I65:I66)</f>
        <v>0</v>
      </c>
      <c r="J68" s="679">
        <f>SUM(J65:J66)</f>
        <v>0</v>
      </c>
    </row>
    <row r="69" spans="1:10" ht="16.5" x14ac:dyDescent="0.3">
      <c r="A69" s="686"/>
      <c r="B69" s="887"/>
      <c r="C69" s="886"/>
      <c r="D69" s="884"/>
      <c r="E69" s="884"/>
      <c r="F69" s="885"/>
      <c r="G69" s="884"/>
      <c r="H69" s="806"/>
      <c r="I69" s="806"/>
      <c r="J69" s="756"/>
    </row>
    <row r="70" spans="1:10" ht="17.25" x14ac:dyDescent="0.3">
      <c r="A70" s="720"/>
      <c r="B70" s="720"/>
      <c r="C70" s="883" t="s">
        <v>59</v>
      </c>
      <c r="D70" s="883"/>
      <c r="E70" s="883"/>
      <c r="F70" s="883"/>
      <c r="G70" s="883"/>
      <c r="H70" s="882">
        <f>H68+H63+H30+H18+H13</f>
        <v>21055.395</v>
      </c>
      <c r="I70" s="881"/>
      <c r="J70" s="880">
        <f>J63+J68+J30+J18+J13</f>
        <v>6007.31</v>
      </c>
    </row>
    <row r="71" spans="1:10" x14ac:dyDescent="0.25">
      <c r="A71" s="720"/>
      <c r="B71" s="720"/>
      <c r="C71" s="672"/>
      <c r="D71" s="672"/>
      <c r="E71" s="672"/>
      <c r="F71" s="672"/>
      <c r="G71" s="672"/>
      <c r="H71" s="672"/>
      <c r="I71" s="672"/>
      <c r="J71" s="671"/>
    </row>
    <row r="72" spans="1:10" ht="16.5" x14ac:dyDescent="0.3">
      <c r="A72" s="670" t="s">
        <v>58</v>
      </c>
      <c r="B72" s="879"/>
      <c r="C72" s="878"/>
      <c r="D72" s="877"/>
      <c r="E72" s="875"/>
      <c r="F72" s="876"/>
      <c r="G72" s="875"/>
      <c r="H72" s="875"/>
      <c r="I72" s="875"/>
      <c r="J72" s="874"/>
    </row>
    <row r="73" spans="1:10" ht="16.5" x14ac:dyDescent="0.3">
      <c r="A73" s="659" t="s">
        <v>964</v>
      </c>
      <c r="B73" s="658"/>
      <c r="C73" s="729"/>
      <c r="D73" s="656"/>
      <c r="E73" s="655"/>
      <c r="F73" s="728"/>
      <c r="G73" s="655"/>
      <c r="H73" s="655"/>
      <c r="I73" s="655"/>
      <c r="J73" s="654"/>
    </row>
    <row r="74" spans="1:10" ht="16.5" x14ac:dyDescent="0.3">
      <c r="A74" s="741" t="s">
        <v>963</v>
      </c>
      <c r="B74" s="658"/>
      <c r="C74" s="729"/>
      <c r="D74" s="656"/>
      <c r="E74" s="655"/>
      <c r="F74" s="728"/>
      <c r="G74" s="655"/>
      <c r="H74" s="655"/>
      <c r="I74" s="655"/>
      <c r="J74" s="654"/>
    </row>
    <row r="75" spans="1:10" ht="16.5" x14ac:dyDescent="0.3">
      <c r="A75" s="743"/>
      <c r="B75" s="837" t="s">
        <v>962</v>
      </c>
      <c r="C75" s="722" t="s">
        <v>961</v>
      </c>
      <c r="D75" s="703" t="s">
        <v>960</v>
      </c>
      <c r="E75" s="701">
        <v>75</v>
      </c>
      <c r="F75" s="702">
        <v>1</v>
      </c>
      <c r="G75" s="701">
        <f>F75*E75</f>
        <v>75</v>
      </c>
      <c r="H75" s="873">
        <f>G75*1.13</f>
        <v>84.749999999999986</v>
      </c>
      <c r="I75" s="700">
        <f>'[1]Frozen Pivot'!B246</f>
        <v>14</v>
      </c>
      <c r="J75" s="700">
        <v>14</v>
      </c>
    </row>
    <row r="76" spans="1:10" ht="16.5" x14ac:dyDescent="0.3">
      <c r="A76" s="686"/>
      <c r="B76" s="727">
        <v>9.0269999999999992</v>
      </c>
      <c r="C76" s="727" t="s">
        <v>959</v>
      </c>
      <c r="D76" s="724" t="s">
        <v>958</v>
      </c>
      <c r="E76" s="724">
        <v>25</v>
      </c>
      <c r="F76" s="725">
        <v>1</v>
      </c>
      <c r="G76" s="724">
        <f>E76*F76</f>
        <v>25</v>
      </c>
      <c r="H76" s="872">
        <f>G76*1.13</f>
        <v>28.249999999999996</v>
      </c>
      <c r="I76" s="693">
        <f>'[1]Frozen Pivot'!B247</f>
        <v>25.42</v>
      </c>
      <c r="J76" s="693">
        <v>25.42</v>
      </c>
    </row>
    <row r="77" spans="1:10" s="871" customFormat="1" ht="16.5" x14ac:dyDescent="0.3">
      <c r="A77" s="740"/>
      <c r="B77" s="837" t="s">
        <v>957</v>
      </c>
      <c r="C77" s="692" t="s">
        <v>169</v>
      </c>
      <c r="D77" s="688" t="s">
        <v>956</v>
      </c>
      <c r="E77" s="688">
        <v>10</v>
      </c>
      <c r="F77" s="689">
        <v>1</v>
      </c>
      <c r="G77" s="688">
        <v>10</v>
      </c>
      <c r="H77" s="688">
        <f>G77*1.13</f>
        <v>11.299999999999999</v>
      </c>
      <c r="I77" s="700">
        <f>'[1]Frozen Pivot'!B248</f>
        <v>0</v>
      </c>
      <c r="J77" s="700">
        <v>0</v>
      </c>
    </row>
    <row r="78" spans="1:10" s="718" customFormat="1" ht="16.5" x14ac:dyDescent="0.3">
      <c r="A78" s="740"/>
      <c r="B78" s="797"/>
      <c r="C78" s="739"/>
      <c r="D78" s="736"/>
      <c r="E78" s="736"/>
      <c r="F78" s="737"/>
      <c r="G78" s="736"/>
      <c r="H78" s="736"/>
      <c r="I78" s="736"/>
      <c r="J78" s="735"/>
    </row>
    <row r="79" spans="1:10" ht="16.5" x14ac:dyDescent="0.3">
      <c r="A79" s="686"/>
      <c r="B79" s="794" t="s">
        <v>955</v>
      </c>
      <c r="C79" s="733"/>
      <c r="D79" s="680"/>
      <c r="E79" s="680"/>
      <c r="F79" s="716"/>
      <c r="G79" s="680"/>
      <c r="H79" s="680">
        <f>SUM(H75:H77)</f>
        <v>124.29999999999998</v>
      </c>
      <c r="I79" s="680"/>
      <c r="J79" s="679">
        <f>SUM(J75:J77)</f>
        <v>39.42</v>
      </c>
    </row>
    <row r="80" spans="1:10" ht="16.5" x14ac:dyDescent="0.3">
      <c r="A80" s="686"/>
      <c r="B80" s="658"/>
      <c r="C80" s="742"/>
      <c r="D80" s="655"/>
      <c r="E80" s="655"/>
      <c r="F80" s="728"/>
      <c r="G80" s="655"/>
      <c r="H80" s="655"/>
      <c r="I80" s="655"/>
      <c r="J80" s="654"/>
    </row>
    <row r="81" spans="1:10" ht="16.5" x14ac:dyDescent="0.3">
      <c r="A81" s="741" t="s">
        <v>954</v>
      </c>
      <c r="B81" s="658"/>
      <c r="C81" s="658"/>
      <c r="D81" s="724"/>
      <c r="E81" s="724"/>
      <c r="F81" s="725"/>
      <c r="G81" s="724"/>
      <c r="H81" s="724"/>
      <c r="I81" s="724"/>
      <c r="J81" s="693"/>
    </row>
    <row r="82" spans="1:10" ht="16.5" x14ac:dyDescent="0.3">
      <c r="A82" s="686"/>
      <c r="B82" s="841" t="s">
        <v>953</v>
      </c>
      <c r="C82" s="824" t="s">
        <v>952</v>
      </c>
      <c r="D82" s="688" t="s">
        <v>951</v>
      </c>
      <c r="E82" s="688">
        <v>25</v>
      </c>
      <c r="F82" s="689">
        <v>1</v>
      </c>
      <c r="G82" s="688">
        <f>E82*F82</f>
        <v>25</v>
      </c>
      <c r="H82" s="688">
        <f>G82*1.13</f>
        <v>28.249999999999996</v>
      </c>
      <c r="I82" s="687">
        <f>'[1]Frozen Pivot'!B249</f>
        <v>0</v>
      </c>
      <c r="J82" s="687">
        <f>'[1]Frozen Pivot'!C249</f>
        <v>0</v>
      </c>
    </row>
    <row r="83" spans="1:10" s="871" customFormat="1" ht="16.5" x14ac:dyDescent="0.3">
      <c r="A83" s="740"/>
      <c r="B83" s="869" t="s">
        <v>950</v>
      </c>
      <c r="C83" s="753" t="s">
        <v>949</v>
      </c>
      <c r="D83" s="736" t="s">
        <v>948</v>
      </c>
      <c r="E83" s="736">
        <v>325</v>
      </c>
      <c r="F83" s="737">
        <v>1</v>
      </c>
      <c r="G83" s="736">
        <f>E83*F83</f>
        <v>325</v>
      </c>
      <c r="H83" s="736">
        <f>G83*1.13</f>
        <v>367.24999999999994</v>
      </c>
      <c r="I83" s="687">
        <f>'[1]Frozen Pivot'!B250</f>
        <v>0</v>
      </c>
      <c r="J83" s="687">
        <f>'[1]Frozen Pivot'!C250</f>
        <v>0</v>
      </c>
    </row>
    <row r="84" spans="1:10" ht="16.5" x14ac:dyDescent="0.3">
      <c r="A84" s="686"/>
      <c r="B84" s="835"/>
      <c r="C84" s="870"/>
      <c r="D84" s="688"/>
      <c r="E84" s="688"/>
      <c r="F84" s="689"/>
      <c r="G84" s="688"/>
      <c r="H84" s="688"/>
      <c r="I84" s="688"/>
      <c r="J84" s="687"/>
    </row>
    <row r="85" spans="1:10" ht="16.5" x14ac:dyDescent="0.3">
      <c r="A85" s="686"/>
      <c r="B85" s="794" t="s">
        <v>947</v>
      </c>
      <c r="C85" s="733"/>
      <c r="D85" s="680"/>
      <c r="E85" s="680"/>
      <c r="F85" s="716"/>
      <c r="G85" s="680"/>
      <c r="H85" s="680">
        <f>SUM(H82:H83)</f>
        <v>395.49999999999994</v>
      </c>
      <c r="I85" s="680"/>
      <c r="J85" s="679">
        <v>0</v>
      </c>
    </row>
    <row r="86" spans="1:10" ht="16.5" x14ac:dyDescent="0.3">
      <c r="A86" s="686"/>
      <c r="B86" s="658"/>
      <c r="C86" s="742"/>
      <c r="D86" s="655"/>
      <c r="E86" s="655"/>
      <c r="F86" s="728"/>
      <c r="G86" s="655"/>
      <c r="H86" s="655"/>
      <c r="I86" s="655"/>
      <c r="J86" s="654"/>
    </row>
    <row r="87" spans="1:10" s="718" customFormat="1" ht="16.5" x14ac:dyDescent="0.3">
      <c r="A87" s="830" t="s">
        <v>946</v>
      </c>
      <c r="B87" s="797"/>
      <c r="C87" s="797"/>
      <c r="D87" s="736"/>
      <c r="E87" s="736"/>
      <c r="F87" s="737"/>
      <c r="G87" s="736"/>
      <c r="H87" s="736"/>
      <c r="I87" s="736"/>
      <c r="J87" s="735"/>
    </row>
    <row r="88" spans="1:10" ht="16.5" x14ac:dyDescent="0.3">
      <c r="A88" s="686" t="s">
        <v>23</v>
      </c>
      <c r="B88" s="841" t="s">
        <v>945</v>
      </c>
      <c r="C88" s="824" t="s">
        <v>944</v>
      </c>
      <c r="D88" s="688" t="s">
        <v>943</v>
      </c>
      <c r="E88" s="688">
        <v>30</v>
      </c>
      <c r="F88" s="689">
        <v>3</v>
      </c>
      <c r="G88" s="688">
        <f>E88*F88</f>
        <v>90</v>
      </c>
      <c r="H88" s="688">
        <f>G88</f>
        <v>90</v>
      </c>
      <c r="I88" s="687">
        <f>'[1]Frozen Pivot'!B251</f>
        <v>46.28</v>
      </c>
      <c r="J88" s="687">
        <v>46.28</v>
      </c>
    </row>
    <row r="89" spans="1:10" ht="16.5" x14ac:dyDescent="0.3">
      <c r="A89" s="686"/>
      <c r="B89" s="869" t="s">
        <v>942</v>
      </c>
      <c r="C89" s="797" t="s">
        <v>941</v>
      </c>
      <c r="D89" s="736" t="s">
        <v>940</v>
      </c>
      <c r="E89" s="736">
        <v>10</v>
      </c>
      <c r="F89" s="737">
        <v>1</v>
      </c>
      <c r="G89" s="736">
        <f>E89*F89</f>
        <v>10</v>
      </c>
      <c r="H89" s="724">
        <f>G89</f>
        <v>10</v>
      </c>
      <c r="I89" s="693">
        <f>'[1]Frozen Pivot'!B252</f>
        <v>0</v>
      </c>
      <c r="J89" s="693">
        <v>0</v>
      </c>
    </row>
    <row r="90" spans="1:10" ht="16.5" x14ac:dyDescent="0.3">
      <c r="A90" s="686"/>
      <c r="B90" s="835"/>
      <c r="C90" s="824"/>
      <c r="D90" s="688"/>
      <c r="E90" s="688"/>
      <c r="F90" s="689"/>
      <c r="G90" s="688"/>
      <c r="H90" s="688"/>
      <c r="I90" s="688"/>
      <c r="J90" s="687"/>
    </row>
    <row r="91" spans="1:10" ht="16.5" x14ac:dyDescent="0.3">
      <c r="A91" s="686"/>
      <c r="B91" s="794" t="s">
        <v>939</v>
      </c>
      <c r="C91" s="733"/>
      <c r="D91" s="680"/>
      <c r="E91" s="680"/>
      <c r="F91" s="716"/>
      <c r="G91" s="680"/>
      <c r="H91" s="680">
        <f>SUM(H88:H89)</f>
        <v>100</v>
      </c>
      <c r="I91" s="680"/>
      <c r="J91" s="679">
        <f>SUM(J88:J89)</f>
        <v>46.28</v>
      </c>
    </row>
    <row r="92" spans="1:10" ht="16.5" x14ac:dyDescent="0.3">
      <c r="A92" s="686"/>
      <c r="B92" s="658"/>
      <c r="C92" s="742"/>
      <c r="D92" s="655"/>
      <c r="E92" s="655"/>
      <c r="F92" s="728"/>
      <c r="G92" s="655"/>
      <c r="H92" s="655"/>
      <c r="I92" s="655"/>
      <c r="J92" s="654"/>
    </row>
    <row r="93" spans="1:10" ht="16.5" x14ac:dyDescent="0.3">
      <c r="A93" s="741" t="s">
        <v>938</v>
      </c>
      <c r="B93" s="658"/>
      <c r="C93" s="658"/>
      <c r="D93" s="724"/>
      <c r="E93" s="724"/>
      <c r="F93" s="725"/>
      <c r="G93" s="724"/>
      <c r="H93" s="724"/>
      <c r="I93" s="724"/>
      <c r="J93" s="693"/>
    </row>
    <row r="94" spans="1:10" ht="16.5" x14ac:dyDescent="0.3">
      <c r="A94" s="659"/>
      <c r="B94" s="837" t="s">
        <v>937</v>
      </c>
      <c r="C94" s="663" t="s">
        <v>936</v>
      </c>
      <c r="D94" s="701" t="s">
        <v>935</v>
      </c>
      <c r="E94" s="701">
        <v>200</v>
      </c>
      <c r="F94" s="702">
        <v>1</v>
      </c>
      <c r="G94" s="701">
        <v>200</v>
      </c>
      <c r="H94" s="701">
        <f>G94</f>
        <v>200</v>
      </c>
      <c r="I94" s="700">
        <f>'[1]Frozen Pivot'!B253</f>
        <v>0</v>
      </c>
      <c r="J94" s="700">
        <f>'[1]Frozen Pivot'!B250</f>
        <v>0</v>
      </c>
    </row>
    <row r="95" spans="1:10" s="718" customFormat="1" ht="16.5" x14ac:dyDescent="0.3">
      <c r="A95" s="798"/>
      <c r="B95" s="869" t="s">
        <v>934</v>
      </c>
      <c r="C95" s="797" t="s">
        <v>933</v>
      </c>
      <c r="D95" s="736" t="s">
        <v>932</v>
      </c>
      <c r="E95" s="736">
        <v>100</v>
      </c>
      <c r="F95" s="737">
        <v>1</v>
      </c>
      <c r="G95" s="736">
        <v>75</v>
      </c>
      <c r="H95" s="736">
        <f>G95</f>
        <v>75</v>
      </c>
      <c r="I95" s="700">
        <f>'[1]Frozen Pivot'!B254</f>
        <v>78.19</v>
      </c>
      <c r="J95" s="700">
        <v>78.19</v>
      </c>
    </row>
    <row r="96" spans="1:10" ht="16.5" x14ac:dyDescent="0.3">
      <c r="A96" s="659"/>
      <c r="B96" s="835"/>
      <c r="C96" s="824"/>
      <c r="D96" s="688"/>
      <c r="E96" s="688"/>
      <c r="F96" s="689"/>
      <c r="G96" s="688"/>
      <c r="H96" s="688"/>
      <c r="I96" s="688"/>
      <c r="J96" s="687"/>
    </row>
    <row r="97" spans="1:10" ht="16.5" x14ac:dyDescent="0.3">
      <c r="A97" s="686"/>
      <c r="B97" s="794" t="s">
        <v>931</v>
      </c>
      <c r="C97" s="733"/>
      <c r="D97" s="680"/>
      <c r="E97" s="680"/>
      <c r="F97" s="716"/>
      <c r="G97" s="680"/>
      <c r="H97" s="680">
        <f>SUM(H94:H95)</f>
        <v>275</v>
      </c>
      <c r="I97" s="680"/>
      <c r="J97" s="679">
        <f>SUM(J94:J95)</f>
        <v>78.19</v>
      </c>
    </row>
    <row r="98" spans="1:10" ht="16.5" x14ac:dyDescent="0.3">
      <c r="A98" s="686"/>
      <c r="B98" s="658"/>
      <c r="C98" s="742"/>
      <c r="D98" s="655"/>
      <c r="E98" s="655"/>
      <c r="F98" s="728"/>
      <c r="G98" s="655"/>
      <c r="H98" s="655"/>
      <c r="I98" s="655"/>
      <c r="J98" s="654"/>
    </row>
    <row r="99" spans="1:10" ht="16.5" x14ac:dyDescent="0.3">
      <c r="A99" s="741" t="s">
        <v>930</v>
      </c>
      <c r="B99" s="658"/>
      <c r="C99" s="658"/>
      <c r="D99" s="724"/>
      <c r="E99" s="724"/>
      <c r="F99" s="725"/>
      <c r="G99" s="724"/>
      <c r="H99" s="724"/>
      <c r="I99" s="724"/>
      <c r="J99" s="693"/>
    </row>
    <row r="100" spans="1:10" ht="16.5" x14ac:dyDescent="0.3">
      <c r="A100" s="686"/>
      <c r="B100" s="841" t="s">
        <v>929</v>
      </c>
      <c r="C100" s="663" t="s">
        <v>928</v>
      </c>
      <c r="D100" s="701" t="s">
        <v>927</v>
      </c>
      <c r="E100" s="701">
        <v>7</v>
      </c>
      <c r="F100" s="702">
        <v>43</v>
      </c>
      <c r="G100" s="701">
        <f>E100*F100</f>
        <v>301</v>
      </c>
      <c r="H100" s="701">
        <f>G100</f>
        <v>301</v>
      </c>
      <c r="I100" s="700">
        <f>'[1]Frozen Pivot'!B255</f>
        <v>0</v>
      </c>
      <c r="J100" s="700">
        <v>0</v>
      </c>
    </row>
    <row r="101" spans="1:10" ht="16.5" x14ac:dyDescent="0.3">
      <c r="A101" s="686"/>
      <c r="B101" s="836" t="s">
        <v>926</v>
      </c>
      <c r="C101" s="658" t="s">
        <v>802</v>
      </c>
      <c r="D101" s="736" t="s">
        <v>925</v>
      </c>
      <c r="E101" s="724">
        <v>220</v>
      </c>
      <c r="F101" s="725">
        <v>1</v>
      </c>
      <c r="G101" s="724">
        <f>E101*F101</f>
        <v>220</v>
      </c>
      <c r="H101" s="724">
        <f>G101*1.13</f>
        <v>248.59999999999997</v>
      </c>
      <c r="I101" s="700">
        <f>'[1]Frozen Pivot'!B256</f>
        <v>342</v>
      </c>
      <c r="J101" s="700">
        <v>342</v>
      </c>
    </row>
    <row r="102" spans="1:10" ht="16.5" x14ac:dyDescent="0.3">
      <c r="A102" s="659"/>
      <c r="B102" s="835"/>
      <c r="C102" s="824"/>
      <c r="D102" s="688"/>
      <c r="E102" s="688"/>
      <c r="F102" s="689"/>
      <c r="G102" s="688"/>
      <c r="H102" s="688"/>
      <c r="I102" s="688"/>
      <c r="J102" s="687"/>
    </row>
    <row r="103" spans="1:10" ht="16.5" x14ac:dyDescent="0.3">
      <c r="A103" s="686"/>
      <c r="B103" s="794" t="s">
        <v>924</v>
      </c>
      <c r="C103" s="733"/>
      <c r="D103" s="680"/>
      <c r="E103" s="680"/>
      <c r="F103" s="716"/>
      <c r="G103" s="680"/>
      <c r="H103" s="680">
        <f>SUM(H100:H101)</f>
        <v>549.59999999999991</v>
      </c>
      <c r="I103" s="680"/>
      <c r="J103" s="679"/>
    </row>
    <row r="104" spans="1:10" ht="16.5" x14ac:dyDescent="0.3">
      <c r="A104" s="686"/>
      <c r="B104" s="658"/>
      <c r="C104" s="742"/>
      <c r="D104" s="655"/>
      <c r="E104" s="655"/>
      <c r="F104" s="728"/>
      <c r="G104" s="655"/>
      <c r="H104" s="655"/>
      <c r="I104" s="655"/>
      <c r="J104" s="654"/>
    </row>
    <row r="105" spans="1:10" ht="16.5" x14ac:dyDescent="0.3">
      <c r="A105" s="741" t="s">
        <v>923</v>
      </c>
      <c r="B105" s="658"/>
      <c r="C105" s="742"/>
      <c r="D105" s="655"/>
      <c r="E105" s="655"/>
      <c r="F105" s="728"/>
      <c r="G105" s="655"/>
      <c r="H105" s="655"/>
      <c r="I105" s="655"/>
      <c r="J105" s="654"/>
    </row>
    <row r="106" spans="1:10" ht="16.5" x14ac:dyDescent="0.3">
      <c r="A106" s="686"/>
      <c r="B106" s="841" t="s">
        <v>922</v>
      </c>
      <c r="C106" s="824" t="s">
        <v>921</v>
      </c>
      <c r="D106" s="688" t="s">
        <v>920</v>
      </c>
      <c r="E106" s="688">
        <v>5</v>
      </c>
      <c r="F106" s="689">
        <v>20</v>
      </c>
      <c r="G106" s="688">
        <f>E106*F106</f>
        <v>100</v>
      </c>
      <c r="H106" s="688">
        <f>G106*1.13</f>
        <v>112.99999999999999</v>
      </c>
      <c r="I106" s="687">
        <f>'[1]Frozen Pivot'!B257</f>
        <v>0</v>
      </c>
      <c r="J106" s="687">
        <v>0</v>
      </c>
    </row>
    <row r="107" spans="1:10" s="718" customFormat="1" ht="16.5" x14ac:dyDescent="0.3">
      <c r="A107" s="798"/>
      <c r="B107" s="869" t="s">
        <v>919</v>
      </c>
      <c r="C107" s="797" t="s">
        <v>918</v>
      </c>
      <c r="D107" s="736" t="s">
        <v>917</v>
      </c>
      <c r="E107" s="736">
        <v>15</v>
      </c>
      <c r="F107" s="737">
        <v>3</v>
      </c>
      <c r="G107" s="736">
        <f>E107*F107</f>
        <v>45</v>
      </c>
      <c r="H107" s="736">
        <f>G107*1.13</f>
        <v>50.849999999999994</v>
      </c>
      <c r="I107" s="687">
        <f>'[1]Frozen Pivot'!B258</f>
        <v>0</v>
      </c>
      <c r="J107" s="687">
        <v>0</v>
      </c>
    </row>
    <row r="108" spans="1:10" ht="16.5" x14ac:dyDescent="0.3">
      <c r="A108" s="659"/>
      <c r="B108" s="835"/>
      <c r="C108" s="824"/>
      <c r="D108" s="688"/>
      <c r="E108" s="688"/>
      <c r="F108" s="689"/>
      <c r="G108" s="688"/>
      <c r="H108" s="688"/>
      <c r="I108" s="688"/>
      <c r="J108" s="687"/>
    </row>
    <row r="109" spans="1:10" ht="16.5" x14ac:dyDescent="0.3">
      <c r="A109" s="659"/>
      <c r="B109" s="868" t="s">
        <v>916</v>
      </c>
      <c r="C109" s="867"/>
      <c r="D109" s="681"/>
      <c r="E109" s="681"/>
      <c r="F109" s="682"/>
      <c r="G109" s="681"/>
      <c r="H109" s="680">
        <f>SUM(H106:H107)</f>
        <v>163.84999999999997</v>
      </c>
      <c r="I109" s="680"/>
      <c r="J109" s="679">
        <v>0</v>
      </c>
    </row>
    <row r="110" spans="1:10" ht="16.5" x14ac:dyDescent="0.3">
      <c r="A110" s="659"/>
      <c r="B110" s="732"/>
      <c r="C110" s="658"/>
      <c r="D110" s="724"/>
      <c r="E110" s="724"/>
      <c r="F110" s="725"/>
      <c r="G110" s="724"/>
      <c r="H110" s="655"/>
      <c r="I110" s="655"/>
      <c r="J110" s="654"/>
    </row>
    <row r="111" spans="1:10" ht="16.5" x14ac:dyDescent="0.3">
      <c r="A111" s="741" t="s">
        <v>915</v>
      </c>
      <c r="B111" s="848"/>
      <c r="C111" s="848"/>
      <c r="D111" s="801"/>
      <c r="E111" s="849"/>
      <c r="F111" s="848"/>
      <c r="G111" s="848"/>
      <c r="H111" s="848"/>
      <c r="I111" s="848"/>
      <c r="J111" s="866"/>
    </row>
    <row r="112" spans="1:10" s="718" customFormat="1" ht="16.5" x14ac:dyDescent="0.3">
      <c r="A112" s="861"/>
      <c r="B112" s="800">
        <v>9.0389999999999997</v>
      </c>
      <c r="C112" s="860" t="s">
        <v>592</v>
      </c>
      <c r="D112" s="800" t="s">
        <v>914</v>
      </c>
      <c r="E112" s="840">
        <v>14.69</v>
      </c>
      <c r="F112" s="800">
        <v>4</v>
      </c>
      <c r="G112" s="840">
        <f>F112*E112</f>
        <v>58.76</v>
      </c>
      <c r="H112" s="840">
        <f>G112*1.13/2</f>
        <v>33.199399999999997</v>
      </c>
      <c r="I112" s="858">
        <f>'[1]Frozen Pivot'!B259</f>
        <v>0</v>
      </c>
      <c r="J112" s="865">
        <v>0</v>
      </c>
    </row>
    <row r="113" spans="1:10" s="718" customFormat="1" ht="16.5" x14ac:dyDescent="0.3">
      <c r="A113" s="861"/>
      <c r="B113" s="864">
        <v>9.0399999999999991</v>
      </c>
      <c r="C113" s="863" t="s">
        <v>454</v>
      </c>
      <c r="D113" s="796" t="s">
        <v>913</v>
      </c>
      <c r="E113" s="838">
        <v>8.49</v>
      </c>
      <c r="F113" s="796">
        <v>5</v>
      </c>
      <c r="G113" s="838">
        <f>F113*E113</f>
        <v>42.45</v>
      </c>
      <c r="H113" s="843">
        <f>G113*1.13/2</f>
        <v>23.984249999999999</v>
      </c>
      <c r="I113" s="844">
        <f>'[1]Frozen Pivot'!B260</f>
        <v>0</v>
      </c>
      <c r="J113" s="862">
        <v>0</v>
      </c>
    </row>
    <row r="114" spans="1:10" s="718" customFormat="1" ht="16.5" x14ac:dyDescent="0.3">
      <c r="A114" s="861"/>
      <c r="B114" s="860"/>
      <c r="C114" s="860"/>
      <c r="D114" s="800"/>
      <c r="E114" s="840"/>
      <c r="F114" s="800"/>
      <c r="G114" s="840"/>
      <c r="H114" s="840"/>
      <c r="I114" s="859"/>
      <c r="J114" s="858"/>
    </row>
    <row r="115" spans="1:10" ht="16.5" x14ac:dyDescent="0.3">
      <c r="A115" s="850"/>
      <c r="B115" s="794" t="s">
        <v>912</v>
      </c>
      <c r="C115" s="855"/>
      <c r="D115" s="857"/>
      <c r="E115" s="856"/>
      <c r="F115" s="855"/>
      <c r="G115" s="854"/>
      <c r="H115" s="853">
        <f>SUM(H112:H113)</f>
        <v>57.18365</v>
      </c>
      <c r="I115" s="852"/>
      <c r="J115" s="851">
        <v>0</v>
      </c>
    </row>
    <row r="116" spans="1:10" ht="16.5" x14ac:dyDescent="0.3">
      <c r="A116" s="850"/>
      <c r="B116" s="848"/>
      <c r="C116" s="848"/>
      <c r="D116" s="801"/>
      <c r="E116" s="849"/>
      <c r="F116" s="848"/>
      <c r="G116" s="847"/>
      <c r="H116" s="846"/>
      <c r="I116" s="845"/>
      <c r="J116" s="844"/>
    </row>
    <row r="117" spans="1:10" ht="16.5" x14ac:dyDescent="0.3">
      <c r="A117" s="741" t="s">
        <v>911</v>
      </c>
      <c r="B117" s="658"/>
      <c r="C117" s="658"/>
      <c r="D117" s="724"/>
      <c r="E117" s="724"/>
      <c r="F117" s="725"/>
      <c r="G117" s="724"/>
      <c r="H117" s="724"/>
      <c r="I117" s="724"/>
      <c r="J117" s="693"/>
    </row>
    <row r="118" spans="1:10" ht="16.5" x14ac:dyDescent="0.3">
      <c r="A118" s="659"/>
      <c r="B118" s="841" t="s">
        <v>910</v>
      </c>
      <c r="C118" s="824" t="s">
        <v>909</v>
      </c>
      <c r="D118" s="688" t="s">
        <v>908</v>
      </c>
      <c r="E118" s="688">
        <v>200</v>
      </c>
      <c r="F118" s="689">
        <v>1</v>
      </c>
      <c r="G118" s="840">
        <f>F118*E118</f>
        <v>200</v>
      </c>
      <c r="H118" s="688">
        <f>200</f>
        <v>200</v>
      </c>
      <c r="I118" s="687">
        <f>'[1]Frozen Pivot'!B259</f>
        <v>0</v>
      </c>
      <c r="J118" s="687">
        <v>0</v>
      </c>
    </row>
    <row r="119" spans="1:10" ht="16.5" x14ac:dyDescent="0.3">
      <c r="A119" s="659"/>
      <c r="B119" s="732"/>
      <c r="C119" s="658"/>
      <c r="D119" s="724"/>
      <c r="E119" s="724"/>
      <c r="F119" s="725"/>
      <c r="G119" s="843"/>
      <c r="H119" s="724"/>
      <c r="I119" s="724"/>
      <c r="J119" s="693"/>
    </row>
    <row r="120" spans="1:10" ht="16.5" x14ac:dyDescent="0.3">
      <c r="A120" s="686"/>
      <c r="B120" s="794" t="s">
        <v>907</v>
      </c>
      <c r="C120" s="733"/>
      <c r="D120" s="680"/>
      <c r="E120" s="680"/>
      <c r="F120" s="716"/>
      <c r="G120" s="680"/>
      <c r="H120" s="680">
        <f>SUM(H118:H118)</f>
        <v>200</v>
      </c>
      <c r="I120" s="680"/>
      <c r="J120" s="842">
        <v>0</v>
      </c>
    </row>
    <row r="121" spans="1:10" ht="16.5" x14ac:dyDescent="0.3">
      <c r="A121" s="686"/>
      <c r="B121" s="658"/>
      <c r="C121" s="742"/>
      <c r="D121" s="655"/>
      <c r="E121" s="655"/>
      <c r="F121" s="728"/>
      <c r="G121" s="655"/>
      <c r="H121" s="655"/>
      <c r="I121" s="655"/>
      <c r="J121" s="654"/>
    </row>
    <row r="122" spans="1:10" ht="16.5" x14ac:dyDescent="0.3">
      <c r="A122" s="741" t="s">
        <v>906</v>
      </c>
      <c r="B122" s="658"/>
      <c r="C122" s="658"/>
      <c r="D122" s="724"/>
      <c r="E122" s="724"/>
      <c r="F122" s="725"/>
      <c r="G122" s="724"/>
      <c r="H122" s="724"/>
      <c r="I122" s="724"/>
      <c r="J122" s="693"/>
    </row>
    <row r="123" spans="1:10" ht="16.5" x14ac:dyDescent="0.3">
      <c r="A123" s="659"/>
      <c r="B123" s="841" t="s">
        <v>905</v>
      </c>
      <c r="C123" s="824" t="s">
        <v>904</v>
      </c>
      <c r="D123" s="688" t="s">
        <v>903</v>
      </c>
      <c r="E123" s="688">
        <v>10</v>
      </c>
      <c r="F123" s="689">
        <v>3</v>
      </c>
      <c r="G123" s="840">
        <f>F123*E123</f>
        <v>30</v>
      </c>
      <c r="H123" s="688">
        <f>G123*1.13</f>
        <v>33.9</v>
      </c>
      <c r="I123" s="687">
        <f>'[1]Frozen Pivot'!B260</f>
        <v>0</v>
      </c>
      <c r="J123" s="687">
        <v>0</v>
      </c>
    </row>
    <row r="124" spans="1:10" s="718" customFormat="1" ht="16.5" x14ac:dyDescent="0.3">
      <c r="A124" s="798"/>
      <c r="B124" s="839"/>
      <c r="C124" s="797"/>
      <c r="D124" s="736"/>
      <c r="E124" s="736"/>
      <c r="F124" s="737"/>
      <c r="G124" s="838"/>
      <c r="H124" s="736"/>
      <c r="I124" s="735"/>
      <c r="J124" s="735"/>
    </row>
    <row r="125" spans="1:10" ht="16.5" x14ac:dyDescent="0.3">
      <c r="A125" s="686"/>
      <c r="B125" s="794" t="s">
        <v>902</v>
      </c>
      <c r="C125" s="733"/>
      <c r="D125" s="680"/>
      <c r="E125" s="680"/>
      <c r="F125" s="716"/>
      <c r="G125" s="680"/>
      <c r="H125" s="680">
        <f>SUM(H123:H123)</f>
        <v>33.9</v>
      </c>
      <c r="I125" s="679"/>
      <c r="J125" s="679">
        <v>0</v>
      </c>
    </row>
    <row r="126" spans="1:10" ht="16.5" x14ac:dyDescent="0.3">
      <c r="A126" s="686"/>
      <c r="B126" s="658"/>
      <c r="C126" s="742"/>
      <c r="D126" s="655"/>
      <c r="E126" s="655"/>
      <c r="F126" s="728"/>
      <c r="G126" s="655"/>
      <c r="H126" s="655"/>
      <c r="I126" s="654"/>
      <c r="J126" s="654"/>
    </row>
    <row r="127" spans="1:10" ht="16.5" x14ac:dyDescent="0.3">
      <c r="A127" s="741" t="s">
        <v>901</v>
      </c>
      <c r="B127" s="658"/>
      <c r="C127" s="658"/>
      <c r="D127" s="724"/>
      <c r="E127" s="724"/>
      <c r="F127" s="725"/>
      <c r="G127" s="724"/>
      <c r="H127" s="724"/>
      <c r="I127" s="693"/>
      <c r="J127" s="693"/>
    </row>
    <row r="128" spans="1:10" ht="16.5" x14ac:dyDescent="0.3">
      <c r="A128" s="659"/>
      <c r="B128" s="837" t="s">
        <v>900</v>
      </c>
      <c r="C128" s="704" t="s">
        <v>899</v>
      </c>
      <c r="D128" s="701" t="s">
        <v>898</v>
      </c>
      <c r="E128" s="701">
        <v>27.85</v>
      </c>
      <c r="F128" s="702">
        <v>15</v>
      </c>
      <c r="G128" s="701">
        <f>E128*F128</f>
        <v>417.75</v>
      </c>
      <c r="H128" s="701">
        <f>G128*1.13</f>
        <v>472.05749999999995</v>
      </c>
      <c r="I128" s="700">
        <f>'[1]Frozen Pivot'!B261</f>
        <v>0</v>
      </c>
      <c r="J128" s="700">
        <v>250.59</v>
      </c>
    </row>
    <row r="129" spans="1:10" ht="16.5" x14ac:dyDescent="0.3">
      <c r="A129" s="659"/>
      <c r="B129" s="836" t="s">
        <v>897</v>
      </c>
      <c r="C129" s="726" t="s">
        <v>251</v>
      </c>
      <c r="D129" s="724" t="s">
        <v>896</v>
      </c>
      <c r="E129" s="724">
        <v>15</v>
      </c>
      <c r="F129" s="725">
        <v>6</v>
      </c>
      <c r="G129" s="724">
        <f>E129*F129</f>
        <v>90</v>
      </c>
      <c r="H129" s="724">
        <f>G129*1.13</f>
        <v>101.69999999999999</v>
      </c>
      <c r="I129" s="693">
        <f>'[1]Frozen Pivot'!B262</f>
        <v>0</v>
      </c>
      <c r="J129" s="693">
        <v>57.16</v>
      </c>
    </row>
    <row r="130" spans="1:10" s="718" customFormat="1" ht="16.5" x14ac:dyDescent="0.3">
      <c r="A130" s="798"/>
      <c r="B130" s="835"/>
      <c r="C130" s="691"/>
      <c r="D130" s="688"/>
      <c r="E130" s="688"/>
      <c r="F130" s="689"/>
      <c r="G130" s="688"/>
      <c r="H130" s="688"/>
      <c r="I130" s="687"/>
      <c r="J130" s="687"/>
    </row>
    <row r="131" spans="1:10" ht="16.5" x14ac:dyDescent="0.3">
      <c r="A131" s="686"/>
      <c r="B131" s="794" t="s">
        <v>895</v>
      </c>
      <c r="C131" s="733"/>
      <c r="D131" s="680"/>
      <c r="E131" s="680"/>
      <c r="F131" s="716"/>
      <c r="G131" s="680"/>
      <c r="H131" s="680">
        <f>SUM(H127:H129)</f>
        <v>573.75749999999994</v>
      </c>
      <c r="I131" s="679">
        <f>SUM(I127:I129)</f>
        <v>0</v>
      </c>
      <c r="J131" s="679">
        <f>SUM(J127:J129)</f>
        <v>307.75</v>
      </c>
    </row>
    <row r="132" spans="1:10" ht="16.5" x14ac:dyDescent="0.3">
      <c r="A132" s="659"/>
      <c r="B132" s="732"/>
      <c r="C132" s="726"/>
      <c r="D132" s="724"/>
      <c r="E132" s="724"/>
      <c r="F132" s="725"/>
      <c r="G132" s="724"/>
      <c r="H132" s="724"/>
      <c r="I132" s="693"/>
      <c r="J132" s="693"/>
    </row>
    <row r="133" spans="1:10" ht="16.5" x14ac:dyDescent="0.3">
      <c r="A133" s="686"/>
      <c r="B133" s="685" t="s">
        <v>894</v>
      </c>
      <c r="C133" s="731"/>
      <c r="D133" s="730"/>
      <c r="E133" s="680"/>
      <c r="F133" s="716"/>
      <c r="G133" s="680"/>
      <c r="H133" s="680">
        <f>H79+H85+H91+H97+H103+H109+H115+H120+H125+H131</f>
        <v>2473.0911499999997</v>
      </c>
      <c r="I133" s="679">
        <f>(I79+I85+I91+I97+I103+I109+I115+I120+I125)</f>
        <v>0</v>
      </c>
      <c r="J133" s="679">
        <f>(J79+J85+J91+J97+J103+J109+J115+J120+J125+J131)</f>
        <v>471.64</v>
      </c>
    </row>
    <row r="134" spans="1:10" x14ac:dyDescent="0.25">
      <c r="B134" s="674"/>
      <c r="C134" s="674"/>
      <c r="D134" s="674"/>
      <c r="E134" s="674"/>
      <c r="F134" s="674"/>
      <c r="G134" s="674"/>
      <c r="H134" s="674"/>
      <c r="I134" s="834"/>
      <c r="J134" s="834"/>
    </row>
    <row r="135" spans="1:10" ht="16.5" x14ac:dyDescent="0.3">
      <c r="A135" s="659" t="s">
        <v>893</v>
      </c>
      <c r="B135" s="658"/>
      <c r="C135" s="729"/>
      <c r="D135" s="656"/>
      <c r="E135" s="655"/>
      <c r="F135" s="728"/>
      <c r="G135" s="655"/>
      <c r="H135" s="655"/>
      <c r="I135" s="654"/>
      <c r="J135" s="654"/>
    </row>
    <row r="136" spans="1:10" s="833" customFormat="1" ht="16.5" x14ac:dyDescent="0.3">
      <c r="A136" s="686"/>
      <c r="B136" s="746">
        <v>9.0449999999999999</v>
      </c>
      <c r="C136" s="704" t="s">
        <v>892</v>
      </c>
      <c r="D136" s="701" t="s">
        <v>891</v>
      </c>
      <c r="E136" s="701">
        <v>6.3</v>
      </c>
      <c r="F136" s="702">
        <v>14</v>
      </c>
      <c r="G136" s="701">
        <f>E136*F136</f>
        <v>88.2</v>
      </c>
      <c r="H136" s="701">
        <f>G136*1.13</f>
        <v>99.665999999999997</v>
      </c>
      <c r="I136" s="700">
        <f>'[1]Frozen Pivot'!B265</f>
        <v>0</v>
      </c>
      <c r="J136" s="700">
        <v>0</v>
      </c>
    </row>
    <row r="137" spans="1:10" s="833" customFormat="1" ht="16.5" x14ac:dyDescent="0.3">
      <c r="A137" s="686"/>
      <c r="B137" s="751">
        <v>9.0459999999999994</v>
      </c>
      <c r="C137" s="726" t="s">
        <v>890</v>
      </c>
      <c r="D137" s="724" t="s">
        <v>889</v>
      </c>
      <c r="E137" s="724">
        <v>3.99</v>
      </c>
      <c r="F137" s="725">
        <v>6</v>
      </c>
      <c r="G137" s="724">
        <f>E137*F137</f>
        <v>23.94</v>
      </c>
      <c r="H137" s="724">
        <f>G137*1.13</f>
        <v>27.052199999999999</v>
      </c>
      <c r="I137" s="700">
        <f>'[1]Frozen Pivot'!B266</f>
        <v>77.95</v>
      </c>
      <c r="J137" s="700">
        <v>77.95</v>
      </c>
    </row>
    <row r="138" spans="1:10" s="833" customFormat="1" ht="16.5" x14ac:dyDescent="0.3">
      <c r="A138" s="686"/>
      <c r="B138" s="746">
        <v>9.0470000000000006</v>
      </c>
      <c r="C138" s="704" t="s">
        <v>888</v>
      </c>
      <c r="D138" s="701" t="s">
        <v>887</v>
      </c>
      <c r="E138" s="701">
        <v>4.5</v>
      </c>
      <c r="F138" s="702">
        <v>2</v>
      </c>
      <c r="G138" s="701">
        <f>E138*F138</f>
        <v>9</v>
      </c>
      <c r="H138" s="701">
        <f>G138*1.13</f>
        <v>10.169999999999998</v>
      </c>
      <c r="I138" s="700">
        <f>'[1]Frozen Pivot'!B267</f>
        <v>0</v>
      </c>
      <c r="J138" s="700">
        <v>0</v>
      </c>
    </row>
    <row r="139" spans="1:10" s="833" customFormat="1" ht="16.5" x14ac:dyDescent="0.3">
      <c r="A139" s="686"/>
      <c r="B139" s="751">
        <v>9.048</v>
      </c>
      <c r="C139" s="738" t="s">
        <v>886</v>
      </c>
      <c r="D139" s="736" t="s">
        <v>885</v>
      </c>
      <c r="E139" s="736">
        <v>19.84</v>
      </c>
      <c r="F139" s="737">
        <v>1</v>
      </c>
      <c r="G139" s="736">
        <f>E139*F139</f>
        <v>19.84</v>
      </c>
      <c r="H139" s="736">
        <f>G139*1.13</f>
        <v>22.419199999999996</v>
      </c>
      <c r="I139" s="700">
        <f>'[1]Frozen Pivot'!B268</f>
        <v>0</v>
      </c>
      <c r="J139" s="700">
        <v>0</v>
      </c>
    </row>
    <row r="140" spans="1:10" s="833" customFormat="1" ht="16.5" x14ac:dyDescent="0.3">
      <c r="A140" s="686"/>
      <c r="B140" s="746">
        <v>9.0489999999999995</v>
      </c>
      <c r="C140" s="691" t="s">
        <v>884</v>
      </c>
      <c r="D140" s="688" t="s">
        <v>883</v>
      </c>
      <c r="E140" s="688">
        <v>102</v>
      </c>
      <c r="F140" s="689">
        <v>1</v>
      </c>
      <c r="G140" s="688">
        <f>E140*F140</f>
        <v>102</v>
      </c>
      <c r="H140" s="688">
        <f>G140*1.13</f>
        <v>115.25999999999999</v>
      </c>
      <c r="I140" s="700">
        <f>'[1]Frozen Pivot'!B269</f>
        <v>228.26</v>
      </c>
      <c r="J140" s="700">
        <v>228.26</v>
      </c>
    </row>
    <row r="141" spans="1:10" s="833" customFormat="1" ht="16.5" x14ac:dyDescent="0.3">
      <c r="A141" s="686"/>
      <c r="B141" s="751">
        <v>9.0500000000000007</v>
      </c>
      <c r="C141" s="738" t="s">
        <v>252</v>
      </c>
      <c r="D141" s="736" t="s">
        <v>882</v>
      </c>
      <c r="E141" s="736">
        <v>100</v>
      </c>
      <c r="F141" s="737">
        <v>1</v>
      </c>
      <c r="G141" s="736">
        <f>E141*F141</f>
        <v>100</v>
      </c>
      <c r="H141" s="736">
        <f>G141*1.13</f>
        <v>112.99999999999999</v>
      </c>
      <c r="I141" s="700">
        <f>'[1]Frozen Pivot'!B270</f>
        <v>0</v>
      </c>
      <c r="J141" s="700">
        <v>0</v>
      </c>
    </row>
    <row r="142" spans="1:10" s="833" customFormat="1" ht="16.5" x14ac:dyDescent="0.3">
      <c r="A142" s="686"/>
      <c r="B142" s="746">
        <v>9.0510000000000002</v>
      </c>
      <c r="C142" s="691" t="s">
        <v>881</v>
      </c>
      <c r="D142" s="688" t="s">
        <v>880</v>
      </c>
      <c r="E142" s="688">
        <v>20</v>
      </c>
      <c r="F142" s="689">
        <v>1</v>
      </c>
      <c r="G142" s="688">
        <f>E142*F142</f>
        <v>20</v>
      </c>
      <c r="H142" s="688">
        <f>G142*1.13</f>
        <v>22.599999999999998</v>
      </c>
      <c r="I142" s="700">
        <f>'[1]Frozen Pivot'!B271</f>
        <v>40</v>
      </c>
      <c r="J142" s="700">
        <v>40</v>
      </c>
    </row>
    <row r="143" spans="1:10" s="718" customFormat="1" ht="16.5" x14ac:dyDescent="0.3">
      <c r="A143" s="797"/>
      <c r="B143" s="726"/>
      <c r="C143" s="738"/>
      <c r="D143" s="736"/>
      <c r="E143" s="736"/>
      <c r="F143" s="737"/>
      <c r="G143" s="736"/>
      <c r="H143" s="736"/>
      <c r="I143" s="735"/>
      <c r="J143" s="735"/>
    </row>
    <row r="144" spans="1:10" ht="16.5" x14ac:dyDescent="0.3">
      <c r="B144" s="685" t="s">
        <v>879</v>
      </c>
      <c r="C144" s="717"/>
      <c r="D144" s="680"/>
      <c r="E144" s="680"/>
      <c r="F144" s="716"/>
      <c r="G144" s="680"/>
      <c r="H144" s="680">
        <f>SUM(H136:H142)</f>
        <v>410.16739999999999</v>
      </c>
      <c r="I144" s="679">
        <f>SUM(I136:I142)</f>
        <v>346.21</v>
      </c>
      <c r="J144" s="679">
        <f>SUM(J136:J142)</f>
        <v>346.21</v>
      </c>
    </row>
    <row r="145" spans="1:11" ht="16.5" x14ac:dyDescent="0.3">
      <c r="A145" s="686"/>
      <c r="B145" s="658"/>
      <c r="C145" s="729"/>
      <c r="D145" s="656"/>
      <c r="E145" s="655"/>
      <c r="F145" s="728"/>
      <c r="G145" s="655"/>
      <c r="H145" s="655"/>
      <c r="I145" s="756"/>
      <c r="J145" s="756"/>
    </row>
    <row r="146" spans="1:11" ht="16.5" x14ac:dyDescent="0.3">
      <c r="A146" s="659" t="s">
        <v>878</v>
      </c>
      <c r="B146" s="658"/>
      <c r="C146" s="729"/>
      <c r="D146" s="656"/>
      <c r="E146" s="655"/>
      <c r="F146" s="728"/>
      <c r="G146" s="655"/>
      <c r="H146" s="655"/>
      <c r="I146" s="654"/>
      <c r="J146" s="654"/>
    </row>
    <row r="147" spans="1:11" ht="16.5" x14ac:dyDescent="0.3">
      <c r="A147" s="741" t="s">
        <v>877</v>
      </c>
      <c r="B147" s="658"/>
      <c r="C147" s="658"/>
      <c r="D147" s="724"/>
      <c r="E147" s="724"/>
      <c r="F147" s="725"/>
      <c r="G147" s="724"/>
      <c r="H147" s="724"/>
      <c r="I147" s="693"/>
      <c r="J147" s="693"/>
    </row>
    <row r="148" spans="1:11" s="718" customFormat="1" ht="16.5" x14ac:dyDescent="0.3">
      <c r="A148" s="740"/>
      <c r="B148" s="816">
        <v>9.0519999999999996</v>
      </c>
      <c r="C148" s="738" t="s">
        <v>876</v>
      </c>
      <c r="D148" s="736" t="s">
        <v>875</v>
      </c>
      <c r="E148" s="736">
        <v>14</v>
      </c>
      <c r="F148" s="737">
        <v>12</v>
      </c>
      <c r="G148" s="736">
        <v>168</v>
      </c>
      <c r="H148" s="736">
        <v>189.84</v>
      </c>
      <c r="I148" s="735">
        <v>166.11</v>
      </c>
      <c r="J148" s="735">
        <v>166.11</v>
      </c>
    </row>
    <row r="149" spans="1:11" s="718" customFormat="1" ht="16.5" x14ac:dyDescent="0.3">
      <c r="A149" s="740"/>
      <c r="B149" s="816">
        <v>9.0530000000000008</v>
      </c>
      <c r="C149" s="738" t="s">
        <v>874</v>
      </c>
      <c r="D149" s="736" t="s">
        <v>873</v>
      </c>
      <c r="E149" s="736">
        <v>15.5</v>
      </c>
      <c r="F149" s="737">
        <v>3</v>
      </c>
      <c r="G149" s="736">
        <v>46.5</v>
      </c>
      <c r="H149" s="736">
        <v>52.55</v>
      </c>
      <c r="I149" s="735">
        <v>0</v>
      </c>
      <c r="J149" s="735">
        <v>0</v>
      </c>
    </row>
    <row r="150" spans="1:11" s="718" customFormat="1" ht="16.5" x14ac:dyDescent="0.3">
      <c r="A150" s="740"/>
      <c r="B150" s="816">
        <v>9.0540000000000003</v>
      </c>
      <c r="C150" s="738" t="s">
        <v>872</v>
      </c>
      <c r="D150" s="736" t="s">
        <v>871</v>
      </c>
      <c r="E150" s="736">
        <v>214.7</v>
      </c>
      <c r="F150" s="737">
        <v>2</v>
      </c>
      <c r="G150" s="736">
        <v>429.4</v>
      </c>
      <c r="H150" s="736">
        <v>485.22</v>
      </c>
      <c r="I150" s="735">
        <v>214.7</v>
      </c>
      <c r="J150" s="735">
        <v>214.7</v>
      </c>
    </row>
    <row r="151" spans="1:11" s="718" customFormat="1" ht="16.5" x14ac:dyDescent="0.3">
      <c r="A151" s="740"/>
      <c r="B151" s="816">
        <v>9.0549999999999997</v>
      </c>
      <c r="C151" s="832" t="s">
        <v>870</v>
      </c>
      <c r="D151" s="736" t="s">
        <v>869</v>
      </c>
      <c r="E151" s="736">
        <v>4.9000000000000004</v>
      </c>
      <c r="F151" s="737">
        <v>70</v>
      </c>
      <c r="G151" s="736">
        <v>343</v>
      </c>
      <c r="H151" s="736">
        <v>387.59</v>
      </c>
      <c r="I151" s="735">
        <v>315</v>
      </c>
      <c r="J151" s="735">
        <v>315</v>
      </c>
    </row>
    <row r="152" spans="1:11" s="718" customFormat="1" ht="16.5" x14ac:dyDescent="0.3">
      <c r="A152" s="740"/>
      <c r="B152" s="816">
        <v>9.0559999999999992</v>
      </c>
      <c r="C152" s="832" t="s">
        <v>868</v>
      </c>
      <c r="D152" s="736" t="s">
        <v>867</v>
      </c>
      <c r="E152" s="736">
        <v>2.65</v>
      </c>
      <c r="F152" s="737">
        <v>70</v>
      </c>
      <c r="G152" s="736">
        <v>185.5</v>
      </c>
      <c r="H152" s="736">
        <v>209.62</v>
      </c>
      <c r="I152" s="735">
        <v>0</v>
      </c>
      <c r="J152" s="735">
        <v>0</v>
      </c>
    </row>
    <row r="153" spans="1:11" s="718" customFormat="1" ht="16.5" x14ac:dyDescent="0.3">
      <c r="A153" s="740"/>
      <c r="B153" s="816">
        <v>9.0570000000000093</v>
      </c>
      <c r="C153" s="832" t="s">
        <v>866</v>
      </c>
      <c r="D153" s="736"/>
      <c r="E153" s="736">
        <v>50</v>
      </c>
      <c r="F153" s="737">
        <v>1</v>
      </c>
      <c r="G153" s="736">
        <v>50</v>
      </c>
      <c r="H153" s="736">
        <v>56.5</v>
      </c>
      <c r="I153" s="735">
        <v>0</v>
      </c>
      <c r="J153" s="735">
        <v>0</v>
      </c>
    </row>
    <row r="154" spans="1:11" s="718" customFormat="1" ht="16.5" x14ac:dyDescent="0.3">
      <c r="A154" s="740"/>
      <c r="B154" s="824"/>
      <c r="C154" s="831"/>
      <c r="D154" s="688"/>
      <c r="E154" s="688"/>
      <c r="F154" s="689"/>
      <c r="G154" s="688"/>
      <c r="H154" s="688"/>
      <c r="I154" s="687"/>
      <c r="J154" s="687"/>
    </row>
    <row r="155" spans="1:11" ht="16.5" x14ac:dyDescent="0.3">
      <c r="A155" s="686"/>
      <c r="B155" s="794" t="s">
        <v>865</v>
      </c>
      <c r="C155" s="717"/>
      <c r="D155" s="680"/>
      <c r="E155" s="680"/>
      <c r="F155" s="716"/>
      <c r="G155" s="680"/>
      <c r="H155" s="680">
        <f>SUM(H147:H153)</f>
        <v>1381.3200000000002</v>
      </c>
      <c r="I155" s="679">
        <f>SUM(I147:I153)</f>
        <v>695.81</v>
      </c>
      <c r="J155" s="679">
        <f>SUM(J147:J153)</f>
        <v>695.81</v>
      </c>
    </row>
    <row r="156" spans="1:11" ht="16.5" x14ac:dyDescent="0.3">
      <c r="A156" s="686"/>
      <c r="B156" s="658"/>
      <c r="C156" s="744"/>
      <c r="D156" s="655"/>
      <c r="E156" s="655"/>
      <c r="F156" s="728"/>
      <c r="G156" s="655"/>
      <c r="H156" s="655"/>
      <c r="I156" s="654"/>
      <c r="J156" s="654"/>
    </row>
    <row r="157" spans="1:11" ht="16.5" x14ac:dyDescent="0.3">
      <c r="A157" s="741" t="s">
        <v>581</v>
      </c>
      <c r="B157" s="658"/>
      <c r="C157" s="658"/>
      <c r="D157" s="724"/>
      <c r="E157" s="724"/>
      <c r="F157" s="725"/>
      <c r="G157" s="724"/>
      <c r="H157" s="724"/>
      <c r="I157" s="693"/>
      <c r="J157" s="693"/>
    </row>
    <row r="158" spans="1:11" ht="16.5" x14ac:dyDescent="0.3">
      <c r="A158" s="743"/>
      <c r="B158" s="722">
        <v>9.0559999999999992</v>
      </c>
      <c r="C158" s="704" t="s">
        <v>864</v>
      </c>
      <c r="D158" s="701" t="s">
        <v>863</v>
      </c>
      <c r="E158" s="701">
        <v>500</v>
      </c>
      <c r="F158" s="702">
        <v>1</v>
      </c>
      <c r="G158" s="701">
        <f>E158*F158</f>
        <v>500</v>
      </c>
      <c r="H158" s="701">
        <f>G158*1.13</f>
        <v>565</v>
      </c>
      <c r="I158" s="700">
        <f>'[1]Frozen Pivot'!B276</f>
        <v>0</v>
      </c>
      <c r="J158" s="700">
        <v>0</v>
      </c>
      <c r="K158" s="432" t="s">
        <v>92</v>
      </c>
    </row>
    <row r="159" spans="1:11" ht="16.5" x14ac:dyDescent="0.3">
      <c r="A159" s="743"/>
      <c r="B159" s="658"/>
      <c r="C159" s="726"/>
      <c r="D159" s="724"/>
      <c r="E159" s="724"/>
      <c r="F159" s="725"/>
      <c r="G159" s="724"/>
      <c r="H159" s="724"/>
      <c r="I159" s="693"/>
      <c r="J159" s="693"/>
    </row>
    <row r="160" spans="1:11" ht="16.5" x14ac:dyDescent="0.3">
      <c r="A160" s="686"/>
      <c r="B160" s="794" t="s">
        <v>862</v>
      </c>
      <c r="C160" s="733"/>
      <c r="D160" s="680"/>
      <c r="E160" s="680"/>
      <c r="F160" s="716"/>
      <c r="G160" s="680"/>
      <c r="H160" s="680">
        <f>SUM(H158:H158)</f>
        <v>565</v>
      </c>
      <c r="I160" s="679">
        <f>SUM(I158:I158)</f>
        <v>0</v>
      </c>
      <c r="J160" s="679">
        <f>SUM(J158:J158)</f>
        <v>0</v>
      </c>
    </row>
    <row r="161" spans="1:10" ht="16.5" x14ac:dyDescent="0.3">
      <c r="A161" s="686"/>
      <c r="B161" s="658"/>
      <c r="C161" s="742"/>
      <c r="D161" s="655"/>
      <c r="E161" s="655"/>
      <c r="F161" s="728"/>
      <c r="G161" s="655"/>
      <c r="H161" s="655"/>
      <c r="I161" s="654"/>
      <c r="J161" s="654"/>
    </row>
    <row r="162" spans="1:10" ht="16.5" x14ac:dyDescent="0.3">
      <c r="A162" s="741" t="s">
        <v>861</v>
      </c>
      <c r="B162" s="658"/>
      <c r="C162" s="658"/>
      <c r="D162" s="724"/>
      <c r="E162" s="724"/>
      <c r="F162" s="725"/>
      <c r="G162" s="724"/>
      <c r="H162" s="724"/>
      <c r="I162" s="693"/>
      <c r="J162" s="693"/>
    </row>
    <row r="163" spans="1:10" s="718" customFormat="1" ht="16.5" x14ac:dyDescent="0.3">
      <c r="A163" s="830" t="s">
        <v>860</v>
      </c>
      <c r="B163" s="815"/>
      <c r="C163" s="797"/>
      <c r="D163" s="736"/>
      <c r="E163" s="736"/>
      <c r="F163" s="737"/>
      <c r="G163" s="736"/>
      <c r="H163" s="736"/>
      <c r="I163" s="735"/>
      <c r="J163" s="735"/>
    </row>
    <row r="164" spans="1:10" s="718" customFormat="1" ht="16.5" x14ac:dyDescent="0.3">
      <c r="A164" s="830"/>
      <c r="B164" s="816">
        <v>9.0589999999999993</v>
      </c>
      <c r="C164" s="797" t="s">
        <v>859</v>
      </c>
      <c r="D164" s="736" t="s">
        <v>858</v>
      </c>
      <c r="E164" s="736">
        <v>75</v>
      </c>
      <c r="F164" s="737">
        <v>1</v>
      </c>
      <c r="G164" s="736">
        <v>75</v>
      </c>
      <c r="H164" s="736">
        <v>84.75</v>
      </c>
      <c r="I164" s="735">
        <v>84.75</v>
      </c>
      <c r="J164" s="735">
        <v>84.75</v>
      </c>
    </row>
    <row r="165" spans="1:10" s="718" customFormat="1" ht="16.5" x14ac:dyDescent="0.3">
      <c r="A165" s="830"/>
      <c r="B165" s="816">
        <v>9.06</v>
      </c>
      <c r="C165" s="797" t="s">
        <v>857</v>
      </c>
      <c r="D165" s="736" t="s">
        <v>856</v>
      </c>
      <c r="E165" s="736">
        <v>2.69</v>
      </c>
      <c r="F165" s="737">
        <v>20</v>
      </c>
      <c r="G165" s="736">
        <v>53.8</v>
      </c>
      <c r="H165" s="736">
        <v>60.79</v>
      </c>
      <c r="I165" s="735">
        <v>0</v>
      </c>
      <c r="J165" s="735">
        <v>0</v>
      </c>
    </row>
    <row r="166" spans="1:10" s="718" customFormat="1" ht="16.5" x14ac:dyDescent="0.3">
      <c r="A166" s="830"/>
      <c r="B166" s="816">
        <v>9.0609999999999999</v>
      </c>
      <c r="C166" s="797" t="s">
        <v>855</v>
      </c>
      <c r="D166" s="736" t="s">
        <v>854</v>
      </c>
      <c r="E166" s="736">
        <v>25</v>
      </c>
      <c r="F166" s="737">
        <v>1</v>
      </c>
      <c r="G166" s="736">
        <v>25</v>
      </c>
      <c r="H166" s="736">
        <v>28.25</v>
      </c>
      <c r="I166" s="735">
        <v>0</v>
      </c>
      <c r="J166" s="735">
        <v>0</v>
      </c>
    </row>
    <row r="167" spans="1:10" s="718" customFormat="1" ht="16.5" x14ac:dyDescent="0.3">
      <c r="A167" s="830"/>
      <c r="B167" s="816">
        <v>9.0619999999999994</v>
      </c>
      <c r="C167" s="797" t="s">
        <v>853</v>
      </c>
      <c r="D167" s="736" t="s">
        <v>852</v>
      </c>
      <c r="E167" s="736">
        <v>0.1</v>
      </c>
      <c r="F167" s="737">
        <v>100</v>
      </c>
      <c r="G167" s="736">
        <v>10</v>
      </c>
      <c r="H167" s="736">
        <v>11.3</v>
      </c>
      <c r="I167" s="735">
        <v>0</v>
      </c>
      <c r="J167" s="735">
        <v>0</v>
      </c>
    </row>
    <row r="168" spans="1:10" s="718" customFormat="1" ht="16.5" x14ac:dyDescent="0.3">
      <c r="A168" s="830"/>
      <c r="B168" s="816">
        <v>9.0630000000000006</v>
      </c>
      <c r="C168" s="797" t="s">
        <v>851</v>
      </c>
      <c r="D168" s="736" t="s">
        <v>850</v>
      </c>
      <c r="E168" s="736">
        <v>12</v>
      </c>
      <c r="F168" s="737">
        <v>2</v>
      </c>
      <c r="G168" s="736">
        <v>24</v>
      </c>
      <c r="H168" s="736">
        <v>27.12</v>
      </c>
      <c r="I168" s="735">
        <v>0</v>
      </c>
      <c r="J168" s="735">
        <v>0</v>
      </c>
    </row>
    <row r="169" spans="1:10" s="718" customFormat="1" ht="16.5" x14ac:dyDescent="0.3">
      <c r="A169" s="830"/>
      <c r="B169" s="816">
        <v>9.0640000000000107</v>
      </c>
      <c r="C169" s="797" t="s">
        <v>849</v>
      </c>
      <c r="D169" s="736" t="s">
        <v>848</v>
      </c>
      <c r="E169" s="736">
        <v>0.1</v>
      </c>
      <c r="F169" s="737">
        <v>100</v>
      </c>
      <c r="G169" s="736">
        <v>10</v>
      </c>
      <c r="H169" s="736">
        <v>11.3</v>
      </c>
      <c r="I169" s="735">
        <v>0</v>
      </c>
      <c r="J169" s="735">
        <v>0</v>
      </c>
    </row>
    <row r="170" spans="1:10" s="718" customFormat="1" ht="16.5" x14ac:dyDescent="0.3">
      <c r="A170" s="830"/>
      <c r="B170" s="816">
        <v>9.0650000000000102</v>
      </c>
      <c r="C170" s="797" t="s">
        <v>847</v>
      </c>
      <c r="D170" s="736" t="s">
        <v>846</v>
      </c>
      <c r="E170" s="736">
        <v>60</v>
      </c>
      <c r="F170" s="737">
        <v>1</v>
      </c>
      <c r="G170" s="736">
        <v>60</v>
      </c>
      <c r="H170" s="736">
        <v>67.8</v>
      </c>
      <c r="I170" s="735">
        <v>0</v>
      </c>
      <c r="J170" s="735">
        <v>0</v>
      </c>
    </row>
    <row r="171" spans="1:10" s="718" customFormat="1" ht="16.5" x14ac:dyDescent="0.3">
      <c r="A171" s="740"/>
      <c r="B171" s="816">
        <v>9.0660000000000096</v>
      </c>
      <c r="C171" s="796" t="s">
        <v>845</v>
      </c>
      <c r="D171" s="736" t="s">
        <v>844</v>
      </c>
      <c r="E171" s="736">
        <v>4.2699999999999996</v>
      </c>
      <c r="F171" s="737">
        <v>10</v>
      </c>
      <c r="G171" s="736">
        <v>42.7</v>
      </c>
      <c r="H171" s="736">
        <v>48.25</v>
      </c>
      <c r="I171" s="735">
        <v>0</v>
      </c>
      <c r="J171" s="735">
        <v>0</v>
      </c>
    </row>
    <row r="172" spans="1:10" s="718" customFormat="1" ht="16.5" x14ac:dyDescent="0.3">
      <c r="A172" s="740"/>
      <c r="B172" s="816">
        <v>9.0670000000000108</v>
      </c>
      <c r="C172" s="796" t="s">
        <v>843</v>
      </c>
      <c r="D172" s="736" t="s">
        <v>842</v>
      </c>
      <c r="E172" s="736">
        <v>5</v>
      </c>
      <c r="F172" s="737">
        <v>1</v>
      </c>
      <c r="G172" s="736">
        <v>5</v>
      </c>
      <c r="H172" s="736">
        <v>5.65</v>
      </c>
      <c r="I172" s="735">
        <v>0</v>
      </c>
      <c r="J172" s="735">
        <v>0</v>
      </c>
    </row>
    <row r="173" spans="1:10" s="718" customFormat="1" ht="16.5" x14ac:dyDescent="0.3">
      <c r="A173" s="740"/>
      <c r="B173" s="816"/>
      <c r="C173" s="796"/>
      <c r="D173" s="736"/>
      <c r="E173" s="736"/>
      <c r="F173" s="737"/>
      <c r="G173" s="736"/>
      <c r="H173" s="736"/>
      <c r="I173" s="735"/>
      <c r="J173" s="735"/>
    </row>
    <row r="174" spans="1:10" s="718" customFormat="1" ht="16.5" x14ac:dyDescent="0.3">
      <c r="A174" s="740"/>
      <c r="B174" s="814" t="s">
        <v>841</v>
      </c>
      <c r="C174" s="813"/>
      <c r="D174" s="811"/>
      <c r="E174" s="811"/>
      <c r="F174" s="812"/>
      <c r="G174" s="811"/>
      <c r="H174" s="811">
        <f>SUM(H171:H171)</f>
        <v>48.25</v>
      </c>
      <c r="I174" s="810">
        <f>SUM(I171:I171)</f>
        <v>0</v>
      </c>
      <c r="J174" s="810">
        <f>J164</f>
        <v>84.75</v>
      </c>
    </row>
    <row r="175" spans="1:10" ht="16.5" x14ac:dyDescent="0.3">
      <c r="A175" s="686"/>
      <c r="B175" s="658"/>
      <c r="C175" s="742"/>
      <c r="D175" s="655"/>
      <c r="E175" s="655"/>
      <c r="F175" s="728"/>
      <c r="G175" s="655"/>
      <c r="H175" s="655"/>
      <c r="I175" s="654"/>
      <c r="J175" s="654"/>
    </row>
    <row r="176" spans="1:10" ht="16.5" x14ac:dyDescent="0.3">
      <c r="A176" s="741" t="s">
        <v>840</v>
      </c>
      <c r="B176" s="658"/>
      <c r="C176" s="658"/>
      <c r="D176" s="658"/>
      <c r="E176" s="658"/>
      <c r="F176" s="658"/>
      <c r="G176" s="658"/>
      <c r="H176" s="658"/>
      <c r="I176" s="805"/>
      <c r="J176" s="804"/>
    </row>
    <row r="177" spans="1:11" ht="16.5" x14ac:dyDescent="0.3">
      <c r="A177" s="658"/>
      <c r="B177" s="722">
        <v>9.0579999999999998</v>
      </c>
      <c r="C177" s="722" t="s">
        <v>839</v>
      </c>
      <c r="D177" s="701" t="s">
        <v>838</v>
      </c>
      <c r="E177" s="701">
        <v>100</v>
      </c>
      <c r="F177" s="702">
        <v>1</v>
      </c>
      <c r="G177" s="701">
        <f>E177*F177</f>
        <v>100</v>
      </c>
      <c r="H177" s="701">
        <f>G177</f>
        <v>100</v>
      </c>
      <c r="I177" s="700">
        <v>50</v>
      </c>
      <c r="J177" s="700">
        <f>I177</f>
        <v>50</v>
      </c>
    </row>
    <row r="178" spans="1:11" ht="16.5" x14ac:dyDescent="0.3">
      <c r="A178" s="686"/>
      <c r="B178" s="727">
        <v>9.0589999999999993</v>
      </c>
      <c r="C178" s="801" t="s">
        <v>837</v>
      </c>
      <c r="D178" s="724" t="s">
        <v>836</v>
      </c>
      <c r="E178" s="724">
        <v>10</v>
      </c>
      <c r="F178" s="725">
        <v>1</v>
      </c>
      <c r="G178" s="724">
        <f>E178*F178</f>
        <v>10</v>
      </c>
      <c r="H178" s="724">
        <f>G178*1.13</f>
        <v>11.299999999999999</v>
      </c>
      <c r="I178" s="693">
        <v>0</v>
      </c>
      <c r="J178" s="693">
        <v>0</v>
      </c>
    </row>
    <row r="179" spans="1:11" s="718" customFormat="1" ht="16.5" x14ac:dyDescent="0.3">
      <c r="A179" s="740"/>
      <c r="B179" s="824"/>
      <c r="C179" s="800"/>
      <c r="D179" s="688"/>
      <c r="E179" s="688"/>
      <c r="F179" s="689"/>
      <c r="G179" s="688"/>
      <c r="H179" s="688"/>
      <c r="I179" s="687"/>
      <c r="J179" s="687"/>
    </row>
    <row r="180" spans="1:11" ht="16.5" x14ac:dyDescent="0.3">
      <c r="A180" s="686"/>
      <c r="B180" s="794" t="s">
        <v>835</v>
      </c>
      <c r="C180" s="733"/>
      <c r="D180" s="680"/>
      <c r="E180" s="680"/>
      <c r="F180" s="716"/>
      <c r="G180" s="680"/>
      <c r="H180" s="680">
        <f>SUM(H177:H178)</f>
        <v>111.3</v>
      </c>
      <c r="I180" s="679">
        <f>SUM(I177:I178)</f>
        <v>50</v>
      </c>
      <c r="J180" s="679">
        <f>SUM(J177:J178)</f>
        <v>50</v>
      </c>
    </row>
    <row r="181" spans="1:11" ht="16.5" x14ac:dyDescent="0.3">
      <c r="A181" s="686"/>
      <c r="B181" s="658"/>
      <c r="C181" s="742"/>
      <c r="D181" s="655"/>
      <c r="E181" s="655"/>
      <c r="F181" s="728"/>
      <c r="G181" s="655"/>
      <c r="H181" s="655"/>
      <c r="I181" s="654"/>
      <c r="J181" s="654"/>
    </row>
    <row r="182" spans="1:11" ht="16.5" x14ac:dyDescent="0.3">
      <c r="A182" s="829" t="s">
        <v>834</v>
      </c>
      <c r="B182" s="828"/>
      <c r="C182" s="827"/>
      <c r="D182" s="827"/>
      <c r="E182" s="827"/>
      <c r="F182" s="827"/>
      <c r="G182" s="827"/>
      <c r="H182" s="827"/>
      <c r="I182" s="826"/>
      <c r="J182" s="825"/>
    </row>
    <row r="183" spans="1:11" ht="16.5" x14ac:dyDescent="0.3">
      <c r="A183" s="686"/>
      <c r="B183" s="746">
        <v>9.06</v>
      </c>
      <c r="C183" s="722" t="s">
        <v>833</v>
      </c>
      <c r="D183" s="701" t="s">
        <v>832</v>
      </c>
      <c r="E183" s="701">
        <v>10</v>
      </c>
      <c r="F183" s="702">
        <v>9</v>
      </c>
      <c r="G183" s="701">
        <f>F183*E183</f>
        <v>90</v>
      </c>
      <c r="H183" s="701">
        <f>G183*1.13</f>
        <v>101.69999999999999</v>
      </c>
      <c r="I183" s="700">
        <v>771.33</v>
      </c>
      <c r="J183" s="700">
        <v>771.33</v>
      </c>
    </row>
    <row r="184" spans="1:11" ht="16.5" x14ac:dyDescent="0.3">
      <c r="A184" s="659"/>
      <c r="B184" s="751">
        <v>9.0609999999999999</v>
      </c>
      <c r="C184" s="727" t="s">
        <v>831</v>
      </c>
      <c r="D184" s="724" t="s">
        <v>830</v>
      </c>
      <c r="E184" s="724">
        <v>5</v>
      </c>
      <c r="F184" s="725">
        <v>2</v>
      </c>
      <c r="G184" s="724">
        <f>F184*E184</f>
        <v>10</v>
      </c>
      <c r="H184" s="724">
        <f>G184*1.13</f>
        <v>11.299999999999999</v>
      </c>
      <c r="I184" s="700">
        <v>0</v>
      </c>
      <c r="J184" s="700">
        <v>0</v>
      </c>
    </row>
    <row r="185" spans="1:11" ht="16.5" x14ac:dyDescent="0.3">
      <c r="A185" s="659"/>
      <c r="B185" s="746">
        <v>9.0619999999999994</v>
      </c>
      <c r="C185" s="722" t="s">
        <v>829</v>
      </c>
      <c r="D185" s="701" t="s">
        <v>828</v>
      </c>
      <c r="E185" s="701">
        <v>38</v>
      </c>
      <c r="F185" s="702">
        <v>16</v>
      </c>
      <c r="G185" s="701">
        <f>F185*E185</f>
        <v>608</v>
      </c>
      <c r="H185" s="701">
        <f>G185*1.13</f>
        <v>687.04</v>
      </c>
      <c r="I185" s="700">
        <v>0</v>
      </c>
      <c r="J185" s="700">
        <v>0</v>
      </c>
    </row>
    <row r="186" spans="1:11" ht="16.5" x14ac:dyDescent="0.3">
      <c r="A186" s="659"/>
      <c r="B186" s="751">
        <v>9.0630000000000006</v>
      </c>
      <c r="C186" s="727" t="s">
        <v>827</v>
      </c>
      <c r="D186" s="724" t="s">
        <v>826</v>
      </c>
      <c r="E186" s="724">
        <v>35</v>
      </c>
      <c r="F186" s="725">
        <v>1</v>
      </c>
      <c r="G186" s="724">
        <f>F186*E186</f>
        <v>35</v>
      </c>
      <c r="H186" s="724">
        <f>G186*1.13</f>
        <v>39.549999999999997</v>
      </c>
      <c r="I186" s="700">
        <v>0</v>
      </c>
      <c r="J186" s="700">
        <v>0</v>
      </c>
    </row>
    <row r="187" spans="1:11" ht="16.5" x14ac:dyDescent="0.3">
      <c r="A187" s="659"/>
      <c r="B187" s="746">
        <v>9.0640000000000001</v>
      </c>
      <c r="C187" s="692" t="s">
        <v>281</v>
      </c>
      <c r="D187" s="688" t="s">
        <v>825</v>
      </c>
      <c r="E187" s="688">
        <v>131.52000000000001</v>
      </c>
      <c r="F187" s="689">
        <v>2</v>
      </c>
      <c r="G187" s="688">
        <f>F187*E187</f>
        <v>263.04000000000002</v>
      </c>
      <c r="H187" s="688">
        <f>G187*1.13</f>
        <v>297.23520000000002</v>
      </c>
      <c r="I187" s="700">
        <v>228.15</v>
      </c>
      <c r="J187" s="700">
        <v>228.15</v>
      </c>
    </row>
    <row r="188" spans="1:11" s="718" customFormat="1" ht="16.5" x14ac:dyDescent="0.3">
      <c r="A188" s="798"/>
      <c r="B188" s="751">
        <v>9.0649999999999995</v>
      </c>
      <c r="C188" s="739" t="s">
        <v>824</v>
      </c>
      <c r="D188" s="736" t="s">
        <v>823</v>
      </c>
      <c r="E188" s="736">
        <v>5</v>
      </c>
      <c r="F188" s="737">
        <v>15</v>
      </c>
      <c r="G188" s="736">
        <f>F188*E188</f>
        <v>75</v>
      </c>
      <c r="H188" s="736">
        <f>G188*1.13</f>
        <v>84.749999999999986</v>
      </c>
      <c r="I188" s="700">
        <v>0</v>
      </c>
      <c r="J188" s="700">
        <v>0</v>
      </c>
      <c r="K188" s="432"/>
    </row>
    <row r="189" spans="1:11" ht="16.5" x14ac:dyDescent="0.3">
      <c r="A189" s="659"/>
      <c r="B189" s="746">
        <v>9.0660000000000007</v>
      </c>
      <c r="C189" s="692" t="s">
        <v>822</v>
      </c>
      <c r="D189" s="688" t="s">
        <v>821</v>
      </c>
      <c r="E189" s="688">
        <v>20</v>
      </c>
      <c r="F189" s="689">
        <v>4</v>
      </c>
      <c r="G189" s="688">
        <f>F189*E189</f>
        <v>80</v>
      </c>
      <c r="H189" s="688">
        <f>G189*1.13</f>
        <v>90.399999999999991</v>
      </c>
      <c r="I189" s="700">
        <v>0</v>
      </c>
      <c r="J189" s="700">
        <v>0</v>
      </c>
    </row>
    <row r="190" spans="1:11" s="718" customFormat="1" ht="16.5" x14ac:dyDescent="0.3">
      <c r="A190" s="798"/>
      <c r="B190" s="751">
        <v>9.0670000000000002</v>
      </c>
      <c r="C190" s="738" t="s">
        <v>820</v>
      </c>
      <c r="D190" s="736" t="s">
        <v>819</v>
      </c>
      <c r="E190" s="736">
        <v>10</v>
      </c>
      <c r="F190" s="737">
        <v>4</v>
      </c>
      <c r="G190" s="736">
        <f>F190*E190</f>
        <v>40</v>
      </c>
      <c r="H190" s="736">
        <f>G190*1.13</f>
        <v>45.199999999999996</v>
      </c>
      <c r="I190" s="700">
        <v>0</v>
      </c>
      <c r="J190" s="700">
        <v>0</v>
      </c>
    </row>
    <row r="191" spans="1:11" s="718" customFormat="1" ht="16.5" x14ac:dyDescent="0.3">
      <c r="A191" s="798"/>
      <c r="B191" s="824"/>
      <c r="C191" s="691"/>
      <c r="D191" s="688"/>
      <c r="E191" s="688"/>
      <c r="F191" s="689"/>
      <c r="G191" s="688"/>
      <c r="H191" s="688"/>
      <c r="I191" s="687">
        <v>0</v>
      </c>
      <c r="J191" s="687">
        <v>0</v>
      </c>
    </row>
    <row r="192" spans="1:11" ht="16.5" x14ac:dyDescent="0.3">
      <c r="A192" s="659"/>
      <c r="B192" s="794" t="s">
        <v>818</v>
      </c>
      <c r="C192" s="733"/>
      <c r="D192" s="680"/>
      <c r="E192" s="680"/>
      <c r="F192" s="716"/>
      <c r="G192" s="680"/>
      <c r="H192" s="680">
        <f>SUM(H183:H190)</f>
        <v>1357.1752000000001</v>
      </c>
      <c r="I192" s="679">
        <f>SUM(I182:I185)</f>
        <v>771.33</v>
      </c>
      <c r="J192" s="679">
        <f>SUM(J183:J191)</f>
        <v>999.48</v>
      </c>
    </row>
    <row r="193" spans="1:10" ht="16.5" x14ac:dyDescent="0.3">
      <c r="A193" s="659"/>
      <c r="B193" s="658"/>
      <c r="C193" s="742"/>
      <c r="D193" s="655"/>
      <c r="E193" s="655"/>
      <c r="F193" s="728"/>
      <c r="G193" s="655"/>
      <c r="H193" s="655"/>
      <c r="I193" s="654"/>
      <c r="J193" s="654"/>
    </row>
    <row r="194" spans="1:10" s="718" customFormat="1" ht="16.5" x14ac:dyDescent="0.3">
      <c r="A194" s="823" t="s">
        <v>817</v>
      </c>
      <c r="B194" s="822"/>
      <c r="C194" s="821"/>
      <c r="D194" s="821"/>
      <c r="E194" s="821"/>
      <c r="F194" s="821"/>
      <c r="G194" s="821"/>
      <c r="H194" s="821"/>
      <c r="I194" s="820"/>
      <c r="J194" s="819"/>
    </row>
    <row r="195" spans="1:10" s="718" customFormat="1" ht="16.5" x14ac:dyDescent="0.3">
      <c r="A195" s="797"/>
      <c r="B195" s="816">
        <v>9.0779999999999994</v>
      </c>
      <c r="C195" s="739" t="s">
        <v>816</v>
      </c>
      <c r="D195" s="736" t="s">
        <v>815</v>
      </c>
      <c r="E195" s="736">
        <v>0</v>
      </c>
      <c r="F195" s="737">
        <v>1</v>
      </c>
      <c r="G195" s="736">
        <v>0</v>
      </c>
      <c r="H195" s="736">
        <v>0</v>
      </c>
      <c r="I195" s="735">
        <v>0</v>
      </c>
      <c r="J195" s="735">
        <v>0</v>
      </c>
    </row>
    <row r="196" spans="1:10" s="718" customFormat="1" ht="16.5" x14ac:dyDescent="0.3">
      <c r="A196" s="740"/>
      <c r="B196" s="818">
        <v>9.0790000000000006</v>
      </c>
      <c r="C196" s="817" t="s">
        <v>814</v>
      </c>
      <c r="D196" s="701" t="s">
        <v>813</v>
      </c>
      <c r="E196" s="701">
        <v>150</v>
      </c>
      <c r="F196" s="702">
        <v>1</v>
      </c>
      <c r="G196" s="701">
        <v>150</v>
      </c>
      <c r="H196" s="701">
        <v>169.5</v>
      </c>
      <c r="I196" s="700">
        <v>270.76</v>
      </c>
      <c r="J196" s="700">
        <v>270.76</v>
      </c>
    </row>
    <row r="197" spans="1:10" s="718" customFormat="1" ht="16.5" x14ac:dyDescent="0.3">
      <c r="A197" s="797"/>
      <c r="B197" s="816">
        <v>9.08</v>
      </c>
      <c r="C197" s="796" t="s">
        <v>579</v>
      </c>
      <c r="D197" s="736" t="s">
        <v>812</v>
      </c>
      <c r="E197" s="736">
        <v>10</v>
      </c>
      <c r="F197" s="737">
        <v>4</v>
      </c>
      <c r="G197" s="736">
        <v>40</v>
      </c>
      <c r="H197" s="736">
        <f>G197*1.13</f>
        <v>45.199999999999996</v>
      </c>
      <c r="I197" s="735">
        <v>0</v>
      </c>
      <c r="J197" s="735">
        <v>0</v>
      </c>
    </row>
    <row r="198" spans="1:10" s="718" customFormat="1" ht="16.5" x14ac:dyDescent="0.3">
      <c r="A198" s="797"/>
      <c r="B198" s="815"/>
      <c r="C198" s="796"/>
      <c r="D198" s="736"/>
      <c r="E198" s="736"/>
      <c r="F198" s="737"/>
      <c r="G198" s="736"/>
      <c r="H198" s="736"/>
      <c r="I198" s="735"/>
      <c r="J198" s="735"/>
    </row>
    <row r="199" spans="1:10" s="718" customFormat="1" ht="16.5" x14ac:dyDescent="0.3">
      <c r="A199" s="797"/>
      <c r="B199" s="814" t="s">
        <v>811</v>
      </c>
      <c r="C199" s="813"/>
      <c r="D199" s="811"/>
      <c r="E199" s="811"/>
      <c r="F199" s="812"/>
      <c r="G199" s="811"/>
      <c r="H199" s="811">
        <f>SUM(H195:H196)</f>
        <v>169.5</v>
      </c>
      <c r="I199" s="810">
        <f>SUM(I195:I197)</f>
        <v>270.76</v>
      </c>
      <c r="J199" s="810">
        <f>SUM(J195:J197)</f>
        <v>270.76</v>
      </c>
    </row>
    <row r="200" spans="1:10" ht="16.5" x14ac:dyDescent="0.3">
      <c r="A200" s="658"/>
      <c r="B200" s="658"/>
      <c r="C200" s="742"/>
      <c r="D200" s="655"/>
      <c r="E200" s="655"/>
      <c r="F200" s="728"/>
      <c r="G200" s="655"/>
      <c r="H200" s="655"/>
      <c r="I200" s="654"/>
      <c r="J200" s="654"/>
    </row>
    <row r="201" spans="1:10" ht="16.5" x14ac:dyDescent="0.3">
      <c r="A201" s="741" t="s">
        <v>810</v>
      </c>
      <c r="B201" s="658"/>
      <c r="C201" s="742"/>
      <c r="D201" s="655"/>
      <c r="E201" s="655"/>
      <c r="F201" s="728"/>
      <c r="G201" s="655"/>
      <c r="H201" s="655"/>
      <c r="I201" s="654"/>
      <c r="J201" s="654"/>
    </row>
    <row r="202" spans="1:10" ht="16.5" x14ac:dyDescent="0.3">
      <c r="A202" s="659"/>
      <c r="B202" s="746">
        <v>9.07</v>
      </c>
      <c r="C202" s="722" t="s">
        <v>809</v>
      </c>
      <c r="D202" s="701" t="s">
        <v>806</v>
      </c>
      <c r="E202" s="701">
        <v>5.99</v>
      </c>
      <c r="F202" s="702">
        <v>20</v>
      </c>
      <c r="G202" s="701">
        <f>E202*F202</f>
        <v>119.80000000000001</v>
      </c>
      <c r="H202" s="701">
        <f>G202*1.13</f>
        <v>135.374</v>
      </c>
      <c r="I202" s="700" t="s">
        <v>808</v>
      </c>
      <c r="J202" s="700">
        <v>114.7</v>
      </c>
    </row>
    <row r="203" spans="1:10" ht="16.5" x14ac:dyDescent="0.3">
      <c r="A203" s="686"/>
      <c r="B203" s="751">
        <v>9.0709999999999997</v>
      </c>
      <c r="C203" s="727" t="s">
        <v>807</v>
      </c>
      <c r="D203" s="724" t="s">
        <v>806</v>
      </c>
      <c r="E203" s="724">
        <v>4.79</v>
      </c>
      <c r="F203" s="725">
        <v>4</v>
      </c>
      <c r="G203" s="724">
        <f>E203*F203</f>
        <v>19.16</v>
      </c>
      <c r="H203" s="809">
        <f>G203*1.13</f>
        <v>21.650799999999997</v>
      </c>
      <c r="I203" s="700">
        <f>'[1]Frozen Pivot'!B291</f>
        <v>0</v>
      </c>
      <c r="J203" s="700">
        <v>0</v>
      </c>
    </row>
    <row r="204" spans="1:10" ht="16.5" x14ac:dyDescent="0.3">
      <c r="A204" s="658"/>
      <c r="B204" s="746">
        <v>9.0719999999999992</v>
      </c>
      <c r="C204" s="800" t="s">
        <v>805</v>
      </c>
      <c r="D204" s="688" t="s">
        <v>804</v>
      </c>
      <c r="E204" s="688">
        <v>200</v>
      </c>
      <c r="F204" s="689">
        <v>1</v>
      </c>
      <c r="G204" s="688">
        <f>E204*F204</f>
        <v>200</v>
      </c>
      <c r="H204" s="688">
        <f>G204*1.13</f>
        <v>225.99999999999997</v>
      </c>
      <c r="I204" s="700">
        <f>'[1]Frozen Pivot'!B292</f>
        <v>0</v>
      </c>
      <c r="J204" s="700">
        <v>0</v>
      </c>
    </row>
    <row r="205" spans="1:10" s="718" customFormat="1" ht="16.5" x14ac:dyDescent="0.3">
      <c r="A205" s="798"/>
      <c r="B205" s="751">
        <v>9.0730000000000004</v>
      </c>
      <c r="C205" s="796" t="s">
        <v>803</v>
      </c>
      <c r="D205" s="736" t="s">
        <v>802</v>
      </c>
      <c r="E205" s="736">
        <v>75</v>
      </c>
      <c r="F205" s="737">
        <v>1</v>
      </c>
      <c r="G205" s="736">
        <f>E205*F205</f>
        <v>75</v>
      </c>
      <c r="H205" s="736">
        <f>G205*1.13</f>
        <v>84.749999999999986</v>
      </c>
      <c r="I205" s="700">
        <f>'[1]Frozen Pivot'!B293</f>
        <v>0</v>
      </c>
      <c r="J205" s="700">
        <v>0</v>
      </c>
    </row>
    <row r="206" spans="1:10" ht="16.5" x14ac:dyDescent="0.3">
      <c r="A206" s="659"/>
      <c r="B206" s="746">
        <v>9.0739999999999998</v>
      </c>
      <c r="C206" s="692" t="s">
        <v>801</v>
      </c>
      <c r="D206" s="688"/>
      <c r="E206" s="688">
        <v>80</v>
      </c>
      <c r="F206" s="689">
        <v>3</v>
      </c>
      <c r="G206" s="688">
        <f>E206*F206</f>
        <v>240</v>
      </c>
      <c r="H206" s="688">
        <f>G206*1.13</f>
        <v>271.2</v>
      </c>
      <c r="I206" s="700">
        <f>'[1]Frozen Pivot'!B294</f>
        <v>0</v>
      </c>
      <c r="J206" s="700">
        <v>226</v>
      </c>
    </row>
    <row r="207" spans="1:10" s="718" customFormat="1" ht="16.5" x14ac:dyDescent="0.3">
      <c r="A207" s="798"/>
      <c r="B207" s="797"/>
      <c r="C207" s="739"/>
      <c r="D207" s="736"/>
      <c r="E207" s="736"/>
      <c r="F207" s="737"/>
      <c r="G207" s="736"/>
      <c r="H207" s="736"/>
      <c r="I207" s="735"/>
      <c r="J207" s="735"/>
    </row>
    <row r="208" spans="1:10" ht="16.5" x14ac:dyDescent="0.3">
      <c r="A208" s="659"/>
      <c r="B208" s="794" t="s">
        <v>800</v>
      </c>
      <c r="C208" s="733"/>
      <c r="D208" s="680"/>
      <c r="E208" s="680"/>
      <c r="F208" s="716"/>
      <c r="G208" s="680"/>
      <c r="H208" s="680">
        <f>SUM(H202:H206)</f>
        <v>738.97479999999996</v>
      </c>
      <c r="I208" s="679">
        <f>SUM(I202:I206)</f>
        <v>0</v>
      </c>
      <c r="J208" s="679">
        <f>SUM(J202:J206)</f>
        <v>340.7</v>
      </c>
    </row>
    <row r="209" spans="1:10" ht="16.5" x14ac:dyDescent="0.3">
      <c r="A209" s="659"/>
      <c r="B209" s="658"/>
      <c r="C209" s="808"/>
      <c r="D209" s="806"/>
      <c r="E209" s="806"/>
      <c r="F209" s="807"/>
      <c r="G209" s="806"/>
      <c r="H209" s="806"/>
      <c r="I209" s="756"/>
      <c r="J209" s="756"/>
    </row>
    <row r="210" spans="1:10" ht="16.5" x14ac:dyDescent="0.3">
      <c r="A210" s="741" t="s">
        <v>348</v>
      </c>
      <c r="B210" s="658"/>
      <c r="C210" s="658"/>
      <c r="D210" s="658"/>
      <c r="E210" s="658"/>
      <c r="F210" s="658"/>
      <c r="G210" s="658"/>
      <c r="H210" s="658"/>
      <c r="I210" s="805"/>
      <c r="J210" s="804"/>
    </row>
    <row r="211" spans="1:10" ht="16.5" x14ac:dyDescent="0.3">
      <c r="A211" s="659"/>
      <c r="B211" s="746">
        <v>9.0749999999999993</v>
      </c>
      <c r="C211" s="704" t="s">
        <v>799</v>
      </c>
      <c r="D211" s="701" t="s">
        <v>798</v>
      </c>
      <c r="E211" s="701">
        <v>27.58</v>
      </c>
      <c r="F211" s="702">
        <v>13</v>
      </c>
      <c r="G211" s="701">
        <f>E211*F211</f>
        <v>358.53999999999996</v>
      </c>
      <c r="H211" s="701">
        <f>G211*1.13</f>
        <v>405.15019999999993</v>
      </c>
      <c r="I211" s="700">
        <f>'[1]Frozen Pivot'!B295</f>
        <v>0</v>
      </c>
      <c r="J211" s="700">
        <v>336.8</v>
      </c>
    </row>
    <row r="212" spans="1:10" ht="16.5" x14ac:dyDescent="0.3">
      <c r="A212" s="658"/>
      <c r="B212" s="751">
        <v>9.0760000000000005</v>
      </c>
      <c r="C212" s="803" t="s">
        <v>797</v>
      </c>
      <c r="D212" s="724" t="s">
        <v>796</v>
      </c>
      <c r="E212" s="724">
        <v>22.16</v>
      </c>
      <c r="F212" s="725">
        <v>2</v>
      </c>
      <c r="G212" s="724">
        <f>E212*F212</f>
        <v>44.32</v>
      </c>
      <c r="H212" s="724">
        <f>G212*1.13</f>
        <v>50.081599999999995</v>
      </c>
      <c r="I212" s="700">
        <f>'[1]Frozen Pivot'!B296</f>
        <v>0</v>
      </c>
      <c r="J212" s="700">
        <v>0</v>
      </c>
    </row>
    <row r="213" spans="1:10" ht="16.5" x14ac:dyDescent="0.3">
      <c r="A213" s="659"/>
      <c r="B213" s="746">
        <v>9.077</v>
      </c>
      <c r="C213" s="802" t="s">
        <v>795</v>
      </c>
      <c r="D213" s="701" t="s">
        <v>794</v>
      </c>
      <c r="E213" s="701">
        <v>30</v>
      </c>
      <c r="F213" s="702">
        <v>1</v>
      </c>
      <c r="G213" s="701">
        <f>E213*F213</f>
        <v>30</v>
      </c>
      <c r="H213" s="701">
        <f>G213*1.13</f>
        <v>33.9</v>
      </c>
      <c r="I213" s="700">
        <f>'[1]Frozen Pivot'!B297</f>
        <v>0</v>
      </c>
      <c r="J213" s="700">
        <v>0</v>
      </c>
    </row>
    <row r="214" spans="1:10" ht="16.5" x14ac:dyDescent="0.3">
      <c r="A214" s="659"/>
      <c r="B214" s="751">
        <v>9.0779999999999994</v>
      </c>
      <c r="C214" s="801" t="s">
        <v>793</v>
      </c>
      <c r="D214" s="724" t="s">
        <v>792</v>
      </c>
      <c r="E214" s="724">
        <v>15</v>
      </c>
      <c r="F214" s="725">
        <v>1</v>
      </c>
      <c r="G214" s="724">
        <f>E214*F214</f>
        <v>15</v>
      </c>
      <c r="H214" s="724">
        <f>G214*1.13</f>
        <v>16.95</v>
      </c>
      <c r="I214" s="700">
        <f>'[1]Frozen Pivot'!B298</f>
        <v>0</v>
      </c>
      <c r="J214" s="700">
        <v>0</v>
      </c>
    </row>
    <row r="215" spans="1:10" ht="16.5" x14ac:dyDescent="0.3">
      <c r="A215" s="659"/>
      <c r="B215" s="746">
        <v>9.0790000000000006</v>
      </c>
      <c r="C215" s="800" t="s">
        <v>279</v>
      </c>
      <c r="D215" s="688" t="s">
        <v>791</v>
      </c>
      <c r="E215" s="688">
        <v>100</v>
      </c>
      <c r="F215" s="689">
        <v>1</v>
      </c>
      <c r="G215" s="688">
        <f>E215*F215</f>
        <v>100</v>
      </c>
      <c r="H215" s="688">
        <f>G215*1.13</f>
        <v>112.99999999999999</v>
      </c>
      <c r="I215" s="700">
        <f>'[1]Frozen Pivot'!B299</f>
        <v>0</v>
      </c>
      <c r="J215" s="700">
        <v>0</v>
      </c>
    </row>
    <row r="216" spans="1:10" s="718" customFormat="1" ht="16.5" x14ac:dyDescent="0.3">
      <c r="A216" s="798"/>
      <c r="B216" s="751">
        <v>9.0800000000000107</v>
      </c>
      <c r="C216" s="796" t="s">
        <v>790</v>
      </c>
      <c r="D216" s="736" t="s">
        <v>788</v>
      </c>
      <c r="E216" s="736">
        <v>178.35</v>
      </c>
      <c r="F216" s="737">
        <v>1</v>
      </c>
      <c r="G216" s="736">
        <f>E216*F216</f>
        <v>178.35</v>
      </c>
      <c r="H216" s="736">
        <f>G216*1.13</f>
        <v>201.53549999999998</v>
      </c>
      <c r="I216" s="700">
        <f>'[1]Frozen Pivot'!B300</f>
        <v>0</v>
      </c>
      <c r="J216" s="700">
        <v>0</v>
      </c>
    </row>
    <row r="217" spans="1:10" ht="16.5" x14ac:dyDescent="0.3">
      <c r="A217" s="742"/>
      <c r="B217" s="746">
        <v>9.0810000000000102</v>
      </c>
      <c r="C217" s="800" t="s">
        <v>789</v>
      </c>
      <c r="D217" s="692" t="s">
        <v>788</v>
      </c>
      <c r="E217" s="799">
        <v>0.3</v>
      </c>
      <c r="F217" s="692">
        <v>500</v>
      </c>
      <c r="G217" s="799">
        <f>E217*F217</f>
        <v>150</v>
      </c>
      <c r="H217" s="688">
        <f>G217*1.13</f>
        <v>169.49999999999997</v>
      </c>
      <c r="I217" s="700">
        <f>'[1]Frozen Pivot'!B301</f>
        <v>0</v>
      </c>
      <c r="J217" s="700">
        <v>0</v>
      </c>
    </row>
    <row r="218" spans="1:10" s="718" customFormat="1" ht="16.5" x14ac:dyDescent="0.3">
      <c r="A218" s="798"/>
      <c r="B218" s="797"/>
      <c r="C218" s="796"/>
      <c r="D218" s="739"/>
      <c r="E218" s="795"/>
      <c r="F218" s="739"/>
      <c r="G218" s="795"/>
      <c r="H218" s="736"/>
      <c r="I218" s="735"/>
      <c r="J218" s="735"/>
    </row>
    <row r="219" spans="1:10" ht="16.5" x14ac:dyDescent="0.3">
      <c r="A219" s="659"/>
      <c r="B219" s="794" t="s">
        <v>283</v>
      </c>
      <c r="C219" s="733"/>
      <c r="D219" s="680"/>
      <c r="E219" s="680"/>
      <c r="F219" s="716"/>
      <c r="G219" s="680"/>
      <c r="H219" s="680">
        <f>SUM(H211:H217)</f>
        <v>990.11729999999977</v>
      </c>
      <c r="I219" s="679">
        <f>SUM(I211:I217)</f>
        <v>0</v>
      </c>
      <c r="J219" s="679">
        <f>SUM(J211:J217)</f>
        <v>336.8</v>
      </c>
    </row>
    <row r="220" spans="1:10" ht="16.5" x14ac:dyDescent="0.3">
      <c r="A220" s="658"/>
      <c r="B220" s="658"/>
      <c r="C220" s="742"/>
      <c r="D220" s="655"/>
      <c r="E220" s="655"/>
      <c r="F220" s="728"/>
      <c r="G220" s="655"/>
      <c r="H220" s="655"/>
      <c r="I220" s="654"/>
      <c r="J220" s="654"/>
    </row>
    <row r="221" spans="1:10" ht="16.5" x14ac:dyDescent="0.3">
      <c r="A221" s="686"/>
      <c r="B221" s="685" t="s">
        <v>787</v>
      </c>
      <c r="C221" s="731"/>
      <c r="D221" s="730"/>
      <c r="E221" s="680"/>
      <c r="F221" s="716"/>
      <c r="G221" s="680"/>
      <c r="H221" s="680">
        <f>H219+H208+H199+H192+H180+H174+H160+H155</f>
        <v>5361.6373000000003</v>
      </c>
      <c r="I221" s="679" t="e">
        <f>I155+I160+#REF!+I180+I192+#REF!+I208+I219</f>
        <v>#REF!</v>
      </c>
      <c r="J221" s="679">
        <f>J219+J208+J199+J192+J180+J174+J160+J155</f>
        <v>2778.2999999999997</v>
      </c>
    </row>
    <row r="222" spans="1:10" ht="16.5" x14ac:dyDescent="0.3">
      <c r="A222" s="686"/>
      <c r="B222" s="658"/>
      <c r="C222" s="729"/>
      <c r="D222" s="656"/>
      <c r="E222" s="655"/>
      <c r="F222" s="728"/>
      <c r="G222" s="655"/>
      <c r="H222" s="655"/>
      <c r="I222" s="756"/>
      <c r="J222" s="756"/>
    </row>
    <row r="223" spans="1:10" ht="16.5" x14ac:dyDescent="0.3">
      <c r="A223" s="659" t="s">
        <v>786</v>
      </c>
      <c r="B223" s="658"/>
      <c r="C223" s="658"/>
      <c r="D223" s="724"/>
      <c r="E223" s="724"/>
      <c r="F223" s="725"/>
      <c r="G223" s="724"/>
      <c r="H223" s="724"/>
      <c r="I223" s="693"/>
      <c r="J223" s="693"/>
    </row>
    <row r="224" spans="1:10" ht="16.5" x14ac:dyDescent="0.3">
      <c r="A224" s="741" t="s">
        <v>785</v>
      </c>
      <c r="B224" s="777"/>
      <c r="C224" s="777"/>
      <c r="D224" s="695"/>
      <c r="E224" s="695"/>
      <c r="F224" s="696"/>
      <c r="G224" s="695"/>
      <c r="H224" s="695"/>
      <c r="I224" s="785"/>
      <c r="J224" s="785"/>
    </row>
    <row r="225" spans="1:12" ht="16.5" x14ac:dyDescent="0.3">
      <c r="A225" s="699"/>
      <c r="B225" s="792">
        <v>9.0820000000000007</v>
      </c>
      <c r="C225" s="791" t="s">
        <v>784</v>
      </c>
      <c r="D225" s="789" t="s">
        <v>783</v>
      </c>
      <c r="E225" s="789">
        <v>20</v>
      </c>
      <c r="F225" s="790">
        <v>10</v>
      </c>
      <c r="G225" s="789">
        <f>E225*F225</f>
        <v>200</v>
      </c>
      <c r="H225" s="789">
        <f>G225*1.13</f>
        <v>225.99999999999997</v>
      </c>
      <c r="I225" s="788">
        <f>'[1]Frozen Pivot'!B302</f>
        <v>403</v>
      </c>
      <c r="J225" s="788">
        <v>195.85</v>
      </c>
    </row>
    <row r="226" spans="1:12" ht="16.5" x14ac:dyDescent="0.3">
      <c r="A226" s="699"/>
      <c r="B226" s="698">
        <v>9.0830000000000002</v>
      </c>
      <c r="C226" s="697" t="s">
        <v>782</v>
      </c>
      <c r="D226" s="695" t="s">
        <v>781</v>
      </c>
      <c r="E226" s="695">
        <v>3</v>
      </c>
      <c r="F226" s="696">
        <v>10</v>
      </c>
      <c r="G226" s="695">
        <f>E226*F226</f>
        <v>30</v>
      </c>
      <c r="H226" s="695">
        <f>G226*1.13</f>
        <v>33.9</v>
      </c>
      <c r="I226" s="788">
        <f>'[1]Frozen Pivot'!B303</f>
        <v>0</v>
      </c>
      <c r="J226" s="788">
        <v>195.85</v>
      </c>
      <c r="K226" s="793"/>
      <c r="L226" s="793"/>
    </row>
    <row r="227" spans="1:12" ht="16.5" x14ac:dyDescent="0.3">
      <c r="A227" s="699"/>
      <c r="B227" s="792">
        <v>9.0839999999999996</v>
      </c>
      <c r="C227" s="791" t="s">
        <v>780</v>
      </c>
      <c r="D227" s="789" t="s">
        <v>779</v>
      </c>
      <c r="E227" s="789">
        <v>5</v>
      </c>
      <c r="F227" s="790">
        <v>2</v>
      </c>
      <c r="G227" s="789">
        <f>E227*F227</f>
        <v>10</v>
      </c>
      <c r="H227" s="789">
        <f>G227*1.13</f>
        <v>11.299999999999999</v>
      </c>
      <c r="I227" s="788">
        <f>'[1]Frozen Pivot'!B304</f>
        <v>0</v>
      </c>
      <c r="J227" s="788">
        <v>11.3</v>
      </c>
    </row>
    <row r="228" spans="1:12" ht="16.5" x14ac:dyDescent="0.3">
      <c r="A228" s="699"/>
      <c r="B228" s="698">
        <v>9.0850000000000009</v>
      </c>
      <c r="C228" s="697" t="s">
        <v>778</v>
      </c>
      <c r="D228" s="695" t="s">
        <v>777</v>
      </c>
      <c r="E228" s="695">
        <v>10</v>
      </c>
      <c r="F228" s="696">
        <v>1</v>
      </c>
      <c r="G228" s="695">
        <v>10</v>
      </c>
      <c r="H228" s="695">
        <f>G228*1.13</f>
        <v>11.299999999999999</v>
      </c>
      <c r="I228" s="788">
        <f>'[1]Frozen Pivot'!B305</f>
        <v>14.67</v>
      </c>
      <c r="J228" s="788">
        <v>14.67</v>
      </c>
    </row>
    <row r="229" spans="1:12" ht="16.5" x14ac:dyDescent="0.3">
      <c r="A229" s="699"/>
      <c r="B229" s="792">
        <v>9.0860000000000003</v>
      </c>
      <c r="C229" s="791" t="s">
        <v>776</v>
      </c>
      <c r="D229" s="789" t="s">
        <v>775</v>
      </c>
      <c r="E229" s="789">
        <v>20</v>
      </c>
      <c r="F229" s="790">
        <v>1</v>
      </c>
      <c r="G229" s="789">
        <f>E229*F229</f>
        <v>20</v>
      </c>
      <c r="H229" s="789">
        <f>G229*1.13</f>
        <v>22.599999999999998</v>
      </c>
      <c r="I229" s="788">
        <f>'[1]Frozen Pivot'!B306</f>
        <v>0</v>
      </c>
      <c r="J229" s="788">
        <v>0</v>
      </c>
    </row>
    <row r="230" spans="1:12" ht="16.5" x14ac:dyDescent="0.3">
      <c r="A230" s="699"/>
      <c r="B230" s="698">
        <v>9.0869999999999997</v>
      </c>
      <c r="C230" s="697" t="s">
        <v>774</v>
      </c>
      <c r="D230" s="695" t="s">
        <v>773</v>
      </c>
      <c r="E230" s="695">
        <v>5</v>
      </c>
      <c r="F230" s="696">
        <v>3</v>
      </c>
      <c r="G230" s="695">
        <f>E230*F230</f>
        <v>15</v>
      </c>
      <c r="H230" s="695">
        <f>G230*1.13</f>
        <v>16.95</v>
      </c>
      <c r="I230" s="788">
        <f>'[1]Frozen Pivot'!B307</f>
        <v>0</v>
      </c>
      <c r="J230" s="788">
        <v>0</v>
      </c>
    </row>
    <row r="231" spans="1:12" s="718" customFormat="1" ht="16.5" x14ac:dyDescent="0.3">
      <c r="A231" s="784"/>
      <c r="B231" s="692"/>
      <c r="C231" s="691"/>
      <c r="D231" s="688"/>
      <c r="E231" s="688"/>
      <c r="F231" s="689"/>
      <c r="G231" s="688"/>
      <c r="H231" s="688"/>
      <c r="I231" s="687"/>
      <c r="J231" s="687"/>
    </row>
    <row r="232" spans="1:12" ht="16.5" x14ac:dyDescent="0.3">
      <c r="A232" s="766"/>
      <c r="B232" s="765" t="s">
        <v>772</v>
      </c>
      <c r="C232" s="764"/>
      <c r="D232" s="762"/>
      <c r="E232" s="762"/>
      <c r="F232" s="763"/>
      <c r="G232" s="762"/>
      <c r="H232" s="762">
        <f>SUM(H225:H230)</f>
        <v>322.05</v>
      </c>
      <c r="I232" s="761">
        <f>SUM(I225:I230)</f>
        <v>417.67</v>
      </c>
      <c r="J232" s="761">
        <f>SUM(J225:J230)</f>
        <v>417.67</v>
      </c>
    </row>
    <row r="233" spans="1:12" ht="16.5" x14ac:dyDescent="0.3">
      <c r="A233" s="783"/>
      <c r="B233" s="787"/>
      <c r="C233" s="781"/>
      <c r="D233" s="779"/>
      <c r="E233" s="779"/>
      <c r="F233" s="780"/>
      <c r="G233" s="779"/>
      <c r="H233" s="779"/>
      <c r="I233" s="786"/>
      <c r="J233" s="786"/>
    </row>
    <row r="234" spans="1:12" ht="16.5" x14ac:dyDescent="0.3">
      <c r="A234" s="741" t="s">
        <v>771</v>
      </c>
      <c r="B234" s="777"/>
      <c r="C234" s="777"/>
      <c r="D234" s="695"/>
      <c r="E234" s="695"/>
      <c r="F234" s="696"/>
      <c r="G234" s="695"/>
      <c r="H234" s="695"/>
      <c r="I234" s="785"/>
      <c r="J234" s="785"/>
    </row>
    <row r="235" spans="1:12" ht="16.5" x14ac:dyDescent="0.3">
      <c r="A235" s="766"/>
      <c r="B235" s="692">
        <v>9.0879999999999992</v>
      </c>
      <c r="C235" s="691" t="s">
        <v>770</v>
      </c>
      <c r="D235" s="688" t="s">
        <v>769</v>
      </c>
      <c r="E235" s="688">
        <v>1</v>
      </c>
      <c r="F235" s="689">
        <v>15</v>
      </c>
      <c r="G235" s="688">
        <f>E235*F235</f>
        <v>15</v>
      </c>
      <c r="H235" s="688">
        <f>G235*1.13</f>
        <v>16.95</v>
      </c>
      <c r="I235" s="687">
        <f>'[1]Frozen Pivot'!B308</f>
        <v>0</v>
      </c>
      <c r="J235" s="687">
        <v>0</v>
      </c>
    </row>
    <row r="236" spans="1:12" s="718" customFormat="1" ht="16.5" x14ac:dyDescent="0.3">
      <c r="A236" s="767"/>
      <c r="B236" s="739">
        <v>9.0890000000000004</v>
      </c>
      <c r="C236" s="738" t="s">
        <v>768</v>
      </c>
      <c r="D236" s="736" t="s">
        <v>767</v>
      </c>
      <c r="E236" s="736">
        <v>2</v>
      </c>
      <c r="F236" s="737">
        <v>10</v>
      </c>
      <c r="G236" s="736">
        <f>E236*F236</f>
        <v>20</v>
      </c>
      <c r="H236" s="736">
        <f>G236*1.13</f>
        <v>22.599999999999998</v>
      </c>
      <c r="I236" s="687">
        <f>'[1]Frozen Pivot'!B309</f>
        <v>0</v>
      </c>
      <c r="J236" s="687">
        <v>0</v>
      </c>
    </row>
    <row r="237" spans="1:12" ht="16.5" x14ac:dyDescent="0.3">
      <c r="A237" s="766"/>
      <c r="B237" s="692">
        <v>9.09</v>
      </c>
      <c r="C237" s="691" t="s">
        <v>352</v>
      </c>
      <c r="D237" s="688" t="s">
        <v>766</v>
      </c>
      <c r="E237" s="688">
        <v>7</v>
      </c>
      <c r="F237" s="689">
        <v>13</v>
      </c>
      <c r="G237" s="688">
        <f>E237*F237</f>
        <v>91</v>
      </c>
      <c r="H237" s="688">
        <f>G237*1.13</f>
        <v>102.82999999999998</v>
      </c>
      <c r="I237" s="687">
        <f>'[1]Frozen Pivot'!B310</f>
        <v>0</v>
      </c>
      <c r="J237" s="687">
        <v>0</v>
      </c>
    </row>
    <row r="238" spans="1:12" s="718" customFormat="1" ht="16.5" x14ac:dyDescent="0.3">
      <c r="A238" s="784"/>
      <c r="B238" s="739">
        <v>9.0909999999999993</v>
      </c>
      <c r="C238" s="738" t="s">
        <v>765</v>
      </c>
      <c r="D238" s="736" t="s">
        <v>764</v>
      </c>
      <c r="E238" s="736">
        <v>10</v>
      </c>
      <c r="F238" s="737">
        <v>1</v>
      </c>
      <c r="G238" s="736">
        <f>E238*F238</f>
        <v>10</v>
      </c>
      <c r="H238" s="736">
        <f>G238*1.13</f>
        <v>11.299999999999999</v>
      </c>
      <c r="I238" s="687">
        <f>'[1]Frozen Pivot'!B311</f>
        <v>0</v>
      </c>
      <c r="J238" s="687">
        <v>0</v>
      </c>
    </row>
    <row r="239" spans="1:12" ht="16.5" x14ac:dyDescent="0.3">
      <c r="A239" s="699"/>
      <c r="B239" s="692">
        <v>9.0920000000000005</v>
      </c>
      <c r="C239" s="691" t="s">
        <v>240</v>
      </c>
      <c r="D239" s="688" t="s">
        <v>763</v>
      </c>
      <c r="E239" s="688">
        <v>27.85</v>
      </c>
      <c r="F239" s="689">
        <v>12</v>
      </c>
      <c r="G239" s="688">
        <f>E239*F239</f>
        <v>334.20000000000005</v>
      </c>
      <c r="H239" s="688">
        <f>G239*1.13</f>
        <v>377.64600000000002</v>
      </c>
      <c r="I239" s="687">
        <f>'[1]Frozen Pivot'!B312</f>
        <v>353.78</v>
      </c>
      <c r="J239" s="687">
        <v>353.78</v>
      </c>
    </row>
    <row r="240" spans="1:12" s="718" customFormat="1" ht="16.5" x14ac:dyDescent="0.3">
      <c r="A240" s="784"/>
      <c r="B240" s="739"/>
      <c r="C240" s="738"/>
      <c r="D240" s="736"/>
      <c r="E240" s="736"/>
      <c r="F240" s="737"/>
      <c r="G240" s="736"/>
      <c r="H240" s="736"/>
      <c r="I240" s="735"/>
      <c r="J240" s="735"/>
    </row>
    <row r="241" spans="1:10" ht="16.5" x14ac:dyDescent="0.3">
      <c r="A241" s="766"/>
      <c r="B241" s="765" t="s">
        <v>762</v>
      </c>
      <c r="C241" s="764"/>
      <c r="D241" s="762"/>
      <c r="E241" s="762"/>
      <c r="F241" s="763"/>
      <c r="G241" s="762"/>
      <c r="H241" s="762">
        <f>SUM(H235:H239)</f>
        <v>531.32600000000002</v>
      </c>
      <c r="I241" s="761">
        <f>SUM(I235:I239)</f>
        <v>353.78</v>
      </c>
      <c r="J241" s="761">
        <f>SUM(J235:J239)</f>
        <v>353.78</v>
      </c>
    </row>
    <row r="242" spans="1:10" ht="16.5" x14ac:dyDescent="0.3">
      <c r="A242" s="783"/>
      <c r="B242" s="782"/>
      <c r="C242" s="781"/>
      <c r="D242" s="779"/>
      <c r="E242" s="779"/>
      <c r="F242" s="780"/>
      <c r="G242" s="779"/>
      <c r="H242" s="779"/>
      <c r="I242" s="778"/>
      <c r="J242" s="778"/>
    </row>
    <row r="243" spans="1:10" ht="16.5" x14ac:dyDescent="0.3">
      <c r="A243" s="741" t="s">
        <v>761</v>
      </c>
      <c r="B243" s="777"/>
      <c r="C243" s="777"/>
      <c r="D243" s="695"/>
      <c r="E243" s="695"/>
      <c r="F243" s="696"/>
      <c r="G243" s="695"/>
      <c r="H243" s="695"/>
      <c r="I243" s="776"/>
      <c r="J243" s="776"/>
    </row>
    <row r="244" spans="1:10" ht="16.5" x14ac:dyDescent="0.3">
      <c r="A244" s="766" t="s">
        <v>23</v>
      </c>
      <c r="B244" s="769">
        <v>9.093</v>
      </c>
      <c r="C244" s="775" t="s">
        <v>760</v>
      </c>
      <c r="D244" s="773" t="s">
        <v>759</v>
      </c>
      <c r="E244" s="773">
        <v>150</v>
      </c>
      <c r="F244" s="774">
        <v>3</v>
      </c>
      <c r="G244" s="773">
        <f>E244*F244</f>
        <v>450</v>
      </c>
      <c r="H244" s="773">
        <f>G244</f>
        <v>450</v>
      </c>
      <c r="I244" s="768">
        <f>'[1]Frozen Pivot'!B313</f>
        <v>150</v>
      </c>
      <c r="J244" s="768">
        <v>150</v>
      </c>
    </row>
    <row r="245" spans="1:10" ht="16.5" x14ac:dyDescent="0.3">
      <c r="A245" s="766"/>
      <c r="B245" s="698">
        <v>9.0939999999999994</v>
      </c>
      <c r="C245" s="772" t="s">
        <v>758</v>
      </c>
      <c r="D245" s="770"/>
      <c r="E245" s="770">
        <v>300</v>
      </c>
      <c r="F245" s="771">
        <v>1</v>
      </c>
      <c r="G245" s="770">
        <f>F245*E245</f>
        <v>300</v>
      </c>
      <c r="H245" s="770">
        <f>G245*1.13</f>
        <v>338.99999999999994</v>
      </c>
      <c r="I245" s="768">
        <f>'[1]Frozen Pivot'!B314</f>
        <v>0</v>
      </c>
      <c r="J245" s="768">
        <v>0</v>
      </c>
    </row>
    <row r="246" spans="1:10" ht="16.5" x14ac:dyDescent="0.3">
      <c r="A246" s="766"/>
      <c r="B246" s="769">
        <v>9.0950000000000006</v>
      </c>
      <c r="C246" s="704" t="s">
        <v>757</v>
      </c>
      <c r="D246" s="701" t="s">
        <v>756</v>
      </c>
      <c r="E246" s="701">
        <v>30</v>
      </c>
      <c r="F246" s="702">
        <v>3</v>
      </c>
      <c r="G246" s="701">
        <f>E246*F246*2</f>
        <v>180</v>
      </c>
      <c r="H246" s="701">
        <f>G246*1.13</f>
        <v>203.39999999999998</v>
      </c>
      <c r="I246" s="768">
        <f>'[1]Frozen Pivot'!B315</f>
        <v>0</v>
      </c>
      <c r="J246" s="768">
        <v>0</v>
      </c>
    </row>
    <row r="247" spans="1:10" ht="16.5" x14ac:dyDescent="0.3">
      <c r="A247" s="766"/>
      <c r="B247" s="698">
        <v>9.0960000000000001</v>
      </c>
      <c r="C247" s="772" t="s">
        <v>755</v>
      </c>
      <c r="D247" s="770" t="s">
        <v>754</v>
      </c>
      <c r="E247" s="770">
        <v>150</v>
      </c>
      <c r="F247" s="771">
        <v>2</v>
      </c>
      <c r="G247" s="770">
        <f>E247*F247</f>
        <v>300</v>
      </c>
      <c r="H247" s="770">
        <f>G247</f>
        <v>300</v>
      </c>
      <c r="I247" s="768">
        <f>'[1]Frozen Pivot'!B316</f>
        <v>0</v>
      </c>
      <c r="J247" s="768">
        <v>0</v>
      </c>
    </row>
    <row r="248" spans="1:10" ht="16.5" x14ac:dyDescent="0.3">
      <c r="A248" s="766"/>
      <c r="B248" s="769">
        <v>9.0969999999999995</v>
      </c>
      <c r="C248" s="704" t="s">
        <v>753</v>
      </c>
      <c r="D248" s="701" t="s">
        <v>752</v>
      </c>
      <c r="E248" s="701">
        <v>150</v>
      </c>
      <c r="F248" s="702">
        <v>4</v>
      </c>
      <c r="G248" s="701">
        <f>E248*F248</f>
        <v>600</v>
      </c>
      <c r="H248" s="701">
        <f>1.13*G248</f>
        <v>677.99999999999989</v>
      </c>
      <c r="I248" s="768">
        <f>'[1]Frozen Pivot'!B317</f>
        <v>0</v>
      </c>
      <c r="J248" s="768">
        <v>0</v>
      </c>
    </row>
    <row r="249" spans="1:10" ht="16.5" x14ac:dyDescent="0.3">
      <c r="A249" s="766"/>
      <c r="B249" s="698">
        <v>9.0980000000000008</v>
      </c>
      <c r="C249" s="772" t="s">
        <v>751</v>
      </c>
      <c r="D249" s="770" t="s">
        <v>750</v>
      </c>
      <c r="E249" s="770">
        <v>3000</v>
      </c>
      <c r="F249" s="771">
        <v>1</v>
      </c>
      <c r="G249" s="770">
        <f>F249*E249</f>
        <v>3000</v>
      </c>
      <c r="H249" s="770">
        <f>1.13*G249</f>
        <v>3389.9999999999995</v>
      </c>
      <c r="I249" s="768">
        <f>'[1]Frozen Pivot'!B318</f>
        <v>1886.8600000000001</v>
      </c>
      <c r="J249" s="768">
        <v>1886.8600000000001</v>
      </c>
    </row>
    <row r="250" spans="1:10" ht="16.5" x14ac:dyDescent="0.3">
      <c r="A250" s="766"/>
      <c r="B250" s="769">
        <v>9.0990000000000002</v>
      </c>
      <c r="C250" s="691" t="s">
        <v>749</v>
      </c>
      <c r="D250" s="688" t="s">
        <v>748</v>
      </c>
      <c r="E250" s="688">
        <v>50</v>
      </c>
      <c r="F250" s="689">
        <v>1</v>
      </c>
      <c r="G250" s="688">
        <v>50</v>
      </c>
      <c r="H250" s="688">
        <v>50</v>
      </c>
      <c r="I250" s="768">
        <f>'[1]Frozen Pivot'!B319</f>
        <v>0</v>
      </c>
      <c r="J250" s="768">
        <v>0</v>
      </c>
    </row>
    <row r="251" spans="1:10" s="718" customFormat="1" ht="16.5" x14ac:dyDescent="0.3">
      <c r="A251" s="767"/>
      <c r="B251" s="739"/>
      <c r="C251" s="738"/>
      <c r="D251" s="736"/>
      <c r="E251" s="736"/>
      <c r="F251" s="737"/>
      <c r="G251" s="736"/>
      <c r="H251" s="736"/>
      <c r="I251" s="735"/>
      <c r="J251" s="735"/>
    </row>
    <row r="252" spans="1:10" ht="16.5" x14ac:dyDescent="0.3">
      <c r="A252" s="766"/>
      <c r="B252" s="765" t="s">
        <v>747</v>
      </c>
      <c r="C252" s="764"/>
      <c r="D252" s="762"/>
      <c r="E252" s="762"/>
      <c r="F252" s="763"/>
      <c r="G252" s="762"/>
      <c r="H252" s="762">
        <f>SUM(H244:H250)</f>
        <v>5410.4</v>
      </c>
      <c r="I252" s="761">
        <f>SUM(I244:I250)</f>
        <v>2036.8600000000001</v>
      </c>
      <c r="J252" s="761">
        <f>SUM(J244:J250)</f>
        <v>2036.8600000000001</v>
      </c>
    </row>
    <row r="253" spans="1:10" ht="16.5" x14ac:dyDescent="0.3">
      <c r="A253" s="760"/>
      <c r="B253" s="727"/>
      <c r="C253" s="759"/>
      <c r="D253" s="694"/>
      <c r="E253" s="694"/>
      <c r="F253" s="758"/>
      <c r="G253" s="694"/>
      <c r="H253" s="694"/>
      <c r="I253" s="757"/>
      <c r="J253" s="757"/>
    </row>
    <row r="254" spans="1:10" ht="16.5" x14ac:dyDescent="0.3">
      <c r="A254" s="686"/>
      <c r="B254" s="685" t="s">
        <v>746</v>
      </c>
      <c r="C254" s="731"/>
      <c r="D254" s="730"/>
      <c r="E254" s="680"/>
      <c r="F254" s="716"/>
      <c r="G254" s="680"/>
      <c r="H254" s="680">
        <f>H232+H241+H252</f>
        <v>6263.7759999999998</v>
      </c>
      <c r="I254" s="679"/>
      <c r="J254" s="679">
        <f>J252+J241+J232</f>
        <v>2808.3100000000004</v>
      </c>
    </row>
    <row r="255" spans="1:10" ht="16.5" x14ac:dyDescent="0.3">
      <c r="A255" s="686"/>
      <c r="B255" s="742"/>
      <c r="C255" s="729"/>
      <c r="D255" s="656"/>
      <c r="E255" s="655"/>
      <c r="F255" s="728"/>
      <c r="G255" s="655"/>
      <c r="H255" s="655"/>
      <c r="I255" s="756"/>
      <c r="J255" s="756"/>
    </row>
    <row r="256" spans="1:10" ht="16.5" x14ac:dyDescent="0.3">
      <c r="A256" s="659" t="s">
        <v>745</v>
      </c>
      <c r="B256" s="658"/>
      <c r="C256" s="729"/>
      <c r="D256" s="656"/>
      <c r="E256" s="655"/>
      <c r="F256" s="728"/>
      <c r="G256" s="655"/>
      <c r="H256" s="655"/>
      <c r="I256" s="654"/>
      <c r="J256" s="654"/>
    </row>
    <row r="257" spans="1:10" ht="16.5" x14ac:dyDescent="0.3">
      <c r="A257" s="686"/>
      <c r="B257" s="746">
        <v>9.1</v>
      </c>
      <c r="C257" s="704" t="s">
        <v>744</v>
      </c>
      <c r="D257" s="703" t="s">
        <v>743</v>
      </c>
      <c r="E257" s="701">
        <v>8.99</v>
      </c>
      <c r="F257" s="702">
        <v>35</v>
      </c>
      <c r="G257" s="701">
        <f>E257*F257</f>
        <v>314.65000000000003</v>
      </c>
      <c r="H257" s="701">
        <f>G257*1.13</f>
        <v>355.55450000000002</v>
      </c>
      <c r="I257" s="700">
        <f>'[1]Frozen Pivot'!B320</f>
        <v>355.55</v>
      </c>
      <c r="J257" s="700">
        <v>355.55</v>
      </c>
    </row>
    <row r="258" spans="1:10" ht="16.5" x14ac:dyDescent="0.3">
      <c r="A258" s="686"/>
      <c r="B258" s="751">
        <v>9.1010000000000009</v>
      </c>
      <c r="C258" s="726" t="s">
        <v>742</v>
      </c>
      <c r="D258" s="750" t="s">
        <v>741</v>
      </c>
      <c r="E258" s="724">
        <v>75</v>
      </c>
      <c r="F258" s="725">
        <v>1</v>
      </c>
      <c r="G258" s="724">
        <f>E258*F258</f>
        <v>75</v>
      </c>
      <c r="H258" s="724">
        <f>G258*1.13</f>
        <v>84.749999999999986</v>
      </c>
      <c r="I258" s="700">
        <f>'[1]Frozen Pivot'!B321</f>
        <v>86.5</v>
      </c>
      <c r="J258" s="700">
        <v>86.5</v>
      </c>
    </row>
    <row r="259" spans="1:10" ht="16.5" x14ac:dyDescent="0.3">
      <c r="A259" s="686"/>
      <c r="B259" s="746">
        <v>9.1020000000000003</v>
      </c>
      <c r="C259" s="691" t="s">
        <v>740</v>
      </c>
      <c r="D259" s="690" t="s">
        <v>739</v>
      </c>
      <c r="E259" s="688">
        <v>50</v>
      </c>
      <c r="F259" s="689">
        <v>1</v>
      </c>
      <c r="G259" s="688">
        <f>E259*F259</f>
        <v>50</v>
      </c>
      <c r="H259" s="688">
        <f>G259*1.13</f>
        <v>56.499999999999993</v>
      </c>
      <c r="I259" s="700">
        <f>'[1]Frozen Pivot'!B322</f>
        <v>56.5</v>
      </c>
      <c r="J259" s="700">
        <v>56.5</v>
      </c>
    </row>
    <row r="260" spans="1:10" s="718" customFormat="1" ht="16.5" x14ac:dyDescent="0.3">
      <c r="A260" s="740"/>
      <c r="B260" s="751">
        <v>9.1029999999999998</v>
      </c>
      <c r="C260" s="738" t="s">
        <v>738</v>
      </c>
      <c r="D260" s="752" t="s">
        <v>737</v>
      </c>
      <c r="E260" s="736">
        <v>100</v>
      </c>
      <c r="F260" s="737">
        <v>2</v>
      </c>
      <c r="G260" s="736">
        <f>E260*F260</f>
        <v>200</v>
      </c>
      <c r="H260" s="736">
        <f>G260*1.13</f>
        <v>225.99999999999997</v>
      </c>
      <c r="I260" s="700">
        <f>'[1]Frozen Pivot'!B323</f>
        <v>0</v>
      </c>
      <c r="J260" s="700">
        <v>0</v>
      </c>
    </row>
    <row r="261" spans="1:10" ht="16.5" x14ac:dyDescent="0.3">
      <c r="A261" s="686"/>
      <c r="B261" s="746">
        <v>9.1039999999999992</v>
      </c>
      <c r="C261" s="691" t="s">
        <v>736</v>
      </c>
      <c r="D261" s="690" t="s">
        <v>735</v>
      </c>
      <c r="E261" s="688">
        <v>153</v>
      </c>
      <c r="F261" s="689">
        <v>1</v>
      </c>
      <c r="G261" s="688">
        <f>E261*F261</f>
        <v>153</v>
      </c>
      <c r="H261" s="688">
        <f>G261*1.13</f>
        <v>172.89</v>
      </c>
      <c r="I261" s="700">
        <f>'[1]Frozen Pivot'!B324</f>
        <v>0</v>
      </c>
      <c r="J261" s="700">
        <v>0</v>
      </c>
    </row>
    <row r="262" spans="1:10" s="718" customFormat="1" ht="16.5" x14ac:dyDescent="0.3">
      <c r="A262" s="740"/>
      <c r="B262" s="751">
        <v>9.1050000000000093</v>
      </c>
      <c r="C262" s="738" t="s">
        <v>734</v>
      </c>
      <c r="D262" s="752" t="s">
        <v>733</v>
      </c>
      <c r="E262" s="736">
        <v>240</v>
      </c>
      <c r="F262" s="737">
        <v>1</v>
      </c>
      <c r="G262" s="736">
        <f>E262*F262</f>
        <v>240</v>
      </c>
      <c r="H262" s="736">
        <f>G262*1.13</f>
        <v>271.2</v>
      </c>
      <c r="I262" s="700">
        <f>'[1]Frozen Pivot'!B325</f>
        <v>180.99</v>
      </c>
      <c r="J262" s="700">
        <v>180.99</v>
      </c>
    </row>
    <row r="263" spans="1:10" ht="16.5" x14ac:dyDescent="0.3">
      <c r="A263" s="686"/>
      <c r="B263" s="746">
        <v>9.1060000000000105</v>
      </c>
      <c r="C263" s="691" t="s">
        <v>202</v>
      </c>
      <c r="D263" s="690" t="s">
        <v>732</v>
      </c>
      <c r="E263" s="688">
        <v>30</v>
      </c>
      <c r="F263" s="689">
        <v>1</v>
      </c>
      <c r="G263" s="688">
        <f>E263*F263</f>
        <v>30</v>
      </c>
      <c r="H263" s="688">
        <f>G263*1.13</f>
        <v>33.9</v>
      </c>
      <c r="I263" s="700">
        <f>'[1]Frozen Pivot'!B326</f>
        <v>25.87</v>
      </c>
      <c r="J263" s="700">
        <v>25.87</v>
      </c>
    </row>
    <row r="264" spans="1:10" s="718" customFormat="1" ht="16.5" x14ac:dyDescent="0.3">
      <c r="A264" s="740"/>
      <c r="B264" s="739"/>
      <c r="C264" s="738"/>
      <c r="D264" s="752"/>
      <c r="E264" s="736"/>
      <c r="F264" s="737"/>
      <c r="G264" s="736"/>
      <c r="H264" s="736"/>
      <c r="I264" s="735"/>
      <c r="J264" s="735"/>
    </row>
    <row r="265" spans="1:10" ht="16.5" x14ac:dyDescent="0.3">
      <c r="A265" s="686"/>
      <c r="B265" s="685" t="s">
        <v>731</v>
      </c>
      <c r="C265" s="731"/>
      <c r="D265" s="730"/>
      <c r="E265" s="680"/>
      <c r="F265" s="716"/>
      <c r="G265" s="680"/>
      <c r="H265" s="680">
        <f>SUM(H257:H263)</f>
        <v>1200.7945</v>
      </c>
      <c r="I265" s="679">
        <f>SUM(I257:I263)</f>
        <v>705.41</v>
      </c>
      <c r="J265" s="679">
        <f>SUM(J257:J263)</f>
        <v>705.41</v>
      </c>
    </row>
    <row r="266" spans="1:10" x14ac:dyDescent="0.25">
      <c r="A266" s="674"/>
      <c r="B266" s="755"/>
      <c r="C266" s="755"/>
      <c r="D266" s="755"/>
      <c r="E266" s="755"/>
      <c r="F266" s="755"/>
      <c r="G266" s="755"/>
      <c r="H266" s="755"/>
      <c r="I266" s="754"/>
      <c r="J266" s="754"/>
    </row>
    <row r="267" spans="1:10" ht="16.5" x14ac:dyDescent="0.3">
      <c r="A267" s="659" t="s">
        <v>730</v>
      </c>
      <c r="B267" s="658"/>
      <c r="C267" s="742"/>
      <c r="D267" s="655"/>
      <c r="E267" s="655"/>
      <c r="F267" s="728"/>
      <c r="G267" s="655"/>
      <c r="H267" s="655"/>
      <c r="I267" s="654"/>
      <c r="J267" s="654"/>
    </row>
    <row r="268" spans="1:10" ht="16.5" x14ac:dyDescent="0.3">
      <c r="A268" s="741" t="s">
        <v>729</v>
      </c>
      <c r="B268" s="658"/>
      <c r="C268" s="658"/>
      <c r="D268" s="724"/>
      <c r="E268" s="724"/>
      <c r="F268" s="725"/>
      <c r="G268" s="724"/>
      <c r="H268" s="724"/>
      <c r="I268" s="693"/>
      <c r="J268" s="693"/>
    </row>
    <row r="269" spans="1:10" ht="16.5" x14ac:dyDescent="0.3">
      <c r="A269" s="743"/>
      <c r="B269" s="722">
        <v>9.1069999999999993</v>
      </c>
      <c r="C269" s="749" t="s">
        <v>592</v>
      </c>
      <c r="D269" s="701" t="s">
        <v>728</v>
      </c>
      <c r="E269" s="701">
        <v>180</v>
      </c>
      <c r="F269" s="702">
        <v>1</v>
      </c>
      <c r="G269" s="701">
        <f>E269*F269</f>
        <v>180</v>
      </c>
      <c r="H269" s="701">
        <f>G269*1.13</f>
        <v>203.39999999999998</v>
      </c>
      <c r="I269" s="700">
        <f>'[1]Frozen Pivot'!B327</f>
        <v>0</v>
      </c>
      <c r="J269" s="700"/>
    </row>
    <row r="270" spans="1:10" s="718" customFormat="1" ht="16.5" x14ac:dyDescent="0.3">
      <c r="A270" s="740"/>
      <c r="B270" s="739"/>
      <c r="C270" s="753"/>
      <c r="D270" s="752"/>
      <c r="E270" s="736"/>
      <c r="F270" s="737"/>
      <c r="G270" s="736"/>
      <c r="H270" s="736"/>
      <c r="I270" s="735"/>
      <c r="J270" s="735"/>
    </row>
    <row r="271" spans="1:10" ht="16.5" x14ac:dyDescent="0.3">
      <c r="A271" s="686"/>
      <c r="B271" s="734" t="s">
        <v>727</v>
      </c>
      <c r="C271" s="733"/>
      <c r="D271" s="680"/>
      <c r="E271" s="680"/>
      <c r="F271" s="716"/>
      <c r="G271" s="680"/>
      <c r="H271" s="680">
        <f>SUM(H269:H269)</f>
        <v>203.39999999999998</v>
      </c>
      <c r="I271" s="679">
        <f>SUM(I269:I269)</f>
        <v>0</v>
      </c>
      <c r="J271" s="679">
        <f>SUM(J269:J269)</f>
        <v>0</v>
      </c>
    </row>
    <row r="272" spans="1:10" ht="16.5" x14ac:dyDescent="0.3">
      <c r="A272" s="686"/>
      <c r="B272" s="742"/>
      <c r="C272" s="742"/>
      <c r="D272" s="655"/>
      <c r="E272" s="655"/>
      <c r="F272" s="728"/>
      <c r="G272" s="655"/>
      <c r="H272" s="655"/>
      <c r="I272" s="654"/>
      <c r="J272" s="654"/>
    </row>
    <row r="273" spans="1:10" ht="16.5" x14ac:dyDescent="0.3">
      <c r="A273" s="741" t="s">
        <v>726</v>
      </c>
      <c r="B273" s="658"/>
      <c r="C273" s="658"/>
      <c r="D273" s="724"/>
      <c r="E273" s="724"/>
      <c r="F273" s="725"/>
      <c r="G273" s="724"/>
      <c r="H273" s="724"/>
      <c r="I273" s="693"/>
      <c r="J273" s="693"/>
    </row>
    <row r="274" spans="1:10" ht="16.5" x14ac:dyDescent="0.3">
      <c r="A274" s="743"/>
      <c r="B274" s="746">
        <v>9.1080000000000005</v>
      </c>
      <c r="C274" s="749" t="s">
        <v>725</v>
      </c>
      <c r="D274" s="701" t="s">
        <v>710</v>
      </c>
      <c r="E274" s="701">
        <v>2</v>
      </c>
      <c r="F274" s="702">
        <v>15</v>
      </c>
      <c r="G274" s="701">
        <f>E274*F274</f>
        <v>30</v>
      </c>
      <c r="H274" s="701">
        <f>G274*1.13</f>
        <v>33.9</v>
      </c>
      <c r="I274" s="700">
        <f>'[1]Frozen Pivot'!B328</f>
        <v>30.79</v>
      </c>
      <c r="J274" s="700">
        <v>30.79</v>
      </c>
    </row>
    <row r="275" spans="1:10" ht="16.5" x14ac:dyDescent="0.3">
      <c r="A275" s="743"/>
      <c r="B275" s="751">
        <v>9.109</v>
      </c>
      <c r="C275" s="748" t="s">
        <v>721</v>
      </c>
      <c r="D275" s="750" t="s">
        <v>710</v>
      </c>
      <c r="E275" s="724">
        <v>1</v>
      </c>
      <c r="F275" s="725">
        <v>5</v>
      </c>
      <c r="G275" s="724">
        <f>E275*F275</f>
        <v>5</v>
      </c>
      <c r="H275" s="724">
        <f>G275*1.13</f>
        <v>5.6499999999999995</v>
      </c>
      <c r="I275" s="700">
        <f>'[1]Frozen Pivot'!B329</f>
        <v>0</v>
      </c>
      <c r="J275" s="700">
        <v>0</v>
      </c>
    </row>
    <row r="276" spans="1:10" ht="16.5" x14ac:dyDescent="0.3">
      <c r="A276" s="743"/>
      <c r="B276" s="746">
        <v>9.11</v>
      </c>
      <c r="C276" s="749" t="s">
        <v>720</v>
      </c>
      <c r="D276" s="703" t="s">
        <v>710</v>
      </c>
      <c r="E276" s="701">
        <v>2</v>
      </c>
      <c r="F276" s="702">
        <v>10</v>
      </c>
      <c r="G276" s="701">
        <f>E276*F276</f>
        <v>20</v>
      </c>
      <c r="H276" s="701">
        <f>G276*1.13</f>
        <v>22.599999999999998</v>
      </c>
      <c r="I276" s="700">
        <f>'[1]Frozen Pivot'!B330</f>
        <v>4.5199999999999996</v>
      </c>
      <c r="J276" s="700">
        <v>4.5199999999999996</v>
      </c>
    </row>
    <row r="277" spans="1:10" ht="16.5" x14ac:dyDescent="0.3">
      <c r="A277" s="743"/>
      <c r="B277" s="727"/>
      <c r="C277" s="748"/>
      <c r="D277" s="750"/>
      <c r="E277" s="724"/>
      <c r="F277" s="725"/>
      <c r="G277" s="724"/>
      <c r="H277" s="724"/>
      <c r="I277" s="693"/>
      <c r="J277" s="693"/>
    </row>
    <row r="278" spans="1:10" ht="16.5" x14ac:dyDescent="0.3">
      <c r="A278" s="686"/>
      <c r="B278" s="734" t="s">
        <v>724</v>
      </c>
      <c r="C278" s="733"/>
      <c r="D278" s="680"/>
      <c r="E278" s="680"/>
      <c r="F278" s="716"/>
      <c r="G278" s="680"/>
      <c r="H278" s="680">
        <f>SUM(H274:H276)</f>
        <v>62.149999999999991</v>
      </c>
      <c r="I278" s="679">
        <f>SUM(I274:I276)</f>
        <v>35.31</v>
      </c>
      <c r="J278" s="679">
        <f>SUM(J274:J276)</f>
        <v>35.31</v>
      </c>
    </row>
    <row r="279" spans="1:10" ht="16.5" x14ac:dyDescent="0.3">
      <c r="A279" s="686"/>
      <c r="B279" s="742"/>
      <c r="C279" s="742"/>
      <c r="D279" s="655"/>
      <c r="E279" s="655"/>
      <c r="F279" s="728"/>
      <c r="G279" s="655"/>
      <c r="H279" s="655"/>
      <c r="I279" s="654"/>
      <c r="J279" s="654"/>
    </row>
    <row r="280" spans="1:10" ht="16.5" x14ac:dyDescent="0.3">
      <c r="A280" s="741" t="s">
        <v>723</v>
      </c>
      <c r="B280" s="658"/>
      <c r="C280" s="658"/>
      <c r="D280" s="724"/>
      <c r="E280" s="724"/>
      <c r="F280" s="725"/>
      <c r="G280" s="724"/>
      <c r="H280" s="724"/>
      <c r="I280" s="693"/>
      <c r="J280" s="693"/>
    </row>
    <row r="281" spans="1:10" ht="16.5" x14ac:dyDescent="0.3">
      <c r="A281" s="743"/>
      <c r="B281" s="722">
        <v>9.1110000000000007</v>
      </c>
      <c r="C281" s="749" t="s">
        <v>722</v>
      </c>
      <c r="D281" s="701" t="s">
        <v>710</v>
      </c>
      <c r="E281" s="701">
        <v>2</v>
      </c>
      <c r="F281" s="702">
        <v>15</v>
      </c>
      <c r="G281" s="701">
        <f>E281*F281</f>
        <v>30</v>
      </c>
      <c r="H281" s="701">
        <f>G281*1.13</f>
        <v>33.9</v>
      </c>
      <c r="I281" s="700">
        <f>'[1]Frozen Pivot'!B331</f>
        <v>0</v>
      </c>
      <c r="J281" s="693">
        <v>0</v>
      </c>
    </row>
    <row r="282" spans="1:10" ht="16.5" x14ac:dyDescent="0.3">
      <c r="A282" s="743"/>
      <c r="B282" s="727">
        <v>9.1120000000000001</v>
      </c>
      <c r="C282" s="748" t="s">
        <v>721</v>
      </c>
      <c r="D282" s="750" t="s">
        <v>710</v>
      </c>
      <c r="E282" s="724">
        <v>1</v>
      </c>
      <c r="F282" s="725">
        <v>5</v>
      </c>
      <c r="G282" s="724">
        <f>E282*F282</f>
        <v>5</v>
      </c>
      <c r="H282" s="724">
        <f>G282*1.13</f>
        <v>5.6499999999999995</v>
      </c>
      <c r="I282" s="700">
        <f>'[1]Frozen Pivot'!B332</f>
        <v>0</v>
      </c>
      <c r="J282" s="700">
        <v>0</v>
      </c>
    </row>
    <row r="283" spans="1:10" ht="16.5" x14ac:dyDescent="0.3">
      <c r="A283" s="743"/>
      <c r="B283" s="722">
        <v>9.1129999999999995</v>
      </c>
      <c r="C283" s="749" t="s">
        <v>720</v>
      </c>
      <c r="D283" s="703" t="s">
        <v>710</v>
      </c>
      <c r="E283" s="701">
        <v>2</v>
      </c>
      <c r="F283" s="702">
        <v>10</v>
      </c>
      <c r="G283" s="701">
        <f>E283*F283</f>
        <v>20</v>
      </c>
      <c r="H283" s="701">
        <f>G283*1.13</f>
        <v>22.599999999999998</v>
      </c>
      <c r="I283" s="700">
        <f>'[1]Frozen Pivot'!B333</f>
        <v>0</v>
      </c>
      <c r="J283" s="700">
        <v>0</v>
      </c>
    </row>
    <row r="284" spans="1:10" ht="16.5" x14ac:dyDescent="0.3">
      <c r="A284" s="743"/>
      <c r="B284" s="727"/>
      <c r="C284" s="748"/>
      <c r="D284" s="750"/>
      <c r="E284" s="724"/>
      <c r="F284" s="725"/>
      <c r="G284" s="724"/>
      <c r="H284" s="724"/>
      <c r="I284" s="693"/>
      <c r="J284" s="693"/>
    </row>
    <row r="285" spans="1:10" ht="16.5" x14ac:dyDescent="0.3">
      <c r="A285" s="686"/>
      <c r="B285" s="734" t="s">
        <v>719</v>
      </c>
      <c r="C285" s="733"/>
      <c r="D285" s="680"/>
      <c r="E285" s="680"/>
      <c r="F285" s="716"/>
      <c r="G285" s="680"/>
      <c r="H285" s="680">
        <f>SUM(H281:H283)</f>
        <v>62.149999999999991</v>
      </c>
      <c r="I285" s="679">
        <f>SUM(I281:I283)</f>
        <v>0</v>
      </c>
      <c r="J285" s="679">
        <f>SUM(J281:J283)</f>
        <v>0</v>
      </c>
    </row>
    <row r="286" spans="1:10" ht="16.5" x14ac:dyDescent="0.3">
      <c r="A286" s="686"/>
      <c r="B286" s="742"/>
      <c r="C286" s="742"/>
      <c r="D286" s="655"/>
      <c r="E286" s="655"/>
      <c r="F286" s="728"/>
      <c r="G286" s="655"/>
      <c r="H286" s="655"/>
      <c r="I286" s="654"/>
      <c r="J286" s="654"/>
    </row>
    <row r="287" spans="1:10" ht="16.5" x14ac:dyDescent="0.3">
      <c r="A287" s="741" t="s">
        <v>718</v>
      </c>
      <c r="B287" s="658"/>
      <c r="C287" s="658"/>
      <c r="D287" s="724"/>
      <c r="E287" s="724"/>
      <c r="F287" s="725"/>
      <c r="G287" s="724"/>
      <c r="H287" s="724"/>
      <c r="I287" s="693"/>
      <c r="J287" s="693"/>
    </row>
    <row r="288" spans="1:10" ht="16.5" x14ac:dyDescent="0.3">
      <c r="A288" s="743"/>
      <c r="B288" s="722">
        <v>9.1140000000000008</v>
      </c>
      <c r="C288" s="749" t="s">
        <v>717</v>
      </c>
      <c r="D288" s="701" t="s">
        <v>685</v>
      </c>
      <c r="E288" s="701">
        <v>1</v>
      </c>
      <c r="F288" s="702">
        <v>150</v>
      </c>
      <c r="G288" s="701">
        <f>E288*F288</f>
        <v>150</v>
      </c>
      <c r="H288" s="701">
        <f>G288*1.13</f>
        <v>169.49999999999997</v>
      </c>
      <c r="I288" s="700">
        <f>'[1]Frozen Pivot'!B334</f>
        <v>0</v>
      </c>
      <c r="J288" s="700">
        <v>0</v>
      </c>
    </row>
    <row r="289" spans="1:10" ht="16.5" x14ac:dyDescent="0.3">
      <c r="A289" s="743"/>
      <c r="B289" s="727">
        <v>9.1150000000000002</v>
      </c>
      <c r="C289" s="748" t="s">
        <v>716</v>
      </c>
      <c r="D289" s="750" t="s">
        <v>685</v>
      </c>
      <c r="E289" s="724">
        <v>10</v>
      </c>
      <c r="F289" s="725">
        <v>5</v>
      </c>
      <c r="G289" s="724">
        <f>E289*F289</f>
        <v>50</v>
      </c>
      <c r="H289" s="724">
        <f>G289*1.13</f>
        <v>56.499999999999993</v>
      </c>
      <c r="I289" s="700">
        <f>'[1]Frozen Pivot'!B335</f>
        <v>0</v>
      </c>
      <c r="J289" s="700">
        <v>0</v>
      </c>
    </row>
    <row r="290" spans="1:10" ht="16.5" x14ac:dyDescent="0.3">
      <c r="A290" s="743"/>
      <c r="B290" s="722"/>
      <c r="C290" s="749"/>
      <c r="D290" s="703"/>
      <c r="E290" s="701"/>
      <c r="F290" s="702"/>
      <c r="G290" s="701"/>
      <c r="H290" s="701"/>
      <c r="I290" s="700"/>
      <c r="J290" s="700"/>
    </row>
    <row r="291" spans="1:10" ht="16.5" x14ac:dyDescent="0.3">
      <c r="A291" s="686"/>
      <c r="B291" s="734" t="s">
        <v>715</v>
      </c>
      <c r="C291" s="733"/>
      <c r="D291" s="680"/>
      <c r="E291" s="680"/>
      <c r="F291" s="716"/>
      <c r="G291" s="680"/>
      <c r="H291" s="680">
        <f>SUM(H288:H289)</f>
        <v>225.99999999999997</v>
      </c>
      <c r="I291" s="679">
        <f>SUM(I288:I289)</f>
        <v>0</v>
      </c>
      <c r="J291" s="679">
        <f>SUM(J288:J289)</f>
        <v>0</v>
      </c>
    </row>
    <row r="292" spans="1:10" ht="16.5" x14ac:dyDescent="0.3">
      <c r="A292" s="686"/>
      <c r="B292" s="742"/>
      <c r="C292" s="742"/>
      <c r="D292" s="655"/>
      <c r="E292" s="655"/>
      <c r="F292" s="728"/>
      <c r="G292" s="655"/>
      <c r="H292" s="655"/>
      <c r="I292" s="654"/>
      <c r="J292" s="654"/>
    </row>
    <row r="293" spans="1:10" ht="16.5" x14ac:dyDescent="0.3">
      <c r="A293" s="741" t="s">
        <v>714</v>
      </c>
      <c r="B293" s="658"/>
      <c r="C293" s="658"/>
      <c r="D293" s="724"/>
      <c r="E293" s="724"/>
      <c r="F293" s="725"/>
      <c r="G293" s="724"/>
      <c r="H293" s="724"/>
      <c r="I293" s="693"/>
      <c r="J293" s="693"/>
    </row>
    <row r="294" spans="1:10" ht="16.5" x14ac:dyDescent="0.3">
      <c r="A294" s="743"/>
      <c r="B294" s="722">
        <v>9.1159999999999997</v>
      </c>
      <c r="C294" s="749" t="s">
        <v>713</v>
      </c>
      <c r="D294" s="701" t="s">
        <v>685</v>
      </c>
      <c r="E294" s="701">
        <v>0.5</v>
      </c>
      <c r="F294" s="702">
        <v>150</v>
      </c>
      <c r="G294" s="701">
        <f>E294*F294</f>
        <v>75</v>
      </c>
      <c r="H294" s="701">
        <f>G294*1.13</f>
        <v>84.749999999999986</v>
      </c>
      <c r="I294" s="700">
        <f>'[1]Frozen Pivot'!B336</f>
        <v>54.38</v>
      </c>
      <c r="J294" s="700">
        <v>54.38</v>
      </c>
    </row>
    <row r="295" spans="1:10" ht="16.5" x14ac:dyDescent="0.3">
      <c r="A295" s="743"/>
      <c r="B295" s="727">
        <v>9.1170000000000009</v>
      </c>
      <c r="C295" s="748" t="s">
        <v>712</v>
      </c>
      <c r="D295" s="750" t="s">
        <v>685</v>
      </c>
      <c r="E295" s="724">
        <v>6</v>
      </c>
      <c r="F295" s="725">
        <v>5</v>
      </c>
      <c r="G295" s="724">
        <f>E295*F295</f>
        <v>30</v>
      </c>
      <c r="H295" s="724">
        <f>G295*1.13</f>
        <v>33.9</v>
      </c>
      <c r="I295" s="700">
        <f>'[1]Frozen Pivot'!B337</f>
        <v>78.290000000000006</v>
      </c>
      <c r="J295" s="700">
        <v>78.290000000000006</v>
      </c>
    </row>
    <row r="296" spans="1:10" ht="16.5" x14ac:dyDescent="0.3">
      <c r="A296" s="743"/>
      <c r="B296" s="722">
        <v>9.1180000000000003</v>
      </c>
      <c r="C296" s="749" t="s">
        <v>711</v>
      </c>
      <c r="D296" s="703" t="s">
        <v>710</v>
      </c>
      <c r="E296" s="701">
        <v>2</v>
      </c>
      <c r="F296" s="702">
        <v>10</v>
      </c>
      <c r="G296" s="701">
        <f>E296*F296</f>
        <v>20</v>
      </c>
      <c r="H296" s="701">
        <f>G296*1.13</f>
        <v>22.599999999999998</v>
      </c>
      <c r="I296" s="700">
        <f>'[1]Frozen Pivot'!B338</f>
        <v>0</v>
      </c>
      <c r="J296" s="700">
        <v>0</v>
      </c>
    </row>
    <row r="297" spans="1:10" ht="16.5" x14ac:dyDescent="0.3">
      <c r="A297" s="743"/>
      <c r="B297" s="727"/>
      <c r="C297" s="748"/>
      <c r="D297" s="750"/>
      <c r="E297" s="724"/>
      <c r="F297" s="725"/>
      <c r="G297" s="724"/>
      <c r="H297" s="724"/>
      <c r="I297" s="693"/>
      <c r="J297" s="693"/>
    </row>
    <row r="298" spans="1:10" ht="16.5" x14ac:dyDescent="0.3">
      <c r="A298" s="686"/>
      <c r="B298" s="734" t="s">
        <v>709</v>
      </c>
      <c r="C298" s="733"/>
      <c r="D298" s="680"/>
      <c r="E298" s="680"/>
      <c r="F298" s="716"/>
      <c r="G298" s="680"/>
      <c r="H298" s="680">
        <f>SUM(H294:H296)</f>
        <v>141.24999999999997</v>
      </c>
      <c r="I298" s="679">
        <f>SUM(I294:I296)</f>
        <v>132.67000000000002</v>
      </c>
      <c r="J298" s="679">
        <f>SUM(J294:J296)</f>
        <v>132.67000000000002</v>
      </c>
    </row>
    <row r="299" spans="1:10" ht="16.5" x14ac:dyDescent="0.3">
      <c r="A299" s="686"/>
      <c r="B299" s="742"/>
      <c r="C299" s="742"/>
      <c r="D299" s="655"/>
      <c r="E299" s="655"/>
      <c r="F299" s="728"/>
      <c r="G299" s="655"/>
      <c r="H299" s="655"/>
      <c r="I299" s="654"/>
      <c r="J299" s="654"/>
    </row>
    <row r="300" spans="1:10" ht="16.5" x14ac:dyDescent="0.3">
      <c r="A300" s="741" t="s">
        <v>708</v>
      </c>
      <c r="B300" s="658"/>
      <c r="C300" s="658"/>
      <c r="D300" s="724"/>
      <c r="E300" s="724"/>
      <c r="F300" s="725"/>
      <c r="G300" s="724"/>
      <c r="H300" s="724"/>
      <c r="I300" s="693"/>
      <c r="J300" s="693"/>
    </row>
    <row r="301" spans="1:10" ht="16.5" x14ac:dyDescent="0.3">
      <c r="A301" s="743"/>
      <c r="B301" s="722">
        <v>9.1189999999999998</v>
      </c>
      <c r="C301" s="749" t="s">
        <v>707</v>
      </c>
      <c r="D301" s="701" t="s">
        <v>685</v>
      </c>
      <c r="E301" s="701">
        <v>14.97</v>
      </c>
      <c r="F301" s="702">
        <v>2</v>
      </c>
      <c r="G301" s="701">
        <f>E301*F301</f>
        <v>29.94</v>
      </c>
      <c r="H301" s="701">
        <f>G301*1.13</f>
        <v>33.8322</v>
      </c>
      <c r="I301" s="700">
        <f>'[1]Frozen Pivot'!B339</f>
        <v>11.3</v>
      </c>
      <c r="J301" s="700">
        <v>11.3</v>
      </c>
    </row>
    <row r="302" spans="1:10" ht="16.5" x14ac:dyDescent="0.3">
      <c r="A302" s="743"/>
      <c r="B302" s="727"/>
      <c r="C302" s="748"/>
      <c r="D302" s="724"/>
      <c r="E302" s="724"/>
      <c r="F302" s="725"/>
      <c r="G302" s="724"/>
      <c r="H302" s="724"/>
      <c r="I302" s="693"/>
      <c r="J302" s="693"/>
    </row>
    <row r="303" spans="1:10" ht="16.5" x14ac:dyDescent="0.3">
      <c r="A303" s="686"/>
      <c r="B303" s="734" t="s">
        <v>706</v>
      </c>
      <c r="C303" s="733"/>
      <c r="D303" s="680"/>
      <c r="E303" s="680"/>
      <c r="F303" s="716"/>
      <c r="G303" s="680"/>
      <c r="H303" s="680">
        <f>SUM(H301:H301)</f>
        <v>33.8322</v>
      </c>
      <c r="I303" s="679">
        <f>SUM(I301:I301)</f>
        <v>11.3</v>
      </c>
      <c r="J303" s="679">
        <f>SUM(J301:J301)</f>
        <v>11.3</v>
      </c>
    </row>
    <row r="304" spans="1:10" ht="16.5" x14ac:dyDescent="0.3">
      <c r="A304" s="742"/>
      <c r="B304" s="732"/>
      <c r="C304" s="726"/>
      <c r="D304" s="724"/>
      <c r="E304" s="724"/>
      <c r="F304" s="725"/>
      <c r="G304" s="724"/>
      <c r="H304" s="724"/>
      <c r="I304" s="693"/>
      <c r="J304" s="693"/>
    </row>
    <row r="305" spans="1:10" ht="16.5" x14ac:dyDescent="0.3">
      <c r="A305" s="747"/>
      <c r="B305" s="685" t="s">
        <v>705</v>
      </c>
      <c r="C305" s="731"/>
      <c r="D305" s="730"/>
      <c r="E305" s="680"/>
      <c r="F305" s="716"/>
      <c r="G305" s="680"/>
      <c r="H305" s="680">
        <f>(H271+H278+H285+H291+H298+H303)</f>
        <v>728.78219999999988</v>
      </c>
      <c r="I305" s="679">
        <v>-1</v>
      </c>
      <c r="J305" s="679">
        <f>J303+J298+J291+J285+J278+J271</f>
        <v>179.28000000000003</v>
      </c>
    </row>
    <row r="306" spans="1:10" x14ac:dyDescent="0.25">
      <c r="A306" s="720"/>
      <c r="B306" s="720"/>
      <c r="C306" s="720"/>
      <c r="D306" s="720"/>
      <c r="E306" s="720"/>
      <c r="F306" s="720"/>
      <c r="G306" s="720"/>
      <c r="H306" s="720"/>
      <c r="I306" s="720"/>
      <c r="J306" s="719"/>
    </row>
    <row r="307" spans="1:10" ht="16.5" x14ac:dyDescent="0.3">
      <c r="A307" s="659" t="s">
        <v>704</v>
      </c>
      <c r="B307" s="658"/>
      <c r="C307" s="658"/>
      <c r="D307" s="724"/>
      <c r="E307" s="724"/>
      <c r="F307" s="725"/>
      <c r="G307" s="724"/>
      <c r="H307" s="724"/>
      <c r="I307" s="724"/>
      <c r="J307" s="693"/>
    </row>
    <row r="308" spans="1:10" ht="16.5" x14ac:dyDescent="0.3">
      <c r="A308" s="741" t="s">
        <v>703</v>
      </c>
      <c r="B308" s="658"/>
      <c r="C308" s="658"/>
      <c r="D308" s="724"/>
      <c r="E308" s="724"/>
      <c r="F308" s="725"/>
      <c r="G308" s="724"/>
      <c r="H308" s="724"/>
      <c r="I308" s="724"/>
      <c r="J308" s="693"/>
    </row>
    <row r="309" spans="1:10" ht="16.5" x14ac:dyDescent="0.3">
      <c r="A309" s="686"/>
      <c r="B309" s="746">
        <v>9.1199999999999992</v>
      </c>
      <c r="C309" s="722" t="s">
        <v>702</v>
      </c>
      <c r="D309" s="701" t="s">
        <v>701</v>
      </c>
      <c r="E309" s="701">
        <v>700</v>
      </c>
      <c r="F309" s="702">
        <v>1</v>
      </c>
      <c r="G309" s="701">
        <v>700</v>
      </c>
      <c r="H309" s="701">
        <f>G309*1.13</f>
        <v>790.99999999999989</v>
      </c>
      <c r="I309" s="700">
        <f>'[1]Frozen Pivot'!B340</f>
        <v>936.52</v>
      </c>
      <c r="J309" s="700">
        <v>936.52</v>
      </c>
    </row>
    <row r="310" spans="1:10" s="718" customFormat="1" ht="16.5" x14ac:dyDescent="0.3">
      <c r="A310" s="740"/>
      <c r="B310" s="745">
        <v>9.1210000000000004</v>
      </c>
      <c r="C310" s="739" t="s">
        <v>700</v>
      </c>
      <c r="D310" s="736" t="s">
        <v>699</v>
      </c>
      <c r="E310" s="736">
        <v>16</v>
      </c>
      <c r="F310" s="725">
        <v>4</v>
      </c>
      <c r="G310" s="724">
        <f>E310*F310</f>
        <v>64</v>
      </c>
      <c r="H310" s="724">
        <f>G310*1.13</f>
        <v>72.319999999999993</v>
      </c>
      <c r="I310" s="693">
        <f>'[1]Frozen Pivot'!B341</f>
        <v>67.75</v>
      </c>
      <c r="J310" s="693">
        <v>67.75</v>
      </c>
    </row>
    <row r="311" spans="1:10" ht="16.5" x14ac:dyDescent="0.3">
      <c r="A311" s="686"/>
      <c r="B311" s="746">
        <v>9.1219999999999999</v>
      </c>
      <c r="C311" s="691" t="s">
        <v>698</v>
      </c>
      <c r="D311" s="688" t="s">
        <v>697</v>
      </c>
      <c r="E311" s="688">
        <v>150</v>
      </c>
      <c r="F311" s="689">
        <v>1</v>
      </c>
      <c r="G311" s="688">
        <v>150</v>
      </c>
      <c r="H311" s="688">
        <f>G311*1.13</f>
        <v>169.49999999999997</v>
      </c>
      <c r="I311" s="700">
        <f>'[1]Frozen Pivot'!B342</f>
        <v>158.19999999999999</v>
      </c>
      <c r="J311" s="700">
        <v>158.19999999999999</v>
      </c>
    </row>
    <row r="312" spans="1:10" s="718" customFormat="1" ht="16.5" x14ac:dyDescent="0.3">
      <c r="A312" s="740"/>
      <c r="B312" s="745">
        <v>9.1229999999999993</v>
      </c>
      <c r="C312" s="739" t="s">
        <v>696</v>
      </c>
      <c r="D312" s="736" t="s">
        <v>695</v>
      </c>
      <c r="E312" s="736">
        <v>250</v>
      </c>
      <c r="F312" s="737">
        <v>1</v>
      </c>
      <c r="G312" s="724">
        <v>350</v>
      </c>
      <c r="H312" s="724">
        <f>G312*1.13</f>
        <v>395.49999999999994</v>
      </c>
      <c r="I312" s="693">
        <f>'[1]Frozen Pivot'!B343</f>
        <v>0</v>
      </c>
      <c r="J312" s="693">
        <v>0</v>
      </c>
    </row>
    <row r="313" spans="1:10" ht="16.5" x14ac:dyDescent="0.3">
      <c r="A313" s="686"/>
      <c r="B313" s="692"/>
      <c r="C313" s="692"/>
      <c r="D313" s="688"/>
      <c r="E313" s="688"/>
      <c r="F313" s="689"/>
      <c r="G313" s="688"/>
      <c r="H313" s="688"/>
      <c r="I313" s="688"/>
      <c r="J313" s="687"/>
    </row>
    <row r="314" spans="1:10" ht="16.5" x14ac:dyDescent="0.3">
      <c r="A314" s="686"/>
      <c r="B314" s="734" t="s">
        <v>694</v>
      </c>
      <c r="C314" s="717"/>
      <c r="D314" s="680"/>
      <c r="E314" s="680"/>
      <c r="F314" s="716"/>
      <c r="G314" s="680">
        <f>SUM(G309:G311)</f>
        <v>914</v>
      </c>
      <c r="H314" s="680">
        <f>SUM(H309:H312)</f>
        <v>1428.32</v>
      </c>
      <c r="I314" s="680">
        <f>SUM(I308:I311)</f>
        <v>1162.47</v>
      </c>
      <c r="J314" s="679">
        <f>SUM(J308:J311)</f>
        <v>1162.47</v>
      </c>
    </row>
    <row r="315" spans="1:10" ht="16.5" x14ac:dyDescent="0.3">
      <c r="A315" s="686"/>
      <c r="B315" s="742"/>
      <c r="C315" s="744"/>
      <c r="D315" s="655"/>
      <c r="E315" s="655"/>
      <c r="F315" s="728"/>
      <c r="G315" s="655"/>
      <c r="H315" s="655"/>
      <c r="I315" s="655"/>
      <c r="J315" s="654"/>
    </row>
    <row r="316" spans="1:10" ht="16.5" x14ac:dyDescent="0.3">
      <c r="A316" s="741" t="s">
        <v>693</v>
      </c>
      <c r="B316" s="658"/>
      <c r="C316" s="658"/>
      <c r="D316" s="724"/>
      <c r="E316" s="724"/>
      <c r="F316" s="725"/>
      <c r="G316" s="724"/>
      <c r="H316" s="724"/>
      <c r="I316" s="724"/>
      <c r="J316" s="693"/>
    </row>
    <row r="317" spans="1:10" ht="16.5" x14ac:dyDescent="0.3">
      <c r="A317" s="743"/>
      <c r="B317" s="722">
        <v>9.1240000000000006</v>
      </c>
      <c r="C317" s="722" t="s">
        <v>692</v>
      </c>
      <c r="D317" s="701" t="s">
        <v>691</v>
      </c>
      <c r="E317" s="701">
        <v>67</v>
      </c>
      <c r="F317" s="702">
        <v>2</v>
      </c>
      <c r="G317" s="701">
        <f>E317*F317</f>
        <v>134</v>
      </c>
      <c r="H317" s="701">
        <f>G317*1.13</f>
        <v>151.41999999999999</v>
      </c>
      <c r="I317" s="700">
        <f>'[1]Frozen Pivot'!B344</f>
        <v>151.41999999999999</v>
      </c>
      <c r="J317" s="700">
        <v>151.41999999999999</v>
      </c>
    </row>
    <row r="318" spans="1:10" ht="16.5" x14ac:dyDescent="0.3">
      <c r="A318" s="743"/>
      <c r="B318" s="727">
        <v>9.125</v>
      </c>
      <c r="C318" s="726" t="s">
        <v>690</v>
      </c>
      <c r="D318" s="724" t="s">
        <v>689</v>
      </c>
      <c r="E318" s="724">
        <v>50</v>
      </c>
      <c r="F318" s="725">
        <v>5</v>
      </c>
      <c r="G318" s="724">
        <f>E318*F318</f>
        <v>250</v>
      </c>
      <c r="H318" s="724">
        <f>G318*1.13</f>
        <v>282.5</v>
      </c>
      <c r="I318" s="693">
        <f>'[1]Frozen Pivot'!B345</f>
        <v>282.5</v>
      </c>
      <c r="J318" s="693">
        <v>282.5</v>
      </c>
    </row>
    <row r="319" spans="1:10" ht="16.5" x14ac:dyDescent="0.3">
      <c r="A319" s="743"/>
      <c r="B319" s="722">
        <v>9.1259999999999994</v>
      </c>
      <c r="C319" s="722" t="s">
        <v>688</v>
      </c>
      <c r="D319" s="701" t="s">
        <v>687</v>
      </c>
      <c r="E319" s="701">
        <v>315</v>
      </c>
      <c r="F319" s="702">
        <v>1</v>
      </c>
      <c r="G319" s="701">
        <f>E319*F319</f>
        <v>315</v>
      </c>
      <c r="H319" s="701">
        <f>G319*1.13</f>
        <v>355.95</v>
      </c>
      <c r="I319" s="700">
        <f>'[1]Frozen Pivot'!B346</f>
        <v>0</v>
      </c>
      <c r="J319" s="700">
        <v>0</v>
      </c>
    </row>
    <row r="320" spans="1:10" ht="16.5" x14ac:dyDescent="0.3">
      <c r="A320" s="743"/>
      <c r="B320" s="727">
        <v>9.1260999999999992</v>
      </c>
      <c r="C320" s="726" t="s">
        <v>686</v>
      </c>
      <c r="D320" s="724" t="s">
        <v>685</v>
      </c>
      <c r="E320" s="724">
        <v>10</v>
      </c>
      <c r="F320" s="725">
        <v>3</v>
      </c>
      <c r="G320" s="724">
        <f>E320*F320</f>
        <v>30</v>
      </c>
      <c r="H320" s="724">
        <f>G320*1.13</f>
        <v>33.9</v>
      </c>
      <c r="I320" s="693">
        <f>'[1]Frozen Pivot'!B347</f>
        <v>24.84</v>
      </c>
      <c r="J320" s="693">
        <v>24.84</v>
      </c>
    </row>
    <row r="321" spans="1:10" ht="16.5" x14ac:dyDescent="0.3">
      <c r="A321" s="743"/>
      <c r="B321" s="722"/>
      <c r="C321" s="704"/>
      <c r="D321" s="701"/>
      <c r="E321" s="701"/>
      <c r="F321" s="702"/>
      <c r="G321" s="701"/>
      <c r="H321" s="701"/>
      <c r="I321" s="701"/>
      <c r="J321" s="700"/>
    </row>
    <row r="322" spans="1:10" ht="16.5" x14ac:dyDescent="0.3">
      <c r="A322" s="686"/>
      <c r="B322" s="734" t="s">
        <v>684</v>
      </c>
      <c r="C322" s="733"/>
      <c r="D322" s="680"/>
      <c r="E322" s="680"/>
      <c r="F322" s="716"/>
      <c r="G322" s="680">
        <f>SUM(G317:G320)</f>
        <v>729</v>
      </c>
      <c r="H322" s="680">
        <f>SUM(H317:H320)</f>
        <v>823.76999999999987</v>
      </c>
      <c r="I322" s="680">
        <f>SUM(I317:I320)</f>
        <v>458.75999999999993</v>
      </c>
      <c r="J322" s="679">
        <f>SUM(J317:J320)</f>
        <v>458.75999999999993</v>
      </c>
    </row>
    <row r="323" spans="1:10" ht="16.5" x14ac:dyDescent="0.3">
      <c r="A323" s="686"/>
      <c r="B323" s="742"/>
      <c r="C323" s="742"/>
      <c r="D323" s="655"/>
      <c r="E323" s="655"/>
      <c r="F323" s="728"/>
      <c r="G323" s="655"/>
      <c r="H323" s="655"/>
      <c r="I323" s="655"/>
      <c r="J323" s="654"/>
    </row>
    <row r="324" spans="1:10" ht="16.5" x14ac:dyDescent="0.3">
      <c r="A324" s="741" t="s">
        <v>683</v>
      </c>
      <c r="B324" s="658"/>
      <c r="C324" s="658"/>
      <c r="D324" s="724"/>
      <c r="E324" s="724"/>
      <c r="F324" s="725"/>
      <c r="G324" s="724"/>
      <c r="H324" s="724"/>
      <c r="I324" s="724"/>
      <c r="J324" s="693"/>
    </row>
    <row r="325" spans="1:10" ht="16.5" x14ac:dyDescent="0.3">
      <c r="A325" s="686"/>
      <c r="B325" s="692">
        <v>9.1262000000000008</v>
      </c>
      <c r="C325" s="691" t="s">
        <v>682</v>
      </c>
      <c r="D325" s="688" t="s">
        <v>681</v>
      </c>
      <c r="E325" s="688">
        <v>1.5</v>
      </c>
      <c r="F325" s="689">
        <v>50</v>
      </c>
      <c r="G325" s="688">
        <f>E325*F325</f>
        <v>75</v>
      </c>
      <c r="H325" s="688">
        <f>G325*1.13</f>
        <v>84.749999999999986</v>
      </c>
      <c r="I325" s="687">
        <f>'[1]Frozen Pivot'!B348</f>
        <v>2.2599999999999998</v>
      </c>
      <c r="J325" s="687">
        <v>2.2599999999999998</v>
      </c>
    </row>
    <row r="326" spans="1:10" s="718" customFormat="1" ht="16.5" x14ac:dyDescent="0.3">
      <c r="A326" s="740"/>
      <c r="B326" s="739"/>
      <c r="C326" s="738"/>
      <c r="D326" s="736"/>
      <c r="E326" s="736"/>
      <c r="F326" s="737"/>
      <c r="G326" s="736"/>
      <c r="H326" s="736"/>
      <c r="I326" s="736"/>
      <c r="J326" s="735"/>
    </row>
    <row r="327" spans="1:10" ht="16.5" x14ac:dyDescent="0.3">
      <c r="A327" s="686"/>
      <c r="B327" s="734" t="s">
        <v>680</v>
      </c>
      <c r="C327" s="733"/>
      <c r="D327" s="733"/>
      <c r="E327" s="733"/>
      <c r="F327" s="733"/>
      <c r="G327" s="680">
        <f>G325</f>
        <v>75</v>
      </c>
      <c r="H327" s="680">
        <f>H325</f>
        <v>84.749999999999986</v>
      </c>
      <c r="I327" s="680">
        <v>0</v>
      </c>
      <c r="J327" s="679">
        <f>J325</f>
        <v>2.2599999999999998</v>
      </c>
    </row>
    <row r="328" spans="1:10" ht="16.5" x14ac:dyDescent="0.3">
      <c r="A328" s="659"/>
      <c r="B328" s="732"/>
      <c r="C328" s="726"/>
      <c r="D328" s="724"/>
      <c r="E328" s="724"/>
      <c r="F328" s="725"/>
      <c r="G328" s="724"/>
      <c r="H328" s="724"/>
      <c r="I328" s="724"/>
      <c r="J328" s="693"/>
    </row>
    <row r="329" spans="1:10" ht="16.5" x14ac:dyDescent="0.3">
      <c r="A329" s="686"/>
      <c r="B329" s="685" t="s">
        <v>679</v>
      </c>
      <c r="C329" s="731"/>
      <c r="D329" s="730"/>
      <c r="E329" s="680"/>
      <c r="F329" s="716"/>
      <c r="G329" s="680"/>
      <c r="H329" s="680">
        <f>H314+H322+H327</f>
        <v>2336.8399999999997</v>
      </c>
      <c r="I329" s="680">
        <v>0</v>
      </c>
      <c r="J329" s="679">
        <f>J327+J322+J314</f>
        <v>1623.49</v>
      </c>
    </row>
    <row r="330" spans="1:10" x14ac:dyDescent="0.25">
      <c r="A330" s="720"/>
      <c r="B330" s="720"/>
      <c r="C330" s="720"/>
      <c r="D330" s="720"/>
      <c r="E330" s="720"/>
      <c r="F330" s="720"/>
      <c r="G330" s="720"/>
      <c r="H330" s="720"/>
      <c r="I330" s="720"/>
      <c r="J330" s="719"/>
    </row>
    <row r="331" spans="1:10" ht="16.5" x14ac:dyDescent="0.3">
      <c r="A331" s="659" t="s">
        <v>678</v>
      </c>
      <c r="B331" s="658"/>
      <c r="C331" s="729"/>
      <c r="D331" s="656"/>
      <c r="E331" s="655"/>
      <c r="F331" s="728"/>
      <c r="G331" s="655"/>
      <c r="H331" s="655"/>
      <c r="I331" s="655"/>
      <c r="J331" s="654"/>
    </row>
    <row r="332" spans="1:10" ht="16.5" x14ac:dyDescent="0.3">
      <c r="A332" s="686"/>
      <c r="B332" s="722">
        <v>9.1270000000000007</v>
      </c>
      <c r="C332" s="704" t="s">
        <v>677</v>
      </c>
      <c r="D332" s="701" t="s">
        <v>676</v>
      </c>
      <c r="E332" s="701">
        <v>15</v>
      </c>
      <c r="F332" s="702">
        <v>80</v>
      </c>
      <c r="G332" s="701">
        <f>E332*F332</f>
        <v>1200</v>
      </c>
      <c r="H332" s="701">
        <f>G332*1.13</f>
        <v>1355.9999999999998</v>
      </c>
      <c r="I332" s="700">
        <f>'[1]Frozen Pivot'!B349</f>
        <v>1352</v>
      </c>
      <c r="J332" s="721">
        <v>1352</v>
      </c>
    </row>
    <row r="333" spans="1:10" ht="16.5" x14ac:dyDescent="0.3">
      <c r="A333" s="686"/>
      <c r="B333" s="727">
        <v>9.1280000000000001</v>
      </c>
      <c r="C333" s="726" t="s">
        <v>675</v>
      </c>
      <c r="D333" s="724" t="s">
        <v>674</v>
      </c>
      <c r="E333" s="724">
        <v>300</v>
      </c>
      <c r="F333" s="725">
        <v>1</v>
      </c>
      <c r="G333" s="724">
        <f>E333*F333</f>
        <v>300</v>
      </c>
      <c r="H333" s="724">
        <f>G333*1.13</f>
        <v>338.99999999999994</v>
      </c>
      <c r="I333" s="693">
        <f>'[1]Frozen Pivot'!B350</f>
        <v>200</v>
      </c>
      <c r="J333" s="723">
        <v>200</v>
      </c>
    </row>
    <row r="334" spans="1:10" ht="16.5" x14ac:dyDescent="0.3">
      <c r="A334" s="686"/>
      <c r="B334" s="722">
        <v>9.1289999999999996</v>
      </c>
      <c r="C334" s="704" t="s">
        <v>673</v>
      </c>
      <c r="D334" s="701" t="s">
        <v>672</v>
      </c>
      <c r="E334" s="701">
        <v>5</v>
      </c>
      <c r="F334" s="702">
        <v>6</v>
      </c>
      <c r="G334" s="701">
        <f>E334*F334</f>
        <v>30</v>
      </c>
      <c r="H334" s="701">
        <f>G334*1.13</f>
        <v>33.9</v>
      </c>
      <c r="I334" s="700">
        <f>'[1]Frozen Pivot'!B351</f>
        <v>23.36</v>
      </c>
      <c r="J334" s="721">
        <v>23.36</v>
      </c>
    </row>
    <row r="335" spans="1:10" ht="16.5" x14ac:dyDescent="0.3">
      <c r="A335" s="686"/>
      <c r="B335" s="727">
        <v>9.1300000000000008</v>
      </c>
      <c r="C335" s="726" t="s">
        <v>671</v>
      </c>
      <c r="D335" s="724" t="s">
        <v>670</v>
      </c>
      <c r="E335" s="724">
        <v>200</v>
      </c>
      <c r="F335" s="725">
        <v>1</v>
      </c>
      <c r="G335" s="724">
        <f>E335*F335</f>
        <v>200</v>
      </c>
      <c r="H335" s="724">
        <v>2.5</v>
      </c>
      <c r="I335" s="693">
        <f>'[1]Frozen Pivot'!B352</f>
        <v>24.01</v>
      </c>
      <c r="J335" s="723">
        <v>24.01</v>
      </c>
    </row>
    <row r="336" spans="1:10" ht="16.5" x14ac:dyDescent="0.3">
      <c r="A336" s="686"/>
      <c r="B336" s="722">
        <v>9.1310000000000002</v>
      </c>
      <c r="C336" s="704" t="s">
        <v>669</v>
      </c>
      <c r="D336" s="701" t="s">
        <v>668</v>
      </c>
      <c r="E336" s="701">
        <v>1500</v>
      </c>
      <c r="F336" s="702">
        <v>1</v>
      </c>
      <c r="G336" s="701">
        <f>E336*F336</f>
        <v>1500</v>
      </c>
      <c r="H336" s="701">
        <f>G336*1.13</f>
        <v>1694.9999999999998</v>
      </c>
      <c r="I336" s="700">
        <f>'[1]Frozen Pivot'!B353</f>
        <v>1577.48</v>
      </c>
      <c r="J336" s="721">
        <v>1577.48</v>
      </c>
    </row>
    <row r="337" spans="1:10" ht="16.5" x14ac:dyDescent="0.3">
      <c r="A337" s="658"/>
      <c r="B337" s="727">
        <v>9.1319999999999997</v>
      </c>
      <c r="C337" s="726" t="s">
        <v>667</v>
      </c>
      <c r="D337" s="724" t="s">
        <v>666</v>
      </c>
      <c r="E337" s="724">
        <v>7</v>
      </c>
      <c r="F337" s="725">
        <v>13</v>
      </c>
      <c r="G337" s="724">
        <f>E337*F337</f>
        <v>91</v>
      </c>
      <c r="H337" s="724">
        <f>G337*1.13</f>
        <v>102.82999999999998</v>
      </c>
      <c r="I337" s="693">
        <f>'[1]Frozen Pivot'!B354</f>
        <v>94.42</v>
      </c>
      <c r="J337" s="723">
        <v>94.42</v>
      </c>
    </row>
    <row r="338" spans="1:10" ht="16.5" x14ac:dyDescent="0.3">
      <c r="A338" s="658"/>
      <c r="B338" s="722">
        <v>9.1329999999999991</v>
      </c>
      <c r="C338" s="704" t="s">
        <v>665</v>
      </c>
      <c r="D338" s="701" t="s">
        <v>664</v>
      </c>
      <c r="E338" s="701">
        <v>8</v>
      </c>
      <c r="F338" s="702">
        <v>14</v>
      </c>
      <c r="G338" s="701">
        <f>E338*F338</f>
        <v>112</v>
      </c>
      <c r="H338" s="701">
        <f>G338*1.13</f>
        <v>126.55999999999999</v>
      </c>
      <c r="I338" s="700">
        <f>'[1]Frozen Pivot'!B355</f>
        <v>176.28</v>
      </c>
      <c r="J338" s="721">
        <v>176.28</v>
      </c>
    </row>
    <row r="339" spans="1:10" x14ac:dyDescent="0.25">
      <c r="A339" s="720"/>
      <c r="B339" s="720"/>
      <c r="C339" s="720"/>
      <c r="D339" s="720"/>
      <c r="E339" s="720"/>
      <c r="F339" s="720"/>
      <c r="G339" s="720"/>
      <c r="H339" s="720"/>
      <c r="I339" s="720"/>
      <c r="J339" s="719"/>
    </row>
    <row r="340" spans="1:10" ht="16.5" x14ac:dyDescent="0.3">
      <c r="A340" s="718"/>
      <c r="B340" s="685" t="s">
        <v>663</v>
      </c>
      <c r="C340" s="717"/>
      <c r="D340" s="680"/>
      <c r="E340" s="680"/>
      <c r="F340" s="716"/>
      <c r="G340" s="680"/>
      <c r="H340" s="680">
        <f>SUM(H332:H338)</f>
        <v>3655.7899999999995</v>
      </c>
      <c r="I340" s="680">
        <f>SUM(I332:I338)</f>
        <v>3447.55</v>
      </c>
      <c r="J340" s="715">
        <f>SUM(J332:J338)</f>
        <v>3447.55</v>
      </c>
    </row>
    <row r="341" spans="1:10" x14ac:dyDescent="0.25">
      <c r="A341" s="714"/>
      <c r="B341" s="714"/>
      <c r="C341" s="714"/>
      <c r="D341" s="714"/>
      <c r="E341" s="714"/>
      <c r="F341" s="714"/>
      <c r="G341" s="714"/>
      <c r="H341" s="714"/>
      <c r="I341" s="714"/>
      <c r="J341" s="713"/>
    </row>
    <row r="342" spans="1:10" ht="17.25" x14ac:dyDescent="0.3">
      <c r="A342" s="712" t="s">
        <v>662</v>
      </c>
      <c r="B342" s="711"/>
      <c r="C342" s="710"/>
      <c r="D342" s="709"/>
      <c r="E342" s="707"/>
      <c r="F342" s="708"/>
      <c r="G342" s="707"/>
      <c r="H342" s="707"/>
      <c r="I342" s="707"/>
      <c r="J342" s="706"/>
    </row>
    <row r="343" spans="1:10" ht="16.5" x14ac:dyDescent="0.3">
      <c r="A343" s="686"/>
      <c r="B343" s="705">
        <v>9.1340000000000003</v>
      </c>
      <c r="C343" s="704" t="s">
        <v>661</v>
      </c>
      <c r="D343" s="703" t="s">
        <v>660</v>
      </c>
      <c r="E343" s="701">
        <v>150</v>
      </c>
      <c r="F343" s="702">
        <v>1</v>
      </c>
      <c r="G343" s="701">
        <f>E343*F343</f>
        <v>150</v>
      </c>
      <c r="H343" s="701">
        <f>G343*1.13</f>
        <v>169.49999999999997</v>
      </c>
      <c r="I343" s="700">
        <f>'[1]Frozen Pivot'!B356</f>
        <v>125</v>
      </c>
      <c r="J343" s="700">
        <v>125</v>
      </c>
    </row>
    <row r="344" spans="1:10" ht="16.5" x14ac:dyDescent="0.3">
      <c r="A344" s="699"/>
      <c r="B344" s="698">
        <v>9.1349999999999998</v>
      </c>
      <c r="C344" s="697" t="s">
        <v>240</v>
      </c>
      <c r="D344" s="695" t="s">
        <v>659</v>
      </c>
      <c r="E344" s="695">
        <v>27.85</v>
      </c>
      <c r="F344" s="696">
        <v>12</v>
      </c>
      <c r="G344" s="695">
        <f>E344*F344</f>
        <v>334.20000000000005</v>
      </c>
      <c r="H344" s="694">
        <f>G344*1.13</f>
        <v>377.64600000000002</v>
      </c>
      <c r="I344" s="693">
        <f>'[1]Frozen Pivot'!B357</f>
        <v>0</v>
      </c>
      <c r="J344" s="693">
        <v>0</v>
      </c>
    </row>
    <row r="345" spans="1:10" ht="16.5" x14ac:dyDescent="0.3">
      <c r="A345" s="686"/>
      <c r="B345" s="692"/>
      <c r="C345" s="691"/>
      <c r="D345" s="690"/>
      <c r="E345" s="688"/>
      <c r="F345" s="689"/>
      <c r="G345" s="688"/>
      <c r="H345" s="688"/>
      <c r="I345" s="688"/>
      <c r="J345" s="687"/>
    </row>
    <row r="346" spans="1:10" ht="16.5" x14ac:dyDescent="0.3">
      <c r="A346" s="686"/>
      <c r="B346" s="685" t="s">
        <v>658</v>
      </c>
      <c r="C346" s="684"/>
      <c r="D346" s="683"/>
      <c r="E346" s="681"/>
      <c r="F346" s="682"/>
      <c r="G346" s="681"/>
      <c r="H346" s="680">
        <f>SUM(H343:H344)</f>
        <v>547.14599999999996</v>
      </c>
      <c r="I346" s="680">
        <f>SUM(I343:I344)</f>
        <v>125</v>
      </c>
      <c r="J346" s="679">
        <f>J343+J340+J329+J305+J265+J254+J221+J144+J133</f>
        <v>12485.189999999999</v>
      </c>
    </row>
    <row r="347" spans="1:10" x14ac:dyDescent="0.25">
      <c r="A347" s="677"/>
      <c r="B347" s="677"/>
      <c r="C347" s="677"/>
      <c r="D347" s="677"/>
      <c r="E347" s="677"/>
      <c r="F347" s="677"/>
      <c r="G347" s="677"/>
      <c r="H347" s="677"/>
      <c r="I347" s="677"/>
      <c r="J347" s="678"/>
    </row>
    <row r="348" spans="1:10" x14ac:dyDescent="0.25">
      <c r="A348" s="677"/>
      <c r="B348" s="677"/>
      <c r="C348" s="676" t="s">
        <v>657</v>
      </c>
      <c r="D348" s="676"/>
      <c r="E348" s="676"/>
      <c r="F348" s="676"/>
      <c r="G348" s="676"/>
      <c r="H348" s="675">
        <f>H133+H144+H221+H254+H265+H305+H329+H340+H346</f>
        <v>22978.024550000002</v>
      </c>
      <c r="I348" s="674"/>
      <c r="J348" s="673">
        <f>J346</f>
        <v>12485.189999999999</v>
      </c>
    </row>
    <row r="349" spans="1:10" x14ac:dyDescent="0.25">
      <c r="A349" s="672"/>
      <c r="B349" s="672"/>
      <c r="C349" s="672"/>
      <c r="D349" s="672"/>
      <c r="E349" s="672"/>
      <c r="F349" s="672"/>
      <c r="G349" s="672"/>
      <c r="H349" s="672"/>
      <c r="I349" s="672"/>
      <c r="J349" s="671"/>
    </row>
    <row r="350" spans="1:10" ht="16.5" x14ac:dyDescent="0.3">
      <c r="A350" s="670" t="s">
        <v>3</v>
      </c>
      <c r="B350" s="669"/>
      <c r="C350" s="668"/>
      <c r="D350" s="667"/>
      <c r="E350" s="665"/>
      <c r="F350" s="666"/>
      <c r="G350" s="665"/>
      <c r="H350" s="665"/>
      <c r="I350" s="665"/>
      <c r="J350" s="664"/>
    </row>
    <row r="351" spans="1:10" ht="16.5" x14ac:dyDescent="0.3">
      <c r="A351" s="659"/>
      <c r="B351" s="663" t="s">
        <v>2</v>
      </c>
      <c r="C351" s="662"/>
      <c r="D351" s="661"/>
      <c r="E351" s="660"/>
      <c r="F351" s="660"/>
      <c r="G351" s="660"/>
      <c r="H351" s="660">
        <f>H70-N4</f>
        <v>21055.395</v>
      </c>
      <c r="I351" s="660"/>
      <c r="J351" s="648">
        <f>J70</f>
        <v>6007.31</v>
      </c>
    </row>
    <row r="352" spans="1:10" ht="16.5" x14ac:dyDescent="0.3">
      <c r="A352" s="659"/>
      <c r="B352" s="658" t="s">
        <v>1</v>
      </c>
      <c r="C352" s="657"/>
      <c r="D352" s="656"/>
      <c r="E352" s="655"/>
      <c r="F352" s="655"/>
      <c r="G352" s="655"/>
      <c r="H352" s="655">
        <f>H348</f>
        <v>22978.024550000002</v>
      </c>
      <c r="I352" s="655"/>
      <c r="J352" s="654">
        <f>J348</f>
        <v>12485.189999999999</v>
      </c>
    </row>
    <row r="353" spans="1:29" ht="16.5" x14ac:dyDescent="0.3">
      <c r="A353" s="653"/>
      <c r="B353" s="652" t="s">
        <v>0</v>
      </c>
      <c r="C353" s="651"/>
      <c r="D353" s="650"/>
      <c r="E353" s="649"/>
      <c r="F353" s="649"/>
      <c r="G353" s="649"/>
      <c r="H353" s="649">
        <f>H351-H352</f>
        <v>-1922.6295500000015</v>
      </c>
      <c r="I353" s="649">
        <v>0</v>
      </c>
      <c r="J353" s="648">
        <f>J351-J352</f>
        <v>-6477.8799999999983</v>
      </c>
    </row>
    <row r="354" spans="1:29" x14ac:dyDescent="0.25">
      <c r="J354" s="647"/>
      <c r="K354" s="646"/>
      <c r="L354" s="645"/>
      <c r="M354" s="645"/>
      <c r="N354" s="645"/>
      <c r="O354" s="645"/>
      <c r="P354" s="645"/>
      <c r="Q354" s="645"/>
      <c r="R354" s="645"/>
      <c r="S354" s="645"/>
      <c r="T354" s="645"/>
      <c r="U354" s="645"/>
      <c r="V354" s="645"/>
      <c r="W354" s="645"/>
      <c r="X354" s="645"/>
      <c r="Y354" s="645"/>
      <c r="Z354" s="645"/>
      <c r="AA354" s="645"/>
      <c r="AB354" s="645"/>
      <c r="AC354" s="645"/>
    </row>
  </sheetData>
  <mergeCells count="13">
    <mergeCell ref="A330:J330"/>
    <mergeCell ref="A339:J339"/>
    <mergeCell ref="A341:J341"/>
    <mergeCell ref="A347:J347"/>
    <mergeCell ref="A348:B349"/>
    <mergeCell ref="C348:G348"/>
    <mergeCell ref="C349:J349"/>
    <mergeCell ref="A306:J306"/>
    <mergeCell ref="A1:J1"/>
    <mergeCell ref="A4:C4"/>
    <mergeCell ref="A70:B71"/>
    <mergeCell ref="C70:G70"/>
    <mergeCell ref="C71:J71"/>
  </mergeCells>
  <pageMargins left="0.75" right="0.75" top="1" bottom="1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B247E-F593-45BA-984C-B59BFA6993C8}">
  <sheetPr codeName="Sheet12"/>
  <dimension ref="A1:N25"/>
  <sheetViews>
    <sheetView zoomScale="73" workbookViewId="0">
      <selection activeCell="D40" sqref="D40"/>
    </sheetView>
  </sheetViews>
  <sheetFormatPr defaultColWidth="12.28515625" defaultRowHeight="15" x14ac:dyDescent="0.25"/>
  <cols>
    <col min="3" max="3" width="20.28515625" bestFit="1" customWidth="1"/>
    <col min="4" max="4" width="38.28515625" customWidth="1"/>
    <col min="7" max="7" width="12.28515625" customWidth="1"/>
    <col min="9" max="9" width="0" hidden="1" customWidth="1"/>
    <col min="10" max="10" width="13.140625" customWidth="1"/>
  </cols>
  <sheetData>
    <row r="1" spans="1:14" ht="26.25" x14ac:dyDescent="0.25">
      <c r="A1" s="402" t="s">
        <v>656</v>
      </c>
      <c r="B1" s="402"/>
      <c r="C1" s="402"/>
      <c r="D1" s="402"/>
      <c r="E1" s="402"/>
      <c r="F1" s="402"/>
      <c r="G1" s="402"/>
      <c r="H1" s="402"/>
      <c r="I1" s="402"/>
      <c r="J1" s="644"/>
    </row>
    <row r="2" spans="1:14" ht="16.5" x14ac:dyDescent="0.3">
      <c r="A2" s="401"/>
      <c r="B2" s="400" t="s">
        <v>213</v>
      </c>
      <c r="C2" s="399" t="s">
        <v>212</v>
      </c>
      <c r="D2" s="398" t="s">
        <v>211</v>
      </c>
      <c r="E2" s="397" t="s">
        <v>210</v>
      </c>
      <c r="F2" s="396" t="s">
        <v>209</v>
      </c>
      <c r="G2" s="395" t="s">
        <v>208</v>
      </c>
      <c r="H2" s="395" t="s">
        <v>207</v>
      </c>
      <c r="I2" s="395" t="s">
        <v>232</v>
      </c>
      <c r="J2" s="394" t="s">
        <v>206</v>
      </c>
    </row>
    <row r="3" spans="1:14" ht="16.5" x14ac:dyDescent="0.3">
      <c r="A3" s="393"/>
      <c r="B3" s="392"/>
      <c r="C3" s="391"/>
      <c r="D3" s="390"/>
      <c r="E3" s="388"/>
      <c r="F3" s="389"/>
      <c r="G3" s="388"/>
      <c r="H3" s="388"/>
      <c r="I3" s="388"/>
      <c r="J3" s="387"/>
    </row>
    <row r="4" spans="1:14" ht="16.5" x14ac:dyDescent="0.3">
      <c r="A4" s="386" t="s">
        <v>81</v>
      </c>
      <c r="B4" s="431"/>
      <c r="C4" s="431"/>
      <c r="D4" s="298"/>
      <c r="E4" s="298"/>
      <c r="F4" s="299"/>
      <c r="G4" s="298"/>
      <c r="H4" s="298"/>
      <c r="I4" s="298"/>
      <c r="J4" s="297"/>
    </row>
    <row r="5" spans="1:14" ht="16.5" x14ac:dyDescent="0.3">
      <c r="A5" s="293"/>
      <c r="B5" s="292"/>
      <c r="C5" s="292"/>
      <c r="D5" s="291"/>
      <c r="E5" s="291"/>
      <c r="F5" s="302"/>
      <c r="G5" s="291"/>
      <c r="H5" s="291"/>
      <c r="I5" s="291"/>
      <c r="J5" s="290"/>
    </row>
    <row r="6" spans="1:14" ht="16.5" x14ac:dyDescent="0.3">
      <c r="A6" s="293"/>
      <c r="B6" s="292"/>
      <c r="C6" s="292" t="s">
        <v>59</v>
      </c>
      <c r="D6" s="291"/>
      <c r="E6" s="291"/>
      <c r="F6" s="302"/>
      <c r="G6" s="291"/>
      <c r="H6" s="291">
        <v>0</v>
      </c>
      <c r="I6" s="291">
        <v>0</v>
      </c>
      <c r="J6" s="631">
        <v>0</v>
      </c>
      <c r="L6" s="291"/>
    </row>
    <row r="7" spans="1:14" ht="16.5" x14ac:dyDescent="0.3">
      <c r="A7" s="293"/>
      <c r="B7" s="292"/>
      <c r="C7" s="292"/>
      <c r="D7" s="291"/>
      <c r="E7" s="291"/>
      <c r="F7" s="302"/>
      <c r="G7" s="291"/>
      <c r="H7" s="291"/>
      <c r="I7" s="291"/>
      <c r="J7" s="628"/>
    </row>
    <row r="8" spans="1:14" ht="16.5" x14ac:dyDescent="0.3">
      <c r="A8" s="386" t="s">
        <v>58</v>
      </c>
      <c r="B8" s="431"/>
      <c r="C8" s="431"/>
      <c r="D8" s="298"/>
      <c r="E8" s="372"/>
      <c r="F8" s="373"/>
      <c r="G8" s="372"/>
      <c r="H8" s="372"/>
      <c r="I8" s="372"/>
      <c r="J8" s="630"/>
      <c r="N8" s="72"/>
    </row>
    <row r="9" spans="1:14" ht="16.5" x14ac:dyDescent="0.3">
      <c r="A9" s="293" t="s">
        <v>252</v>
      </c>
      <c r="B9" s="292"/>
      <c r="C9" s="303"/>
      <c r="D9" s="179"/>
      <c r="E9" s="179"/>
      <c r="F9" s="180"/>
      <c r="G9" s="179"/>
      <c r="H9" s="179"/>
      <c r="I9" s="179"/>
      <c r="J9" s="643"/>
    </row>
    <row r="10" spans="1:14" ht="16.5" x14ac:dyDescent="0.3">
      <c r="A10" s="304"/>
      <c r="B10" s="414" t="s">
        <v>655</v>
      </c>
      <c r="C10" s="316" t="s">
        <v>654</v>
      </c>
      <c r="D10" s="316" t="s">
        <v>653</v>
      </c>
      <c r="E10" s="637">
        <v>30</v>
      </c>
      <c r="F10" s="316">
        <v>6</v>
      </c>
      <c r="G10" s="314">
        <f>F10*E10</f>
        <v>180</v>
      </c>
      <c r="H10" s="314">
        <f>G10*1.13</f>
        <v>203.39999999999998</v>
      </c>
      <c r="I10" s="642">
        <f>'[1]Frozen Pivot'!B358</f>
        <v>0</v>
      </c>
      <c r="J10" s="635">
        <v>0</v>
      </c>
    </row>
    <row r="11" spans="1:14" ht="16.5" x14ac:dyDescent="0.3">
      <c r="A11" s="304"/>
      <c r="B11" s="412" t="s">
        <v>652</v>
      </c>
      <c r="C11" s="312" t="s">
        <v>651</v>
      </c>
      <c r="D11" s="312" t="s">
        <v>650</v>
      </c>
      <c r="E11" s="634">
        <v>60</v>
      </c>
      <c r="F11" s="312">
        <v>2</v>
      </c>
      <c r="G11" s="179">
        <f>F11*E11</f>
        <v>120</v>
      </c>
      <c r="H11" s="179">
        <f>G11*1.13</f>
        <v>135.6</v>
      </c>
      <c r="I11" s="641">
        <f>'[1]Frozen Pivot'!B359</f>
        <v>50.58</v>
      </c>
      <c r="J11" s="640">
        <v>50.58</v>
      </c>
    </row>
    <row r="12" spans="1:14" ht="16.5" x14ac:dyDescent="0.3">
      <c r="A12" s="304"/>
      <c r="B12" s="414"/>
      <c r="C12" s="316"/>
      <c r="D12" s="316"/>
      <c r="E12" s="637"/>
      <c r="F12" s="316"/>
      <c r="G12" s="314"/>
      <c r="H12" s="314"/>
      <c r="I12" s="319"/>
      <c r="J12" s="639"/>
    </row>
    <row r="13" spans="1:14" ht="16.5" x14ac:dyDescent="0.3">
      <c r="A13" s="304"/>
      <c r="B13" s="311" t="s">
        <v>649</v>
      </c>
      <c r="C13" s="310"/>
      <c r="D13" s="308"/>
      <c r="E13" s="308"/>
      <c r="F13" s="309"/>
      <c r="G13" s="308"/>
      <c r="H13" s="308">
        <f>SUM(H10:H11)</f>
        <v>339</v>
      </c>
      <c r="I13" s="308">
        <f>SUM(I10:I11)</f>
        <v>50.58</v>
      </c>
      <c r="J13" s="638">
        <f>SUM(J11:J11)</f>
        <v>50.58</v>
      </c>
    </row>
    <row r="14" spans="1:14" ht="16.5" x14ac:dyDescent="0.3">
      <c r="A14" s="304"/>
      <c r="B14" s="292"/>
      <c r="C14" s="292"/>
      <c r="D14" s="291"/>
      <c r="E14" s="291"/>
      <c r="F14" s="302"/>
      <c r="G14" s="291"/>
      <c r="H14" s="291"/>
      <c r="I14" s="291"/>
      <c r="J14" s="631"/>
    </row>
    <row r="15" spans="1:14" ht="16.5" x14ac:dyDescent="0.3">
      <c r="A15" s="293" t="s">
        <v>12</v>
      </c>
      <c r="B15" s="292"/>
      <c r="C15" s="292"/>
      <c r="D15" s="291"/>
      <c r="E15" s="291"/>
      <c r="F15" s="302"/>
      <c r="G15" s="291"/>
      <c r="H15" s="291"/>
      <c r="I15" s="291"/>
      <c r="J15" s="631"/>
    </row>
    <row r="16" spans="1:14" ht="16.5" x14ac:dyDescent="0.3">
      <c r="A16" s="304"/>
      <c r="B16" s="414" t="s">
        <v>648</v>
      </c>
      <c r="C16" s="316" t="s">
        <v>647</v>
      </c>
      <c r="D16" s="316" t="s">
        <v>646</v>
      </c>
      <c r="E16" s="637">
        <v>60</v>
      </c>
      <c r="F16" s="316">
        <v>1</v>
      </c>
      <c r="G16" s="314">
        <f>F16*E16</f>
        <v>60</v>
      </c>
      <c r="H16" s="314">
        <f>G16*1.13</f>
        <v>67.8</v>
      </c>
      <c r="I16" s="636">
        <f>'[1]Frozen Pivot'!B360</f>
        <v>16.920000000000002</v>
      </c>
      <c r="J16" s="635">
        <v>16.920000000000002</v>
      </c>
    </row>
    <row r="17" spans="1:10" ht="16.5" x14ac:dyDescent="0.3">
      <c r="A17" s="304"/>
      <c r="B17" s="412"/>
      <c r="C17" s="312"/>
      <c r="D17" s="312"/>
      <c r="E17" s="634"/>
      <c r="F17" s="312"/>
      <c r="G17" s="179"/>
      <c r="H17" s="179"/>
      <c r="I17" s="303"/>
      <c r="J17" s="633"/>
    </row>
    <row r="18" spans="1:10" ht="16.5" x14ac:dyDescent="0.3">
      <c r="A18" s="304"/>
      <c r="B18" s="311" t="s">
        <v>645</v>
      </c>
      <c r="C18" s="310"/>
      <c r="D18" s="308"/>
      <c r="E18" s="308"/>
      <c r="F18" s="309"/>
      <c r="G18" s="308"/>
      <c r="H18" s="308">
        <f>SUM(H16:H16)</f>
        <v>67.8</v>
      </c>
      <c r="I18" s="308">
        <f>SUM(I16:I16)</f>
        <v>16.920000000000002</v>
      </c>
      <c r="J18" s="632">
        <f>SUM(J16:J16)</f>
        <v>16.920000000000002</v>
      </c>
    </row>
    <row r="19" spans="1:10" ht="16.5" x14ac:dyDescent="0.3">
      <c r="A19" s="304"/>
      <c r="B19" s="292"/>
      <c r="C19" s="292"/>
      <c r="D19" s="291"/>
      <c r="E19" s="291"/>
      <c r="F19" s="302"/>
      <c r="G19" s="291"/>
      <c r="H19" s="291"/>
      <c r="I19" s="291"/>
      <c r="J19" s="631"/>
    </row>
    <row r="20" spans="1:10" ht="16.5" x14ac:dyDescent="0.3">
      <c r="A20" s="304"/>
      <c r="B20" s="303"/>
      <c r="C20" s="292" t="s">
        <v>4</v>
      </c>
      <c r="D20" s="291"/>
      <c r="E20" s="291"/>
      <c r="F20" s="302"/>
      <c r="G20" s="291"/>
      <c r="H20" s="291">
        <f>SUM(H18+H13)</f>
        <v>406.8</v>
      </c>
      <c r="I20" s="291">
        <f>SUM(I6,I13,I18)</f>
        <v>67.5</v>
      </c>
      <c r="J20" s="631">
        <f>SUM(J6,J13,J18)</f>
        <v>67.5</v>
      </c>
    </row>
    <row r="21" spans="1:10" ht="16.5" x14ac:dyDescent="0.3">
      <c r="A21" s="304"/>
      <c r="B21" s="303"/>
      <c r="C21" s="292"/>
      <c r="D21" s="291"/>
      <c r="E21" s="291"/>
      <c r="F21" s="302"/>
      <c r="G21" s="291"/>
      <c r="H21" s="291"/>
      <c r="I21" s="291"/>
      <c r="J21" s="628"/>
    </row>
    <row r="22" spans="1:10" ht="16.5" x14ac:dyDescent="0.3">
      <c r="A22" s="386" t="s">
        <v>3</v>
      </c>
      <c r="B22" s="431"/>
      <c r="C22" s="431"/>
      <c r="D22" s="298"/>
      <c r="E22" s="298"/>
      <c r="F22" s="299"/>
      <c r="G22" s="298"/>
      <c r="H22" s="298"/>
      <c r="I22" s="298"/>
      <c r="J22" s="630"/>
    </row>
    <row r="23" spans="1:10" ht="16.5" x14ac:dyDescent="0.3">
      <c r="A23" s="293"/>
      <c r="B23" s="296" t="s">
        <v>2</v>
      </c>
      <c r="C23" s="296"/>
      <c r="D23" s="295"/>
      <c r="E23" s="295"/>
      <c r="F23" s="295"/>
      <c r="G23" s="295"/>
      <c r="H23" s="295">
        <f>H6</f>
        <v>0</v>
      </c>
      <c r="I23" s="295">
        <f>I6</f>
        <v>0</v>
      </c>
      <c r="J23" s="629">
        <f>J6</f>
        <v>0</v>
      </c>
    </row>
    <row r="24" spans="1:10" ht="16.5" x14ac:dyDescent="0.3">
      <c r="A24" s="293"/>
      <c r="B24" s="292" t="s">
        <v>1</v>
      </c>
      <c r="C24" s="292"/>
      <c r="D24" s="291"/>
      <c r="E24" s="291"/>
      <c r="F24" s="291"/>
      <c r="G24" s="291"/>
      <c r="H24" s="291">
        <f>H20</f>
        <v>406.8</v>
      </c>
      <c r="I24" s="291">
        <f>I20</f>
        <v>67.5</v>
      </c>
      <c r="J24" s="628">
        <f>J20</f>
        <v>67.5</v>
      </c>
    </row>
    <row r="25" spans="1:10" ht="16.5" x14ac:dyDescent="0.3">
      <c r="A25" s="289"/>
      <c r="B25" s="288" t="s">
        <v>0</v>
      </c>
      <c r="C25" s="288"/>
      <c r="D25" s="287"/>
      <c r="E25" s="287"/>
      <c r="F25" s="287"/>
      <c r="G25" s="287"/>
      <c r="H25" s="287">
        <f>H23-H24</f>
        <v>-406.8</v>
      </c>
      <c r="I25" s="287">
        <f>I23-I24</f>
        <v>-67.5</v>
      </c>
      <c r="J25" s="627">
        <f>J23-J24</f>
        <v>-67.5</v>
      </c>
    </row>
  </sheetData>
  <mergeCells count="4">
    <mergeCell ref="A1:J1"/>
    <mergeCell ref="A4:C4"/>
    <mergeCell ref="A8:C8"/>
    <mergeCell ref="A22:C22"/>
  </mergeCells>
  <pageMargins left="0.75" right="0.75" top="1" bottom="1" header="0.3" footer="0.3"/>
  <pageSetup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3D903-289E-4AE6-9394-132140024797}">
  <sheetPr codeName="Sheet13"/>
  <dimension ref="A1:L84"/>
  <sheetViews>
    <sheetView zoomScale="110" workbookViewId="0">
      <pane ySplit="2" topLeftCell="A29" activePane="bottomLeft" state="frozen"/>
      <selection pane="bottomLeft" activeCell="L52" sqref="L52"/>
    </sheetView>
  </sheetViews>
  <sheetFormatPr defaultColWidth="8.85546875" defaultRowHeight="16.5" x14ac:dyDescent="0.3"/>
  <cols>
    <col min="1" max="1" width="11" style="583" customWidth="1"/>
    <col min="2" max="2" width="8.85546875" style="585"/>
    <col min="3" max="3" width="24.140625" style="583" customWidth="1"/>
    <col min="4" max="4" width="40.140625" style="583" bestFit="1" customWidth="1"/>
    <col min="5" max="5" width="11.28515625" style="584" customWidth="1"/>
    <col min="6" max="6" width="11.28515625" style="583" customWidth="1"/>
    <col min="7" max="7" width="10.85546875" style="584" customWidth="1"/>
    <col min="8" max="8" width="13.7109375" style="583" bestFit="1" customWidth="1"/>
    <col min="9" max="9" width="10.28515625" style="584" hidden="1" customWidth="1"/>
    <col min="10" max="10" width="9.140625" style="584" customWidth="1"/>
    <col min="11" max="16384" width="8.85546875" style="583"/>
  </cols>
  <sheetData>
    <row r="1" spans="1:12" ht="30.75" x14ac:dyDescent="0.55000000000000004">
      <c r="A1" s="626" t="s">
        <v>644</v>
      </c>
      <c r="B1" s="625"/>
      <c r="C1" s="625"/>
      <c r="D1" s="625"/>
      <c r="E1" s="625"/>
      <c r="F1" s="625"/>
      <c r="G1" s="625"/>
      <c r="H1" s="625"/>
      <c r="I1" s="625"/>
      <c r="J1" s="624"/>
    </row>
    <row r="2" spans="1:12" x14ac:dyDescent="0.3">
      <c r="A2" s="623"/>
      <c r="B2" s="622" t="s">
        <v>213</v>
      </c>
      <c r="C2" s="399" t="s">
        <v>212</v>
      </c>
      <c r="D2" s="621" t="s">
        <v>211</v>
      </c>
      <c r="E2" s="400" t="s">
        <v>210</v>
      </c>
      <c r="F2" s="620" t="s">
        <v>209</v>
      </c>
      <c r="G2" s="619" t="s">
        <v>208</v>
      </c>
      <c r="H2" s="619" t="s">
        <v>207</v>
      </c>
      <c r="I2" s="619" t="s">
        <v>232</v>
      </c>
      <c r="J2" s="618" t="s">
        <v>206</v>
      </c>
    </row>
    <row r="3" spans="1:12" x14ac:dyDescent="0.3">
      <c r="A3" s="386" t="s">
        <v>81</v>
      </c>
      <c r="B3" s="431"/>
      <c r="C3" s="431"/>
      <c r="D3" s="298"/>
      <c r="E3" s="298"/>
      <c r="F3" s="299"/>
      <c r="G3" s="298"/>
      <c r="H3" s="298"/>
      <c r="I3" s="298"/>
      <c r="J3" s="297"/>
    </row>
    <row r="4" spans="1:12" x14ac:dyDescent="0.3">
      <c r="A4" s="614" t="s">
        <v>627</v>
      </c>
      <c r="B4" s="593"/>
      <c r="C4" s="592"/>
      <c r="D4" s="592"/>
      <c r="E4" s="592"/>
      <c r="F4" s="592"/>
      <c r="G4" s="592"/>
      <c r="H4" s="592"/>
      <c r="I4" s="591"/>
      <c r="J4" s="611"/>
    </row>
    <row r="5" spans="1:12" x14ac:dyDescent="0.3">
      <c r="A5" s="594"/>
      <c r="B5" s="615">
        <v>11.01</v>
      </c>
      <c r="C5" s="606" t="s">
        <v>643</v>
      </c>
      <c r="D5" s="606" t="s">
        <v>642</v>
      </c>
      <c r="E5" s="605">
        <v>25</v>
      </c>
      <c r="F5" s="606">
        <v>180</v>
      </c>
      <c r="G5" s="605">
        <f>E5*F5</f>
        <v>4500</v>
      </c>
      <c r="H5" s="605">
        <f>G5*1.13</f>
        <v>5084.9999999999991</v>
      </c>
      <c r="I5" s="612">
        <f>'[1]Frozen Pivot'!B361</f>
        <v>2842.78</v>
      </c>
      <c r="J5" s="612">
        <v>2842.78</v>
      </c>
      <c r="L5" s="584"/>
    </row>
    <row r="6" spans="1:12" x14ac:dyDescent="0.3">
      <c r="A6" s="594"/>
      <c r="B6" s="593"/>
      <c r="C6" s="592"/>
      <c r="D6" s="592"/>
      <c r="E6" s="591"/>
      <c r="F6" s="592"/>
      <c r="G6" s="591"/>
      <c r="H6" s="591"/>
      <c r="I6" s="591"/>
      <c r="J6" s="611"/>
    </row>
    <row r="7" spans="1:12" x14ac:dyDescent="0.3">
      <c r="A7" s="594"/>
      <c r="B7" s="603" t="s">
        <v>641</v>
      </c>
      <c r="C7" s="601"/>
      <c r="D7" s="610"/>
      <c r="E7" s="610"/>
      <c r="F7" s="599"/>
      <c r="G7" s="610"/>
      <c r="H7" s="599">
        <f>SUM(H5:H5)</f>
        <v>5084.9999999999991</v>
      </c>
      <c r="I7" s="599">
        <f>I5</f>
        <v>2842.78</v>
      </c>
      <c r="J7" s="598">
        <f>J5</f>
        <v>2842.78</v>
      </c>
      <c r="K7" s="617"/>
    </row>
    <row r="8" spans="1:12" x14ac:dyDescent="0.3">
      <c r="A8" s="594"/>
      <c r="B8" s="593"/>
      <c r="C8" s="592"/>
      <c r="D8" s="592"/>
      <c r="E8" s="591"/>
      <c r="F8" s="592"/>
      <c r="G8" s="591"/>
      <c r="H8" s="592"/>
      <c r="I8" s="591"/>
      <c r="J8" s="611"/>
    </row>
    <row r="9" spans="1:12" x14ac:dyDescent="0.3">
      <c r="A9" s="594"/>
      <c r="B9" s="593"/>
      <c r="C9" s="597" t="s">
        <v>59</v>
      </c>
      <c r="D9" s="592"/>
      <c r="E9" s="596"/>
      <c r="F9" s="597"/>
      <c r="G9" s="596"/>
      <c r="H9" s="596">
        <f>H7</f>
        <v>5084.9999999999991</v>
      </c>
      <c r="I9" s="596">
        <f>I7</f>
        <v>2842.78</v>
      </c>
      <c r="J9" s="595">
        <f>J7</f>
        <v>2842.78</v>
      </c>
    </row>
    <row r="10" spans="1:12" x14ac:dyDescent="0.3">
      <c r="A10" s="594"/>
      <c r="B10" s="593"/>
      <c r="C10" s="592"/>
      <c r="D10" s="592"/>
      <c r="E10" s="592"/>
      <c r="F10" s="592"/>
      <c r="G10" s="592"/>
      <c r="H10" s="592"/>
      <c r="I10" s="591"/>
      <c r="J10" s="590"/>
    </row>
    <row r="11" spans="1:12" x14ac:dyDescent="0.3">
      <c r="A11" s="301" t="s">
        <v>58</v>
      </c>
      <c r="B11" s="300"/>
      <c r="C11" s="300"/>
      <c r="D11" s="298"/>
      <c r="E11" s="298"/>
      <c r="F11" s="299"/>
      <c r="G11" s="298"/>
      <c r="H11" s="298"/>
      <c r="I11" s="298"/>
      <c r="J11" s="297"/>
    </row>
    <row r="12" spans="1:12" x14ac:dyDescent="0.3">
      <c r="A12" s="614" t="s">
        <v>640</v>
      </c>
      <c r="B12" s="593"/>
      <c r="C12" s="592"/>
      <c r="D12" s="592"/>
      <c r="E12" s="591"/>
      <c r="F12" s="592"/>
      <c r="G12" s="591"/>
      <c r="H12" s="592"/>
      <c r="I12" s="591"/>
      <c r="J12" s="611"/>
    </row>
    <row r="13" spans="1:12" x14ac:dyDescent="0.3">
      <c r="A13" s="594"/>
      <c r="B13" s="615">
        <f>B5+0.01</f>
        <v>11.02</v>
      </c>
      <c r="C13" s="606" t="s">
        <v>639</v>
      </c>
      <c r="D13" s="606" t="s">
        <v>638</v>
      </c>
      <c r="E13" s="605">
        <v>14</v>
      </c>
      <c r="F13" s="606">
        <v>20</v>
      </c>
      <c r="G13" s="605">
        <f>E13*F13</f>
        <v>280</v>
      </c>
      <c r="H13" s="605">
        <f>G13*1.13</f>
        <v>316.39999999999998</v>
      </c>
      <c r="I13" s="612">
        <f>'[1]Frozen Pivot'!$B$362</f>
        <v>0</v>
      </c>
      <c r="J13" s="612">
        <v>0</v>
      </c>
      <c r="K13" s="583" t="s">
        <v>92</v>
      </c>
    </row>
    <row r="14" spans="1:12" x14ac:dyDescent="0.3">
      <c r="A14" s="594"/>
      <c r="B14" s="593"/>
      <c r="C14" s="592"/>
      <c r="D14" s="592"/>
      <c r="E14" s="591"/>
      <c r="F14" s="592"/>
      <c r="G14" s="591"/>
      <c r="H14" s="591"/>
      <c r="I14" s="591"/>
      <c r="J14" s="611"/>
    </row>
    <row r="15" spans="1:12" x14ac:dyDescent="0.3">
      <c r="A15" s="594"/>
      <c r="B15" s="603" t="s">
        <v>637</v>
      </c>
      <c r="C15" s="601"/>
      <c r="D15" s="610"/>
      <c r="E15" s="599"/>
      <c r="F15" s="610"/>
      <c r="G15" s="599"/>
      <c r="H15" s="599">
        <f>H13</f>
        <v>316.39999999999998</v>
      </c>
      <c r="I15" s="599">
        <v>0</v>
      </c>
      <c r="J15" s="598">
        <v>0</v>
      </c>
    </row>
    <row r="16" spans="1:12" x14ac:dyDescent="0.3">
      <c r="A16" s="594"/>
      <c r="B16" s="593"/>
      <c r="C16" s="592"/>
      <c r="D16" s="592"/>
      <c r="E16" s="591"/>
      <c r="F16" s="592"/>
      <c r="G16" s="591"/>
      <c r="H16" s="591"/>
      <c r="I16" s="591"/>
      <c r="J16" s="611"/>
    </row>
    <row r="17" spans="1:10" x14ac:dyDescent="0.3">
      <c r="A17" s="614" t="s">
        <v>636</v>
      </c>
      <c r="B17" s="593"/>
      <c r="C17" s="592"/>
      <c r="D17" s="592"/>
      <c r="E17" s="591"/>
      <c r="F17" s="592"/>
      <c r="G17" s="591"/>
      <c r="H17" s="592"/>
      <c r="I17" s="591"/>
      <c r="J17" s="611"/>
    </row>
    <row r="18" spans="1:10" x14ac:dyDescent="0.3">
      <c r="A18" s="594"/>
      <c r="B18" s="615">
        <f>B13+0.01</f>
        <v>11.03</v>
      </c>
      <c r="C18" s="606" t="s">
        <v>352</v>
      </c>
      <c r="D18" s="606" t="s">
        <v>635</v>
      </c>
      <c r="E18" s="605">
        <v>8</v>
      </c>
      <c r="F18" s="606">
        <v>21</v>
      </c>
      <c r="G18" s="605">
        <f>E18*F18</f>
        <v>168</v>
      </c>
      <c r="H18" s="605">
        <f>G18*1.13</f>
        <v>189.83999999999997</v>
      </c>
      <c r="I18" s="612">
        <f>'[1]Frozen Pivot'!B363</f>
        <v>0</v>
      </c>
      <c r="J18" s="612">
        <v>0</v>
      </c>
    </row>
    <row r="19" spans="1:10" x14ac:dyDescent="0.3">
      <c r="A19" s="594"/>
      <c r="B19" s="593">
        <f>B18+0.01</f>
        <v>11.04</v>
      </c>
      <c r="C19" s="592" t="s">
        <v>634</v>
      </c>
      <c r="D19" s="592" t="s">
        <v>633</v>
      </c>
      <c r="E19" s="591">
        <v>20</v>
      </c>
      <c r="F19" s="592">
        <v>23</v>
      </c>
      <c r="G19" s="591">
        <f>E19*F19</f>
        <v>460</v>
      </c>
      <c r="H19" s="591">
        <f>G19*1.13</f>
        <v>519.79999999999995</v>
      </c>
      <c r="I19" s="611">
        <f>'[1]Frozen Pivot'!B364</f>
        <v>0</v>
      </c>
      <c r="J19" s="611">
        <v>0</v>
      </c>
    </row>
    <row r="20" spans="1:10" x14ac:dyDescent="0.3">
      <c r="A20" s="594"/>
      <c r="B20" s="615">
        <f>B19+0.01</f>
        <v>11.049999999999999</v>
      </c>
      <c r="C20" s="606" t="s">
        <v>632</v>
      </c>
      <c r="D20" s="606" t="s">
        <v>631</v>
      </c>
      <c r="E20" s="605">
        <v>25</v>
      </c>
      <c r="F20" s="606">
        <v>21</v>
      </c>
      <c r="G20" s="605">
        <f>E20*F20</f>
        <v>525</v>
      </c>
      <c r="H20" s="605">
        <f>G20*1.13</f>
        <v>593.25</v>
      </c>
      <c r="I20" s="612">
        <f>'[1]Frozen Pivot'!B365</f>
        <v>0</v>
      </c>
      <c r="J20" s="612">
        <v>0</v>
      </c>
    </row>
    <row r="21" spans="1:10" x14ac:dyDescent="0.3">
      <c r="A21" s="594"/>
      <c r="B21" s="593">
        <f>B20+0.01</f>
        <v>11.059999999999999</v>
      </c>
      <c r="C21" s="592" t="s">
        <v>630</v>
      </c>
      <c r="D21" s="592" t="s">
        <v>629</v>
      </c>
      <c r="E21" s="591">
        <v>15.04</v>
      </c>
      <c r="F21" s="592">
        <v>46</v>
      </c>
      <c r="G21" s="591">
        <f>E21*F21</f>
        <v>691.83999999999992</v>
      </c>
      <c r="H21" s="591">
        <f>G21*1.13</f>
        <v>781.77919999999983</v>
      </c>
      <c r="I21" s="611">
        <f>'[1]Frozen Pivot'!B366</f>
        <v>0</v>
      </c>
      <c r="J21" s="611">
        <v>0</v>
      </c>
    </row>
    <row r="22" spans="1:10" x14ac:dyDescent="0.3">
      <c r="A22" s="594"/>
      <c r="B22" s="593"/>
      <c r="C22" s="592"/>
      <c r="D22" s="592"/>
      <c r="E22" s="591"/>
      <c r="F22" s="592"/>
      <c r="G22" s="591"/>
      <c r="H22" s="591"/>
      <c r="I22" s="591"/>
      <c r="J22" s="611"/>
    </row>
    <row r="23" spans="1:10" x14ac:dyDescent="0.3">
      <c r="A23" s="594"/>
      <c r="B23" s="603" t="s">
        <v>628</v>
      </c>
      <c r="C23" s="601"/>
      <c r="D23" s="601"/>
      <c r="E23" s="600"/>
      <c r="F23" s="601"/>
      <c r="G23" s="600"/>
      <c r="H23" s="599">
        <f>SUM(H18:H21)</f>
        <v>2084.6691999999998</v>
      </c>
      <c r="I23" s="599">
        <v>0</v>
      </c>
      <c r="J23" s="598">
        <v>0</v>
      </c>
    </row>
    <row r="24" spans="1:10" x14ac:dyDescent="0.3">
      <c r="A24" s="594"/>
      <c r="B24" s="593"/>
      <c r="C24" s="592"/>
      <c r="D24" s="592"/>
      <c r="E24" s="591"/>
      <c r="F24" s="592"/>
      <c r="G24" s="591"/>
      <c r="H24" s="591"/>
      <c r="I24" s="591"/>
      <c r="J24" s="611"/>
    </row>
    <row r="25" spans="1:10" x14ac:dyDescent="0.3">
      <c r="A25" s="614" t="s">
        <v>627</v>
      </c>
      <c r="B25" s="593"/>
      <c r="C25" s="592"/>
      <c r="D25" s="592" t="s">
        <v>626</v>
      </c>
      <c r="E25" s="591"/>
      <c r="F25" s="592"/>
      <c r="G25" s="591"/>
      <c r="H25" s="592"/>
      <c r="I25" s="591"/>
      <c r="J25" s="611"/>
    </row>
    <row r="26" spans="1:10" x14ac:dyDescent="0.3">
      <c r="A26" s="594"/>
      <c r="B26" s="615">
        <f>B21+0.01</f>
        <v>11.069999999999999</v>
      </c>
      <c r="C26" s="606" t="s">
        <v>625</v>
      </c>
      <c r="D26" s="606" t="s">
        <v>624</v>
      </c>
      <c r="E26" s="605">
        <v>1</v>
      </c>
      <c r="F26" s="606">
        <v>180</v>
      </c>
      <c r="G26" s="605">
        <f>E26*F26</f>
        <v>180</v>
      </c>
      <c r="H26" s="605">
        <f>G26*1.13</f>
        <v>203.39999999999998</v>
      </c>
      <c r="I26" s="612">
        <f>'[1]Frozen Pivot'!B367</f>
        <v>444.49</v>
      </c>
      <c r="J26" s="612">
        <v>444.49</v>
      </c>
    </row>
    <row r="27" spans="1:10" x14ac:dyDescent="0.3">
      <c r="A27" s="594"/>
      <c r="B27" s="593">
        <f>B26+0.01</f>
        <v>11.079999999999998</v>
      </c>
      <c r="C27" s="592" t="s">
        <v>623</v>
      </c>
      <c r="D27" s="592" t="s">
        <v>622</v>
      </c>
      <c r="E27" s="591">
        <v>600</v>
      </c>
      <c r="F27" s="592">
        <v>1</v>
      </c>
      <c r="G27" s="591">
        <f>E27*F27</f>
        <v>600</v>
      </c>
      <c r="H27" s="591">
        <f>G27*1.13</f>
        <v>677.99999999999989</v>
      </c>
      <c r="I27" s="611">
        <f>'[1]Frozen Pivot'!B368</f>
        <v>728</v>
      </c>
      <c r="J27" s="611">
        <v>728</v>
      </c>
    </row>
    <row r="28" spans="1:10" x14ac:dyDescent="0.3">
      <c r="A28" s="594"/>
      <c r="B28" s="615">
        <f>B27+0.01</f>
        <v>11.089999999999998</v>
      </c>
      <c r="C28" s="606" t="s">
        <v>621</v>
      </c>
      <c r="D28" s="606" t="s">
        <v>620</v>
      </c>
      <c r="E28" s="605">
        <v>700</v>
      </c>
      <c r="F28" s="606">
        <v>1</v>
      </c>
      <c r="G28" s="605">
        <f>E28*F28</f>
        <v>700</v>
      </c>
      <c r="H28" s="605">
        <f>G28*1.13</f>
        <v>790.99999999999989</v>
      </c>
      <c r="I28" s="612">
        <f>'[1]Frozen Pivot'!B369</f>
        <v>728</v>
      </c>
      <c r="J28" s="612">
        <v>728</v>
      </c>
    </row>
    <row r="29" spans="1:10" x14ac:dyDescent="0.3">
      <c r="A29" s="594"/>
      <c r="B29" s="613">
        <f>B28+0.01</f>
        <v>11.099999999999998</v>
      </c>
      <c r="C29" s="592" t="s">
        <v>619</v>
      </c>
      <c r="D29" s="592" t="s">
        <v>618</v>
      </c>
      <c r="E29" s="591">
        <v>40</v>
      </c>
      <c r="F29" s="592">
        <v>3</v>
      </c>
      <c r="G29" s="591">
        <f>E29*F29</f>
        <v>120</v>
      </c>
      <c r="H29" s="591">
        <f>G29*1.13</f>
        <v>135.6</v>
      </c>
      <c r="I29" s="611">
        <f>'[1]Frozen Pivot'!B370</f>
        <v>242.43</v>
      </c>
      <c r="J29" s="611">
        <v>242.43</v>
      </c>
    </row>
    <row r="30" spans="1:10" x14ac:dyDescent="0.3">
      <c r="A30" s="594"/>
      <c r="B30" s="615">
        <f>B29+0.01</f>
        <v>11.109999999999998</v>
      </c>
      <c r="C30" s="606" t="s">
        <v>590</v>
      </c>
      <c r="D30" s="606" t="s">
        <v>617</v>
      </c>
      <c r="E30" s="605">
        <v>60</v>
      </c>
      <c r="F30" s="606">
        <v>2</v>
      </c>
      <c r="G30" s="605">
        <f>E30*F30</f>
        <v>120</v>
      </c>
      <c r="H30" s="605">
        <f>G30*1.13</f>
        <v>135.6</v>
      </c>
      <c r="I30" s="612">
        <f>'[1]Frozen Pivot'!B371</f>
        <v>394.64</v>
      </c>
      <c r="J30" s="612">
        <v>394.64</v>
      </c>
    </row>
    <row r="31" spans="1:10" x14ac:dyDescent="0.3">
      <c r="A31" s="594"/>
      <c r="B31" s="593">
        <f>B30+0.01</f>
        <v>11.119999999999997</v>
      </c>
      <c r="C31" s="592" t="s">
        <v>616</v>
      </c>
      <c r="D31" s="592" t="s">
        <v>92</v>
      </c>
      <c r="E31" s="591">
        <v>10</v>
      </c>
      <c r="F31" s="592">
        <v>197</v>
      </c>
      <c r="G31" s="591">
        <f>E31*F31</f>
        <v>1970</v>
      </c>
      <c r="H31" s="591">
        <f>G31*1.13</f>
        <v>2226.1</v>
      </c>
      <c r="I31" s="611">
        <f>'[1]Frozen Pivot'!B372</f>
        <v>1949.25</v>
      </c>
      <c r="J31" s="611">
        <v>1949.25</v>
      </c>
    </row>
    <row r="32" spans="1:10" x14ac:dyDescent="0.3">
      <c r="A32" s="594"/>
      <c r="B32" s="615">
        <f>B31+0.01</f>
        <v>11.129999999999997</v>
      </c>
      <c r="C32" s="606" t="s">
        <v>415</v>
      </c>
      <c r="D32" s="606" t="s">
        <v>92</v>
      </c>
      <c r="E32" s="605">
        <v>15</v>
      </c>
      <c r="F32" s="606">
        <v>197</v>
      </c>
      <c r="G32" s="605">
        <f>E32*F32</f>
        <v>2955</v>
      </c>
      <c r="H32" s="605">
        <f>G32*1.13</f>
        <v>3339.1499999999996</v>
      </c>
      <c r="I32" s="612">
        <f>'[1]Frozen Pivot'!B373</f>
        <v>1949.25</v>
      </c>
      <c r="J32" s="612">
        <v>1949.25</v>
      </c>
    </row>
    <row r="33" spans="1:11" x14ac:dyDescent="0.3">
      <c r="A33" s="594"/>
      <c r="B33" s="593">
        <f>B32+0.01</f>
        <v>11.139999999999997</v>
      </c>
      <c r="C33" s="592" t="s">
        <v>615</v>
      </c>
      <c r="D33" s="592" t="s">
        <v>614</v>
      </c>
      <c r="E33" s="591">
        <v>15</v>
      </c>
      <c r="F33" s="592">
        <v>15</v>
      </c>
      <c r="G33" s="591">
        <f>E33*F33</f>
        <v>225</v>
      </c>
      <c r="H33" s="591">
        <f>G33*1.13</f>
        <v>254.24999999999997</v>
      </c>
      <c r="I33" s="611">
        <f>'[1]Frozen Pivot'!B374</f>
        <v>0</v>
      </c>
      <c r="J33" s="611">
        <v>0</v>
      </c>
    </row>
    <row r="34" spans="1:11" x14ac:dyDescent="0.3">
      <c r="A34" s="594"/>
      <c r="B34" s="615">
        <f>B33+0.01</f>
        <v>11.149999999999997</v>
      </c>
      <c r="C34" s="606" t="s">
        <v>251</v>
      </c>
      <c r="D34" s="606" t="s">
        <v>613</v>
      </c>
      <c r="E34" s="605">
        <v>3</v>
      </c>
      <c r="F34" s="606">
        <v>60</v>
      </c>
      <c r="G34" s="605">
        <f>E34*F34</f>
        <v>180</v>
      </c>
      <c r="H34" s="605">
        <f>G34*1.13</f>
        <v>203.39999999999998</v>
      </c>
      <c r="I34" s="612">
        <f>'[1]Frozen Pivot'!B375</f>
        <v>301.88</v>
      </c>
      <c r="J34" s="612">
        <v>301.88</v>
      </c>
    </row>
    <row r="35" spans="1:11" x14ac:dyDescent="0.3">
      <c r="A35" s="594"/>
      <c r="B35" s="593">
        <f>B34+0.01</f>
        <v>11.159999999999997</v>
      </c>
      <c r="C35" s="592" t="s">
        <v>612</v>
      </c>
      <c r="D35" s="592" t="s">
        <v>611</v>
      </c>
      <c r="E35" s="591">
        <v>400</v>
      </c>
      <c r="F35" s="592">
        <v>2</v>
      </c>
      <c r="G35" s="591">
        <f>E35*F35</f>
        <v>800</v>
      </c>
      <c r="H35" s="591">
        <f>G35*1.13</f>
        <v>903.99999999999989</v>
      </c>
      <c r="I35" s="611">
        <f>'[1]Frozen Pivot'!B376</f>
        <v>837.37</v>
      </c>
      <c r="J35" s="611">
        <v>837.37</v>
      </c>
    </row>
    <row r="36" spans="1:11" x14ac:dyDescent="0.3">
      <c r="A36" s="594"/>
      <c r="B36" s="615">
        <f>B35+0.01</f>
        <v>11.169999999999996</v>
      </c>
      <c r="C36" s="606" t="s">
        <v>240</v>
      </c>
      <c r="D36" s="606" t="s">
        <v>610</v>
      </c>
      <c r="E36" s="605">
        <v>30</v>
      </c>
      <c r="F36" s="606">
        <v>13</v>
      </c>
      <c r="G36" s="605">
        <f>E36*F36</f>
        <v>390</v>
      </c>
      <c r="H36" s="605">
        <f>G36*1.13</f>
        <v>440.69999999999993</v>
      </c>
      <c r="I36" s="612">
        <f>'[1]Frozen Pivot'!B377</f>
        <v>871.23</v>
      </c>
      <c r="J36" s="612">
        <v>871.23</v>
      </c>
    </row>
    <row r="37" spans="1:11" x14ac:dyDescent="0.3">
      <c r="A37" s="594"/>
      <c r="B37" s="593">
        <f>B36+0.01</f>
        <v>11.179999999999996</v>
      </c>
      <c r="C37" s="592" t="s">
        <v>609</v>
      </c>
      <c r="D37" s="592" t="s">
        <v>607</v>
      </c>
      <c r="E37" s="591">
        <v>288.14999999999998</v>
      </c>
      <c r="F37" s="592">
        <v>1</v>
      </c>
      <c r="G37" s="591">
        <f>E37*F37</f>
        <v>288.14999999999998</v>
      </c>
      <c r="H37" s="591">
        <f>G37*1.13</f>
        <v>325.60949999999997</v>
      </c>
      <c r="I37" s="611">
        <f>'[1]Frozen Pivot'!B378</f>
        <v>114.565</v>
      </c>
      <c r="J37" s="611">
        <v>114.565</v>
      </c>
    </row>
    <row r="38" spans="1:11" x14ac:dyDescent="0.3">
      <c r="A38" s="594"/>
      <c r="B38" s="615">
        <f>B37+0.01</f>
        <v>11.189999999999996</v>
      </c>
      <c r="C38" s="606" t="s">
        <v>608</v>
      </c>
      <c r="D38" s="606" t="s">
        <v>607</v>
      </c>
      <c r="E38" s="605">
        <v>491.55</v>
      </c>
      <c r="F38" s="606">
        <v>1</v>
      </c>
      <c r="G38" s="605">
        <f>E38*F38</f>
        <v>491.55</v>
      </c>
      <c r="H38" s="605">
        <f>G38*1.13</f>
        <v>555.45150000000001</v>
      </c>
      <c r="I38" s="612">
        <f>'[1]Frozen Pivot'!B379</f>
        <v>114.565</v>
      </c>
      <c r="J38" s="612">
        <v>114.565</v>
      </c>
    </row>
    <row r="39" spans="1:11" x14ac:dyDescent="0.3">
      <c r="A39" s="594"/>
      <c r="B39" s="613">
        <f>B38+0.01</f>
        <v>11.199999999999996</v>
      </c>
      <c r="C39" s="592" t="s">
        <v>606</v>
      </c>
      <c r="D39" s="592" t="s">
        <v>605</v>
      </c>
      <c r="E39" s="616">
        <v>3</v>
      </c>
      <c r="F39" s="592">
        <v>197</v>
      </c>
      <c r="G39" s="591">
        <f>E39*F39</f>
        <v>591</v>
      </c>
      <c r="H39" s="591">
        <f>G39*1.13</f>
        <v>667.82999999999993</v>
      </c>
      <c r="I39" s="611">
        <f>'[1]Frozen Pivot'!B380</f>
        <v>206.23</v>
      </c>
      <c r="J39" s="611">
        <v>206.23</v>
      </c>
    </row>
    <row r="40" spans="1:11" x14ac:dyDescent="0.3">
      <c r="A40" s="594"/>
      <c r="B40" s="615">
        <f>B39+0.01</f>
        <v>11.209999999999996</v>
      </c>
      <c r="C40" s="606" t="s">
        <v>579</v>
      </c>
      <c r="D40" s="606" t="s">
        <v>604</v>
      </c>
      <c r="E40" s="605">
        <v>30</v>
      </c>
      <c r="F40" s="606">
        <v>4</v>
      </c>
      <c r="G40" s="605">
        <f>E40*F40</f>
        <v>120</v>
      </c>
      <c r="H40" s="606">
        <f>G40*1.13</f>
        <v>135.6</v>
      </c>
      <c r="I40" s="612">
        <f>'[1]Frozen Pivot'!B381</f>
        <v>150.88</v>
      </c>
      <c r="J40" s="612">
        <v>150.88</v>
      </c>
    </row>
    <row r="41" spans="1:11" x14ac:dyDescent="0.3">
      <c r="A41" s="594"/>
      <c r="B41" s="593"/>
      <c r="C41" s="592"/>
      <c r="D41" s="592"/>
      <c r="E41" s="591"/>
      <c r="F41" s="592"/>
      <c r="G41" s="591"/>
      <c r="H41" s="592"/>
      <c r="I41" s="591"/>
      <c r="J41" s="611"/>
    </row>
    <row r="42" spans="1:11" x14ac:dyDescent="0.3">
      <c r="A42" s="594"/>
      <c r="B42" s="603" t="s">
        <v>603</v>
      </c>
      <c r="C42" s="601"/>
      <c r="D42" s="610"/>
      <c r="E42" s="599"/>
      <c r="F42" s="610"/>
      <c r="G42" s="599"/>
      <c r="H42" s="599">
        <f>SUM(H26:H40)</f>
        <v>10995.690999999999</v>
      </c>
      <c r="I42" s="599">
        <f>SUM(I26:I40)</f>
        <v>9032.7799999999988</v>
      </c>
      <c r="J42" s="598">
        <f>SUM(J26:J40)</f>
        <v>9032.7799999999988</v>
      </c>
    </row>
    <row r="43" spans="1:11" x14ac:dyDescent="0.3">
      <c r="A43" s="594"/>
      <c r="B43" s="593"/>
      <c r="C43" s="592"/>
      <c r="D43" s="592"/>
      <c r="E43" s="591"/>
      <c r="F43" s="592"/>
      <c r="G43" s="591"/>
      <c r="H43" s="592"/>
      <c r="I43" s="591"/>
      <c r="J43" s="611"/>
    </row>
    <row r="44" spans="1:11" x14ac:dyDescent="0.3">
      <c r="A44" s="614" t="s">
        <v>602</v>
      </c>
      <c r="B44" s="593"/>
      <c r="C44" s="592"/>
      <c r="D44" s="592"/>
      <c r="E44" s="591"/>
      <c r="F44" s="592"/>
      <c r="G44" s="591"/>
      <c r="H44" s="592"/>
      <c r="I44" s="591"/>
      <c r="J44" s="611"/>
    </row>
    <row r="45" spans="1:11" x14ac:dyDescent="0.3">
      <c r="A45" s="594"/>
      <c r="B45" s="615">
        <f>B40+0.01</f>
        <v>11.219999999999995</v>
      </c>
      <c r="C45" s="606" t="s">
        <v>596</v>
      </c>
      <c r="D45" s="606" t="s">
        <v>601</v>
      </c>
      <c r="E45" s="605">
        <v>19.5</v>
      </c>
      <c r="F45" s="606">
        <v>15</v>
      </c>
      <c r="G45" s="605">
        <f>E45*F45</f>
        <v>292.5</v>
      </c>
      <c r="H45" s="605">
        <f>G45*1.13</f>
        <v>330.52499999999998</v>
      </c>
      <c r="I45" s="612">
        <f>'[1]Frozen Pivot'!B382</f>
        <v>292.5</v>
      </c>
      <c r="J45" s="612">
        <v>292.5</v>
      </c>
    </row>
    <row r="46" spans="1:11" x14ac:dyDescent="0.3">
      <c r="A46" s="594"/>
      <c r="B46" s="593">
        <f>B45+0.01</f>
        <v>11.229999999999995</v>
      </c>
      <c r="C46" s="592" t="s">
        <v>596</v>
      </c>
      <c r="D46" s="592" t="s">
        <v>600</v>
      </c>
      <c r="E46" s="591">
        <v>19.5</v>
      </c>
      <c r="F46" s="592">
        <v>15</v>
      </c>
      <c r="G46" s="591">
        <f>E46*F46</f>
        <v>292.5</v>
      </c>
      <c r="H46" s="591">
        <f>G46*1.13</f>
        <v>330.52499999999998</v>
      </c>
      <c r="I46" s="611">
        <f>'[1]Frozen Pivot'!B383</f>
        <v>392.8</v>
      </c>
      <c r="J46" s="611">
        <v>392.8</v>
      </c>
    </row>
    <row r="47" spans="1:11" x14ac:dyDescent="0.3">
      <c r="A47" s="594"/>
      <c r="B47" s="615">
        <f>B46+0.01</f>
        <v>11.239999999999995</v>
      </c>
      <c r="C47" s="606" t="s">
        <v>596</v>
      </c>
      <c r="D47" s="606" t="s">
        <v>599</v>
      </c>
      <c r="E47" s="605">
        <v>19.5</v>
      </c>
      <c r="F47" s="606">
        <v>13</v>
      </c>
      <c r="G47" s="605">
        <f>E47*F47</f>
        <v>253.5</v>
      </c>
      <c r="H47" s="605">
        <f>G47*1.13</f>
        <v>286.45499999999998</v>
      </c>
      <c r="I47" s="612">
        <f>'[1]Frozen Pivot'!B384</f>
        <v>283</v>
      </c>
      <c r="J47" s="612">
        <v>283</v>
      </c>
    </row>
    <row r="48" spans="1:11" x14ac:dyDescent="0.3">
      <c r="A48" s="594"/>
      <c r="B48" s="593">
        <f>B47+0.01</f>
        <v>11.249999999999995</v>
      </c>
      <c r="C48" s="592" t="s">
        <v>596</v>
      </c>
      <c r="D48" s="592" t="s">
        <v>598</v>
      </c>
      <c r="E48" s="591">
        <v>19.5</v>
      </c>
      <c r="F48" s="592">
        <v>13</v>
      </c>
      <c r="G48" s="591">
        <f>E48*F48</f>
        <v>253.5</v>
      </c>
      <c r="H48" s="591">
        <f>G48*1.13</f>
        <v>286.45499999999998</v>
      </c>
      <c r="I48" s="611">
        <f>'[1]Frozen Pivot'!B385</f>
        <v>0</v>
      </c>
      <c r="J48" s="611">
        <v>0</v>
      </c>
      <c r="K48" s="583" t="s">
        <v>92</v>
      </c>
    </row>
    <row r="49" spans="1:11" x14ac:dyDescent="0.3">
      <c r="A49" s="592"/>
      <c r="B49" s="615">
        <f>B48+0.01</f>
        <v>11.259999999999994</v>
      </c>
      <c r="C49" s="606" t="s">
        <v>596</v>
      </c>
      <c r="D49" s="606" t="s">
        <v>597</v>
      </c>
      <c r="E49" s="605">
        <v>19.5</v>
      </c>
      <c r="F49" s="606">
        <v>5</v>
      </c>
      <c r="G49" s="605">
        <f>E49*F49</f>
        <v>97.5</v>
      </c>
      <c r="H49" s="605">
        <f>G49*1.13</f>
        <v>110.17499999999998</v>
      </c>
      <c r="I49" s="612">
        <f>'[1]Frozen Pivot'!B386</f>
        <v>115</v>
      </c>
      <c r="J49" s="612">
        <v>115</v>
      </c>
    </row>
    <row r="50" spans="1:11" x14ac:dyDescent="0.3">
      <c r="A50" s="592"/>
      <c r="B50" s="593">
        <f>B49+0.01</f>
        <v>11.269999999999994</v>
      </c>
      <c r="C50" s="592" t="s">
        <v>596</v>
      </c>
      <c r="D50" s="592" t="s">
        <v>595</v>
      </c>
      <c r="E50" s="591">
        <v>19.5</v>
      </c>
      <c r="F50" s="592">
        <v>5</v>
      </c>
      <c r="G50" s="591">
        <f>E50*F50</f>
        <v>97.5</v>
      </c>
      <c r="H50" s="591">
        <f>G50*1.13</f>
        <v>110.17499999999998</v>
      </c>
      <c r="I50" s="611">
        <f>'[1]Frozen Pivot'!B387</f>
        <v>0</v>
      </c>
      <c r="J50" s="611">
        <v>0</v>
      </c>
      <c r="K50" s="583" t="s">
        <v>92</v>
      </c>
    </row>
    <row r="51" spans="1:11" x14ac:dyDescent="0.3">
      <c r="A51" s="592"/>
      <c r="B51" s="615"/>
      <c r="C51" s="606"/>
      <c r="D51" s="606"/>
      <c r="E51" s="605"/>
      <c r="F51" s="606"/>
      <c r="G51" s="605"/>
      <c r="H51" s="605"/>
      <c r="I51" s="605"/>
      <c r="J51" s="612"/>
    </row>
    <row r="52" spans="1:11" x14ac:dyDescent="0.3">
      <c r="A52" s="594"/>
      <c r="B52" s="603" t="s">
        <v>594</v>
      </c>
      <c r="C52" s="601"/>
      <c r="D52" s="610"/>
      <c r="E52" s="599"/>
      <c r="F52" s="610"/>
      <c r="G52" s="599"/>
      <c r="H52" s="599">
        <f>SUM(H45:H50)</f>
        <v>1454.3099999999997</v>
      </c>
      <c r="I52" s="599">
        <f>SUM(I45:I50)</f>
        <v>1083.3</v>
      </c>
      <c r="J52" s="599">
        <f>SUM(J45:J50)</f>
        <v>1083.3</v>
      </c>
    </row>
    <row r="53" spans="1:11" x14ac:dyDescent="0.3">
      <c r="A53" s="594"/>
      <c r="B53" s="593"/>
      <c r="C53" s="592"/>
      <c r="D53" s="592"/>
      <c r="E53" s="591"/>
      <c r="F53" s="592"/>
      <c r="G53" s="591"/>
      <c r="H53" s="591"/>
      <c r="I53" s="591"/>
      <c r="J53" s="611"/>
    </row>
    <row r="54" spans="1:11" x14ac:dyDescent="0.3">
      <c r="A54" s="614" t="s">
        <v>593</v>
      </c>
      <c r="B54" s="593"/>
      <c r="C54" s="592"/>
      <c r="D54" s="592"/>
      <c r="E54" s="591"/>
      <c r="F54" s="592"/>
      <c r="G54" s="591"/>
      <c r="H54" s="592"/>
      <c r="I54" s="591"/>
      <c r="J54" s="611"/>
    </row>
    <row r="55" spans="1:11" x14ac:dyDescent="0.3">
      <c r="A55" s="594"/>
      <c r="B55" s="615">
        <f>B50+0.01</f>
        <v>11.279999999999994</v>
      </c>
      <c r="C55" s="606" t="s">
        <v>590</v>
      </c>
      <c r="D55" s="606" t="s">
        <v>592</v>
      </c>
      <c r="E55" s="605">
        <v>60</v>
      </c>
      <c r="F55" s="606">
        <v>1</v>
      </c>
      <c r="G55" s="605">
        <f>F55*E55</f>
        <v>60</v>
      </c>
      <c r="H55" s="605">
        <f>G55*1.13</f>
        <v>67.8</v>
      </c>
      <c r="I55" s="612">
        <f>'[1]Frozen Pivot'!B388</f>
        <v>0</v>
      </c>
      <c r="J55" s="612">
        <v>0</v>
      </c>
    </row>
    <row r="56" spans="1:11" x14ac:dyDescent="0.3">
      <c r="A56" s="594"/>
      <c r="B56" s="593">
        <f>B55+0.01</f>
        <v>11.289999999999994</v>
      </c>
      <c r="C56" s="592" t="s">
        <v>590</v>
      </c>
      <c r="D56" s="592" t="s">
        <v>591</v>
      </c>
      <c r="E56" s="591">
        <v>90</v>
      </c>
      <c r="F56" s="592">
        <v>3</v>
      </c>
      <c r="G56" s="591">
        <f>F56*E56</f>
        <v>270</v>
      </c>
      <c r="H56" s="591">
        <f>G56*1.13</f>
        <v>305.09999999999997</v>
      </c>
      <c r="I56" s="611">
        <f>'[1]Frozen Pivot'!B389</f>
        <v>0</v>
      </c>
      <c r="J56" s="611">
        <v>0</v>
      </c>
    </row>
    <row r="57" spans="1:11" x14ac:dyDescent="0.3">
      <c r="A57" s="594"/>
      <c r="B57" s="607">
        <f>B56+0.01</f>
        <v>11.299999999999994</v>
      </c>
      <c r="C57" s="606" t="s">
        <v>590</v>
      </c>
      <c r="D57" s="606" t="s">
        <v>589</v>
      </c>
      <c r="E57" s="605">
        <v>36</v>
      </c>
      <c r="F57" s="606">
        <v>2</v>
      </c>
      <c r="G57" s="605">
        <f>F57*E57</f>
        <v>72</v>
      </c>
      <c r="H57" s="605">
        <f>G57*1.13</f>
        <v>81.359999999999985</v>
      </c>
      <c r="I57" s="612">
        <f>'[1]Frozen Pivot'!B390</f>
        <v>0</v>
      </c>
      <c r="J57" s="612">
        <v>0</v>
      </c>
    </row>
    <row r="58" spans="1:11" x14ac:dyDescent="0.3">
      <c r="A58" s="594"/>
      <c r="B58" s="593"/>
      <c r="C58" s="592"/>
      <c r="D58" s="592"/>
      <c r="E58" s="591"/>
      <c r="F58" s="592"/>
      <c r="G58" s="591"/>
      <c r="H58" s="591"/>
      <c r="I58" s="591"/>
      <c r="J58" s="611"/>
    </row>
    <row r="59" spans="1:11" x14ac:dyDescent="0.3">
      <c r="A59" s="594"/>
      <c r="B59" s="603" t="s">
        <v>588</v>
      </c>
      <c r="C59" s="601"/>
      <c r="D59" s="610"/>
      <c r="E59" s="599"/>
      <c r="F59" s="610"/>
      <c r="G59" s="599"/>
      <c r="H59" s="599">
        <f>H55+H56+H57</f>
        <v>454.26</v>
      </c>
      <c r="I59" s="599">
        <v>0</v>
      </c>
      <c r="J59" s="598">
        <v>0</v>
      </c>
    </row>
    <row r="60" spans="1:11" x14ac:dyDescent="0.3">
      <c r="A60" s="594"/>
      <c r="B60" s="593"/>
      <c r="C60" s="592"/>
      <c r="D60" s="592"/>
      <c r="E60" s="591"/>
      <c r="F60" s="592"/>
      <c r="G60" s="591"/>
      <c r="H60" s="591"/>
      <c r="I60" s="591"/>
      <c r="J60" s="611"/>
    </row>
    <row r="61" spans="1:11" x14ac:dyDescent="0.3">
      <c r="A61" s="614" t="s">
        <v>587</v>
      </c>
      <c r="B61" s="593"/>
      <c r="C61" s="592"/>
      <c r="D61" s="592"/>
      <c r="E61" s="591"/>
      <c r="F61" s="592"/>
      <c r="G61" s="591"/>
      <c r="H61" s="592"/>
      <c r="I61" s="591"/>
      <c r="J61" s="611"/>
    </row>
    <row r="62" spans="1:11" x14ac:dyDescent="0.3">
      <c r="A62" s="594"/>
      <c r="B62" s="607">
        <f>B57+0.01</f>
        <v>11.309999999999993</v>
      </c>
      <c r="C62" s="606" t="s">
        <v>586</v>
      </c>
      <c r="D62" s="606" t="s">
        <v>585</v>
      </c>
      <c r="E62" s="605">
        <v>125</v>
      </c>
      <c r="F62" s="606">
        <v>1</v>
      </c>
      <c r="G62" s="605">
        <f>E62*F62</f>
        <v>125</v>
      </c>
      <c r="H62" s="605">
        <f>G62*1.13</f>
        <v>141.25</v>
      </c>
      <c r="I62" s="612">
        <f>'[1]Frozen Pivot'!B391</f>
        <v>0</v>
      </c>
      <c r="J62" s="612">
        <v>0</v>
      </c>
    </row>
    <row r="63" spans="1:11" x14ac:dyDescent="0.3">
      <c r="A63" s="594"/>
      <c r="B63" s="613">
        <f>B62+0.01</f>
        <v>11.319999999999993</v>
      </c>
      <c r="C63" s="592" t="s">
        <v>584</v>
      </c>
      <c r="D63" s="592" t="s">
        <v>583</v>
      </c>
      <c r="E63" s="591">
        <v>1.97</v>
      </c>
      <c r="F63" s="592">
        <v>5</v>
      </c>
      <c r="G63" s="591">
        <f>E63*F63</f>
        <v>9.85</v>
      </c>
      <c r="H63" s="591">
        <f>G63*1.13</f>
        <v>11.130499999999998</v>
      </c>
      <c r="I63" s="611">
        <f>'[1]Frozen Pivot'!$B$392</f>
        <v>0</v>
      </c>
      <c r="J63" s="611">
        <v>0</v>
      </c>
    </row>
    <row r="64" spans="1:11" x14ac:dyDescent="0.3">
      <c r="A64" s="594"/>
      <c r="B64" s="615"/>
      <c r="C64" s="606"/>
      <c r="D64" s="606"/>
      <c r="E64" s="605"/>
      <c r="F64" s="606"/>
      <c r="G64" s="605"/>
      <c r="H64" s="605"/>
      <c r="I64" s="605"/>
      <c r="J64" s="612"/>
    </row>
    <row r="65" spans="1:10" x14ac:dyDescent="0.3">
      <c r="A65" s="594"/>
      <c r="B65" s="603" t="s">
        <v>582</v>
      </c>
      <c r="C65" s="601"/>
      <c r="D65" s="610"/>
      <c r="E65" s="599"/>
      <c r="F65" s="610"/>
      <c r="G65" s="599"/>
      <c r="H65" s="599">
        <f>H62+H63</f>
        <v>152.38049999999998</v>
      </c>
      <c r="I65" s="599">
        <v>0</v>
      </c>
      <c r="J65" s="598">
        <v>0</v>
      </c>
    </row>
    <row r="66" spans="1:10" x14ac:dyDescent="0.3">
      <c r="A66" s="594"/>
      <c r="B66" s="593"/>
      <c r="C66" s="597"/>
      <c r="D66" s="597"/>
      <c r="E66" s="596"/>
      <c r="F66" s="597"/>
      <c r="G66" s="596"/>
      <c r="H66" s="596"/>
      <c r="I66" s="596"/>
      <c r="J66" s="595"/>
    </row>
    <row r="67" spans="1:10" x14ac:dyDescent="0.3">
      <c r="A67" s="614" t="s">
        <v>581</v>
      </c>
      <c r="B67" s="593"/>
      <c r="C67" s="592"/>
      <c r="D67" s="592"/>
      <c r="E67" s="591"/>
      <c r="F67" s="592"/>
      <c r="G67" s="591"/>
      <c r="H67" s="592"/>
      <c r="I67" s="591"/>
      <c r="J67" s="611"/>
    </row>
    <row r="68" spans="1:10" x14ac:dyDescent="0.3">
      <c r="A68" s="594"/>
      <c r="B68" s="607">
        <f>B63+0.01</f>
        <v>11.329999999999993</v>
      </c>
      <c r="C68" s="606" t="s">
        <v>252</v>
      </c>
      <c r="D68" s="606" t="s">
        <v>251</v>
      </c>
      <c r="E68" s="605">
        <v>14</v>
      </c>
      <c r="F68" s="606">
        <v>10</v>
      </c>
      <c r="G68" s="605">
        <f>E68*F68</f>
        <v>140</v>
      </c>
      <c r="H68" s="605">
        <f>G68*1.13</f>
        <v>158.19999999999999</v>
      </c>
      <c r="I68" s="612">
        <f>'[1]Frozen Pivot'!$B$393</f>
        <v>0</v>
      </c>
      <c r="J68" s="612">
        <v>0</v>
      </c>
    </row>
    <row r="69" spans="1:10" x14ac:dyDescent="0.3">
      <c r="A69" s="594"/>
      <c r="B69" s="613">
        <f>B68+0.01</f>
        <v>11.339999999999993</v>
      </c>
      <c r="C69" s="592" t="s">
        <v>426</v>
      </c>
      <c r="D69" s="592" t="s">
        <v>580</v>
      </c>
      <c r="E69" s="591">
        <v>4</v>
      </c>
      <c r="F69" s="592">
        <v>10</v>
      </c>
      <c r="G69" s="591">
        <f>E69*F69</f>
        <v>40</v>
      </c>
      <c r="H69" s="591">
        <f>G69*1.13</f>
        <v>45.199999999999996</v>
      </c>
      <c r="I69" s="611">
        <f>'[1]Frozen Pivot'!$B$394</f>
        <v>0</v>
      </c>
      <c r="J69" s="611">
        <v>0</v>
      </c>
    </row>
    <row r="70" spans="1:10" x14ac:dyDescent="0.3">
      <c r="A70" s="594"/>
      <c r="B70" s="607">
        <f>B69+0.01</f>
        <v>11.349999999999993</v>
      </c>
      <c r="C70" s="606" t="s">
        <v>579</v>
      </c>
      <c r="D70" s="606" t="s">
        <v>578</v>
      </c>
      <c r="E70" s="605">
        <v>8</v>
      </c>
      <c r="F70" s="606">
        <v>20</v>
      </c>
      <c r="G70" s="605">
        <f>E70*F70</f>
        <v>160</v>
      </c>
      <c r="H70" s="605">
        <f>G70*1.13</f>
        <v>180.79999999999998</v>
      </c>
      <c r="I70" s="612">
        <f>'[1]Frozen Pivot'!$B$395</f>
        <v>0</v>
      </c>
      <c r="J70" s="612">
        <v>0</v>
      </c>
    </row>
    <row r="71" spans="1:10" x14ac:dyDescent="0.3">
      <c r="A71" s="594"/>
      <c r="B71" s="593"/>
      <c r="C71" s="592"/>
      <c r="D71" s="592"/>
      <c r="E71" s="591"/>
      <c r="F71" s="592"/>
      <c r="G71" s="591"/>
      <c r="H71" s="592"/>
      <c r="I71" s="591"/>
      <c r="J71" s="611"/>
    </row>
    <row r="72" spans="1:10" x14ac:dyDescent="0.3">
      <c r="A72" s="594"/>
      <c r="B72" s="603" t="s">
        <v>577</v>
      </c>
      <c r="C72" s="601"/>
      <c r="D72" s="610"/>
      <c r="E72" s="599"/>
      <c r="F72" s="610"/>
      <c r="G72" s="599"/>
      <c r="H72" s="599">
        <f>SUM(H68:H70)</f>
        <v>384.19999999999993</v>
      </c>
      <c r="I72" s="599">
        <v>0</v>
      </c>
      <c r="J72" s="598">
        <v>0</v>
      </c>
    </row>
    <row r="73" spans="1:10" x14ac:dyDescent="0.3">
      <c r="A73" s="594"/>
      <c r="B73" s="593"/>
      <c r="C73" s="597"/>
      <c r="D73" s="592"/>
      <c r="E73" s="591"/>
      <c r="F73" s="592"/>
      <c r="G73" s="591"/>
      <c r="H73" s="596"/>
      <c r="I73" s="596"/>
      <c r="J73" s="595"/>
    </row>
    <row r="74" spans="1:10" x14ac:dyDescent="0.3">
      <c r="A74" s="609" t="s">
        <v>576</v>
      </c>
      <c r="B74" s="608"/>
      <c r="C74" s="597"/>
      <c r="D74" s="592"/>
      <c r="E74" s="591"/>
      <c r="F74" s="592"/>
      <c r="G74" s="591"/>
      <c r="H74" s="596"/>
      <c r="I74" s="596"/>
      <c r="J74" s="595"/>
    </row>
    <row r="75" spans="1:10" x14ac:dyDescent="0.3">
      <c r="A75" s="594"/>
      <c r="B75" s="607">
        <f>B70+0.01</f>
        <v>11.359999999999992</v>
      </c>
      <c r="C75" s="606" t="s">
        <v>575</v>
      </c>
      <c r="D75" s="606" t="s">
        <v>574</v>
      </c>
      <c r="E75" s="605">
        <v>7.5</v>
      </c>
      <c r="F75" s="606">
        <v>25</v>
      </c>
      <c r="G75" s="605">
        <f>F75*E75</f>
        <v>187.5</v>
      </c>
      <c r="H75" s="605">
        <f>G75*1.13</f>
        <v>211.87499999999997</v>
      </c>
      <c r="I75" s="604">
        <f>'[1]Frozen Pivot'!$B$396</f>
        <v>0</v>
      </c>
      <c r="J75" s="604">
        <v>0</v>
      </c>
    </row>
    <row r="76" spans="1:10" x14ac:dyDescent="0.3">
      <c r="A76" s="594"/>
      <c r="B76" s="593"/>
      <c r="C76" s="597"/>
      <c r="D76" s="592"/>
      <c r="E76" s="591"/>
      <c r="F76" s="592"/>
      <c r="G76" s="591"/>
      <c r="H76" s="596"/>
      <c r="I76" s="596"/>
      <c r="J76" s="595"/>
    </row>
    <row r="77" spans="1:10" x14ac:dyDescent="0.3">
      <c r="A77" s="594"/>
      <c r="B77" s="603" t="s">
        <v>573</v>
      </c>
      <c r="C77" s="602"/>
      <c r="D77" s="601"/>
      <c r="E77" s="600"/>
      <c r="F77" s="601"/>
      <c r="G77" s="600"/>
      <c r="H77" s="599">
        <f>H75</f>
        <v>211.87499999999997</v>
      </c>
      <c r="I77" s="599">
        <v>0</v>
      </c>
      <c r="J77" s="598">
        <v>0</v>
      </c>
    </row>
    <row r="78" spans="1:10" x14ac:dyDescent="0.3">
      <c r="A78" s="594"/>
      <c r="B78" s="593"/>
      <c r="C78" s="597"/>
      <c r="D78" s="592"/>
      <c r="E78" s="591"/>
      <c r="F78" s="592"/>
      <c r="G78" s="591"/>
      <c r="H78" s="596"/>
      <c r="I78" s="596"/>
      <c r="J78" s="595"/>
    </row>
    <row r="79" spans="1:10" x14ac:dyDescent="0.3">
      <c r="A79" s="594"/>
      <c r="B79" s="593"/>
      <c r="C79" s="597" t="s">
        <v>4</v>
      </c>
      <c r="D79" s="592"/>
      <c r="E79" s="591"/>
      <c r="F79" s="592"/>
      <c r="G79" s="591"/>
      <c r="H79" s="596">
        <f>H15+H23+H42+H52+H59+H65+H72+H77</f>
        <v>16053.785699999999</v>
      </c>
      <c r="I79" s="596">
        <v>0</v>
      </c>
      <c r="J79" s="595">
        <v>0</v>
      </c>
    </row>
    <row r="80" spans="1:10" x14ac:dyDescent="0.3">
      <c r="A80" s="594"/>
      <c r="B80" s="593"/>
      <c r="C80" s="592"/>
      <c r="D80" s="592"/>
      <c r="E80" s="592"/>
      <c r="F80" s="592"/>
      <c r="G80" s="592"/>
      <c r="H80" s="592"/>
      <c r="I80" s="591"/>
      <c r="J80" s="590"/>
    </row>
    <row r="81" spans="1:10" x14ac:dyDescent="0.3">
      <c r="A81" s="301" t="s">
        <v>3</v>
      </c>
      <c r="B81" s="300"/>
      <c r="C81" s="300"/>
      <c r="D81" s="298"/>
      <c r="E81" s="298"/>
      <c r="F81" s="299"/>
      <c r="G81" s="298"/>
      <c r="H81" s="298"/>
      <c r="I81" s="298"/>
      <c r="J81" s="297"/>
    </row>
    <row r="82" spans="1:10" x14ac:dyDescent="0.3">
      <c r="A82" s="589"/>
      <c r="B82" s="588" t="s">
        <v>2</v>
      </c>
      <c r="C82" s="296"/>
      <c r="D82" s="295"/>
      <c r="E82" s="295"/>
      <c r="F82" s="295"/>
      <c r="G82" s="295"/>
      <c r="H82" s="295">
        <f>H9</f>
        <v>5084.9999999999991</v>
      </c>
      <c r="I82" s="295">
        <f>I7</f>
        <v>2842.78</v>
      </c>
      <c r="J82" s="295">
        <f>J7</f>
        <v>2842.78</v>
      </c>
    </row>
    <row r="83" spans="1:10" x14ac:dyDescent="0.3">
      <c r="A83" s="293"/>
      <c r="B83" s="587" t="s">
        <v>1</v>
      </c>
      <c r="C83" s="292"/>
      <c r="D83" s="291"/>
      <c r="E83" s="291"/>
      <c r="F83" s="291"/>
      <c r="G83" s="291"/>
      <c r="H83" s="291">
        <f>H79</f>
        <v>16053.785699999999</v>
      </c>
      <c r="I83" s="291">
        <f>I77+I72+I65+I59+I52+I42+I23+I15</f>
        <v>10116.079999999998</v>
      </c>
      <c r="J83" s="291">
        <f>J77+J72+J65+J59+J52+J42+J23+J15</f>
        <v>10116.079999999998</v>
      </c>
    </row>
    <row r="84" spans="1:10" x14ac:dyDescent="0.3">
      <c r="A84" s="403"/>
      <c r="B84" s="586" t="s">
        <v>0</v>
      </c>
      <c r="C84" s="288"/>
      <c r="D84" s="287"/>
      <c r="E84" s="287"/>
      <c r="F84" s="287"/>
      <c r="G84" s="287"/>
      <c r="H84" s="287">
        <f>H82-H83</f>
        <v>-10968.7857</v>
      </c>
      <c r="I84" s="287">
        <f>I82-I83</f>
        <v>-7273.2999999999975</v>
      </c>
      <c r="J84" s="286">
        <f>J82-J83</f>
        <v>-7273.2999999999975</v>
      </c>
    </row>
  </sheetData>
  <mergeCells count="3">
    <mergeCell ref="A1:J1"/>
    <mergeCell ref="A3:C3"/>
    <mergeCell ref="A74:B74"/>
  </mergeCells>
  <pageMargins left="0.75" right="0.75" top="1" bottom="1" header="0.3" footer="0.3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85926-8908-44D1-8720-460A4BC5EC84}">
  <sheetPr codeName="Sheet14">
    <pageSetUpPr fitToPage="1"/>
  </sheetPr>
  <dimension ref="A1:N63"/>
  <sheetViews>
    <sheetView topLeftCell="B33" zoomScaleNormal="90" zoomScalePageLayoutView="90" workbookViewId="0">
      <selection activeCell="L23" sqref="L23"/>
    </sheetView>
  </sheetViews>
  <sheetFormatPr defaultColWidth="8.85546875" defaultRowHeight="17.25" x14ac:dyDescent="0.3"/>
  <cols>
    <col min="1" max="2" width="13.85546875" style="461" customWidth="1"/>
    <col min="3" max="3" width="42.85546875" style="461" bestFit="1" customWidth="1"/>
    <col min="4" max="4" width="49.85546875" style="463" bestFit="1" customWidth="1"/>
    <col min="5" max="5" width="28.140625" style="463" customWidth="1"/>
    <col min="6" max="6" width="15.28515625" style="464" customWidth="1"/>
    <col min="7" max="7" width="17.28515625" style="463" customWidth="1"/>
    <col min="8" max="8" width="18.140625" style="463" customWidth="1"/>
    <col min="9" max="9" width="22.28515625" style="463" hidden="1" customWidth="1"/>
    <col min="10" max="10" width="23" style="462" customWidth="1"/>
    <col min="11" max="11" width="12" style="461" customWidth="1"/>
    <col min="12" max="12" width="11.28515625" style="461" customWidth="1"/>
    <col min="13" max="13" width="8.85546875" style="461"/>
    <col min="14" max="14" width="10.140625" style="461" bestFit="1" customWidth="1"/>
    <col min="15" max="15" width="14.28515625" style="461" customWidth="1"/>
    <col min="16" max="16384" width="8.85546875" style="461"/>
  </cols>
  <sheetData>
    <row r="1" spans="1:12" s="578" customFormat="1" ht="30.75" x14ac:dyDescent="0.55000000000000004">
      <c r="A1" s="582" t="s">
        <v>572</v>
      </c>
      <c r="B1" s="581"/>
      <c r="C1" s="581"/>
      <c r="D1" s="581"/>
      <c r="E1" s="581"/>
      <c r="F1" s="581"/>
      <c r="G1" s="581"/>
      <c r="H1" s="581"/>
      <c r="I1" s="581"/>
      <c r="J1" s="580"/>
      <c r="K1" s="579"/>
      <c r="L1" s="579"/>
    </row>
    <row r="2" spans="1:12" s="569" customFormat="1" x14ac:dyDescent="0.3">
      <c r="A2" s="577"/>
      <c r="B2" s="576" t="s">
        <v>213</v>
      </c>
      <c r="C2" s="576" t="s">
        <v>212</v>
      </c>
      <c r="D2" s="575" t="s">
        <v>211</v>
      </c>
      <c r="E2" s="574" t="s">
        <v>210</v>
      </c>
      <c r="F2" s="573" t="s">
        <v>209</v>
      </c>
      <c r="G2" s="572" t="s">
        <v>208</v>
      </c>
      <c r="H2" s="572" t="s">
        <v>207</v>
      </c>
      <c r="I2" s="572" t="s">
        <v>232</v>
      </c>
      <c r="J2" s="571" t="s">
        <v>206</v>
      </c>
      <c r="K2" s="570"/>
      <c r="L2" s="570"/>
    </row>
    <row r="3" spans="1:12" x14ac:dyDescent="0.3">
      <c r="A3" s="568"/>
      <c r="B3" s="567"/>
      <c r="C3" s="567"/>
      <c r="D3" s="566"/>
      <c r="E3" s="564"/>
      <c r="F3" s="565"/>
      <c r="G3" s="564"/>
      <c r="H3" s="564"/>
      <c r="I3" s="564"/>
      <c r="J3" s="563"/>
    </row>
    <row r="4" spans="1:12" x14ac:dyDescent="0.3">
      <c r="A4" s="561" t="s">
        <v>81</v>
      </c>
      <c r="B4" s="560"/>
      <c r="C4" s="560"/>
      <c r="D4" s="558"/>
      <c r="E4" s="558"/>
      <c r="F4" s="559"/>
      <c r="G4" s="558"/>
      <c r="H4" s="558"/>
      <c r="I4" s="558"/>
      <c r="J4" s="557"/>
    </row>
    <row r="5" spans="1:12" x14ac:dyDescent="0.3">
      <c r="A5" s="472"/>
      <c r="B5" s="471"/>
      <c r="C5" s="471"/>
      <c r="D5" s="470"/>
      <c r="E5" s="470"/>
      <c r="F5" s="562"/>
      <c r="G5" s="470"/>
      <c r="H5" s="470"/>
      <c r="I5" s="470"/>
      <c r="J5" s="469"/>
    </row>
    <row r="6" spans="1:12" x14ac:dyDescent="0.3">
      <c r="A6" s="472"/>
      <c r="B6" s="471"/>
      <c r="C6" s="471" t="s">
        <v>59</v>
      </c>
      <c r="D6" s="470"/>
      <c r="E6" s="470"/>
      <c r="F6" s="562"/>
      <c r="G6" s="470"/>
      <c r="H6" s="470">
        <v>0</v>
      </c>
      <c r="I6" s="470">
        <v>0</v>
      </c>
      <c r="J6" s="469">
        <v>0</v>
      </c>
    </row>
    <row r="7" spans="1:12" x14ac:dyDescent="0.3">
      <c r="A7" s="472"/>
      <c r="B7" s="471"/>
      <c r="C7" s="471"/>
      <c r="D7" s="470"/>
      <c r="E7" s="470"/>
      <c r="F7" s="562"/>
      <c r="G7" s="470"/>
      <c r="H7" s="470"/>
      <c r="I7" s="470"/>
      <c r="J7" s="469"/>
    </row>
    <row r="8" spans="1:12" x14ac:dyDescent="0.3">
      <c r="A8" s="561" t="s">
        <v>58</v>
      </c>
      <c r="B8" s="560"/>
      <c r="C8" s="560"/>
      <c r="D8" s="558"/>
      <c r="E8" s="558"/>
      <c r="F8" s="559"/>
      <c r="G8" s="558"/>
      <c r="H8" s="558"/>
      <c r="I8" s="558"/>
      <c r="J8" s="557"/>
    </row>
    <row r="9" spans="1:12" x14ac:dyDescent="0.3">
      <c r="A9" s="503" t="s">
        <v>563</v>
      </c>
      <c r="B9" s="476"/>
      <c r="C9" s="501"/>
      <c r="D9" s="499"/>
      <c r="E9" s="499"/>
      <c r="F9" s="500"/>
      <c r="G9" s="499"/>
      <c r="H9" s="499"/>
      <c r="I9" s="499"/>
      <c r="J9" s="498"/>
    </row>
    <row r="10" spans="1:12" x14ac:dyDescent="0.3">
      <c r="A10" s="478"/>
      <c r="B10" s="546" t="s">
        <v>571</v>
      </c>
      <c r="C10" s="556" t="s">
        <v>570</v>
      </c>
      <c r="D10" s="542"/>
      <c r="E10" s="542">
        <v>50</v>
      </c>
      <c r="F10" s="543">
        <v>2</v>
      </c>
      <c r="G10" s="542">
        <f>F10*E10</f>
        <v>100</v>
      </c>
      <c r="H10" s="542">
        <f>G10*0.13+G10</f>
        <v>113</v>
      </c>
      <c r="I10" s="542">
        <f>'[1]Frozen Pivot'!B396</f>
        <v>0</v>
      </c>
      <c r="J10" s="541">
        <v>190.97</v>
      </c>
    </row>
    <row r="11" spans="1:12" x14ac:dyDescent="0.3">
      <c r="A11" s="478"/>
      <c r="B11" s="540" t="s">
        <v>569</v>
      </c>
      <c r="C11" s="555" t="s">
        <v>568</v>
      </c>
      <c r="D11" s="554" t="s">
        <v>567</v>
      </c>
      <c r="E11" s="499">
        <v>65</v>
      </c>
      <c r="F11" s="500">
        <v>2</v>
      </c>
      <c r="G11" s="499">
        <f>F11*E11</f>
        <v>130</v>
      </c>
      <c r="H11" s="499">
        <f>G11*0.13+G11</f>
        <v>146.9</v>
      </c>
      <c r="I11" s="542">
        <f>'[1]Frozen Pivot'!B397</f>
        <v>190.97</v>
      </c>
      <c r="J11" s="498">
        <v>0</v>
      </c>
    </row>
    <row r="12" spans="1:12" x14ac:dyDescent="0.3">
      <c r="A12" s="478"/>
      <c r="B12" s="546" t="s">
        <v>566</v>
      </c>
      <c r="C12" s="556" t="s">
        <v>565</v>
      </c>
      <c r="D12" s="544" t="s">
        <v>564</v>
      </c>
      <c r="E12" s="542">
        <v>18</v>
      </c>
      <c r="F12" s="543">
        <v>10</v>
      </c>
      <c r="G12" s="542">
        <f>F12*E12</f>
        <v>180</v>
      </c>
      <c r="H12" s="542">
        <f>G12*0.13+G12</f>
        <v>203.4</v>
      </c>
      <c r="I12" s="542">
        <f>'[1]Frozen Pivot'!B398</f>
        <v>0</v>
      </c>
      <c r="J12" s="541">
        <v>0</v>
      </c>
    </row>
    <row r="13" spans="1:12" x14ac:dyDescent="0.3">
      <c r="A13" s="478"/>
      <c r="B13" s="536"/>
      <c r="C13" s="555"/>
      <c r="D13" s="554"/>
      <c r="E13" s="499"/>
      <c r="F13" s="500"/>
      <c r="G13" s="499"/>
      <c r="H13" s="499"/>
      <c r="I13" s="499"/>
      <c r="J13" s="498"/>
    </row>
    <row r="14" spans="1:12" x14ac:dyDescent="0.3">
      <c r="A14" s="478"/>
      <c r="B14" s="511" t="s">
        <v>510</v>
      </c>
      <c r="C14" s="483" t="s">
        <v>563</v>
      </c>
      <c r="D14" s="481"/>
      <c r="E14" s="481"/>
      <c r="F14" s="482"/>
      <c r="G14" s="481"/>
      <c r="H14" s="481">
        <f>SUM(H10:H12)</f>
        <v>463.29999999999995</v>
      </c>
      <c r="I14" s="481">
        <f>SUM(I10:I12)</f>
        <v>190.97</v>
      </c>
      <c r="J14" s="521">
        <f>SUM(J10:J12)</f>
        <v>190.97</v>
      </c>
    </row>
    <row r="15" spans="1:12" x14ac:dyDescent="0.3">
      <c r="A15" s="503"/>
      <c r="B15" s="502"/>
      <c r="C15" s="476"/>
      <c r="D15" s="474"/>
      <c r="E15" s="474"/>
      <c r="F15" s="475"/>
      <c r="G15" s="474"/>
      <c r="H15" s="474"/>
      <c r="I15" s="474"/>
      <c r="J15" s="473"/>
    </row>
    <row r="16" spans="1:12" x14ac:dyDescent="0.3">
      <c r="A16" s="503" t="s">
        <v>562</v>
      </c>
      <c r="B16" s="502"/>
      <c r="C16" s="501"/>
      <c r="D16" s="499"/>
      <c r="E16" s="499"/>
      <c r="F16" s="500"/>
      <c r="G16" s="499"/>
      <c r="H16" s="499"/>
      <c r="I16" s="499"/>
      <c r="J16" s="498"/>
    </row>
    <row r="17" spans="1:10" x14ac:dyDescent="0.3">
      <c r="A17" s="547"/>
      <c r="B17" s="553" t="s">
        <v>561</v>
      </c>
      <c r="C17" s="519" t="s">
        <v>560</v>
      </c>
      <c r="D17" s="519" t="s">
        <v>559</v>
      </c>
      <c r="E17" s="517">
        <v>20</v>
      </c>
      <c r="F17" s="518">
        <v>10</v>
      </c>
      <c r="G17" s="517">
        <f>F17*E17</f>
        <v>200</v>
      </c>
      <c r="H17" s="517">
        <f>G17</f>
        <v>200</v>
      </c>
      <c r="I17" s="552">
        <f>'[1]Frozen Pivot'!$B$399</f>
        <v>0</v>
      </c>
      <c r="J17" s="551">
        <v>0</v>
      </c>
    </row>
    <row r="18" spans="1:10" x14ac:dyDescent="0.3">
      <c r="A18" s="547"/>
      <c r="B18" s="550" t="s">
        <v>558</v>
      </c>
      <c r="C18" s="490" t="s">
        <v>557</v>
      </c>
      <c r="D18" s="489" t="s">
        <v>556</v>
      </c>
      <c r="E18" s="487">
        <v>2464.12</v>
      </c>
      <c r="F18" s="488">
        <v>1</v>
      </c>
      <c r="G18" s="487">
        <v>2464.12</v>
      </c>
      <c r="H18" s="487">
        <v>2464.12</v>
      </c>
      <c r="I18" s="549">
        <f>'[1]Frozen Pivot'!$B$400</f>
        <v>0</v>
      </c>
      <c r="J18" s="548">
        <v>3522.18</v>
      </c>
    </row>
    <row r="19" spans="1:10" x14ac:dyDescent="0.3">
      <c r="A19" s="547"/>
      <c r="B19" s="520"/>
      <c r="C19" s="534"/>
      <c r="D19" s="533"/>
      <c r="E19" s="532"/>
      <c r="F19" s="531"/>
      <c r="G19" s="532"/>
      <c r="H19" s="532"/>
      <c r="I19" s="531"/>
      <c r="J19" s="513"/>
    </row>
    <row r="20" spans="1:10" x14ac:dyDescent="0.3">
      <c r="A20" s="478"/>
      <c r="B20" s="511" t="s">
        <v>510</v>
      </c>
      <c r="C20" s="483" t="str">
        <f>A16</f>
        <v>FEEDBACK OFFICER</v>
      </c>
      <c r="D20" s="481"/>
      <c r="E20" s="481"/>
      <c r="F20" s="482"/>
      <c r="G20" s="481"/>
      <c r="H20" s="481">
        <f>SUM(H17:H18)</f>
        <v>2664.12</v>
      </c>
      <c r="I20" s="481">
        <f>SUM(I17:I18)</f>
        <v>0</v>
      </c>
      <c r="J20" s="521">
        <f>SUM(J17:J18)</f>
        <v>3522.18</v>
      </c>
    </row>
    <row r="21" spans="1:10" x14ac:dyDescent="0.3">
      <c r="A21" s="478"/>
      <c r="B21" s="536"/>
      <c r="C21" s="501"/>
      <c r="D21" s="499"/>
      <c r="E21" s="499"/>
      <c r="F21" s="500"/>
      <c r="G21" s="499"/>
      <c r="H21" s="499"/>
      <c r="I21" s="499"/>
      <c r="J21" s="498"/>
    </row>
    <row r="22" spans="1:10" x14ac:dyDescent="0.3">
      <c r="A22" s="503" t="s">
        <v>555</v>
      </c>
      <c r="B22" s="502"/>
      <c r="C22" s="501"/>
      <c r="D22" s="499"/>
      <c r="E22" s="499"/>
      <c r="F22" s="500"/>
      <c r="G22" s="499"/>
      <c r="H22" s="499"/>
      <c r="I22" s="499"/>
      <c r="J22" s="498"/>
    </row>
    <row r="23" spans="1:10" x14ac:dyDescent="0.3">
      <c r="A23" s="547"/>
      <c r="B23" s="546" t="s">
        <v>554</v>
      </c>
      <c r="C23" s="545" t="s">
        <v>553</v>
      </c>
      <c r="D23" s="544" t="s">
        <v>552</v>
      </c>
      <c r="E23" s="542">
        <v>200</v>
      </c>
      <c r="F23" s="543">
        <v>2</v>
      </c>
      <c r="G23" s="542">
        <v>400</v>
      </c>
      <c r="H23" s="542">
        <f>G23+G23*0.13</f>
        <v>452</v>
      </c>
      <c r="I23" s="542">
        <f>'[1]Frozen Pivot'!$B$401</f>
        <v>3522.18</v>
      </c>
      <c r="J23" s="541">
        <v>0</v>
      </c>
    </row>
    <row r="24" spans="1:10" x14ac:dyDescent="0.3">
      <c r="A24" s="478"/>
      <c r="B24" s="540" t="s">
        <v>551</v>
      </c>
      <c r="C24" s="509" t="s">
        <v>539</v>
      </c>
      <c r="D24" s="509" t="s">
        <v>550</v>
      </c>
      <c r="E24" s="539">
        <v>120</v>
      </c>
      <c r="F24" s="508">
        <v>2</v>
      </c>
      <c r="G24" s="507">
        <f>E24*2</f>
        <v>240</v>
      </c>
      <c r="H24" s="507">
        <f>G24</f>
        <v>240</v>
      </c>
      <c r="I24" s="499">
        <f>'[1]Frozen Pivot'!$B$402</f>
        <v>0</v>
      </c>
      <c r="J24" s="498">
        <v>0</v>
      </c>
    </row>
    <row r="25" spans="1:10" x14ac:dyDescent="0.3">
      <c r="A25" s="478"/>
      <c r="B25" s="538"/>
      <c r="C25" s="519"/>
      <c r="D25" s="519"/>
      <c r="E25" s="537"/>
      <c r="F25" s="518"/>
      <c r="G25" s="517"/>
      <c r="H25" s="517"/>
      <c r="I25" s="519"/>
      <c r="J25" s="516"/>
    </row>
    <row r="26" spans="1:10" x14ac:dyDescent="0.3">
      <c r="A26" s="478"/>
      <c r="B26" s="511" t="s">
        <v>510</v>
      </c>
      <c r="C26" s="483" t="str">
        <f>A22</f>
        <v>HIRING TOWN HALL (FALL &amp; WINTER)</v>
      </c>
      <c r="D26" s="481"/>
      <c r="E26" s="481"/>
      <c r="F26" s="482"/>
      <c r="G26" s="481"/>
      <c r="H26" s="481">
        <f>SUM(H23:H24)</f>
        <v>692</v>
      </c>
      <c r="I26" s="481">
        <v>0</v>
      </c>
      <c r="J26" s="521">
        <f>SUM(J23:J24)</f>
        <v>0</v>
      </c>
    </row>
    <row r="27" spans="1:10" x14ac:dyDescent="0.3">
      <c r="A27" s="478"/>
      <c r="B27" s="536"/>
      <c r="C27" s="501"/>
      <c r="D27" s="499"/>
      <c r="E27" s="499"/>
      <c r="F27" s="500"/>
      <c r="G27" s="499"/>
      <c r="H27" s="499"/>
      <c r="I27" s="499"/>
      <c r="J27" s="498"/>
    </row>
    <row r="28" spans="1:10" x14ac:dyDescent="0.3">
      <c r="A28" s="503" t="s">
        <v>543</v>
      </c>
      <c r="B28" s="502"/>
      <c r="C28" s="501"/>
      <c r="D28" s="499"/>
      <c r="E28" s="499"/>
      <c r="F28" s="500"/>
      <c r="G28" s="499"/>
      <c r="H28" s="499"/>
      <c r="I28" s="499"/>
      <c r="J28" s="498"/>
    </row>
    <row r="29" spans="1:10" s="530" customFormat="1" x14ac:dyDescent="0.3">
      <c r="A29" s="503"/>
      <c r="B29" s="497" t="s">
        <v>549</v>
      </c>
      <c r="C29" s="496" t="s">
        <v>548</v>
      </c>
      <c r="D29" s="495" t="s">
        <v>547</v>
      </c>
      <c r="E29" s="493">
        <v>5</v>
      </c>
      <c r="F29" s="494">
        <v>25</v>
      </c>
      <c r="G29" s="493">
        <f>F29*E29</f>
        <v>125</v>
      </c>
      <c r="H29" s="493">
        <f>G29</f>
        <v>125</v>
      </c>
      <c r="I29" s="492">
        <f>'[1]Frozen Pivot'!$B$403</f>
        <v>0</v>
      </c>
      <c r="J29" s="492">
        <v>60</v>
      </c>
    </row>
    <row r="30" spans="1:10" s="530" customFormat="1" x14ac:dyDescent="0.3">
      <c r="A30" s="503"/>
      <c r="B30" s="491" t="s">
        <v>546</v>
      </c>
      <c r="C30" s="490" t="s">
        <v>545</v>
      </c>
      <c r="D30" s="489" t="s">
        <v>544</v>
      </c>
      <c r="E30" s="487">
        <v>40</v>
      </c>
      <c r="F30" s="488">
        <v>8</v>
      </c>
      <c r="G30" s="487">
        <v>320</v>
      </c>
      <c r="H30" s="487">
        <v>320</v>
      </c>
      <c r="I30" s="492">
        <f>'[1]Frozen Pivot'!$B$404</f>
        <v>60</v>
      </c>
      <c r="J30" s="492">
        <v>0</v>
      </c>
    </row>
    <row r="31" spans="1:10" s="530" customFormat="1" x14ac:dyDescent="0.3">
      <c r="A31" s="503"/>
      <c r="B31" s="535"/>
      <c r="C31" s="534"/>
      <c r="D31" s="533"/>
      <c r="E31" s="532"/>
      <c r="F31" s="531"/>
      <c r="G31" s="532"/>
      <c r="H31" s="532"/>
      <c r="I31" s="531"/>
      <c r="J31" s="513"/>
    </row>
    <row r="32" spans="1:10" x14ac:dyDescent="0.3">
      <c r="A32" s="478"/>
      <c r="B32" s="511" t="s">
        <v>510</v>
      </c>
      <c r="C32" s="483" t="s">
        <v>543</v>
      </c>
      <c r="D32" s="481"/>
      <c r="E32" s="481"/>
      <c r="F32" s="482"/>
      <c r="G32" s="481"/>
      <c r="H32" s="481">
        <f>SUM(H29:H30)</f>
        <v>445</v>
      </c>
      <c r="I32" s="481">
        <v>0</v>
      </c>
      <c r="J32" s="521">
        <f>SUM(J29:J30)</f>
        <v>60</v>
      </c>
    </row>
    <row r="33" spans="1:14" x14ac:dyDescent="0.3">
      <c r="A33" s="478"/>
      <c r="B33" s="502"/>
      <c r="C33" s="476"/>
      <c r="D33" s="474"/>
      <c r="E33" s="474"/>
      <c r="F33" s="475"/>
      <c r="G33" s="474"/>
      <c r="H33" s="474"/>
      <c r="I33" s="474"/>
      <c r="J33" s="473"/>
    </row>
    <row r="34" spans="1:14" x14ac:dyDescent="0.3">
      <c r="A34" s="503" t="s">
        <v>530</v>
      </c>
      <c r="B34" s="502"/>
      <c r="C34" s="501"/>
      <c r="D34" s="499"/>
      <c r="E34" s="499"/>
      <c r="F34" s="500"/>
      <c r="G34" s="499"/>
      <c r="H34" s="499"/>
      <c r="I34" s="499"/>
      <c r="J34" s="498"/>
    </row>
    <row r="35" spans="1:14" x14ac:dyDescent="0.3">
      <c r="A35" s="478"/>
      <c r="B35" s="497" t="s">
        <v>542</v>
      </c>
      <c r="C35" s="519" t="s">
        <v>541</v>
      </c>
      <c r="D35" s="519" t="s">
        <v>538</v>
      </c>
      <c r="E35" s="517">
        <v>150</v>
      </c>
      <c r="F35" s="518">
        <v>3</v>
      </c>
      <c r="G35" s="517">
        <f>F35*E35</f>
        <v>450</v>
      </c>
      <c r="H35" s="517">
        <f>G35</f>
        <v>450</v>
      </c>
      <c r="I35" s="516">
        <f>'[1]Frozen Pivot'!B405</f>
        <v>0</v>
      </c>
      <c r="J35" s="516">
        <v>0</v>
      </c>
    </row>
    <row r="36" spans="1:14" x14ac:dyDescent="0.3">
      <c r="A36" s="478"/>
      <c r="B36" s="491" t="s">
        <v>540</v>
      </c>
      <c r="C36" s="490" t="s">
        <v>539</v>
      </c>
      <c r="D36" s="489" t="s">
        <v>538</v>
      </c>
      <c r="E36" s="487">
        <v>120</v>
      </c>
      <c r="F36" s="488">
        <v>3</v>
      </c>
      <c r="G36" s="487">
        <f>F36*E36</f>
        <v>360</v>
      </c>
      <c r="H36" s="529">
        <f>G36</f>
        <v>360</v>
      </c>
      <c r="I36" s="516">
        <f>'[1]Frozen Pivot'!B406</f>
        <v>0</v>
      </c>
      <c r="J36" s="528">
        <v>0</v>
      </c>
    </row>
    <row r="37" spans="1:14" x14ac:dyDescent="0.3">
      <c r="A37" s="478"/>
      <c r="B37" s="497" t="s">
        <v>537</v>
      </c>
      <c r="C37" s="496" t="s">
        <v>536</v>
      </c>
      <c r="D37" s="495"/>
      <c r="E37" s="493">
        <v>50</v>
      </c>
      <c r="F37" s="494">
        <v>5</v>
      </c>
      <c r="G37" s="493">
        <f>E37*F37</f>
        <v>250</v>
      </c>
      <c r="H37" s="493">
        <f>G37</f>
        <v>250</v>
      </c>
      <c r="I37" s="516">
        <f>'[1]Frozen Pivot'!B407</f>
        <v>0</v>
      </c>
      <c r="J37" s="516">
        <v>0</v>
      </c>
    </row>
    <row r="38" spans="1:14" x14ac:dyDescent="0.3">
      <c r="A38" s="478"/>
      <c r="B38" s="491" t="s">
        <v>535</v>
      </c>
      <c r="C38" s="509" t="s">
        <v>534</v>
      </c>
      <c r="D38" s="509" t="s">
        <v>533</v>
      </c>
      <c r="E38" s="507">
        <v>50</v>
      </c>
      <c r="F38" s="508">
        <v>1</v>
      </c>
      <c r="G38" s="507">
        <f>E38*F38</f>
        <v>50</v>
      </c>
      <c r="H38" s="527">
        <f>G38</f>
        <v>50</v>
      </c>
      <c r="I38" s="516">
        <f>'[1]Frozen Pivot'!B408</f>
        <v>0</v>
      </c>
      <c r="J38" s="514">
        <v>0</v>
      </c>
    </row>
    <row r="39" spans="1:14" x14ac:dyDescent="0.3">
      <c r="A39" s="478"/>
      <c r="B39" s="520" t="s">
        <v>532</v>
      </c>
      <c r="C39" s="519" t="s">
        <v>531</v>
      </c>
      <c r="D39" s="519"/>
      <c r="E39" s="517">
        <v>200</v>
      </c>
      <c r="F39" s="518">
        <v>1</v>
      </c>
      <c r="G39" s="517">
        <v>200</v>
      </c>
      <c r="H39" s="517">
        <v>200</v>
      </c>
      <c r="I39" s="516">
        <f>'[1]Frozen Pivot'!B409</f>
        <v>0</v>
      </c>
      <c r="J39" s="516">
        <v>0</v>
      </c>
    </row>
    <row r="40" spans="1:14" x14ac:dyDescent="0.3">
      <c r="A40" s="478"/>
      <c r="B40" s="526"/>
      <c r="C40" s="523"/>
      <c r="D40" s="523"/>
      <c r="E40" s="524"/>
      <c r="F40" s="525"/>
      <c r="G40" s="524"/>
      <c r="H40" s="524"/>
      <c r="I40" s="523"/>
      <c r="J40" s="522"/>
    </row>
    <row r="41" spans="1:14" x14ac:dyDescent="0.3">
      <c r="A41" s="478"/>
      <c r="B41" s="511" t="s">
        <v>510</v>
      </c>
      <c r="C41" s="483" t="s">
        <v>530</v>
      </c>
      <c r="D41" s="481"/>
      <c r="E41" s="481"/>
      <c r="F41" s="482"/>
      <c r="G41" s="481"/>
      <c r="H41" s="481">
        <f>SUM(H35:H39)</f>
        <v>1310</v>
      </c>
      <c r="I41" s="481">
        <v>0</v>
      </c>
      <c r="J41" s="521">
        <f>SUM(J35:J39)</f>
        <v>0</v>
      </c>
    </row>
    <row r="42" spans="1:14" x14ac:dyDescent="0.3">
      <c r="A42" s="503" t="s">
        <v>529</v>
      </c>
      <c r="B42" s="502"/>
      <c r="C42" s="501"/>
      <c r="D42" s="499"/>
      <c r="E42" s="499"/>
      <c r="F42" s="500"/>
      <c r="G42" s="499"/>
      <c r="H42" s="499"/>
      <c r="I42" s="499"/>
      <c r="J42" s="498"/>
    </row>
    <row r="43" spans="1:14" x14ac:dyDescent="0.3">
      <c r="A43" s="478"/>
      <c r="B43" s="520" t="s">
        <v>528</v>
      </c>
      <c r="C43" s="519" t="s">
        <v>527</v>
      </c>
      <c r="D43" s="519" t="s">
        <v>526</v>
      </c>
      <c r="E43" s="517">
        <v>30</v>
      </c>
      <c r="F43" s="518">
        <v>7</v>
      </c>
      <c r="G43" s="517">
        <f>F43*E43</f>
        <v>210</v>
      </c>
      <c r="H43" s="517">
        <f>G43+G43*0.13</f>
        <v>237.3</v>
      </c>
      <c r="I43" s="516">
        <f>'[1]Frozen Pivot'!B410</f>
        <v>0</v>
      </c>
      <c r="J43" s="516">
        <v>0</v>
      </c>
    </row>
    <row r="44" spans="1:14" x14ac:dyDescent="0.3">
      <c r="A44" s="478"/>
      <c r="B44" s="491" t="s">
        <v>525</v>
      </c>
      <c r="C44" s="490" t="s">
        <v>524</v>
      </c>
      <c r="D44" s="490" t="s">
        <v>523</v>
      </c>
      <c r="E44" s="504">
        <v>20</v>
      </c>
      <c r="F44" s="488">
        <v>1</v>
      </c>
      <c r="G44" s="504">
        <f>E44*F44</f>
        <v>20</v>
      </c>
      <c r="H44" s="515">
        <f>G44</f>
        <v>20</v>
      </c>
      <c r="I44" s="514">
        <f>'[1]Frozen Pivot'!$B411</f>
        <v>0</v>
      </c>
      <c r="J44" s="514">
        <v>0</v>
      </c>
      <c r="N44" s="512"/>
    </row>
    <row r="45" spans="1:14" x14ac:dyDescent="0.3">
      <c r="A45" s="478"/>
      <c r="B45" s="497"/>
      <c r="C45" s="496"/>
      <c r="D45" s="496"/>
      <c r="E45" s="505"/>
      <c r="F45" s="494"/>
      <c r="G45" s="505"/>
      <c r="H45" s="505"/>
      <c r="I45" s="496"/>
      <c r="J45" s="513"/>
      <c r="N45" s="512"/>
    </row>
    <row r="46" spans="1:14" x14ac:dyDescent="0.3">
      <c r="A46" s="478"/>
      <c r="B46" s="511" t="s">
        <v>510</v>
      </c>
      <c r="C46" s="483" t="str">
        <f>A42</f>
        <v>ERB</v>
      </c>
      <c r="D46" s="481"/>
      <c r="E46" s="481"/>
      <c r="F46" s="482"/>
      <c r="G46" s="481"/>
      <c r="H46" s="481">
        <f>SUM(H43:H44)</f>
        <v>257.3</v>
      </c>
      <c r="I46" s="481">
        <v>0</v>
      </c>
      <c r="J46" s="479">
        <f>SUM(J43:J44)</f>
        <v>0</v>
      </c>
    </row>
    <row r="47" spans="1:14" x14ac:dyDescent="0.3">
      <c r="A47" s="478"/>
      <c r="B47" s="510"/>
      <c r="C47" s="476"/>
      <c r="D47" s="474"/>
      <c r="E47" s="474"/>
      <c r="F47" s="475"/>
      <c r="G47" s="474"/>
      <c r="H47" s="474"/>
      <c r="I47" s="474"/>
      <c r="J47" s="473"/>
    </row>
    <row r="48" spans="1:14" x14ac:dyDescent="0.3">
      <c r="A48" s="503" t="s">
        <v>522</v>
      </c>
      <c r="B48" s="502"/>
      <c r="C48" s="501"/>
      <c r="D48" s="499"/>
      <c r="E48" s="499"/>
      <c r="F48" s="500"/>
      <c r="G48" s="499"/>
      <c r="H48" s="499"/>
      <c r="I48" s="499"/>
      <c r="J48" s="498"/>
    </row>
    <row r="49" spans="1:10" x14ac:dyDescent="0.3">
      <c r="A49" s="478"/>
      <c r="B49" s="497" t="s">
        <v>521</v>
      </c>
      <c r="C49" s="496" t="s">
        <v>520</v>
      </c>
      <c r="D49" s="495" t="s">
        <v>519</v>
      </c>
      <c r="E49" s="493">
        <v>84.75</v>
      </c>
      <c r="F49" s="494">
        <v>2</v>
      </c>
      <c r="G49" s="493">
        <v>169.5</v>
      </c>
      <c r="H49" s="493">
        <v>169.5</v>
      </c>
      <c r="I49" s="492">
        <f>'[1]Frozen Pivot'!B412</f>
        <v>0</v>
      </c>
      <c r="J49" s="492">
        <v>84.75</v>
      </c>
    </row>
    <row r="50" spans="1:10" x14ac:dyDescent="0.3">
      <c r="A50" s="478"/>
      <c r="B50" s="491" t="s">
        <v>518</v>
      </c>
      <c r="C50" s="509" t="s">
        <v>415</v>
      </c>
      <c r="D50" s="509" t="s">
        <v>517</v>
      </c>
      <c r="E50" s="507">
        <v>350</v>
      </c>
      <c r="F50" s="508">
        <v>2</v>
      </c>
      <c r="G50" s="507">
        <v>700</v>
      </c>
      <c r="H50" s="507">
        <v>700</v>
      </c>
      <c r="I50" s="506">
        <f>'[1]Frozen Pivot'!B413</f>
        <v>84.75</v>
      </c>
      <c r="J50" s="506">
        <v>224.51</v>
      </c>
    </row>
    <row r="51" spans="1:10" x14ac:dyDescent="0.3">
      <c r="A51" s="478"/>
      <c r="B51" s="497" t="s">
        <v>516</v>
      </c>
      <c r="C51" s="496" t="s">
        <v>457</v>
      </c>
      <c r="D51" s="496" t="s">
        <v>515</v>
      </c>
      <c r="E51" s="505">
        <v>64</v>
      </c>
      <c r="F51" s="494">
        <v>4</v>
      </c>
      <c r="G51" s="505">
        <v>256</v>
      </c>
      <c r="H51" s="505">
        <v>256</v>
      </c>
      <c r="I51" s="492">
        <f>'[1]Frozen Pivot'!B414</f>
        <v>224.51</v>
      </c>
      <c r="J51" s="492">
        <v>0</v>
      </c>
    </row>
    <row r="52" spans="1:10" x14ac:dyDescent="0.3">
      <c r="A52" s="478"/>
      <c r="B52" s="491"/>
      <c r="C52" s="490"/>
      <c r="D52" s="490"/>
      <c r="E52" s="504"/>
      <c r="F52" s="488"/>
      <c r="G52" s="504"/>
      <c r="H52" s="504"/>
      <c r="I52" s="490"/>
      <c r="J52" s="485"/>
    </row>
    <row r="53" spans="1:10" x14ac:dyDescent="0.3">
      <c r="A53" s="478"/>
      <c r="B53" s="484" t="s">
        <v>510</v>
      </c>
      <c r="C53" s="483" t="str">
        <f>A48</f>
        <v>TRAINING (FALL &amp; WINTER)</v>
      </c>
      <c r="D53" s="481"/>
      <c r="E53" s="481"/>
      <c r="F53" s="482"/>
      <c r="G53" s="481"/>
      <c r="H53" s="481">
        <f>SUM(H49:H51)</f>
        <v>1125.5</v>
      </c>
      <c r="I53" s="481">
        <f>SUM(I49:I51)</f>
        <v>309.26</v>
      </c>
      <c r="J53" s="479">
        <f>SUM(J49:J51)</f>
        <v>309.26</v>
      </c>
    </row>
    <row r="54" spans="1:10" x14ac:dyDescent="0.3">
      <c r="A54" s="478"/>
      <c r="B54" s="477"/>
      <c r="C54" s="476"/>
      <c r="D54" s="474"/>
      <c r="E54" s="474"/>
      <c r="F54" s="475"/>
      <c r="G54" s="474"/>
      <c r="H54" s="474"/>
      <c r="I54" s="474"/>
      <c r="J54" s="473"/>
    </row>
    <row r="55" spans="1:10" x14ac:dyDescent="0.3">
      <c r="A55" s="503" t="s">
        <v>514</v>
      </c>
      <c r="B55" s="502"/>
      <c r="C55" s="501"/>
      <c r="D55" s="499"/>
      <c r="E55" s="499"/>
      <c r="F55" s="500"/>
      <c r="G55" s="499"/>
      <c r="H55" s="499"/>
      <c r="I55" s="499"/>
      <c r="J55" s="498"/>
    </row>
    <row r="56" spans="1:10" x14ac:dyDescent="0.3">
      <c r="A56" s="478"/>
      <c r="B56" s="497" t="s">
        <v>513</v>
      </c>
      <c r="C56" s="496" t="s">
        <v>512</v>
      </c>
      <c r="D56" s="495" t="s">
        <v>511</v>
      </c>
      <c r="E56" s="493"/>
      <c r="F56" s="494"/>
      <c r="G56" s="493"/>
      <c r="H56" s="493">
        <v>90.4</v>
      </c>
      <c r="I56" s="493">
        <f>'[1]Frozen Pivot'!B419</f>
        <v>235.14</v>
      </c>
      <c r="J56" s="492">
        <v>90.4</v>
      </c>
    </row>
    <row r="57" spans="1:10" x14ac:dyDescent="0.3">
      <c r="A57" s="478"/>
      <c r="B57" s="491"/>
      <c r="C57" s="490"/>
      <c r="D57" s="489"/>
      <c r="E57" s="487"/>
      <c r="F57" s="488"/>
      <c r="G57" s="487"/>
      <c r="H57" s="486"/>
      <c r="I57" s="486"/>
      <c r="J57" s="485"/>
    </row>
    <row r="58" spans="1:10" x14ac:dyDescent="0.3">
      <c r="A58" s="478"/>
      <c r="B58" s="484" t="s">
        <v>510</v>
      </c>
      <c r="C58" s="483" t="s">
        <v>509</v>
      </c>
      <c r="D58" s="481"/>
      <c r="E58" s="481"/>
      <c r="F58" s="482"/>
      <c r="G58" s="481"/>
      <c r="H58" s="480"/>
      <c r="I58" s="480">
        <f>SUM(I53:I55)</f>
        <v>309.26</v>
      </c>
      <c r="J58" s="479">
        <f>J56</f>
        <v>90.4</v>
      </c>
    </row>
    <row r="59" spans="1:10" x14ac:dyDescent="0.3">
      <c r="A59" s="478"/>
      <c r="B59" s="477"/>
      <c r="C59" s="476"/>
      <c r="D59" s="474"/>
      <c r="E59" s="474"/>
      <c r="F59" s="475"/>
      <c r="G59" s="474"/>
      <c r="H59" s="474"/>
      <c r="I59" s="474"/>
      <c r="J59" s="473"/>
    </row>
    <row r="60" spans="1:10" x14ac:dyDescent="0.3">
      <c r="A60" s="232" t="s">
        <v>3</v>
      </c>
      <c r="B60" s="231"/>
      <c r="C60" s="231"/>
      <c r="D60" s="229"/>
      <c r="E60" s="229"/>
      <c r="F60" s="230"/>
      <c r="G60" s="229"/>
      <c r="H60" s="229"/>
      <c r="I60" s="229"/>
      <c r="J60" s="228"/>
    </row>
    <row r="61" spans="1:10" x14ac:dyDescent="0.3">
      <c r="A61" s="224"/>
      <c r="B61" s="227" t="s">
        <v>2</v>
      </c>
      <c r="C61" s="227"/>
      <c r="D61" s="226"/>
      <c r="E61" s="226"/>
      <c r="F61" s="226"/>
      <c r="G61" s="226"/>
      <c r="H61" s="226">
        <v>0</v>
      </c>
      <c r="I61" s="226">
        <f>I6</f>
        <v>0</v>
      </c>
      <c r="J61" s="434">
        <f>J6</f>
        <v>0</v>
      </c>
    </row>
    <row r="62" spans="1:10" x14ac:dyDescent="0.3">
      <c r="A62" s="472"/>
      <c r="B62" s="471" t="s">
        <v>1</v>
      </c>
      <c r="C62" s="471"/>
      <c r="D62" s="470"/>
      <c r="E62" s="470"/>
      <c r="F62" s="470"/>
      <c r="G62" s="470"/>
      <c r="H62" s="470">
        <f>SUM(H14,H20,H26,H32,H41,H46,H53)</f>
        <v>6957.22</v>
      </c>
      <c r="I62" s="470">
        <f>I53+I46+I41+I32+I26+I20+I14</f>
        <v>500.23</v>
      </c>
      <c r="J62" s="469">
        <f>J58+J53+J46+J41+J32+J26+J20+J14</f>
        <v>4172.8099999999995</v>
      </c>
    </row>
    <row r="63" spans="1:10" x14ac:dyDescent="0.3">
      <c r="A63" s="468"/>
      <c r="B63" s="467" t="s">
        <v>0</v>
      </c>
      <c r="C63" s="467"/>
      <c r="D63" s="466"/>
      <c r="E63" s="466"/>
      <c r="F63" s="466"/>
      <c r="G63" s="466"/>
      <c r="H63" s="466">
        <f>-H62</f>
        <v>-6957.22</v>
      </c>
      <c r="I63" s="466">
        <f>I61-I62</f>
        <v>-500.23</v>
      </c>
      <c r="J63" s="465">
        <f>J61-J62</f>
        <v>-4172.8099999999995</v>
      </c>
    </row>
  </sheetData>
  <mergeCells count="4">
    <mergeCell ref="A60:C60"/>
    <mergeCell ref="A1:J1"/>
    <mergeCell ref="A4:C4"/>
    <mergeCell ref="A8:C8"/>
  </mergeCells>
  <pageMargins left="0" right="0" top="0" bottom="0" header="0" footer="0"/>
  <pageSetup orientation="portrait" horizontalDpi="0" verticalDpi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60FD7-A73F-472E-9B97-4F4876AF031A}">
  <sheetPr codeName="Sheet15"/>
  <dimension ref="A1:IV93"/>
  <sheetViews>
    <sheetView topLeftCell="A10" zoomScale="75" workbookViewId="0">
      <selection activeCell="L21" sqref="L21"/>
    </sheetView>
  </sheetViews>
  <sheetFormatPr defaultColWidth="12.42578125" defaultRowHeight="15.75" x14ac:dyDescent="0.25"/>
  <cols>
    <col min="1" max="1" width="19.28515625" style="432" customWidth="1"/>
    <col min="2" max="2" width="21.42578125" style="432" customWidth="1"/>
    <col min="3" max="3" width="41.28515625" style="432" customWidth="1"/>
    <col min="4" max="4" width="57" style="432" customWidth="1"/>
    <col min="5" max="7" width="12.42578125" style="432"/>
    <col min="8" max="8" width="13.7109375" style="432" bestFit="1" customWidth="1"/>
    <col min="9" max="9" width="0" style="432" hidden="1" customWidth="1"/>
    <col min="10" max="10" width="17" style="433" customWidth="1"/>
    <col min="11" max="11" width="14.7109375" style="432" bestFit="1" customWidth="1"/>
    <col min="12" max="16384" width="12.42578125" style="432"/>
  </cols>
  <sheetData>
    <row r="1" spans="1:10" ht="26.25" x14ac:dyDescent="0.25">
      <c r="A1" s="460" t="s">
        <v>508</v>
      </c>
      <c r="B1" s="460"/>
      <c r="C1" s="460"/>
      <c r="D1" s="460"/>
      <c r="E1" s="460"/>
      <c r="F1" s="460"/>
      <c r="G1" s="460"/>
      <c r="H1" s="460"/>
      <c r="I1" s="460"/>
      <c r="J1" s="460"/>
    </row>
    <row r="2" spans="1:10" ht="16.5" x14ac:dyDescent="0.3">
      <c r="A2" s="281"/>
      <c r="B2" s="280" t="s">
        <v>213</v>
      </c>
      <c r="C2" s="279" t="s">
        <v>212</v>
      </c>
      <c r="D2" s="278" t="s">
        <v>211</v>
      </c>
      <c r="E2" s="277" t="s">
        <v>210</v>
      </c>
      <c r="F2" s="276" t="s">
        <v>209</v>
      </c>
      <c r="G2" s="275" t="s">
        <v>208</v>
      </c>
      <c r="H2" s="275" t="s">
        <v>207</v>
      </c>
      <c r="I2" s="275" t="s">
        <v>232</v>
      </c>
      <c r="J2" s="274" t="s">
        <v>206</v>
      </c>
    </row>
    <row r="3" spans="1:10" ht="16.5" x14ac:dyDescent="0.3">
      <c r="A3" s="273"/>
      <c r="B3" s="272"/>
      <c r="C3" s="271"/>
      <c r="D3" s="270"/>
      <c r="E3" s="268"/>
      <c r="F3" s="269"/>
      <c r="G3" s="268"/>
      <c r="H3" s="268"/>
      <c r="I3" s="268"/>
      <c r="J3" s="267"/>
    </row>
    <row r="4" spans="1:10" ht="16.5" x14ac:dyDescent="0.3">
      <c r="A4" s="232" t="s">
        <v>81</v>
      </c>
      <c r="B4" s="231"/>
      <c r="C4" s="231"/>
      <c r="D4" s="229"/>
      <c r="E4" s="229"/>
      <c r="F4" s="230"/>
      <c r="G4" s="229"/>
      <c r="H4" s="229"/>
      <c r="I4" s="229"/>
      <c r="J4" s="228"/>
    </row>
    <row r="5" spans="1:10" ht="16.5" x14ac:dyDescent="0.3">
      <c r="A5" s="224"/>
      <c r="B5" s="223"/>
      <c r="C5" s="223"/>
      <c r="D5" s="222"/>
      <c r="E5" s="222"/>
      <c r="F5" s="233"/>
      <c r="G5" s="222"/>
      <c r="H5" s="222"/>
      <c r="I5" s="222"/>
      <c r="J5" s="221"/>
    </row>
    <row r="6" spans="1:10" ht="16.5" x14ac:dyDescent="0.3">
      <c r="A6" s="224"/>
      <c r="B6" s="223"/>
      <c r="C6" s="223" t="s">
        <v>59</v>
      </c>
      <c r="D6" s="222"/>
      <c r="E6" s="222"/>
      <c r="F6" s="233"/>
      <c r="G6" s="222"/>
      <c r="H6" s="222">
        <v>0</v>
      </c>
      <c r="I6" s="222">
        <v>0</v>
      </c>
      <c r="J6" s="221">
        <v>0</v>
      </c>
    </row>
    <row r="7" spans="1:10" ht="16.5" x14ac:dyDescent="0.3">
      <c r="A7" s="224"/>
      <c r="B7" s="223"/>
      <c r="C7" s="223"/>
      <c r="D7" s="222"/>
      <c r="E7" s="222"/>
      <c r="F7" s="233"/>
      <c r="G7" s="222"/>
      <c r="H7" s="222"/>
      <c r="I7" s="222"/>
      <c r="J7" s="221"/>
    </row>
    <row r="8" spans="1:10" ht="16.5" x14ac:dyDescent="0.3">
      <c r="A8" s="232" t="s">
        <v>58</v>
      </c>
      <c r="B8" s="231"/>
      <c r="C8" s="231"/>
      <c r="D8" s="229"/>
      <c r="E8" s="264"/>
      <c r="F8" s="265"/>
      <c r="G8" s="264"/>
      <c r="H8" s="264"/>
      <c r="I8" s="264"/>
      <c r="J8" s="228"/>
    </row>
    <row r="9" spans="1:10" ht="16.5" x14ac:dyDescent="0.3">
      <c r="A9" s="224" t="s">
        <v>507</v>
      </c>
      <c r="B9" s="223"/>
      <c r="C9" s="234"/>
      <c r="D9" s="246"/>
      <c r="E9" s="246"/>
      <c r="F9" s="247"/>
      <c r="G9" s="246"/>
      <c r="H9" s="246"/>
      <c r="I9" s="246"/>
      <c r="J9" s="245"/>
    </row>
    <row r="10" spans="1:10" ht="16.5" x14ac:dyDescent="0.3">
      <c r="A10" s="235"/>
      <c r="B10" s="436" t="s">
        <v>506</v>
      </c>
      <c r="C10" s="451" t="s">
        <v>483</v>
      </c>
      <c r="D10" s="458" t="s">
        <v>505</v>
      </c>
      <c r="E10" s="459">
        <v>3</v>
      </c>
      <c r="F10" s="458">
        <v>60</v>
      </c>
      <c r="G10" s="457">
        <f>E10*F10</f>
        <v>180</v>
      </c>
      <c r="H10" s="457">
        <f>G10*1.13</f>
        <v>203.39999999999998</v>
      </c>
      <c r="I10" s="450">
        <f>'[1]Frozen Pivot'!B416</f>
        <v>233.98</v>
      </c>
      <c r="J10" s="456">
        <v>233.98</v>
      </c>
    </row>
    <row r="11" spans="1:10" ht="16.5" x14ac:dyDescent="0.3">
      <c r="A11" s="235"/>
      <c r="B11" s="437" t="s">
        <v>504</v>
      </c>
      <c r="C11" s="454" t="s">
        <v>483</v>
      </c>
      <c r="D11" s="246" t="s">
        <v>503</v>
      </c>
      <c r="E11" s="246">
        <v>3</v>
      </c>
      <c r="F11" s="247">
        <v>60</v>
      </c>
      <c r="G11" s="246">
        <f>E11*F11</f>
        <v>180</v>
      </c>
      <c r="H11" s="246">
        <f>G11*1.13</f>
        <v>203.39999999999998</v>
      </c>
      <c r="I11" s="453">
        <f>'[1]Frozen Pivot'!B417</f>
        <v>233.98</v>
      </c>
      <c r="J11" s="455">
        <v>233.98</v>
      </c>
    </row>
    <row r="12" spans="1:10" ht="16.5" x14ac:dyDescent="0.3">
      <c r="A12" s="235"/>
      <c r="B12" s="436" t="s">
        <v>502</v>
      </c>
      <c r="C12" s="451" t="s">
        <v>483</v>
      </c>
      <c r="D12" s="242" t="s">
        <v>501</v>
      </c>
      <c r="E12" s="242">
        <v>3</v>
      </c>
      <c r="F12" s="243">
        <v>75</v>
      </c>
      <c r="G12" s="242">
        <f>E12*F12</f>
        <v>225</v>
      </c>
      <c r="H12" s="242">
        <f>G12*1.13</f>
        <v>254.24999999999997</v>
      </c>
      <c r="I12" s="450">
        <f>'[1]Frozen Pivot'!B418</f>
        <v>224.92</v>
      </c>
      <c r="J12" s="449">
        <f>I12</f>
        <v>224.92</v>
      </c>
    </row>
    <row r="13" spans="1:10" ht="16.5" x14ac:dyDescent="0.3">
      <c r="A13" s="235"/>
      <c r="B13" s="437" t="s">
        <v>500</v>
      </c>
      <c r="C13" s="454" t="s">
        <v>483</v>
      </c>
      <c r="D13" s="246" t="s">
        <v>499</v>
      </c>
      <c r="E13" s="246">
        <v>3</v>
      </c>
      <c r="F13" s="247">
        <v>60</v>
      </c>
      <c r="G13" s="246">
        <f>E13*F13</f>
        <v>180</v>
      </c>
      <c r="H13" s="246">
        <f>G13*1.13</f>
        <v>203.39999999999998</v>
      </c>
      <c r="I13" s="453">
        <f>'[1]Frozen Pivot'!B419</f>
        <v>235.14</v>
      </c>
      <c r="J13" s="452">
        <f>I13</f>
        <v>235.14</v>
      </c>
    </row>
    <row r="14" spans="1:10" ht="16.5" x14ac:dyDescent="0.3">
      <c r="A14" s="235"/>
      <c r="B14" s="436" t="s">
        <v>498</v>
      </c>
      <c r="C14" s="451" t="s">
        <v>483</v>
      </c>
      <c r="D14" s="242" t="s">
        <v>497</v>
      </c>
      <c r="E14" s="242">
        <v>3</v>
      </c>
      <c r="F14" s="243">
        <v>60</v>
      </c>
      <c r="G14" s="242">
        <f>E14*F14</f>
        <v>180</v>
      </c>
      <c r="H14" s="242">
        <f>G14*1.13</f>
        <v>203.39999999999998</v>
      </c>
      <c r="I14" s="450">
        <f>'[1]Frozen Pivot'!B420</f>
        <v>0</v>
      </c>
      <c r="J14" s="449">
        <v>224.92</v>
      </c>
    </row>
    <row r="15" spans="1:10" ht="16.5" x14ac:dyDescent="0.3">
      <c r="A15" s="235"/>
      <c r="B15" s="437" t="s">
        <v>496</v>
      </c>
      <c r="C15" s="454" t="s">
        <v>483</v>
      </c>
      <c r="D15" s="246" t="s">
        <v>495</v>
      </c>
      <c r="E15" s="246">
        <v>3</v>
      </c>
      <c r="F15" s="247">
        <v>60</v>
      </c>
      <c r="G15" s="246">
        <f>E15*F15</f>
        <v>180</v>
      </c>
      <c r="H15" s="246">
        <f>G15*1.13</f>
        <v>203.39999999999998</v>
      </c>
      <c r="I15" s="453">
        <f>'[1]Frozen Pivot'!B421</f>
        <v>0</v>
      </c>
      <c r="J15" s="452">
        <v>261.11</v>
      </c>
    </row>
    <row r="16" spans="1:10" ht="16.5" x14ac:dyDescent="0.3">
      <c r="A16" s="235"/>
      <c r="B16" s="436" t="s">
        <v>494</v>
      </c>
      <c r="C16" s="451" t="s">
        <v>483</v>
      </c>
      <c r="D16" s="242" t="s">
        <v>493</v>
      </c>
      <c r="E16" s="242">
        <v>3</v>
      </c>
      <c r="F16" s="243">
        <v>60</v>
      </c>
      <c r="G16" s="242">
        <f>E16*F16</f>
        <v>180</v>
      </c>
      <c r="H16" s="242">
        <f>G16*1.13</f>
        <v>203.39999999999998</v>
      </c>
      <c r="I16" s="450">
        <f>'[1]Frozen Pivot'!B422</f>
        <v>211.32</v>
      </c>
      <c r="J16" s="449">
        <v>211.321</v>
      </c>
    </row>
    <row r="17" spans="1:256" ht="16.5" x14ac:dyDescent="0.3">
      <c r="A17" s="235"/>
      <c r="B17" s="437" t="s">
        <v>492</v>
      </c>
      <c r="C17" s="454" t="s">
        <v>483</v>
      </c>
      <c r="D17" s="246" t="s">
        <v>491</v>
      </c>
      <c r="E17" s="246">
        <v>3</v>
      </c>
      <c r="F17" s="247">
        <v>75</v>
      </c>
      <c r="G17" s="246">
        <f>E17*F17</f>
        <v>225</v>
      </c>
      <c r="H17" s="246">
        <f>G17*1.13</f>
        <v>254.24999999999997</v>
      </c>
      <c r="I17" s="453">
        <f>'[1]Frozen Pivot'!B423</f>
        <v>225.17</v>
      </c>
      <c r="J17" s="452">
        <v>225.23599999999999</v>
      </c>
    </row>
    <row r="18" spans="1:256" ht="16.5" x14ac:dyDescent="0.3">
      <c r="A18" s="235"/>
      <c r="B18" s="436" t="s">
        <v>490</v>
      </c>
      <c r="C18" s="451" t="s">
        <v>483</v>
      </c>
      <c r="D18" s="242" t="s">
        <v>489</v>
      </c>
      <c r="E18" s="242">
        <v>3</v>
      </c>
      <c r="F18" s="243">
        <v>60</v>
      </c>
      <c r="G18" s="242">
        <f>E18*F18</f>
        <v>180</v>
      </c>
      <c r="H18" s="242">
        <f>G18*1.13</f>
        <v>203.39999999999998</v>
      </c>
      <c r="I18" s="450">
        <f>'[1]Frozen Pivot'!B424</f>
        <v>256.48</v>
      </c>
      <c r="J18" s="449">
        <v>245.333</v>
      </c>
    </row>
    <row r="19" spans="1:256" ht="16.5" x14ac:dyDescent="0.3">
      <c r="A19" s="235"/>
      <c r="B19" s="437" t="s">
        <v>488</v>
      </c>
      <c r="C19" s="454" t="s">
        <v>483</v>
      </c>
      <c r="D19" s="246" t="s">
        <v>487</v>
      </c>
      <c r="E19" s="246">
        <v>3</v>
      </c>
      <c r="F19" s="247">
        <v>60</v>
      </c>
      <c r="G19" s="246">
        <f>E19*F19</f>
        <v>180</v>
      </c>
      <c r="H19" s="246">
        <f>G19*1.13</f>
        <v>203.39999999999998</v>
      </c>
      <c r="I19" s="453">
        <f>'[1]Frozen Pivot'!B425</f>
        <v>0</v>
      </c>
      <c r="J19" s="452">
        <v>261.66000000000003</v>
      </c>
    </row>
    <row r="20" spans="1:256" ht="16.5" x14ac:dyDescent="0.3">
      <c r="A20" s="235"/>
      <c r="B20" s="436" t="s">
        <v>486</v>
      </c>
      <c r="C20" s="451" t="s">
        <v>483</v>
      </c>
      <c r="D20" s="242" t="s">
        <v>485</v>
      </c>
      <c r="E20" s="242">
        <v>3</v>
      </c>
      <c r="F20" s="243">
        <v>60</v>
      </c>
      <c r="G20" s="242">
        <f>E20*F20</f>
        <v>180</v>
      </c>
      <c r="H20" s="242">
        <f>G20*1.13</f>
        <v>203.39999999999998</v>
      </c>
      <c r="I20" s="450">
        <f>'[1]Frozen Pivot'!B426</f>
        <v>0</v>
      </c>
      <c r="J20" s="449"/>
    </row>
    <row r="21" spans="1:256" ht="16.5" x14ac:dyDescent="0.3">
      <c r="A21" s="235"/>
      <c r="B21" s="437" t="s">
        <v>484</v>
      </c>
      <c r="C21" s="454" t="s">
        <v>483</v>
      </c>
      <c r="D21" s="246" t="s">
        <v>482</v>
      </c>
      <c r="E21" s="246">
        <v>3</v>
      </c>
      <c r="F21" s="247">
        <v>85</v>
      </c>
      <c r="G21" s="246">
        <f>E21*F21</f>
        <v>255</v>
      </c>
      <c r="H21" s="246">
        <f>G21*1.13</f>
        <v>288.14999999999998</v>
      </c>
      <c r="I21" s="453">
        <f>'[1]Frozen Pivot'!B427</f>
        <v>0</v>
      </c>
      <c r="J21" s="452">
        <v>290.62</v>
      </c>
    </row>
    <row r="22" spans="1:256" ht="16.5" x14ac:dyDescent="0.3">
      <c r="A22" s="234"/>
      <c r="B22" s="436" t="s">
        <v>481</v>
      </c>
      <c r="C22" s="451" t="s">
        <v>480</v>
      </c>
      <c r="D22" s="242" t="s">
        <v>479</v>
      </c>
      <c r="E22" s="242">
        <v>2</v>
      </c>
      <c r="F22" s="243">
        <v>15</v>
      </c>
      <c r="G22" s="242">
        <f>E22*F22</f>
        <v>30</v>
      </c>
      <c r="H22" s="242">
        <f>G22*1.13</f>
        <v>33.9</v>
      </c>
      <c r="I22" s="450">
        <f>'[1]Frozen Pivot'!B428</f>
        <v>0</v>
      </c>
      <c r="J22" s="449">
        <v>0</v>
      </c>
    </row>
    <row r="23" spans="1:256" ht="16.5" x14ac:dyDescent="0.3">
      <c r="A23" s="234"/>
      <c r="B23" s="448"/>
      <c r="C23" s="246"/>
      <c r="D23" s="246"/>
      <c r="E23" s="247"/>
      <c r="F23" s="246"/>
      <c r="G23" s="246"/>
      <c r="H23" s="246"/>
      <c r="I23" s="234"/>
      <c r="J23" s="447"/>
    </row>
    <row r="24" spans="1:256" ht="16.5" x14ac:dyDescent="0.3">
      <c r="A24" s="235"/>
      <c r="B24" s="440" t="s">
        <v>478</v>
      </c>
      <c r="C24" s="446"/>
      <c r="D24" s="237"/>
      <c r="E24" s="237"/>
      <c r="F24" s="238"/>
      <c r="G24" s="237"/>
      <c r="H24" s="237">
        <f>SUM(H10:H22)</f>
        <v>2661.1500000000005</v>
      </c>
      <c r="I24" s="237">
        <f>SUM(I9:I21)</f>
        <v>1620.99</v>
      </c>
      <c r="J24" s="236">
        <f>SUM(J10:J22)</f>
        <v>2648.22</v>
      </c>
    </row>
    <row r="25" spans="1:256" ht="16.5" x14ac:dyDescent="0.3">
      <c r="A25" s="224"/>
      <c r="B25" s="439"/>
      <c r="C25" s="223"/>
      <c r="D25" s="222"/>
      <c r="E25" s="222"/>
      <c r="F25" s="233"/>
      <c r="G25" s="222"/>
      <c r="H25" s="222"/>
      <c r="I25" s="222"/>
      <c r="J25" s="221"/>
      <c r="K25" s="246"/>
      <c r="L25" s="246"/>
      <c r="M25" s="247"/>
      <c r="N25" s="246"/>
      <c r="O25" s="246"/>
      <c r="P25" s="246"/>
      <c r="Q25" s="234"/>
      <c r="R25" s="445"/>
      <c r="S25" s="246"/>
      <c r="T25" s="246"/>
      <c r="U25" s="247"/>
      <c r="V25" s="246"/>
      <c r="W25" s="246"/>
      <c r="X25" s="246"/>
      <c r="Y25" s="234"/>
      <c r="Z25" s="445"/>
      <c r="AA25" s="246"/>
      <c r="AB25" s="246"/>
      <c r="AC25" s="247"/>
      <c r="AD25" s="246"/>
      <c r="AE25" s="246"/>
      <c r="AF25" s="246"/>
      <c r="AG25" s="234"/>
      <c r="AH25" s="445"/>
      <c r="AI25" s="246"/>
      <c r="AJ25" s="246"/>
      <c r="AK25" s="247"/>
      <c r="AL25" s="246"/>
      <c r="AM25" s="246"/>
      <c r="AN25" s="246"/>
      <c r="AO25" s="234"/>
      <c r="AP25" s="445"/>
      <c r="AQ25" s="246"/>
      <c r="AR25" s="246"/>
      <c r="AS25" s="247"/>
      <c r="AT25" s="246"/>
      <c r="AU25" s="246"/>
      <c r="AV25" s="246"/>
      <c r="AW25" s="234"/>
      <c r="AX25" s="445"/>
      <c r="AY25" s="246"/>
      <c r="AZ25" s="246"/>
      <c r="BA25" s="247"/>
      <c r="BB25" s="246"/>
      <c r="BC25" s="246"/>
      <c r="BD25" s="246"/>
      <c r="BE25" s="234"/>
      <c r="BF25" s="445"/>
      <c r="BG25" s="246"/>
      <c r="BH25" s="246"/>
      <c r="BI25" s="247"/>
      <c r="BJ25" s="246"/>
      <c r="BK25" s="246"/>
      <c r="BL25" s="246"/>
      <c r="BM25" s="234"/>
      <c r="BN25" s="445"/>
      <c r="BO25" s="246"/>
      <c r="BP25" s="246"/>
      <c r="BQ25" s="247"/>
      <c r="BR25" s="246"/>
      <c r="BS25" s="246"/>
      <c r="BT25" s="246"/>
      <c r="BU25" s="234"/>
      <c r="BV25" s="445"/>
      <c r="BW25" s="246"/>
      <c r="BX25" s="246"/>
      <c r="BY25" s="247"/>
      <c r="BZ25" s="246"/>
      <c r="CA25" s="246"/>
      <c r="CB25" s="246"/>
      <c r="CC25" s="234"/>
      <c r="CD25" s="445"/>
      <c r="CE25" s="246"/>
      <c r="CF25" s="246"/>
      <c r="CG25" s="247"/>
      <c r="CH25" s="246"/>
      <c r="CI25" s="246"/>
      <c r="CJ25" s="246"/>
      <c r="CK25" s="234"/>
      <c r="CL25" s="445"/>
      <c r="CM25" s="246"/>
      <c r="CN25" s="246"/>
      <c r="CO25" s="247"/>
      <c r="CP25" s="246"/>
      <c r="CQ25" s="246"/>
      <c r="CR25" s="246"/>
      <c r="CS25" s="234"/>
      <c r="CT25" s="445"/>
      <c r="CU25" s="246"/>
      <c r="CV25" s="246"/>
      <c r="CW25" s="247"/>
      <c r="CX25" s="246"/>
      <c r="CY25" s="246"/>
      <c r="CZ25" s="246"/>
      <c r="DA25" s="234"/>
      <c r="DB25" s="445"/>
      <c r="DC25" s="246"/>
      <c r="DD25" s="246"/>
      <c r="DE25" s="247"/>
      <c r="DF25" s="246"/>
      <c r="DG25" s="246"/>
      <c r="DH25" s="246"/>
      <c r="DI25" s="234"/>
      <c r="DJ25" s="445"/>
      <c r="DK25" s="246"/>
      <c r="DL25" s="246"/>
      <c r="DM25" s="247"/>
      <c r="DN25" s="246"/>
      <c r="DO25" s="246"/>
      <c r="DP25" s="246"/>
      <c r="DQ25" s="234"/>
      <c r="DR25" s="445"/>
      <c r="DS25" s="246"/>
      <c r="DT25" s="246"/>
      <c r="DU25" s="247"/>
      <c r="DV25" s="246"/>
      <c r="DW25" s="246"/>
      <c r="DX25" s="246"/>
      <c r="DY25" s="234"/>
      <c r="DZ25" s="445"/>
      <c r="EA25" s="246"/>
      <c r="EB25" s="246"/>
      <c r="EC25" s="247"/>
      <c r="ED25" s="246"/>
      <c r="EE25" s="246"/>
      <c r="EF25" s="246"/>
      <c r="EG25" s="234"/>
      <c r="EH25" s="445"/>
      <c r="EI25" s="246"/>
      <c r="EJ25" s="246"/>
      <c r="EK25" s="247"/>
      <c r="EL25" s="246"/>
      <c r="EM25" s="246"/>
      <c r="EN25" s="246"/>
      <c r="EO25" s="234"/>
      <c r="EP25" s="445"/>
      <c r="EQ25" s="246"/>
      <c r="ER25" s="246"/>
      <c r="ES25" s="247"/>
      <c r="ET25" s="246"/>
      <c r="EU25" s="246"/>
      <c r="EV25" s="246"/>
      <c r="EW25" s="234"/>
      <c r="EX25" s="445"/>
      <c r="EY25" s="246"/>
      <c r="EZ25" s="246"/>
      <c r="FA25" s="247"/>
      <c r="FB25" s="246"/>
      <c r="FC25" s="246"/>
      <c r="FD25" s="246"/>
      <c r="FE25" s="234"/>
      <c r="FF25" s="445"/>
      <c r="FG25" s="246"/>
      <c r="FH25" s="246"/>
      <c r="FI25" s="247"/>
      <c r="FJ25" s="246"/>
      <c r="FK25" s="246"/>
      <c r="FL25" s="246"/>
      <c r="FM25" s="234"/>
      <c r="FN25" s="445"/>
      <c r="FO25" s="246"/>
      <c r="FP25" s="246"/>
      <c r="FQ25" s="247"/>
      <c r="FR25" s="246"/>
      <c r="FS25" s="246"/>
      <c r="FT25" s="246"/>
      <c r="FU25" s="234"/>
      <c r="FV25" s="445"/>
      <c r="FW25" s="246"/>
      <c r="FX25" s="246"/>
      <c r="FY25" s="247"/>
      <c r="FZ25" s="246"/>
      <c r="GA25" s="246"/>
      <c r="GB25" s="246"/>
      <c r="GC25" s="234"/>
      <c r="GD25" s="445"/>
      <c r="GE25" s="246"/>
      <c r="GF25" s="246"/>
      <c r="GG25" s="247"/>
      <c r="GH25" s="246"/>
      <c r="GI25" s="246"/>
      <c r="GJ25" s="246"/>
      <c r="GK25" s="234"/>
      <c r="GL25" s="445"/>
      <c r="GM25" s="246"/>
      <c r="GN25" s="246"/>
      <c r="GO25" s="247"/>
      <c r="GP25" s="246"/>
      <c r="GQ25" s="246"/>
      <c r="GR25" s="246"/>
      <c r="GS25" s="234"/>
      <c r="GT25" s="445"/>
      <c r="GU25" s="246"/>
      <c r="GV25" s="246"/>
      <c r="GW25" s="247"/>
      <c r="GX25" s="246"/>
      <c r="GY25" s="246"/>
      <c r="GZ25" s="246"/>
      <c r="HA25" s="234"/>
      <c r="HB25" s="445"/>
      <c r="HC25" s="246"/>
      <c r="HD25" s="246"/>
      <c r="HE25" s="247"/>
      <c r="HF25" s="246"/>
      <c r="HG25" s="246"/>
      <c r="HH25" s="246"/>
      <c r="HI25" s="234"/>
      <c r="HJ25" s="445"/>
      <c r="HK25" s="246"/>
      <c r="HL25" s="246"/>
      <c r="HM25" s="247"/>
      <c r="HN25" s="246"/>
      <c r="HO25" s="246"/>
      <c r="HP25" s="246"/>
      <c r="HQ25" s="234"/>
      <c r="HR25" s="445"/>
      <c r="HS25" s="246"/>
      <c r="HT25" s="246"/>
      <c r="HU25" s="247"/>
      <c r="HV25" s="246"/>
      <c r="HW25" s="246"/>
      <c r="HX25" s="246"/>
      <c r="HY25" s="234"/>
      <c r="HZ25" s="445"/>
      <c r="IA25" s="246"/>
      <c r="IB25" s="246"/>
      <c r="IC25" s="247"/>
      <c r="ID25" s="246"/>
      <c r="IE25" s="246"/>
      <c r="IF25" s="246"/>
      <c r="IG25" s="234"/>
      <c r="IH25" s="445"/>
      <c r="II25" s="246"/>
      <c r="IJ25" s="246"/>
      <c r="IK25" s="247"/>
      <c r="IL25" s="246"/>
      <c r="IM25" s="246"/>
      <c r="IN25" s="246"/>
      <c r="IO25" s="234"/>
      <c r="IP25" s="445"/>
      <c r="IQ25" s="246"/>
      <c r="IR25" s="246"/>
      <c r="IS25" s="247"/>
      <c r="IT25" s="246"/>
      <c r="IU25" s="246"/>
      <c r="IV25" s="246"/>
    </row>
    <row r="26" spans="1:256" ht="16.5" x14ac:dyDescent="0.3">
      <c r="A26" s="224" t="s">
        <v>477</v>
      </c>
      <c r="B26" s="439"/>
      <c r="C26" s="234"/>
      <c r="D26" s="246"/>
      <c r="E26" s="246"/>
      <c r="F26" s="247"/>
      <c r="G26" s="246"/>
      <c r="H26" s="246"/>
      <c r="I26" s="246"/>
      <c r="J26" s="245"/>
    </row>
    <row r="27" spans="1:256" ht="16.5" x14ac:dyDescent="0.3">
      <c r="A27" s="444" t="s">
        <v>476</v>
      </c>
      <c r="B27" s="439"/>
      <c r="C27" s="234"/>
      <c r="D27" s="246"/>
      <c r="E27" s="246"/>
      <c r="F27" s="247"/>
      <c r="G27" s="246"/>
      <c r="H27" s="246"/>
      <c r="I27" s="246"/>
      <c r="J27" s="245"/>
    </row>
    <row r="28" spans="1:256" ht="16.5" x14ac:dyDescent="0.3">
      <c r="B28" s="436" t="s">
        <v>475</v>
      </c>
      <c r="C28" s="262" t="s">
        <v>472</v>
      </c>
      <c r="D28" s="242" t="s">
        <v>474</v>
      </c>
      <c r="E28" s="242">
        <v>70</v>
      </c>
      <c r="F28" s="243">
        <v>8</v>
      </c>
      <c r="G28" s="242">
        <f>E28*F28</f>
        <v>560</v>
      </c>
      <c r="H28" s="242">
        <f>G28*1.13</f>
        <v>632.79999999999995</v>
      </c>
      <c r="I28" s="242">
        <f>'[1]Frozen Pivot'!B429</f>
        <v>0</v>
      </c>
      <c r="J28" s="241">
        <v>5.65</v>
      </c>
    </row>
    <row r="29" spans="1:256" ht="16.5" x14ac:dyDescent="0.3">
      <c r="A29" s="263"/>
      <c r="B29" s="437" t="s">
        <v>473</v>
      </c>
      <c r="C29" s="250" t="s">
        <v>472</v>
      </c>
      <c r="D29" s="246" t="s">
        <v>471</v>
      </c>
      <c r="E29" s="246">
        <v>50</v>
      </c>
      <c r="F29" s="247">
        <v>2</v>
      </c>
      <c r="G29" s="246">
        <f>E29*F29</f>
        <v>100</v>
      </c>
      <c r="H29" s="246">
        <f>G29*1.13</f>
        <v>112.99999999999999</v>
      </c>
      <c r="I29" s="246">
        <f>'[1]Frozen Pivot'!B430</f>
        <v>0</v>
      </c>
      <c r="J29" s="245">
        <v>12.71</v>
      </c>
    </row>
    <row r="30" spans="1:256" ht="16.5" x14ac:dyDescent="0.3">
      <c r="A30" s="263"/>
      <c r="B30" s="436" t="s">
        <v>470</v>
      </c>
      <c r="C30" s="262" t="s">
        <v>251</v>
      </c>
      <c r="D30" s="242" t="s">
        <v>468</v>
      </c>
      <c r="E30" s="242">
        <v>2</v>
      </c>
      <c r="F30" s="243">
        <v>80</v>
      </c>
      <c r="G30" s="242">
        <f>E30*F30</f>
        <v>160</v>
      </c>
      <c r="H30" s="242">
        <f>G30*1.13</f>
        <v>180.79999999999998</v>
      </c>
      <c r="I30" s="242">
        <f>'[1]Frozen Pivot'!B431</f>
        <v>185.19</v>
      </c>
      <c r="J30" s="241">
        <v>185.18</v>
      </c>
    </row>
    <row r="31" spans="1:256" ht="16.5" x14ac:dyDescent="0.3">
      <c r="A31" s="263"/>
      <c r="B31" s="437" t="s">
        <v>469</v>
      </c>
      <c r="C31" s="250" t="s">
        <v>426</v>
      </c>
      <c r="D31" s="246" t="s">
        <v>468</v>
      </c>
      <c r="E31" s="246">
        <v>0.5</v>
      </c>
      <c r="F31" s="247">
        <v>80</v>
      </c>
      <c r="G31" s="246">
        <f>E31*F31</f>
        <v>40</v>
      </c>
      <c r="H31" s="246">
        <f>G31*1.13</f>
        <v>45.199999999999996</v>
      </c>
      <c r="I31" s="246">
        <f>'[1]Frozen Pivot'!B432</f>
        <v>0</v>
      </c>
      <c r="J31" s="245">
        <v>0</v>
      </c>
    </row>
    <row r="32" spans="1:256" ht="16.5" x14ac:dyDescent="0.3">
      <c r="A32" s="263"/>
      <c r="B32" s="436" t="s">
        <v>467</v>
      </c>
      <c r="C32" s="262" t="s">
        <v>251</v>
      </c>
      <c r="D32" s="242" t="s">
        <v>465</v>
      </c>
      <c r="E32" s="242">
        <v>2</v>
      </c>
      <c r="F32" s="243">
        <v>80</v>
      </c>
      <c r="G32" s="242">
        <f>E32*F32</f>
        <v>160</v>
      </c>
      <c r="H32" s="242">
        <f>G32*1.13</f>
        <v>180.79999999999998</v>
      </c>
      <c r="I32" s="242">
        <f>'[1]Frozen Pivot'!B433</f>
        <v>0</v>
      </c>
      <c r="J32" s="241">
        <v>0</v>
      </c>
    </row>
    <row r="33" spans="1:11" ht="16.5" x14ac:dyDescent="0.3">
      <c r="A33" s="263"/>
      <c r="B33" s="437" t="s">
        <v>466</v>
      </c>
      <c r="C33" s="250" t="s">
        <v>426</v>
      </c>
      <c r="D33" s="246" t="s">
        <v>465</v>
      </c>
      <c r="E33" s="246">
        <v>0.5</v>
      </c>
      <c r="F33" s="247">
        <v>80</v>
      </c>
      <c r="G33" s="246">
        <f>E33*F33</f>
        <v>40</v>
      </c>
      <c r="H33" s="246">
        <f>G33*1.13</f>
        <v>45.199999999999996</v>
      </c>
      <c r="I33" s="246">
        <f>'[1]Frozen Pivot'!B434</f>
        <v>0</v>
      </c>
      <c r="J33" s="245">
        <v>0</v>
      </c>
    </row>
    <row r="34" spans="1:11" ht="16.5" x14ac:dyDescent="0.3">
      <c r="A34" s="263"/>
      <c r="B34" s="436" t="s">
        <v>464</v>
      </c>
      <c r="C34" s="262" t="s">
        <v>463</v>
      </c>
      <c r="D34" s="242" t="s">
        <v>462</v>
      </c>
      <c r="E34" s="242">
        <v>200</v>
      </c>
      <c r="F34" s="243">
        <v>1</v>
      </c>
      <c r="G34" s="242">
        <f>E34*F34</f>
        <v>200</v>
      </c>
      <c r="H34" s="242">
        <f>G34*1.13</f>
        <v>225.99999999999997</v>
      </c>
      <c r="I34" s="242">
        <f>'[1]Frozen Pivot'!B435</f>
        <v>129.97999999999999</v>
      </c>
      <c r="J34" s="241">
        <v>129.94999999999999</v>
      </c>
    </row>
    <row r="35" spans="1:11" ht="16.5" x14ac:dyDescent="0.3">
      <c r="A35" s="263"/>
      <c r="B35" s="437" t="s">
        <v>461</v>
      </c>
      <c r="C35" s="250" t="s">
        <v>460</v>
      </c>
      <c r="D35" s="246" t="s">
        <v>459</v>
      </c>
      <c r="E35" s="246">
        <v>50</v>
      </c>
      <c r="F35" s="247">
        <v>1</v>
      </c>
      <c r="G35" s="246">
        <f>E35*F35</f>
        <v>50</v>
      </c>
      <c r="H35" s="246">
        <f>G35*1.13</f>
        <v>56.499999999999993</v>
      </c>
      <c r="I35" s="246">
        <f>'[1]Frozen Pivot'!B436</f>
        <v>50</v>
      </c>
      <c r="J35" s="245">
        <v>50</v>
      </c>
    </row>
    <row r="36" spans="1:11" ht="16.5" x14ac:dyDescent="0.3">
      <c r="A36" s="263"/>
      <c r="B36" s="436" t="s">
        <v>458</v>
      </c>
      <c r="C36" s="262" t="s">
        <v>457</v>
      </c>
      <c r="D36" s="242" t="s">
        <v>456</v>
      </c>
      <c r="E36" s="242">
        <v>240</v>
      </c>
      <c r="F36" s="243">
        <v>1</v>
      </c>
      <c r="G36" s="242">
        <f>E36*F36</f>
        <v>240</v>
      </c>
      <c r="H36" s="242">
        <f>G36*1.13</f>
        <v>271.2</v>
      </c>
      <c r="I36" s="242">
        <f>'[1]Frozen Pivot'!B437</f>
        <v>112.73</v>
      </c>
      <c r="J36" s="241">
        <v>112.73</v>
      </c>
    </row>
    <row r="37" spans="1:11" ht="16.5" x14ac:dyDescent="0.3">
      <c r="A37" s="263"/>
      <c r="B37" s="437" t="s">
        <v>455</v>
      </c>
      <c r="C37" s="250" t="s">
        <v>454</v>
      </c>
      <c r="D37" s="246" t="s">
        <v>453</v>
      </c>
      <c r="E37" s="246">
        <v>8.5</v>
      </c>
      <c r="F37" s="247">
        <v>10</v>
      </c>
      <c r="G37" s="246">
        <f>E37*F37</f>
        <v>85</v>
      </c>
      <c r="H37" s="246">
        <f>G37*1.13</f>
        <v>96.05</v>
      </c>
      <c r="I37" s="246">
        <f>'[1]Frozen Pivot'!B438</f>
        <v>0</v>
      </c>
      <c r="J37" s="245">
        <v>96.05</v>
      </c>
    </row>
    <row r="38" spans="1:11" ht="16.5" x14ac:dyDescent="0.3">
      <c r="A38" s="263"/>
      <c r="B38" s="436" t="s">
        <v>452</v>
      </c>
      <c r="C38" s="262" t="s">
        <v>451</v>
      </c>
      <c r="D38" s="242" t="s">
        <v>450</v>
      </c>
      <c r="E38" s="242">
        <v>7</v>
      </c>
      <c r="F38" s="243">
        <v>7</v>
      </c>
      <c r="G38" s="242">
        <f>E38*F38</f>
        <v>49</v>
      </c>
      <c r="H38" s="242">
        <f>G38*1.13</f>
        <v>55.37</v>
      </c>
      <c r="I38" s="242">
        <f>'[1]Frozen Pivot'!B439</f>
        <v>0</v>
      </c>
      <c r="J38" s="241">
        <v>0</v>
      </c>
    </row>
    <row r="39" spans="1:11" ht="16.5" x14ac:dyDescent="0.3">
      <c r="A39" s="263"/>
      <c r="B39" s="437"/>
      <c r="C39" s="250"/>
      <c r="D39" s="246"/>
      <c r="E39" s="246"/>
      <c r="F39" s="247"/>
      <c r="G39" s="246"/>
      <c r="H39" s="246"/>
      <c r="I39" s="246"/>
      <c r="J39" s="245"/>
    </row>
    <row r="40" spans="1:11" ht="16.5" x14ac:dyDescent="0.3">
      <c r="A40" s="263"/>
      <c r="B40" s="441" t="s">
        <v>449</v>
      </c>
      <c r="C40" s="239"/>
      <c r="D40" s="237"/>
      <c r="E40" s="237"/>
      <c r="F40" s="238"/>
      <c r="G40" s="237"/>
      <c r="H40" s="237">
        <f>SUM(H25:H38)</f>
        <v>1902.9199999999998</v>
      </c>
      <c r="I40" s="237">
        <f>SUM(I25:I38)</f>
        <v>477.9</v>
      </c>
      <c r="J40" s="237">
        <f>SUM(J28:J38)</f>
        <v>592.27</v>
      </c>
    </row>
    <row r="41" spans="1:11" ht="16.5" x14ac:dyDescent="0.3">
      <c r="A41" s="263"/>
      <c r="B41" s="437"/>
      <c r="C41" s="250"/>
      <c r="D41" s="246"/>
      <c r="E41" s="246"/>
      <c r="F41" s="247"/>
      <c r="G41" s="246"/>
      <c r="H41" s="246"/>
      <c r="I41" s="246"/>
      <c r="J41" s="245"/>
    </row>
    <row r="42" spans="1:11" ht="16.5" x14ac:dyDescent="0.3">
      <c r="A42" s="444" t="s">
        <v>448</v>
      </c>
      <c r="B42" s="437"/>
      <c r="C42" s="250"/>
      <c r="D42" s="246"/>
      <c r="E42" s="246"/>
      <c r="F42" s="247"/>
      <c r="G42" s="246"/>
      <c r="H42" s="246"/>
      <c r="I42" s="246"/>
      <c r="J42" s="245"/>
    </row>
    <row r="43" spans="1:11" ht="16.5" x14ac:dyDescent="0.3">
      <c r="B43" s="437" t="s">
        <v>447</v>
      </c>
      <c r="C43" s="250" t="s">
        <v>251</v>
      </c>
      <c r="D43" s="246" t="s">
        <v>442</v>
      </c>
      <c r="E43" s="246">
        <v>2</v>
      </c>
      <c r="F43" s="247">
        <v>150</v>
      </c>
      <c r="G43" s="246">
        <f>E43*F43</f>
        <v>300</v>
      </c>
      <c r="H43" s="246">
        <f>G43*1.13</f>
        <v>338.99999999999994</v>
      </c>
      <c r="I43" s="246">
        <f>'[1]Frozen Pivot'!B440</f>
        <v>713.2</v>
      </c>
      <c r="J43" s="245">
        <v>326.887</v>
      </c>
      <c r="K43" s="442"/>
    </row>
    <row r="44" spans="1:11" ht="16.5" x14ac:dyDescent="0.3">
      <c r="A44" s="263"/>
      <c r="B44" s="436" t="s">
        <v>446</v>
      </c>
      <c r="C44" s="262" t="s">
        <v>445</v>
      </c>
      <c r="D44" s="242" t="s">
        <v>444</v>
      </c>
      <c r="E44" s="242">
        <v>75</v>
      </c>
      <c r="F44" s="243">
        <v>1</v>
      </c>
      <c r="G44" s="242">
        <f>E44*F44</f>
        <v>75</v>
      </c>
      <c r="H44" s="242">
        <f>G44*1.13</f>
        <v>84.749999999999986</v>
      </c>
      <c r="I44" s="242">
        <f>'[1]Frozen Pivot'!B441</f>
        <v>84.75</v>
      </c>
      <c r="J44" s="443">
        <v>0</v>
      </c>
      <c r="K44" s="442"/>
    </row>
    <row r="45" spans="1:11" ht="16.5" x14ac:dyDescent="0.3">
      <c r="A45" s="263"/>
      <c r="B45" s="437" t="s">
        <v>443</v>
      </c>
      <c r="C45" s="250" t="s">
        <v>251</v>
      </c>
      <c r="D45" s="246" t="s">
        <v>442</v>
      </c>
      <c r="E45" s="246">
        <v>2</v>
      </c>
      <c r="F45" s="247">
        <v>40</v>
      </c>
      <c r="G45" s="246">
        <f>E45*F45</f>
        <v>80</v>
      </c>
      <c r="H45" s="246">
        <f>G45*1.13</f>
        <v>90.399999999999991</v>
      </c>
      <c r="I45" s="246">
        <f>'[1]Frozen Pivot'!B442</f>
        <v>0</v>
      </c>
      <c r="J45" s="245">
        <v>55.35</v>
      </c>
      <c r="K45" s="442"/>
    </row>
    <row r="46" spans="1:11" ht="16.5" x14ac:dyDescent="0.3">
      <c r="A46" s="263"/>
      <c r="B46" s="436" t="s">
        <v>441</v>
      </c>
      <c r="C46" s="262" t="s">
        <v>251</v>
      </c>
      <c r="D46" s="242" t="s">
        <v>440</v>
      </c>
      <c r="E46" s="242">
        <v>2</v>
      </c>
      <c r="F46" s="243">
        <v>40</v>
      </c>
      <c r="G46" s="242">
        <f>E46*F46</f>
        <v>80</v>
      </c>
      <c r="H46" s="242">
        <f>G46*1.13</f>
        <v>90.399999999999991</v>
      </c>
      <c r="I46" s="242">
        <f>'[1]Frozen Pivot'!B443</f>
        <v>0</v>
      </c>
      <c r="J46" s="241">
        <v>55.35</v>
      </c>
      <c r="K46" s="442"/>
    </row>
    <row r="47" spans="1:11" ht="16.5" x14ac:dyDescent="0.3">
      <c r="A47" s="263"/>
      <c r="B47" s="437" t="s">
        <v>439</v>
      </c>
      <c r="C47" s="250" t="s">
        <v>251</v>
      </c>
      <c r="D47" s="246" t="s">
        <v>438</v>
      </c>
      <c r="E47" s="246">
        <v>2</v>
      </c>
      <c r="F47" s="247">
        <v>40</v>
      </c>
      <c r="G47" s="246">
        <f>E47*F47</f>
        <v>80</v>
      </c>
      <c r="H47" s="246">
        <f>G47*1.13</f>
        <v>90.399999999999991</v>
      </c>
      <c r="I47" s="246">
        <f>'[1]Frozen Pivot'!B444</f>
        <v>0</v>
      </c>
      <c r="J47" s="245">
        <v>50</v>
      </c>
      <c r="K47" s="442"/>
    </row>
    <row r="48" spans="1:11" ht="16.5" x14ac:dyDescent="0.3">
      <c r="A48" s="235"/>
      <c r="B48" s="436"/>
      <c r="C48" s="244"/>
      <c r="D48" s="242"/>
      <c r="E48" s="242"/>
      <c r="F48" s="243"/>
      <c r="G48" s="242"/>
      <c r="H48" s="242"/>
      <c r="I48" s="242"/>
      <c r="J48" s="241"/>
    </row>
    <row r="49" spans="1:10" ht="16.5" x14ac:dyDescent="0.3">
      <c r="A49" s="235"/>
      <c r="B49" s="441" t="s">
        <v>437</v>
      </c>
      <c r="C49" s="239"/>
      <c r="D49" s="237"/>
      <c r="E49" s="237"/>
      <c r="F49" s="238"/>
      <c r="G49" s="237"/>
      <c r="H49" s="237">
        <f>SUM(H43:H47)</f>
        <v>694.94999999999993</v>
      </c>
      <c r="I49" s="237">
        <f>SUM(I43:I47)</f>
        <v>797.95</v>
      </c>
      <c r="J49" s="236">
        <f>SUM(J43:J47)</f>
        <v>487.58700000000005</v>
      </c>
    </row>
    <row r="50" spans="1:10" ht="16.5" x14ac:dyDescent="0.3">
      <c r="A50" s="235"/>
      <c r="B50" s="439"/>
      <c r="C50" s="223"/>
      <c r="D50" s="222"/>
      <c r="E50" s="222"/>
      <c r="F50" s="233"/>
      <c r="G50" s="222"/>
      <c r="H50" s="222"/>
      <c r="I50" s="222"/>
      <c r="J50" s="221"/>
    </row>
    <row r="51" spans="1:10" ht="16.5" x14ac:dyDescent="0.3">
      <c r="A51" s="235"/>
      <c r="B51" s="440" t="s">
        <v>436</v>
      </c>
      <c r="C51" s="239"/>
      <c r="D51" s="237"/>
      <c r="E51" s="237"/>
      <c r="F51" s="238"/>
      <c r="G51" s="237"/>
      <c r="H51" s="237">
        <f>H49+H40</f>
        <v>2597.87</v>
      </c>
      <c r="I51" s="237">
        <f>I49+I40</f>
        <v>1275.8499999999999</v>
      </c>
      <c r="J51" s="236">
        <f>J49+J40</f>
        <v>1079.857</v>
      </c>
    </row>
    <row r="52" spans="1:10" ht="16.5" x14ac:dyDescent="0.3">
      <c r="A52" s="235"/>
      <c r="B52" s="437"/>
      <c r="C52" s="234"/>
      <c r="D52" s="246"/>
      <c r="E52" s="246"/>
      <c r="F52" s="247"/>
      <c r="G52" s="246"/>
      <c r="H52" s="246"/>
      <c r="I52" s="246"/>
      <c r="J52" s="245"/>
    </row>
    <row r="53" spans="1:10" ht="16.5" x14ac:dyDescent="0.3">
      <c r="A53" s="224" t="s">
        <v>435</v>
      </c>
      <c r="B53" s="439"/>
      <c r="C53" s="234"/>
      <c r="D53" s="246"/>
      <c r="E53" s="246"/>
      <c r="F53" s="247"/>
      <c r="G53" s="246"/>
      <c r="H53" s="246"/>
      <c r="I53" s="246"/>
      <c r="J53" s="245"/>
    </row>
    <row r="54" spans="1:10" ht="16.5" x14ac:dyDescent="0.3">
      <c r="A54" s="235"/>
      <c r="B54" s="436" t="s">
        <v>434</v>
      </c>
      <c r="C54" s="262" t="s">
        <v>433</v>
      </c>
      <c r="D54" s="242" t="s">
        <v>432</v>
      </c>
      <c r="E54" s="242">
        <v>100</v>
      </c>
      <c r="F54" s="243">
        <v>1</v>
      </c>
      <c r="G54" s="242">
        <f>E54*F54</f>
        <v>100</v>
      </c>
      <c r="H54" s="242">
        <f>G54*1.13</f>
        <v>112.99999999999999</v>
      </c>
      <c r="I54" s="242">
        <f>'[1]Frozen Pivot'!B445</f>
        <v>0</v>
      </c>
      <c r="J54" s="241">
        <v>34.869999999999997</v>
      </c>
    </row>
    <row r="55" spans="1:10" ht="16.5" x14ac:dyDescent="0.3">
      <c r="A55" s="235"/>
      <c r="B55" s="437" t="s">
        <v>431</v>
      </c>
      <c r="C55" s="234" t="s">
        <v>430</v>
      </c>
      <c r="D55" s="246" t="s">
        <v>429</v>
      </c>
      <c r="E55" s="246">
        <v>60</v>
      </c>
      <c r="F55" s="247">
        <v>3</v>
      </c>
      <c r="G55" s="246">
        <f>E55*F55</f>
        <v>180</v>
      </c>
      <c r="H55" s="246">
        <f>G55*1.13</f>
        <v>203.39999999999998</v>
      </c>
      <c r="I55" s="246">
        <f>'[1]Frozen Pivot'!B446</f>
        <v>0</v>
      </c>
      <c r="J55" s="245">
        <v>0</v>
      </c>
    </row>
    <row r="56" spans="1:10" ht="16.5" x14ac:dyDescent="0.3">
      <c r="A56" s="235"/>
      <c r="B56" s="436" t="s">
        <v>428</v>
      </c>
      <c r="C56" s="244" t="s">
        <v>252</v>
      </c>
      <c r="D56" s="242" t="s">
        <v>425</v>
      </c>
      <c r="E56" s="242">
        <v>6</v>
      </c>
      <c r="F56" s="243">
        <v>13</v>
      </c>
      <c r="G56" s="242">
        <f>E56*F56</f>
        <v>78</v>
      </c>
      <c r="H56" s="242">
        <f>G56*1.13</f>
        <v>88.139999999999986</v>
      </c>
      <c r="I56" s="242">
        <f>'[1]Frozen Pivot'!B447</f>
        <v>0</v>
      </c>
      <c r="J56" s="241">
        <v>0</v>
      </c>
    </row>
    <row r="57" spans="1:10" ht="16.5" x14ac:dyDescent="0.3">
      <c r="A57" s="235"/>
      <c r="B57" s="437" t="s">
        <v>427</v>
      </c>
      <c r="C57" s="234" t="s">
        <v>426</v>
      </c>
      <c r="D57" s="246" t="s">
        <v>425</v>
      </c>
      <c r="E57" s="246">
        <v>1.5</v>
      </c>
      <c r="F57" s="247">
        <v>13</v>
      </c>
      <c r="G57" s="246">
        <f>E57*F57</f>
        <v>19.5</v>
      </c>
      <c r="H57" s="246">
        <f>G57*1.13</f>
        <v>22.034999999999997</v>
      </c>
      <c r="I57" s="246">
        <f>'[1]Frozen Pivot'!B448</f>
        <v>0</v>
      </c>
      <c r="J57" s="245">
        <v>10.050000000000001</v>
      </c>
    </row>
    <row r="58" spans="1:10" ht="16.5" x14ac:dyDescent="0.3">
      <c r="A58" s="263"/>
      <c r="B58" s="436" t="s">
        <v>424</v>
      </c>
      <c r="C58" s="244" t="s">
        <v>423</v>
      </c>
      <c r="D58" s="242" t="s">
        <v>422</v>
      </c>
      <c r="E58" s="242">
        <v>60</v>
      </c>
      <c r="F58" s="243">
        <v>1</v>
      </c>
      <c r="G58" s="242">
        <f>E58*F58</f>
        <v>60</v>
      </c>
      <c r="H58" s="242">
        <f>G58*1.13</f>
        <v>67.8</v>
      </c>
      <c r="I58" s="242">
        <f>'[1]Frozen Pivot'!B449</f>
        <v>0</v>
      </c>
      <c r="J58" s="241">
        <v>104.05</v>
      </c>
    </row>
    <row r="59" spans="1:10" ht="16.5" x14ac:dyDescent="0.3">
      <c r="A59" s="235"/>
      <c r="B59" s="437"/>
      <c r="C59" s="234"/>
      <c r="D59" s="246"/>
      <c r="E59" s="246"/>
      <c r="F59" s="247"/>
      <c r="G59" s="246"/>
      <c r="H59" s="246"/>
      <c r="I59" s="246"/>
      <c r="J59" s="245"/>
    </row>
    <row r="60" spans="1:10" ht="16.5" x14ac:dyDescent="0.3">
      <c r="A60" s="235"/>
      <c r="B60" s="440" t="s">
        <v>421</v>
      </c>
      <c r="C60" s="239"/>
      <c r="D60" s="237"/>
      <c r="E60" s="237"/>
      <c r="F60" s="238"/>
      <c r="G60" s="237"/>
      <c r="H60" s="237">
        <f>SUM(H54:H58)</f>
        <v>494.37499999999994</v>
      </c>
      <c r="I60" s="237">
        <f>SUM(I54:I59)</f>
        <v>0</v>
      </c>
      <c r="J60" s="236">
        <f>SUM(J54:J59)</f>
        <v>148.97</v>
      </c>
    </row>
    <row r="61" spans="1:10" ht="16.5" x14ac:dyDescent="0.3">
      <c r="A61" s="235"/>
      <c r="B61" s="437"/>
      <c r="C61" s="234"/>
      <c r="D61" s="246"/>
      <c r="E61" s="246"/>
      <c r="F61" s="247"/>
      <c r="G61" s="246"/>
      <c r="H61" s="246"/>
      <c r="I61" s="246"/>
      <c r="J61" s="245"/>
    </row>
    <row r="62" spans="1:10" ht="16.5" x14ac:dyDescent="0.3">
      <c r="A62" s="224" t="s">
        <v>420</v>
      </c>
      <c r="B62" s="439"/>
      <c r="C62" s="234"/>
      <c r="D62" s="246"/>
      <c r="E62" s="246"/>
      <c r="F62" s="247"/>
      <c r="G62" s="246"/>
      <c r="H62" s="246"/>
      <c r="I62" s="246"/>
      <c r="J62" s="245"/>
    </row>
    <row r="63" spans="1:10" ht="16.5" x14ac:dyDescent="0.3">
      <c r="A63" s="235"/>
      <c r="B63" s="436" t="s">
        <v>419</v>
      </c>
      <c r="C63" s="262" t="s">
        <v>418</v>
      </c>
      <c r="D63" s="242" t="s">
        <v>417</v>
      </c>
      <c r="E63" s="242">
        <v>500</v>
      </c>
      <c r="F63" s="243">
        <v>1</v>
      </c>
      <c r="G63" s="242">
        <f>E63*F63</f>
        <v>500</v>
      </c>
      <c r="H63" s="242">
        <f>G63*1.13</f>
        <v>565</v>
      </c>
      <c r="I63" s="246">
        <f>'[1]Frozen Pivot'!B450</f>
        <v>0</v>
      </c>
      <c r="J63" s="241">
        <v>475.14240000000001</v>
      </c>
    </row>
    <row r="64" spans="1:10" ht="16.5" x14ac:dyDescent="0.3">
      <c r="A64" s="235" t="s">
        <v>23</v>
      </c>
      <c r="B64" s="437" t="s">
        <v>416</v>
      </c>
      <c r="C64" s="234" t="s">
        <v>415</v>
      </c>
      <c r="D64" s="246" t="s">
        <v>414</v>
      </c>
      <c r="E64" s="246">
        <v>50</v>
      </c>
      <c r="F64" s="247">
        <v>160</v>
      </c>
      <c r="G64" s="246">
        <f>E64*F64</f>
        <v>8000</v>
      </c>
      <c r="H64" s="246">
        <f>G64*1.13</f>
        <v>9040</v>
      </c>
      <c r="I64" s="246">
        <f>'[1]Frozen Pivot'!B451</f>
        <v>0</v>
      </c>
      <c r="J64" s="245">
        <v>7243.3</v>
      </c>
    </row>
    <row r="65" spans="1:10" ht="16.5" x14ac:dyDescent="0.3">
      <c r="A65" s="235"/>
      <c r="B65" s="436" t="s">
        <v>413</v>
      </c>
      <c r="C65" s="244" t="s">
        <v>412</v>
      </c>
      <c r="D65" s="242" t="s">
        <v>411</v>
      </c>
      <c r="E65" s="242">
        <v>30</v>
      </c>
      <c r="F65" s="243">
        <v>65</v>
      </c>
      <c r="G65" s="242">
        <f>E65*F65</f>
        <v>1950</v>
      </c>
      <c r="H65" s="242">
        <f>G65*1.13</f>
        <v>2203.5</v>
      </c>
      <c r="I65" s="246">
        <f>'[1]Frozen Pivot'!B452</f>
        <v>0</v>
      </c>
      <c r="J65" s="241">
        <v>2259.5700000000002</v>
      </c>
    </row>
    <row r="66" spans="1:10" ht="16.5" x14ac:dyDescent="0.3">
      <c r="A66" s="235"/>
      <c r="B66" s="437" t="s">
        <v>410</v>
      </c>
      <c r="C66" s="234" t="s">
        <v>409</v>
      </c>
      <c r="D66" s="246" t="s">
        <v>408</v>
      </c>
      <c r="E66" s="246">
        <v>1000</v>
      </c>
      <c r="F66" s="247">
        <v>1</v>
      </c>
      <c r="G66" s="246">
        <f>E66*F66</f>
        <v>1000</v>
      </c>
      <c r="H66" s="246">
        <f>G66*1.13</f>
        <v>1130</v>
      </c>
      <c r="I66" s="246">
        <f>'[1]Frozen Pivot'!B453</f>
        <v>0</v>
      </c>
      <c r="J66" s="245">
        <v>950.28480000000002</v>
      </c>
    </row>
    <row r="67" spans="1:10" ht="16.5" x14ac:dyDescent="0.3">
      <c r="A67" s="224"/>
      <c r="B67" s="436" t="s">
        <v>407</v>
      </c>
      <c r="C67" s="244" t="s">
        <v>406</v>
      </c>
      <c r="D67" s="242" t="s">
        <v>405</v>
      </c>
      <c r="E67" s="242">
        <v>280</v>
      </c>
      <c r="F67" s="243">
        <v>1</v>
      </c>
      <c r="G67" s="242">
        <f>E67*F67</f>
        <v>280</v>
      </c>
      <c r="H67" s="242">
        <f>G67*1.13</f>
        <v>316.39999999999998</v>
      </c>
      <c r="I67" s="246">
        <f>'[1]Frozen Pivot'!B454</f>
        <v>0</v>
      </c>
      <c r="J67" s="241">
        <v>254.25</v>
      </c>
    </row>
    <row r="68" spans="1:10" ht="16.5" x14ac:dyDescent="0.3">
      <c r="A68" s="224"/>
      <c r="B68" s="437" t="s">
        <v>404</v>
      </c>
      <c r="C68" s="234" t="s">
        <v>403</v>
      </c>
      <c r="D68" s="246" t="s">
        <v>402</v>
      </c>
      <c r="E68" s="246">
        <v>0.5</v>
      </c>
      <c r="F68" s="247">
        <v>150</v>
      </c>
      <c r="G68" s="246">
        <f>E68*F68</f>
        <v>75</v>
      </c>
      <c r="H68" s="246">
        <f>G68*1.13</f>
        <v>84.749999999999986</v>
      </c>
      <c r="I68" s="246">
        <f>'[1]Frozen Pivot'!B455</f>
        <v>0</v>
      </c>
      <c r="J68" s="245">
        <v>21.19</v>
      </c>
    </row>
    <row r="69" spans="1:10" ht="16.5" x14ac:dyDescent="0.3">
      <c r="A69" s="224"/>
      <c r="B69" s="436" t="s">
        <v>401</v>
      </c>
      <c r="C69" s="244" t="s">
        <v>400</v>
      </c>
      <c r="D69" s="242" t="s">
        <v>391</v>
      </c>
      <c r="E69" s="242">
        <v>0.1</v>
      </c>
      <c r="F69" s="243">
        <v>150</v>
      </c>
      <c r="G69" s="242">
        <f>E69*F69</f>
        <v>15</v>
      </c>
      <c r="H69" s="242">
        <f>G69*1.13</f>
        <v>16.95</v>
      </c>
      <c r="I69" s="246">
        <f>'[1]Frozen Pivot'!B456</f>
        <v>0</v>
      </c>
      <c r="J69" s="241">
        <v>15.59</v>
      </c>
    </row>
    <row r="70" spans="1:10" ht="16.5" x14ac:dyDescent="0.3">
      <c r="A70" s="224"/>
      <c r="B70" s="437" t="s">
        <v>399</v>
      </c>
      <c r="C70" s="234" t="s">
        <v>398</v>
      </c>
      <c r="D70" s="246" t="s">
        <v>397</v>
      </c>
      <c r="E70" s="246">
        <v>500</v>
      </c>
      <c r="F70" s="247">
        <v>1</v>
      </c>
      <c r="G70" s="246">
        <f>E70*F70</f>
        <v>500</v>
      </c>
      <c r="H70" s="246">
        <f>G70*1.13</f>
        <v>565</v>
      </c>
      <c r="I70" s="246">
        <f>'[1]Frozen Pivot'!B457</f>
        <v>0</v>
      </c>
      <c r="J70" s="245">
        <v>308.49</v>
      </c>
    </row>
    <row r="71" spans="1:10" ht="16.5" x14ac:dyDescent="0.3">
      <c r="A71" s="235"/>
      <c r="B71" s="436" t="s">
        <v>396</v>
      </c>
      <c r="C71" s="244" t="s">
        <v>395</v>
      </c>
      <c r="D71" s="242" t="s">
        <v>394</v>
      </c>
      <c r="E71" s="242">
        <v>35</v>
      </c>
      <c r="F71" s="243">
        <v>1</v>
      </c>
      <c r="G71" s="242">
        <f>E71*F71</f>
        <v>35</v>
      </c>
      <c r="H71" s="242">
        <f>G71*1.13</f>
        <v>39.549999999999997</v>
      </c>
      <c r="I71" s="246">
        <f>'[1]Frozen Pivot'!B458</f>
        <v>0</v>
      </c>
      <c r="J71" s="241">
        <v>51.34</v>
      </c>
    </row>
    <row r="72" spans="1:10" ht="16.5" x14ac:dyDescent="0.3">
      <c r="A72" s="235"/>
      <c r="B72" s="437" t="s">
        <v>393</v>
      </c>
      <c r="C72" s="234" t="s">
        <v>392</v>
      </c>
      <c r="D72" s="246" t="s">
        <v>391</v>
      </c>
      <c r="E72" s="246">
        <v>50</v>
      </c>
      <c r="F72" s="247">
        <v>1</v>
      </c>
      <c r="G72" s="246">
        <f>E72*F72</f>
        <v>50</v>
      </c>
      <c r="H72" s="246">
        <f>G72*1.13</f>
        <v>56.499999999999993</v>
      </c>
      <c r="I72" s="246">
        <f>'[1]Frozen Pivot'!B459</f>
        <v>0</v>
      </c>
      <c r="J72" s="438">
        <v>0</v>
      </c>
    </row>
    <row r="73" spans="1:10" ht="16.5" x14ac:dyDescent="0.3">
      <c r="A73" s="235"/>
      <c r="B73" s="234"/>
      <c r="C73" s="223"/>
      <c r="D73" s="222"/>
      <c r="E73" s="222"/>
      <c r="F73" s="233"/>
      <c r="G73" s="222"/>
      <c r="H73" s="222"/>
      <c r="I73" s="222"/>
      <c r="J73" s="221"/>
    </row>
    <row r="74" spans="1:10" ht="16.5" x14ac:dyDescent="0.3">
      <c r="A74" s="235"/>
      <c r="B74" s="240" t="s">
        <v>390</v>
      </c>
      <c r="C74" s="239"/>
      <c r="D74" s="237"/>
      <c r="E74" s="237"/>
      <c r="F74" s="238"/>
      <c r="G74" s="237"/>
      <c r="H74" s="237">
        <f>SUM(H63:H72)</f>
        <v>14017.65</v>
      </c>
      <c r="I74" s="237">
        <f>SUM(I63:I72)</f>
        <v>0</v>
      </c>
      <c r="J74" s="236">
        <f>SUM(J63:J72)</f>
        <v>11579.1572</v>
      </c>
    </row>
    <row r="75" spans="1:10" ht="16.5" x14ac:dyDescent="0.3">
      <c r="A75" s="235"/>
      <c r="B75" s="223"/>
      <c r="C75" s="223"/>
      <c r="D75" s="222"/>
      <c r="E75" s="222"/>
      <c r="F75" s="233"/>
      <c r="G75" s="222"/>
      <c r="H75" s="222"/>
      <c r="I75" s="222"/>
      <c r="J75" s="221"/>
    </row>
    <row r="76" spans="1:10" ht="16.5" x14ac:dyDescent="0.3">
      <c r="A76" s="224" t="s">
        <v>311</v>
      </c>
      <c r="B76" s="234"/>
      <c r="C76" s="223"/>
      <c r="D76" s="222"/>
      <c r="E76" s="222"/>
      <c r="F76" s="233"/>
      <c r="G76" s="222"/>
      <c r="H76" s="222"/>
      <c r="I76" s="222"/>
      <c r="J76" s="221"/>
    </row>
    <row r="77" spans="1:10" ht="16.5" x14ac:dyDescent="0.3">
      <c r="A77" s="235"/>
      <c r="B77" s="436" t="s">
        <v>389</v>
      </c>
      <c r="C77" s="262" t="s">
        <v>388</v>
      </c>
      <c r="D77" s="242"/>
      <c r="E77" s="242"/>
      <c r="F77" s="243"/>
      <c r="G77" s="242"/>
      <c r="H77" s="242"/>
      <c r="I77" s="242">
        <v>150</v>
      </c>
      <c r="J77" s="241">
        <v>150</v>
      </c>
    </row>
    <row r="78" spans="1:10" ht="16.5" x14ac:dyDescent="0.3">
      <c r="A78" s="235" t="s">
        <v>23</v>
      </c>
      <c r="B78" s="437" t="s">
        <v>387</v>
      </c>
      <c r="C78" s="234" t="s">
        <v>386</v>
      </c>
      <c r="D78" s="246"/>
      <c r="E78" s="246"/>
      <c r="F78" s="247"/>
      <c r="G78" s="246"/>
      <c r="H78" s="246"/>
      <c r="I78" s="246">
        <v>10.11</v>
      </c>
      <c r="J78" s="245">
        <v>10.11</v>
      </c>
    </row>
    <row r="79" spans="1:10" ht="16.5" x14ac:dyDescent="0.3">
      <c r="A79" s="235"/>
      <c r="B79" s="436" t="s">
        <v>385</v>
      </c>
      <c r="C79" s="244" t="s">
        <v>384</v>
      </c>
      <c r="D79" s="242"/>
      <c r="E79" s="242"/>
      <c r="F79" s="243"/>
      <c r="G79" s="242"/>
      <c r="H79" s="242"/>
      <c r="I79" s="242">
        <v>32.590000000000003</v>
      </c>
      <c r="J79" s="241">
        <v>32.590000000000003</v>
      </c>
    </row>
    <row r="80" spans="1:10" ht="16.5" x14ac:dyDescent="0.3">
      <c r="A80" s="235"/>
      <c r="B80" s="436" t="s">
        <v>383</v>
      </c>
      <c r="C80" s="234" t="s">
        <v>382</v>
      </c>
      <c r="D80" s="246"/>
      <c r="E80" s="246"/>
      <c r="F80" s="247"/>
      <c r="G80" s="246"/>
      <c r="H80" s="246"/>
      <c r="I80" s="246">
        <v>492.34</v>
      </c>
      <c r="J80" s="245">
        <v>492.34</v>
      </c>
    </row>
    <row r="81" spans="1:10" ht="16.5" x14ac:dyDescent="0.3">
      <c r="A81" s="224"/>
      <c r="B81" s="436" t="s">
        <v>381</v>
      </c>
      <c r="C81" s="244" t="s">
        <v>380</v>
      </c>
      <c r="D81" s="242"/>
      <c r="E81" s="242"/>
      <c r="F81" s="243"/>
      <c r="G81" s="242"/>
      <c r="H81" s="242"/>
      <c r="I81" s="242">
        <v>5.42</v>
      </c>
      <c r="J81" s="241">
        <v>5.42</v>
      </c>
    </row>
    <row r="82" spans="1:10" ht="16.5" x14ac:dyDescent="0.3">
      <c r="A82" s="224"/>
      <c r="B82" s="437" t="s">
        <v>379</v>
      </c>
      <c r="C82" s="234" t="s">
        <v>378</v>
      </c>
      <c r="D82" s="246"/>
      <c r="E82" s="246"/>
      <c r="F82" s="247"/>
      <c r="G82" s="246"/>
      <c r="H82" s="246"/>
      <c r="I82" s="246">
        <v>28.25</v>
      </c>
      <c r="J82" s="245">
        <v>28.25</v>
      </c>
    </row>
    <row r="83" spans="1:10" ht="16.5" x14ac:dyDescent="0.3">
      <c r="A83" s="224"/>
      <c r="B83" s="436" t="s">
        <v>377</v>
      </c>
      <c r="C83" s="244" t="s">
        <v>376</v>
      </c>
      <c r="D83" s="242"/>
      <c r="E83" s="242"/>
      <c r="F83" s="243"/>
      <c r="G83" s="242"/>
      <c r="H83" s="242"/>
      <c r="I83" s="242">
        <v>54.24</v>
      </c>
      <c r="J83" s="241">
        <v>54.24</v>
      </c>
    </row>
    <row r="84" spans="1:10" ht="16.5" x14ac:dyDescent="0.3">
      <c r="A84" s="235"/>
      <c r="B84" s="437" t="s">
        <v>375</v>
      </c>
      <c r="C84" s="234" t="s">
        <v>374</v>
      </c>
      <c r="D84" s="246"/>
      <c r="E84" s="246"/>
      <c r="F84" s="247"/>
      <c r="G84" s="246"/>
      <c r="H84" s="246"/>
      <c r="I84" s="246">
        <v>22.6</v>
      </c>
      <c r="J84" s="245">
        <v>22.6</v>
      </c>
    </row>
    <row r="85" spans="1:10" ht="18.95" customHeight="1" x14ac:dyDescent="0.3">
      <c r="A85" s="235"/>
      <c r="B85" s="436" t="s">
        <v>373</v>
      </c>
      <c r="C85" s="244" t="s">
        <v>372</v>
      </c>
      <c r="D85" s="242"/>
      <c r="E85" s="242"/>
      <c r="F85" s="243"/>
      <c r="G85" s="242"/>
      <c r="H85" s="242"/>
      <c r="I85" s="242">
        <v>60</v>
      </c>
      <c r="J85" s="435">
        <v>60</v>
      </c>
    </row>
    <row r="86" spans="1:10" ht="16.5" x14ac:dyDescent="0.3">
      <c r="A86" s="235"/>
      <c r="B86" s="240" t="s">
        <v>371</v>
      </c>
      <c r="C86" s="239"/>
      <c r="D86" s="237"/>
      <c r="E86" s="237"/>
      <c r="F86" s="238"/>
      <c r="G86" s="237"/>
      <c r="H86" s="237"/>
      <c r="I86" s="237">
        <f>SUM(I65:I74)</f>
        <v>0</v>
      </c>
      <c r="J86" s="236">
        <f>SUM(J77:J85)</f>
        <v>855.55</v>
      </c>
    </row>
    <row r="87" spans="1:10" ht="16.5" x14ac:dyDescent="0.3">
      <c r="A87" s="235"/>
      <c r="B87" s="223"/>
      <c r="C87" s="223"/>
      <c r="D87" s="222"/>
      <c r="E87" s="222"/>
      <c r="F87" s="233"/>
      <c r="G87" s="222"/>
      <c r="H87" s="222"/>
      <c r="I87" s="222"/>
      <c r="J87" s="221"/>
    </row>
    <row r="88" spans="1:10" ht="16.5" x14ac:dyDescent="0.3">
      <c r="A88" s="235"/>
      <c r="B88" s="234"/>
      <c r="C88" s="223" t="s">
        <v>4</v>
      </c>
      <c r="D88" s="222"/>
      <c r="E88" s="222"/>
      <c r="F88" s="233"/>
      <c r="G88" s="222"/>
      <c r="H88" s="222">
        <f>H74+H60+H51+H24</f>
        <v>19771.045000000002</v>
      </c>
      <c r="I88" s="222">
        <f>I74+I60+I51+I24</f>
        <v>2896.84</v>
      </c>
      <c r="J88" s="221">
        <f>J74+J60+J51+J24+J86</f>
        <v>16311.754199999998</v>
      </c>
    </row>
    <row r="89" spans="1:10" ht="16.5" x14ac:dyDescent="0.3">
      <c r="A89" s="235"/>
      <c r="B89" s="234"/>
      <c r="C89" s="223"/>
      <c r="D89" s="222"/>
      <c r="E89" s="222"/>
      <c r="F89" s="233"/>
      <c r="G89" s="222"/>
      <c r="H89" s="222"/>
      <c r="I89" s="222"/>
      <c r="J89" s="221"/>
    </row>
    <row r="90" spans="1:10" ht="16.5" x14ac:dyDescent="0.3">
      <c r="A90" s="232" t="s">
        <v>3</v>
      </c>
      <c r="B90" s="231"/>
      <c r="C90" s="231"/>
      <c r="D90" s="229"/>
      <c r="E90" s="229"/>
      <c r="F90" s="230"/>
      <c r="G90" s="229"/>
      <c r="H90" s="229"/>
      <c r="I90" s="229"/>
      <c r="J90" s="228"/>
    </row>
    <row r="91" spans="1:10" ht="16.5" x14ac:dyDescent="0.3">
      <c r="A91" s="224"/>
      <c r="B91" s="227" t="s">
        <v>2</v>
      </c>
      <c r="C91" s="227"/>
      <c r="D91" s="226"/>
      <c r="E91" s="226"/>
      <c r="F91" s="226"/>
      <c r="G91" s="226"/>
      <c r="H91" s="226">
        <v>0</v>
      </c>
      <c r="I91" s="226">
        <v>1</v>
      </c>
      <c r="J91" s="434">
        <v>2</v>
      </c>
    </row>
    <row r="92" spans="1:10" ht="16.5" x14ac:dyDescent="0.3">
      <c r="A92" s="224"/>
      <c r="B92" s="223" t="s">
        <v>1</v>
      </c>
      <c r="C92" s="223"/>
      <c r="D92" s="222"/>
      <c r="E92" s="222"/>
      <c r="F92" s="222"/>
      <c r="G92" s="222"/>
      <c r="H92" s="222">
        <f>H88</f>
        <v>19771.045000000002</v>
      </c>
      <c r="I92" s="222">
        <f>I88</f>
        <v>2896.84</v>
      </c>
      <c r="J92" s="221">
        <f>J88</f>
        <v>16311.754199999998</v>
      </c>
    </row>
    <row r="93" spans="1:10" ht="16.5" x14ac:dyDescent="0.3">
      <c r="A93" s="220"/>
      <c r="B93" s="219" t="s">
        <v>0</v>
      </c>
      <c r="C93" s="219"/>
      <c r="D93" s="218"/>
      <c r="E93" s="218"/>
      <c r="F93" s="218"/>
      <c r="G93" s="218"/>
      <c r="H93" s="218">
        <f>H91-H92</f>
        <v>-19771.045000000002</v>
      </c>
      <c r="I93" s="218">
        <f>I91-I92</f>
        <v>-2895.84</v>
      </c>
      <c r="J93" s="217">
        <f>J91-J92</f>
        <v>-16309.754199999998</v>
      </c>
    </row>
  </sheetData>
  <mergeCells count="4">
    <mergeCell ref="A1:J1"/>
    <mergeCell ref="A4:C4"/>
    <mergeCell ref="A8:C8"/>
    <mergeCell ref="A90:C90"/>
  </mergeCells>
  <pageMargins left="0.75" right="0.75" top="1" bottom="1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002B5-5641-4879-9815-54757F72F925}">
  <sheetPr codeName="Sheet16"/>
  <dimension ref="A1:J60"/>
  <sheetViews>
    <sheetView topLeftCell="A8" zoomScale="73" workbookViewId="0">
      <selection activeCell="J59" sqref="J59"/>
    </sheetView>
  </sheetViews>
  <sheetFormatPr defaultColWidth="8.85546875" defaultRowHeight="15" x14ac:dyDescent="0.25"/>
  <cols>
    <col min="1" max="1" width="31" bestFit="1" customWidth="1"/>
    <col min="2" max="2" width="15" customWidth="1"/>
    <col min="3" max="3" width="26.140625" customWidth="1"/>
    <col min="4" max="4" width="55.42578125" customWidth="1"/>
    <col min="5" max="5" width="11.140625" bestFit="1" customWidth="1"/>
    <col min="6" max="6" width="10.140625" bestFit="1" customWidth="1"/>
    <col min="7" max="7" width="10.7109375" bestFit="1" customWidth="1"/>
    <col min="8" max="8" width="13.7109375" bestFit="1" customWidth="1"/>
    <col min="9" max="9" width="12" hidden="1" customWidth="1"/>
    <col min="10" max="10" width="12.140625" bestFit="1" customWidth="1"/>
    <col min="12" max="12" width="8.85546875" customWidth="1"/>
    <col min="14" max="14" width="9.140625" bestFit="1" customWidth="1"/>
    <col min="15" max="15" width="11" bestFit="1" customWidth="1"/>
  </cols>
  <sheetData>
    <row r="1" spans="1:10" ht="26.25" x14ac:dyDescent="0.25">
      <c r="A1" s="402" t="s">
        <v>370</v>
      </c>
      <c r="B1" s="402"/>
      <c r="C1" s="402"/>
      <c r="D1" s="402"/>
      <c r="E1" s="402"/>
      <c r="F1" s="402"/>
      <c r="G1" s="402"/>
      <c r="H1" s="402"/>
      <c r="I1" s="402"/>
      <c r="J1" s="402"/>
    </row>
    <row r="2" spans="1:10" ht="16.5" x14ac:dyDescent="0.3">
      <c r="A2" s="401"/>
      <c r="B2" s="400" t="s">
        <v>213</v>
      </c>
      <c r="C2" s="399" t="s">
        <v>212</v>
      </c>
      <c r="D2" s="398" t="s">
        <v>211</v>
      </c>
      <c r="E2" s="397" t="s">
        <v>210</v>
      </c>
      <c r="F2" s="396" t="s">
        <v>209</v>
      </c>
      <c r="G2" s="395" t="s">
        <v>208</v>
      </c>
      <c r="H2" s="395" t="s">
        <v>207</v>
      </c>
      <c r="I2" s="395" t="s">
        <v>232</v>
      </c>
      <c r="J2" s="394" t="s">
        <v>206</v>
      </c>
    </row>
    <row r="3" spans="1:10" ht="16.5" x14ac:dyDescent="0.3">
      <c r="A3" s="393"/>
      <c r="B3" s="392"/>
      <c r="C3" s="391"/>
      <c r="D3" s="390"/>
      <c r="E3" s="388"/>
      <c r="F3" s="389"/>
      <c r="G3" s="388"/>
      <c r="H3" s="388"/>
      <c r="I3" s="388"/>
      <c r="J3" s="387"/>
    </row>
    <row r="4" spans="1:10" ht="16.5" x14ac:dyDescent="0.3">
      <c r="A4" s="386" t="s">
        <v>81</v>
      </c>
      <c r="B4" s="431"/>
      <c r="C4" s="431"/>
      <c r="D4" s="298"/>
      <c r="E4" s="298"/>
      <c r="F4" s="299"/>
      <c r="G4" s="298"/>
      <c r="H4" s="298"/>
      <c r="I4" s="298"/>
      <c r="J4" s="297"/>
    </row>
    <row r="5" spans="1:10" ht="16.5" x14ac:dyDescent="0.3">
      <c r="A5" s="293"/>
      <c r="B5" s="292"/>
      <c r="C5" s="292"/>
      <c r="D5" s="291"/>
      <c r="E5" s="291"/>
      <c r="F5" s="302"/>
      <c r="G5" s="291"/>
      <c r="H5" s="291"/>
      <c r="I5" s="291"/>
      <c r="J5" s="290"/>
    </row>
    <row r="6" spans="1:10" ht="16.5" x14ac:dyDescent="0.3">
      <c r="A6" s="293"/>
      <c r="B6" s="292"/>
      <c r="C6" s="292" t="s">
        <v>59</v>
      </c>
      <c r="D6" s="291"/>
      <c r="E6" s="291"/>
      <c r="F6" s="302"/>
      <c r="G6" s="291"/>
      <c r="H6" s="291">
        <v>0</v>
      </c>
      <c r="I6" s="291">
        <v>0</v>
      </c>
      <c r="J6" s="290">
        <v>0</v>
      </c>
    </row>
    <row r="7" spans="1:10" ht="16.5" x14ac:dyDescent="0.3">
      <c r="A7" s="293"/>
      <c r="B7" s="292"/>
      <c r="C7" s="292"/>
      <c r="D7" s="291"/>
      <c r="E7" s="291"/>
      <c r="F7" s="302"/>
      <c r="G7" s="291"/>
      <c r="H7" s="291"/>
      <c r="I7" s="291"/>
      <c r="J7" s="290"/>
    </row>
    <row r="8" spans="1:10" ht="16.5" x14ac:dyDescent="0.3">
      <c r="A8" s="386" t="s">
        <v>58</v>
      </c>
      <c r="B8" s="431"/>
      <c r="C8" s="431"/>
      <c r="D8" s="298"/>
      <c r="E8" s="372"/>
      <c r="F8" s="373"/>
      <c r="G8" s="372"/>
      <c r="H8" s="372"/>
      <c r="I8" s="372"/>
      <c r="J8" s="297"/>
    </row>
    <row r="9" spans="1:10" ht="16.5" x14ac:dyDescent="0.3">
      <c r="A9" s="293" t="s">
        <v>369</v>
      </c>
      <c r="B9" s="292"/>
      <c r="C9" s="303"/>
      <c r="D9" s="179"/>
      <c r="E9" s="179"/>
      <c r="F9" s="180"/>
      <c r="G9" s="179"/>
      <c r="H9" s="179"/>
      <c r="I9" s="179"/>
      <c r="J9" s="305"/>
    </row>
    <row r="10" spans="1:10" ht="16.5" x14ac:dyDescent="0.3">
      <c r="A10" s="304"/>
      <c r="B10" s="422" t="s">
        <v>368</v>
      </c>
      <c r="C10" s="430" t="s">
        <v>367</v>
      </c>
      <c r="D10" s="419" t="s">
        <v>366</v>
      </c>
      <c r="E10" s="419">
        <v>1503.88</v>
      </c>
      <c r="F10" s="420">
        <v>1</v>
      </c>
      <c r="G10" s="419">
        <f>E10*F10</f>
        <v>1503.88</v>
      </c>
      <c r="H10" s="419">
        <f>G10*1.13</f>
        <v>1699.3843999999999</v>
      </c>
      <c r="I10" s="419">
        <f>'[1]Frozen Pivot'!B460</f>
        <v>0</v>
      </c>
      <c r="J10" s="429">
        <v>0</v>
      </c>
    </row>
    <row r="11" spans="1:10" ht="16.5" x14ac:dyDescent="0.3">
      <c r="A11" s="304"/>
      <c r="B11" s="412" t="s">
        <v>365</v>
      </c>
      <c r="C11" s="306" t="s">
        <v>364</v>
      </c>
      <c r="D11" s="179" t="s">
        <v>363</v>
      </c>
      <c r="E11" s="179">
        <v>2000</v>
      </c>
      <c r="F11" s="180">
        <v>1</v>
      </c>
      <c r="G11" s="179">
        <f>F11*E11</f>
        <v>2000</v>
      </c>
      <c r="H11" s="179">
        <f>G11*1.13</f>
        <v>2260</v>
      </c>
      <c r="I11" s="179">
        <v>7000</v>
      </c>
      <c r="J11" s="305">
        <v>7000</v>
      </c>
    </row>
    <row r="12" spans="1:10" ht="16.5" x14ac:dyDescent="0.3">
      <c r="A12" s="304"/>
      <c r="B12" s="422"/>
      <c r="C12" s="430"/>
      <c r="D12" s="419"/>
      <c r="E12" s="419"/>
      <c r="F12" s="420"/>
      <c r="G12" s="419"/>
      <c r="H12" s="419"/>
      <c r="I12" s="419"/>
      <c r="J12" s="429"/>
    </row>
    <row r="13" spans="1:10" ht="16.5" x14ac:dyDescent="0.3">
      <c r="A13" s="304"/>
      <c r="B13" s="417" t="s">
        <v>362</v>
      </c>
      <c r="C13" s="428"/>
      <c r="D13" s="308"/>
      <c r="E13" s="308"/>
      <c r="F13" s="309"/>
      <c r="G13" s="308"/>
      <c r="H13" s="308">
        <f>SUM(H10:H11)</f>
        <v>3959.3843999999999</v>
      </c>
      <c r="I13" s="308">
        <f>SUM(I9:I10)</f>
        <v>0</v>
      </c>
      <c r="J13" s="307">
        <f>SUM(J10:J11)</f>
        <v>7000</v>
      </c>
    </row>
    <row r="14" spans="1:10" ht="16.5" x14ac:dyDescent="0.3">
      <c r="A14" s="293"/>
      <c r="B14" s="416"/>
      <c r="C14" s="292"/>
      <c r="D14" s="291"/>
      <c r="E14" s="291"/>
      <c r="F14" s="302"/>
      <c r="G14" s="291"/>
      <c r="H14" s="291"/>
      <c r="I14" s="291"/>
      <c r="J14" s="290"/>
    </row>
    <row r="15" spans="1:10" ht="16.5" x14ac:dyDescent="0.3">
      <c r="A15" s="293" t="s">
        <v>361</v>
      </c>
      <c r="B15" s="416"/>
      <c r="C15" s="303"/>
      <c r="D15" s="179"/>
      <c r="E15" s="179"/>
      <c r="F15" s="180"/>
      <c r="G15" s="179"/>
      <c r="H15" s="179"/>
      <c r="I15" s="179"/>
      <c r="J15" s="305"/>
    </row>
    <row r="16" spans="1:10" ht="16.5" x14ac:dyDescent="0.3">
      <c r="A16" s="304"/>
      <c r="B16" s="414" t="s">
        <v>360</v>
      </c>
      <c r="C16" s="427" t="s">
        <v>357</v>
      </c>
      <c r="D16" s="314" t="s">
        <v>359</v>
      </c>
      <c r="E16" s="314">
        <v>25</v>
      </c>
      <c r="F16" s="315">
        <v>9</v>
      </c>
      <c r="G16" s="314">
        <f>E16*F16</f>
        <v>225</v>
      </c>
      <c r="H16" s="314">
        <f>G16*1.13</f>
        <v>254.24999999999997</v>
      </c>
      <c r="I16" s="314">
        <f>'[1]Frozen Pivot'!B462</f>
        <v>86.95</v>
      </c>
      <c r="J16" s="313">
        <v>169.81</v>
      </c>
    </row>
    <row r="17" spans="1:10" ht="16.5" x14ac:dyDescent="0.3">
      <c r="A17" s="304"/>
      <c r="B17" s="412" t="s">
        <v>358</v>
      </c>
      <c r="C17" s="306" t="s">
        <v>357</v>
      </c>
      <c r="D17" s="179" t="s">
        <v>356</v>
      </c>
      <c r="E17" s="179">
        <v>20</v>
      </c>
      <c r="F17" s="180">
        <v>19</v>
      </c>
      <c r="G17" s="179">
        <f>E17*F17</f>
        <v>380</v>
      </c>
      <c r="H17" s="179">
        <f>G17*1.13</f>
        <v>429.4</v>
      </c>
      <c r="I17" s="314">
        <f>'[1]Frozen Pivot'!B463</f>
        <v>217.77</v>
      </c>
      <c r="J17" s="305">
        <v>166.69</v>
      </c>
    </row>
    <row r="18" spans="1:10" ht="16.5" x14ac:dyDescent="0.3">
      <c r="A18" s="304"/>
      <c r="B18" s="414"/>
      <c r="C18" s="427"/>
      <c r="D18" s="314"/>
      <c r="E18" s="314"/>
      <c r="F18" s="315"/>
      <c r="G18" s="314"/>
      <c r="H18" s="314"/>
      <c r="I18" s="314"/>
      <c r="J18" s="313"/>
    </row>
    <row r="19" spans="1:10" ht="16.5" x14ac:dyDescent="0.3">
      <c r="A19" s="304"/>
      <c r="B19" s="417" t="s">
        <v>355</v>
      </c>
      <c r="C19" s="310"/>
      <c r="D19" s="308"/>
      <c r="E19" s="308"/>
      <c r="F19" s="309"/>
      <c r="G19" s="308"/>
      <c r="H19" s="308">
        <f>SUM(H16:H17)</f>
        <v>683.65</v>
      </c>
      <c r="I19" s="308">
        <f>SUM(I16:I17)</f>
        <v>304.72000000000003</v>
      </c>
      <c r="J19" s="307">
        <f>SUM(J16:J17)</f>
        <v>336.5</v>
      </c>
    </row>
    <row r="20" spans="1:10" ht="16.5" x14ac:dyDescent="0.3">
      <c r="A20" s="304"/>
      <c r="B20" s="416"/>
      <c r="C20" s="292"/>
      <c r="D20" s="291"/>
      <c r="E20" s="291"/>
      <c r="F20" s="302"/>
      <c r="G20" s="291"/>
      <c r="H20" s="291"/>
      <c r="I20" s="291"/>
      <c r="J20" s="290"/>
    </row>
    <row r="21" spans="1:10" ht="16.5" x14ac:dyDescent="0.3">
      <c r="A21" s="293" t="s">
        <v>354</v>
      </c>
      <c r="B21" s="416"/>
      <c r="C21" s="303"/>
      <c r="D21" s="179"/>
      <c r="E21" s="179"/>
      <c r="F21" s="180"/>
      <c r="G21" s="179"/>
      <c r="H21" s="179"/>
      <c r="I21" s="179"/>
      <c r="J21" s="305"/>
    </row>
    <row r="22" spans="1:10" ht="16.5" x14ac:dyDescent="0.3">
      <c r="A22" s="304"/>
      <c r="B22" s="414" t="s">
        <v>353</v>
      </c>
      <c r="C22" s="427" t="s">
        <v>352</v>
      </c>
      <c r="D22" s="314" t="s">
        <v>351</v>
      </c>
      <c r="E22" s="314">
        <v>8</v>
      </c>
      <c r="F22" s="315">
        <v>15</v>
      </c>
      <c r="G22" s="314">
        <f>E22*F22</f>
        <v>120</v>
      </c>
      <c r="H22" s="314">
        <f>G22*1.13</f>
        <v>135.6</v>
      </c>
      <c r="I22" s="314">
        <f>'[1]Frozen Pivot'!B464</f>
        <v>0</v>
      </c>
      <c r="J22" s="313">
        <v>0</v>
      </c>
    </row>
    <row r="23" spans="1:10" ht="16.5" x14ac:dyDescent="0.3">
      <c r="A23" s="304"/>
      <c r="B23" s="412" t="s">
        <v>350</v>
      </c>
      <c r="C23" s="306" t="s">
        <v>348</v>
      </c>
      <c r="D23" s="179" t="s">
        <v>279</v>
      </c>
      <c r="E23" s="179">
        <v>130</v>
      </c>
      <c r="F23" s="180">
        <v>1</v>
      </c>
      <c r="G23" s="179">
        <f>F23*E23</f>
        <v>130</v>
      </c>
      <c r="H23" s="179">
        <f>G23*1.13</f>
        <v>146.89999999999998</v>
      </c>
      <c r="I23" s="314">
        <f>'[1]Frozen Pivot'!B465</f>
        <v>0</v>
      </c>
      <c r="J23" s="305">
        <v>0</v>
      </c>
    </row>
    <row r="24" spans="1:10" ht="16.5" x14ac:dyDescent="0.3">
      <c r="A24" s="304"/>
      <c r="B24" s="414" t="s">
        <v>349</v>
      </c>
      <c r="C24" s="427" t="s">
        <v>348</v>
      </c>
      <c r="D24" s="314" t="s">
        <v>347</v>
      </c>
      <c r="E24" s="314">
        <v>1.21</v>
      </c>
      <c r="F24" s="315">
        <v>80</v>
      </c>
      <c r="G24" s="314">
        <f>F24*E24</f>
        <v>96.8</v>
      </c>
      <c r="H24" s="314">
        <f>G24*1.13</f>
        <v>109.38399999999999</v>
      </c>
      <c r="I24" s="314">
        <f>'[1]Frozen Pivot'!B466</f>
        <v>0</v>
      </c>
      <c r="J24" s="313">
        <v>110</v>
      </c>
    </row>
    <row r="25" spans="1:10" ht="16.5" x14ac:dyDescent="0.3">
      <c r="A25" s="304"/>
      <c r="B25" s="412" t="s">
        <v>346</v>
      </c>
      <c r="C25" s="306" t="s">
        <v>240</v>
      </c>
      <c r="D25" s="179" t="s">
        <v>345</v>
      </c>
      <c r="E25" s="179">
        <v>25</v>
      </c>
      <c r="F25" s="180">
        <v>11</v>
      </c>
      <c r="G25" s="179">
        <f>F25*E25</f>
        <v>275</v>
      </c>
      <c r="H25" s="179">
        <f>G25*1.13</f>
        <v>310.74999999999994</v>
      </c>
      <c r="I25" s="314">
        <f>'[1]Frozen Pivot'!B467</f>
        <v>432.23</v>
      </c>
      <c r="J25" s="305">
        <v>432.23</v>
      </c>
    </row>
    <row r="26" spans="1:10" ht="16.5" x14ac:dyDescent="0.3">
      <c r="A26" s="304"/>
      <c r="B26" s="414" t="s">
        <v>344</v>
      </c>
      <c r="C26" s="319" t="s">
        <v>251</v>
      </c>
      <c r="D26" s="314" t="s">
        <v>343</v>
      </c>
      <c r="E26" s="314">
        <f>3*12</f>
        <v>36</v>
      </c>
      <c r="F26" s="315">
        <f>25</f>
        <v>25</v>
      </c>
      <c r="G26" s="314">
        <f>F26*E26</f>
        <v>900</v>
      </c>
      <c r="H26" s="314">
        <f>G26*1.13</f>
        <v>1016.9999999999999</v>
      </c>
      <c r="I26" s="314">
        <f>'[1]Frozen Pivot'!B468</f>
        <v>697.05000000000007</v>
      </c>
      <c r="J26" s="313">
        <v>697.05000000000007</v>
      </c>
    </row>
    <row r="27" spans="1:10" ht="16.5" x14ac:dyDescent="0.3">
      <c r="A27" s="304"/>
      <c r="B27" s="412" t="s">
        <v>342</v>
      </c>
      <c r="C27" s="303" t="s">
        <v>341</v>
      </c>
      <c r="D27" s="179" t="s">
        <v>340</v>
      </c>
      <c r="E27" s="179">
        <v>100</v>
      </c>
      <c r="F27" s="180">
        <v>1</v>
      </c>
      <c r="G27" s="179">
        <v>100</v>
      </c>
      <c r="H27" s="179">
        <v>100</v>
      </c>
      <c r="I27" s="314">
        <f>'[1]Frozen Pivot'!B469</f>
        <v>0</v>
      </c>
      <c r="J27" s="305">
        <v>0</v>
      </c>
    </row>
    <row r="28" spans="1:10" ht="16.5" x14ac:dyDescent="0.3">
      <c r="A28" s="304"/>
      <c r="B28" s="414"/>
      <c r="C28" s="319"/>
      <c r="D28" s="314"/>
      <c r="E28" s="314"/>
      <c r="F28" s="315"/>
      <c r="G28" s="314"/>
      <c r="H28" s="314"/>
      <c r="I28" s="314"/>
      <c r="J28" s="313"/>
    </row>
    <row r="29" spans="1:10" ht="16.5" x14ac:dyDescent="0.3">
      <c r="A29" s="304"/>
      <c r="B29" s="417" t="s">
        <v>339</v>
      </c>
      <c r="C29" s="310"/>
      <c r="D29" s="308"/>
      <c r="E29" s="308"/>
      <c r="F29" s="309"/>
      <c r="G29" s="308"/>
      <c r="H29" s="308">
        <f>SUM(H22:H27)</f>
        <v>1819.634</v>
      </c>
      <c r="I29" s="308">
        <f>SUM(I22:I26)</f>
        <v>1129.2800000000002</v>
      </c>
      <c r="J29" s="307">
        <f>SUM(J22:J27)</f>
        <v>1239.2800000000002</v>
      </c>
    </row>
    <row r="30" spans="1:10" ht="16.5" x14ac:dyDescent="0.3">
      <c r="A30" s="304"/>
      <c r="B30" s="416"/>
      <c r="C30" s="292"/>
      <c r="D30" s="291"/>
      <c r="E30" s="291"/>
      <c r="F30" s="302"/>
      <c r="G30" s="291"/>
      <c r="H30" s="291"/>
      <c r="I30" s="291"/>
      <c r="J30" s="290"/>
    </row>
    <row r="31" spans="1:10" ht="16.5" x14ac:dyDescent="0.3">
      <c r="A31" s="292" t="s">
        <v>338</v>
      </c>
      <c r="B31" s="416"/>
      <c r="C31" s="292"/>
      <c r="D31" s="291"/>
      <c r="E31" s="291"/>
      <c r="F31" s="302"/>
      <c r="G31" s="291"/>
      <c r="H31" s="291"/>
      <c r="I31" s="291"/>
      <c r="J31" s="290"/>
    </row>
    <row r="32" spans="1:10" ht="16.5" x14ac:dyDescent="0.3">
      <c r="A32" t="s">
        <v>23</v>
      </c>
      <c r="B32" s="422" t="s">
        <v>337</v>
      </c>
      <c r="C32" s="421" t="s">
        <v>336</v>
      </c>
      <c r="D32" s="419" t="s">
        <v>335</v>
      </c>
      <c r="E32" s="419">
        <v>270</v>
      </c>
      <c r="F32" s="420">
        <v>12</v>
      </c>
      <c r="G32" s="419">
        <v>3240</v>
      </c>
      <c r="H32" s="419">
        <v>3661.2</v>
      </c>
      <c r="I32" s="419">
        <f>'[1]Frozen Pivot'!B470</f>
        <v>1786.0616883116882</v>
      </c>
      <c r="J32" s="426">
        <v>1786.0616883116882</v>
      </c>
    </row>
    <row r="33" spans="1:10" ht="16.5" x14ac:dyDescent="0.3">
      <c r="A33" s="293"/>
      <c r="B33" s="412" t="s">
        <v>334</v>
      </c>
      <c r="C33" s="303" t="s">
        <v>323</v>
      </c>
      <c r="D33" s="179" t="s">
        <v>333</v>
      </c>
      <c r="E33" s="179">
        <v>80</v>
      </c>
      <c r="F33" s="180">
        <v>12</v>
      </c>
      <c r="G33" s="179">
        <f>F33*E33</f>
        <v>960</v>
      </c>
      <c r="H33" s="179">
        <f>G33*1.13</f>
        <v>1084.8</v>
      </c>
      <c r="I33" s="419">
        <f>'[1]Frozen Pivot'!B471</f>
        <v>520.67012987012993</v>
      </c>
      <c r="J33" s="425">
        <v>520.67012987012993</v>
      </c>
    </row>
    <row r="34" spans="1:10" ht="16.5" x14ac:dyDescent="0.3">
      <c r="A34" s="304"/>
      <c r="B34" s="422" t="s">
        <v>332</v>
      </c>
      <c r="C34" s="319" t="s">
        <v>323</v>
      </c>
      <c r="D34" s="314" t="s">
        <v>331</v>
      </c>
      <c r="E34" s="314">
        <v>65</v>
      </c>
      <c r="F34" s="315">
        <v>12</v>
      </c>
      <c r="G34" s="314">
        <v>780</v>
      </c>
      <c r="H34" s="314">
        <v>881.4</v>
      </c>
      <c r="I34" s="419">
        <f>'[1]Frozen Pivot'!B472</f>
        <v>423.04448051948043</v>
      </c>
      <c r="J34" s="424">
        <v>423.04448051948043</v>
      </c>
    </row>
    <row r="35" spans="1:10" ht="16.5" x14ac:dyDescent="0.3">
      <c r="A35" s="304"/>
      <c r="B35" s="412" t="s">
        <v>330</v>
      </c>
      <c r="C35" s="303" t="s">
        <v>323</v>
      </c>
      <c r="D35" s="179" t="s">
        <v>329</v>
      </c>
      <c r="E35" s="179">
        <v>230</v>
      </c>
      <c r="F35" s="180">
        <v>12</v>
      </c>
      <c r="G35" s="179">
        <v>2760</v>
      </c>
      <c r="H35" s="179">
        <v>3118.8</v>
      </c>
      <c r="I35" s="419">
        <f>'[1]Frozen Pivot'!B473</f>
        <v>1496.9266233766234</v>
      </c>
      <c r="J35" s="423">
        <v>1496.9266233766234</v>
      </c>
    </row>
    <row r="36" spans="1:10" ht="16.5" x14ac:dyDescent="0.3">
      <c r="A36" s="304"/>
      <c r="B36" s="422" t="s">
        <v>328</v>
      </c>
      <c r="C36" s="319" t="s">
        <v>323</v>
      </c>
      <c r="D36" s="314" t="s">
        <v>327</v>
      </c>
      <c r="E36" s="314">
        <v>20</v>
      </c>
      <c r="F36" s="315">
        <v>12</v>
      </c>
      <c r="G36" s="314">
        <v>240</v>
      </c>
      <c r="H36" s="314">
        <v>271.2</v>
      </c>
      <c r="I36" s="419">
        <f>'[1]Frozen Pivot'!B474</f>
        <v>130.16753246753248</v>
      </c>
      <c r="J36" s="424">
        <v>130.16753246753248</v>
      </c>
    </row>
    <row r="37" spans="1:10" ht="16.5" x14ac:dyDescent="0.3">
      <c r="A37" s="304"/>
      <c r="B37" s="412" t="s">
        <v>326</v>
      </c>
      <c r="C37" s="303" t="s">
        <v>323</v>
      </c>
      <c r="D37" s="179" t="s">
        <v>325</v>
      </c>
      <c r="E37" s="179">
        <v>15</v>
      </c>
      <c r="F37" s="180">
        <v>12</v>
      </c>
      <c r="G37" s="179">
        <v>180</v>
      </c>
      <c r="H37" s="179">
        <v>203.4</v>
      </c>
      <c r="I37" s="419">
        <f>'[1]Frozen Pivot'!B475</f>
        <v>97.625649350649354</v>
      </c>
      <c r="J37" s="423">
        <v>97.625649350649354</v>
      </c>
    </row>
    <row r="38" spans="1:10" ht="16.5" x14ac:dyDescent="0.3">
      <c r="A38" s="304"/>
      <c r="B38" s="422" t="s">
        <v>324</v>
      </c>
      <c r="C38" s="421" t="s">
        <v>323</v>
      </c>
      <c r="D38" s="419" t="s">
        <v>322</v>
      </c>
      <c r="E38" s="419">
        <v>90</v>
      </c>
      <c r="F38" s="420">
        <v>12</v>
      </c>
      <c r="G38" s="419">
        <v>1080</v>
      </c>
      <c r="H38" s="419">
        <v>1220.4000000000001</v>
      </c>
      <c r="I38" s="419">
        <f>'[1]Frozen Pivot'!B476</f>
        <v>585.75441558441548</v>
      </c>
      <c r="J38" s="418">
        <v>585.75441558441548</v>
      </c>
    </row>
    <row r="39" spans="1:10" ht="16.5" x14ac:dyDescent="0.3">
      <c r="A39" s="304"/>
      <c r="B39" s="412"/>
      <c r="C39" s="303"/>
      <c r="D39" s="179"/>
      <c r="E39" s="179"/>
      <c r="F39" s="180"/>
      <c r="G39" s="179"/>
      <c r="H39" s="179"/>
      <c r="I39" s="291"/>
      <c r="J39" s="290"/>
    </row>
    <row r="40" spans="1:10" ht="16.5" x14ac:dyDescent="0.3">
      <c r="A40" s="304"/>
      <c r="B40" s="417" t="s">
        <v>321</v>
      </c>
      <c r="C40" s="310"/>
      <c r="D40" s="308"/>
      <c r="E40" s="308"/>
      <c r="F40" s="309"/>
      <c r="G40" s="308"/>
      <c r="H40" s="308">
        <f>SUM(H32:H38)</f>
        <v>10441.200000000001</v>
      </c>
      <c r="I40" s="308">
        <f>SUM(I32:I38)</f>
        <v>5040.250519480519</v>
      </c>
      <c r="J40" s="308">
        <f>SUM(J32:J38)</f>
        <v>5040.250519480519</v>
      </c>
    </row>
    <row r="41" spans="1:10" ht="16.5" x14ac:dyDescent="0.3">
      <c r="A41" s="304"/>
      <c r="B41" s="416"/>
      <c r="C41" s="292"/>
      <c r="D41" s="291"/>
      <c r="E41" s="291"/>
      <c r="F41" s="302"/>
      <c r="G41" s="291"/>
      <c r="H41" s="291"/>
      <c r="I41" s="291"/>
      <c r="J41" s="290"/>
    </row>
    <row r="42" spans="1:10" ht="16.5" x14ac:dyDescent="0.3">
      <c r="A42" s="293" t="s">
        <v>320</v>
      </c>
      <c r="B42" s="416"/>
      <c r="C42" s="345"/>
      <c r="D42" s="345"/>
      <c r="E42" s="345"/>
      <c r="F42" s="345"/>
      <c r="G42" s="345"/>
      <c r="H42" s="345"/>
      <c r="I42" s="345"/>
      <c r="J42" s="44"/>
    </row>
    <row r="43" spans="1:10" ht="16.5" x14ac:dyDescent="0.3">
      <c r="A43" s="304"/>
      <c r="B43" s="414" t="s">
        <v>319</v>
      </c>
      <c r="C43" s="319" t="s">
        <v>318</v>
      </c>
      <c r="D43" s="314" t="s">
        <v>317</v>
      </c>
      <c r="E43" s="314">
        <v>40</v>
      </c>
      <c r="F43" s="315">
        <v>3</v>
      </c>
      <c r="G43" s="314">
        <f>F43*E43</f>
        <v>120</v>
      </c>
      <c r="H43" s="314">
        <f>G43*1.13</f>
        <v>135.6</v>
      </c>
      <c r="I43" s="314">
        <f>'[1]Frozen Pivot'!B477</f>
        <v>0</v>
      </c>
      <c r="J43" s="415">
        <v>0</v>
      </c>
    </row>
    <row r="44" spans="1:10" ht="16.5" x14ac:dyDescent="0.3">
      <c r="A44" s="304"/>
      <c r="B44" s="412" t="s">
        <v>316</v>
      </c>
      <c r="C44" s="303" t="s">
        <v>313</v>
      </c>
      <c r="D44" s="179" t="s">
        <v>315</v>
      </c>
      <c r="E44" s="179">
        <v>3</v>
      </c>
      <c r="F44" s="180">
        <f>3*30</f>
        <v>90</v>
      </c>
      <c r="G44" s="179">
        <f>F44*E44</f>
        <v>270</v>
      </c>
      <c r="H44" s="179">
        <f>G44*1.13</f>
        <v>305.09999999999997</v>
      </c>
      <c r="I44" s="314">
        <f>'[1]Frozen Pivot'!B478</f>
        <v>0</v>
      </c>
      <c r="J44" s="290">
        <v>0</v>
      </c>
    </row>
    <row r="45" spans="1:10" ht="16.5" x14ac:dyDescent="0.3">
      <c r="A45" s="304"/>
      <c r="B45" s="414" t="s">
        <v>314</v>
      </c>
      <c r="C45" s="319" t="s">
        <v>313</v>
      </c>
      <c r="D45" s="314" t="s">
        <v>312</v>
      </c>
      <c r="E45" s="314">
        <v>3</v>
      </c>
      <c r="F45" s="413">
        <f>20*2</f>
        <v>40</v>
      </c>
      <c r="G45" s="314">
        <f>E45*F45</f>
        <v>120</v>
      </c>
      <c r="H45" s="314">
        <f>G45*1.13</f>
        <v>135.6</v>
      </c>
      <c r="I45" s="314">
        <f>'[1]Frozen Pivot'!B479</f>
        <v>0</v>
      </c>
      <c r="J45" s="313">
        <v>0</v>
      </c>
    </row>
    <row r="46" spans="1:10" ht="16.5" x14ac:dyDescent="0.3">
      <c r="A46" s="304"/>
      <c r="B46" s="412"/>
      <c r="C46" s="303"/>
      <c r="D46" s="179"/>
      <c r="E46" s="179"/>
      <c r="F46" s="411"/>
      <c r="G46" s="179"/>
      <c r="H46" s="179"/>
      <c r="I46" s="179"/>
      <c r="J46" s="305"/>
    </row>
    <row r="47" spans="1:10" ht="16.5" x14ac:dyDescent="0.3">
      <c r="A47" s="304"/>
      <c r="B47" s="311" t="s">
        <v>304</v>
      </c>
      <c r="C47" s="310"/>
      <c r="D47" s="308"/>
      <c r="E47" s="308"/>
      <c r="F47" s="309"/>
      <c r="G47" s="308"/>
      <c r="H47" s="308">
        <f>SUM(H43:H45)</f>
        <v>576.29999999999995</v>
      </c>
      <c r="I47" s="308">
        <f>SUM(I43:I45)</f>
        <v>0</v>
      </c>
      <c r="J47" s="307">
        <f>SUM(J45:J45)</f>
        <v>0</v>
      </c>
    </row>
    <row r="48" spans="1:10" ht="16.5" x14ac:dyDescent="0.3">
      <c r="A48" s="293" t="s">
        <v>311</v>
      </c>
      <c r="B48" s="416"/>
      <c r="C48" s="345"/>
      <c r="D48" s="345"/>
      <c r="E48" s="345"/>
      <c r="F48" s="345"/>
      <c r="G48" s="345"/>
      <c r="H48" s="345"/>
      <c r="I48" s="345"/>
      <c r="J48" s="44"/>
    </row>
    <row r="49" spans="1:10" ht="16.5" x14ac:dyDescent="0.3">
      <c r="A49" s="304"/>
      <c r="B49" s="414" t="s">
        <v>310</v>
      </c>
      <c r="C49" s="319"/>
      <c r="D49" s="314" t="s">
        <v>309</v>
      </c>
      <c r="E49" s="314"/>
      <c r="F49" s="315"/>
      <c r="G49" s="314"/>
      <c r="H49" s="314"/>
      <c r="I49" s="314">
        <v>43.64</v>
      </c>
      <c r="J49" s="415">
        <v>85.6</v>
      </c>
    </row>
    <row r="50" spans="1:10" ht="16.5" x14ac:dyDescent="0.3">
      <c r="A50" s="304"/>
      <c r="B50" s="412" t="s">
        <v>308</v>
      </c>
      <c r="C50" s="303"/>
      <c r="D50" s="179" t="s">
        <v>307</v>
      </c>
      <c r="E50" s="179"/>
      <c r="F50" s="180"/>
      <c r="G50" s="179"/>
      <c r="H50" s="179"/>
      <c r="I50" s="179">
        <f>J50</f>
        <v>46.62</v>
      </c>
      <c r="J50" s="290">
        <v>46.62</v>
      </c>
    </row>
    <row r="51" spans="1:10" ht="16.5" x14ac:dyDescent="0.3">
      <c r="A51" s="304"/>
      <c r="B51" s="414" t="s">
        <v>306</v>
      </c>
      <c r="C51" s="319"/>
      <c r="D51" s="314" t="s">
        <v>305</v>
      </c>
      <c r="E51" s="314"/>
      <c r="F51" s="413"/>
      <c r="G51" s="314"/>
      <c r="H51" s="314"/>
      <c r="I51" s="314">
        <f>J51</f>
        <v>140.46</v>
      </c>
      <c r="J51" s="313">
        <v>140.46</v>
      </c>
    </row>
    <row r="52" spans="1:10" ht="16.5" x14ac:dyDescent="0.3">
      <c r="A52" s="304"/>
      <c r="B52" s="412"/>
      <c r="C52" s="303"/>
      <c r="D52" s="179"/>
      <c r="E52" s="179"/>
      <c r="F52" s="411"/>
      <c r="G52" s="179"/>
      <c r="H52" s="179"/>
      <c r="I52" s="179"/>
      <c r="J52" s="305"/>
    </row>
    <row r="53" spans="1:10" ht="16.5" x14ac:dyDescent="0.3">
      <c r="A53" s="304"/>
      <c r="B53" s="311" t="s">
        <v>304</v>
      </c>
      <c r="C53" s="310"/>
      <c r="D53" s="308"/>
      <c r="E53" s="308"/>
      <c r="F53" s="309"/>
      <c r="G53" s="308"/>
      <c r="H53" s="308">
        <f>SUM(H49:H51)</f>
        <v>0</v>
      </c>
      <c r="I53" s="308">
        <f>SUM(I49:I51)</f>
        <v>230.72</v>
      </c>
      <c r="J53" s="307">
        <f>SUM(J49:J51)</f>
        <v>272.68</v>
      </c>
    </row>
    <row r="54" spans="1:10" ht="16.5" x14ac:dyDescent="0.3">
      <c r="A54" s="304"/>
      <c r="B54" s="303"/>
      <c r="C54" s="345"/>
      <c r="D54" s="345"/>
      <c r="E54" s="345"/>
      <c r="F54" s="345"/>
      <c r="G54" s="345"/>
      <c r="H54" s="345"/>
      <c r="I54" s="345"/>
      <c r="J54" s="44"/>
    </row>
    <row r="55" spans="1:10" ht="16.5" x14ac:dyDescent="0.3">
      <c r="A55" s="304"/>
      <c r="B55" s="303"/>
      <c r="C55" s="292" t="s">
        <v>4</v>
      </c>
      <c r="D55" s="291"/>
      <c r="E55" s="291"/>
      <c r="F55" s="302"/>
      <c r="G55" s="291"/>
      <c r="H55" s="291">
        <f>H47+H40+H29+H19+H13</f>
        <v>17480.168399999999</v>
      </c>
      <c r="I55" s="291">
        <f>I47+I40+I29+I19+I13</f>
        <v>6474.250519480519</v>
      </c>
      <c r="J55" s="290">
        <f>J47+J40+J29+J19+J13+J53</f>
        <v>13888.710519480519</v>
      </c>
    </row>
    <row r="56" spans="1:10" ht="16.5" x14ac:dyDescent="0.3">
      <c r="B56" s="303"/>
      <c r="C56" s="292"/>
      <c r="D56" s="291"/>
      <c r="E56" s="291"/>
      <c r="F56" s="302"/>
      <c r="G56" s="291"/>
      <c r="H56" s="291"/>
      <c r="I56" s="291"/>
      <c r="J56" s="290"/>
    </row>
    <row r="57" spans="1:10" ht="16.5" x14ac:dyDescent="0.3">
      <c r="A57" s="301" t="s">
        <v>3</v>
      </c>
      <c r="B57" s="410"/>
      <c r="C57" s="410"/>
      <c r="D57" s="408"/>
      <c r="E57" s="408"/>
      <c r="F57" s="409"/>
      <c r="G57" s="408"/>
      <c r="H57" s="408"/>
      <c r="I57" s="408"/>
      <c r="J57" s="407"/>
    </row>
    <row r="58" spans="1:10" ht="16.5" x14ac:dyDescent="0.3">
      <c r="A58" s="304"/>
      <c r="B58" s="406" t="s">
        <v>2</v>
      </c>
      <c r="C58" s="405"/>
      <c r="D58" s="404"/>
      <c r="E58" s="404"/>
      <c r="F58" s="404"/>
      <c r="G58" s="404"/>
      <c r="H58" s="404">
        <f>H6</f>
        <v>0</v>
      </c>
      <c r="I58" s="404">
        <f>I6</f>
        <v>0</v>
      </c>
      <c r="J58" s="294">
        <f>J6</f>
        <v>0</v>
      </c>
    </row>
    <row r="59" spans="1:10" ht="16.5" x14ac:dyDescent="0.3">
      <c r="A59" s="304"/>
      <c r="B59" s="293" t="s">
        <v>1</v>
      </c>
      <c r="C59" s="292"/>
      <c r="D59" s="291"/>
      <c r="E59" s="291"/>
      <c r="F59" s="291"/>
      <c r="G59" s="291"/>
      <c r="H59" s="291">
        <f>H55</f>
        <v>17480.168399999999</v>
      </c>
      <c r="I59" s="291">
        <f>I55</f>
        <v>6474.250519480519</v>
      </c>
      <c r="J59" s="290">
        <f>J55</f>
        <v>13888.710519480519</v>
      </c>
    </row>
    <row r="60" spans="1:10" ht="16.5" x14ac:dyDescent="0.3">
      <c r="A60" s="304"/>
      <c r="B60" s="403" t="s">
        <v>0</v>
      </c>
      <c r="C60" s="288"/>
      <c r="D60" s="287"/>
      <c r="E60" s="287"/>
      <c r="F60" s="287"/>
      <c r="G60" s="287"/>
      <c r="H60" s="287">
        <f>H58-H59</f>
        <v>-17480.168399999999</v>
      </c>
      <c r="I60" s="287">
        <f>I58-I59</f>
        <v>-6474.250519480519</v>
      </c>
      <c r="J60" s="286">
        <f>J58-J59</f>
        <v>-13888.710519480519</v>
      </c>
    </row>
  </sheetData>
  <mergeCells count="3">
    <mergeCell ref="A1:J1"/>
    <mergeCell ref="A4:C4"/>
    <mergeCell ref="A8:C8"/>
  </mergeCells>
  <pageMargins left="0.75" right="0.75" top="1" bottom="1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D6D81-B4EC-4B7D-AFEA-02B0CFBA8709}">
  <sheetPr codeName="Sheet17"/>
  <dimension ref="A1:N94"/>
  <sheetViews>
    <sheetView topLeftCell="A51" zoomScale="82" workbookViewId="0">
      <selection activeCell="M4" sqref="M4"/>
    </sheetView>
  </sheetViews>
  <sheetFormatPr defaultColWidth="8.85546875" defaultRowHeight="15" x14ac:dyDescent="0.25"/>
  <cols>
    <col min="1" max="1" width="32.28515625" customWidth="1"/>
    <col min="2" max="2" width="17.42578125" customWidth="1"/>
    <col min="3" max="3" width="28.85546875" customWidth="1"/>
    <col min="4" max="4" width="40.140625" bestFit="1" customWidth="1"/>
    <col min="5" max="5" width="12" customWidth="1"/>
    <col min="6" max="6" width="9.28515625" customWidth="1"/>
    <col min="7" max="7" width="12.28515625" customWidth="1"/>
    <col min="8" max="8" width="13.28515625" customWidth="1"/>
    <col min="9" max="9" width="12.28515625" hidden="1" customWidth="1"/>
    <col min="10" max="10" width="15.42578125" customWidth="1"/>
    <col min="13" max="13" width="12.42578125" customWidth="1"/>
    <col min="14" max="14" width="9.42578125" bestFit="1" customWidth="1"/>
  </cols>
  <sheetData>
    <row r="1" spans="1:12" ht="26.25" x14ac:dyDescent="0.25">
      <c r="A1" s="402" t="s">
        <v>303</v>
      </c>
      <c r="B1" s="402"/>
      <c r="C1" s="402"/>
      <c r="D1" s="402"/>
      <c r="E1" s="402"/>
      <c r="F1" s="402"/>
      <c r="G1" s="402"/>
      <c r="H1" s="402"/>
      <c r="I1" s="402"/>
      <c r="J1" s="402"/>
    </row>
    <row r="2" spans="1:12" ht="16.5" x14ac:dyDescent="0.3">
      <c r="A2" s="401"/>
      <c r="B2" s="400" t="s">
        <v>213</v>
      </c>
      <c r="C2" s="399" t="s">
        <v>212</v>
      </c>
      <c r="D2" s="398" t="s">
        <v>211</v>
      </c>
      <c r="E2" s="397" t="s">
        <v>210</v>
      </c>
      <c r="F2" s="396" t="s">
        <v>209</v>
      </c>
      <c r="G2" s="395" t="s">
        <v>208</v>
      </c>
      <c r="H2" s="395" t="s">
        <v>207</v>
      </c>
      <c r="I2" s="395" t="s">
        <v>232</v>
      </c>
      <c r="J2" s="394" t="s">
        <v>206</v>
      </c>
    </row>
    <row r="3" spans="1:12" ht="16.5" x14ac:dyDescent="0.3">
      <c r="A3" s="393"/>
      <c r="B3" s="392"/>
      <c r="C3" s="391"/>
      <c r="D3" s="390"/>
      <c r="E3" s="388"/>
      <c r="F3" s="389"/>
      <c r="G3" s="388"/>
      <c r="H3" s="388"/>
      <c r="I3" s="388"/>
      <c r="J3" s="387"/>
    </row>
    <row r="4" spans="1:12" ht="16.5" x14ac:dyDescent="0.3">
      <c r="A4" s="386" t="s">
        <v>81</v>
      </c>
      <c r="B4" s="386"/>
      <c r="C4" s="386"/>
      <c r="D4" s="298"/>
      <c r="E4" s="298"/>
      <c r="F4" s="299"/>
      <c r="G4" s="298"/>
      <c r="H4" s="298"/>
      <c r="I4" s="298"/>
      <c r="J4" s="297"/>
    </row>
    <row r="5" spans="1:12" ht="16.5" x14ac:dyDescent="0.3">
      <c r="A5" s="293" t="s">
        <v>302</v>
      </c>
      <c r="B5" s="292"/>
      <c r="C5" s="303"/>
      <c r="D5" s="382"/>
      <c r="E5" s="382"/>
      <c r="F5" s="383"/>
      <c r="G5" s="382"/>
      <c r="H5" s="382"/>
      <c r="I5" s="382"/>
      <c r="J5" s="381"/>
    </row>
    <row r="6" spans="1:12" ht="17.25" x14ac:dyDescent="0.3">
      <c r="A6" s="304"/>
      <c r="B6" s="344" t="s">
        <v>301</v>
      </c>
      <c r="C6" s="385" t="s">
        <v>298</v>
      </c>
      <c r="D6" s="67"/>
      <c r="E6" s="67">
        <v>65</v>
      </c>
      <c r="F6" s="380">
        <v>40</v>
      </c>
      <c r="G6" s="67">
        <f>E6*F6</f>
        <v>2600</v>
      </c>
      <c r="H6" s="67">
        <f>G6</f>
        <v>2600</v>
      </c>
      <c r="I6" s="67">
        <f>'[1]Frozen Pivot'!B480</f>
        <v>0</v>
      </c>
      <c r="J6" s="66"/>
      <c r="K6" t="s">
        <v>92</v>
      </c>
    </row>
    <row r="7" spans="1:12" ht="17.25" x14ac:dyDescent="0.3">
      <c r="A7" s="304"/>
      <c r="B7" s="343"/>
      <c r="C7" s="377"/>
      <c r="D7" s="33"/>
      <c r="E7" s="33"/>
      <c r="F7" s="376"/>
      <c r="G7" s="33"/>
      <c r="H7" s="33"/>
      <c r="I7" s="33"/>
      <c r="J7" s="34"/>
    </row>
    <row r="8" spans="1:12" ht="17.25" x14ac:dyDescent="0.3">
      <c r="A8" s="304"/>
      <c r="B8" s="325" t="s">
        <v>300</v>
      </c>
      <c r="C8" s="379"/>
      <c r="D8" s="26"/>
      <c r="E8" s="26"/>
      <c r="F8" s="378"/>
      <c r="G8" s="26"/>
      <c r="H8" s="322">
        <f>SUM(H6:H6)</f>
        <v>2600</v>
      </c>
      <c r="I8" s="322">
        <f>SUM(I5:I6)</f>
        <v>0</v>
      </c>
      <c r="J8" s="41">
        <f>SUM(J5:J6)</f>
        <v>0</v>
      </c>
    </row>
    <row r="9" spans="1:12" ht="17.25" x14ac:dyDescent="0.3">
      <c r="A9" s="304"/>
      <c r="B9" s="43"/>
      <c r="C9" s="377"/>
      <c r="D9" s="33"/>
      <c r="E9" s="33"/>
      <c r="F9" s="376"/>
      <c r="G9" s="33"/>
      <c r="H9" s="42"/>
      <c r="I9" s="42"/>
      <c r="J9" s="340"/>
      <c r="L9" s="384"/>
    </row>
    <row r="10" spans="1:12" ht="16.5" x14ac:dyDescent="0.3">
      <c r="A10" s="293" t="s">
        <v>299</v>
      </c>
      <c r="B10" s="292"/>
      <c r="C10" s="303"/>
      <c r="D10" s="382"/>
      <c r="E10" s="382"/>
      <c r="F10" s="383"/>
      <c r="G10" s="382"/>
      <c r="H10" s="382"/>
      <c r="I10" s="382"/>
      <c r="J10" s="381"/>
    </row>
    <row r="11" spans="1:12" ht="17.25" x14ac:dyDescent="0.3">
      <c r="A11" s="293"/>
      <c r="B11" s="344">
        <f>B6+0.01</f>
        <v>15.02</v>
      </c>
      <c r="C11" s="344" t="s">
        <v>298</v>
      </c>
      <c r="D11" s="67"/>
      <c r="E11" s="67">
        <v>5</v>
      </c>
      <c r="F11" s="380">
        <v>250</v>
      </c>
      <c r="G11" s="67">
        <f>F11*E11</f>
        <v>1250</v>
      </c>
      <c r="H11" s="67">
        <f>G11</f>
        <v>1250</v>
      </c>
      <c r="I11" s="67">
        <f>'[1]Frozen Pivot'!B481</f>
        <v>0</v>
      </c>
      <c r="J11" s="66"/>
      <c r="K11" t="s">
        <v>92</v>
      </c>
    </row>
    <row r="12" spans="1:12" ht="17.25" x14ac:dyDescent="0.3">
      <c r="A12" s="304"/>
      <c r="B12" s="343"/>
      <c r="C12" s="377"/>
      <c r="D12" s="33"/>
      <c r="E12" s="33"/>
      <c r="F12" s="376"/>
      <c r="G12" s="33"/>
      <c r="H12" s="33"/>
      <c r="I12" s="33"/>
      <c r="J12" s="34"/>
    </row>
    <row r="13" spans="1:12" ht="17.25" x14ac:dyDescent="0.3">
      <c r="A13" s="304"/>
      <c r="B13" s="325" t="s">
        <v>297</v>
      </c>
      <c r="C13" s="379"/>
      <c r="D13" s="26"/>
      <c r="E13" s="26"/>
      <c r="F13" s="378"/>
      <c r="G13" s="26"/>
      <c r="H13" s="322">
        <f>SUM(H11:H11)</f>
        <v>1250</v>
      </c>
      <c r="I13" s="322">
        <f>SUM(I10:I11)</f>
        <v>0</v>
      </c>
      <c r="J13" s="41">
        <f>SUM(J10:J11)</f>
        <v>0</v>
      </c>
    </row>
    <row r="14" spans="1:12" ht="17.25" x14ac:dyDescent="0.3">
      <c r="A14" s="304"/>
      <c r="B14" s="43"/>
      <c r="C14" s="377"/>
      <c r="D14" s="33"/>
      <c r="E14" s="33"/>
      <c r="F14" s="376"/>
      <c r="G14" s="33"/>
      <c r="H14" s="42"/>
      <c r="I14" s="42"/>
      <c r="J14" s="340"/>
    </row>
    <row r="15" spans="1:12" ht="16.5" x14ac:dyDescent="0.3">
      <c r="A15" s="293" t="s">
        <v>282</v>
      </c>
      <c r="B15" s="292"/>
      <c r="C15" s="303"/>
      <c r="D15" s="179"/>
      <c r="E15" s="179"/>
      <c r="F15" s="180"/>
      <c r="G15" s="179"/>
      <c r="H15" s="179"/>
      <c r="I15" s="179"/>
      <c r="J15" s="305"/>
    </row>
    <row r="16" spans="1:12" ht="17.25" x14ac:dyDescent="0.3">
      <c r="A16" s="293"/>
      <c r="B16" s="375">
        <v>15.03</v>
      </c>
      <c r="C16" s="312" t="s">
        <v>296</v>
      </c>
      <c r="D16" s="179"/>
      <c r="E16" s="179">
        <v>65</v>
      </c>
      <c r="F16" s="180">
        <v>125</v>
      </c>
      <c r="G16" s="179">
        <f>E16*F16</f>
        <v>8125</v>
      </c>
      <c r="H16" s="179">
        <f>G16</f>
        <v>8125</v>
      </c>
      <c r="I16" s="33">
        <f>'[1]Frozen Pivot'!B482</f>
        <v>2077.44</v>
      </c>
      <c r="J16" s="305">
        <f>I16</f>
        <v>2077.44</v>
      </c>
    </row>
    <row r="17" spans="1:13" ht="17.25" x14ac:dyDescent="0.3">
      <c r="A17" s="304"/>
      <c r="B17" s="344">
        <v>15.04</v>
      </c>
      <c r="C17" s="321" t="s">
        <v>295</v>
      </c>
      <c r="D17" s="314"/>
      <c r="E17" s="314">
        <v>25</v>
      </c>
      <c r="F17" s="315">
        <v>75</v>
      </c>
      <c r="G17" s="314">
        <f>E17*F17</f>
        <v>1875</v>
      </c>
      <c r="H17" s="314">
        <f>G17</f>
        <v>1875</v>
      </c>
      <c r="I17" s="67">
        <f>'[1]Frozen Pivot'!B483</f>
        <v>779.1</v>
      </c>
      <c r="J17" s="313">
        <f>I17</f>
        <v>779.1</v>
      </c>
    </row>
    <row r="18" spans="1:13" ht="17.25" x14ac:dyDescent="0.3">
      <c r="A18" s="304"/>
      <c r="B18" s="343">
        <f>B17+0.01</f>
        <v>15.049999999999999</v>
      </c>
      <c r="C18" s="374" t="s">
        <v>294</v>
      </c>
      <c r="D18" s="179"/>
      <c r="E18" s="179">
        <v>250</v>
      </c>
      <c r="F18" s="180">
        <v>10</v>
      </c>
      <c r="G18" s="179">
        <f>E18*F18</f>
        <v>2500</v>
      </c>
      <c r="H18" s="179">
        <f>G18</f>
        <v>2500</v>
      </c>
      <c r="I18" s="33">
        <v>230</v>
      </c>
      <c r="J18" s="305">
        <v>230</v>
      </c>
    </row>
    <row r="19" spans="1:13" ht="16.5" x14ac:dyDescent="0.3">
      <c r="A19" s="304"/>
      <c r="B19" s="316"/>
      <c r="C19" s="321"/>
      <c r="D19" s="314"/>
      <c r="E19" s="314"/>
      <c r="F19" s="315"/>
      <c r="G19" s="314"/>
      <c r="H19" s="314"/>
      <c r="I19" s="314"/>
      <c r="J19" s="313"/>
    </row>
    <row r="20" spans="1:13" ht="16.5" x14ac:dyDescent="0.3">
      <c r="A20" s="293"/>
      <c r="B20" s="311" t="s">
        <v>293</v>
      </c>
      <c r="C20" s="310"/>
      <c r="D20" s="308"/>
      <c r="E20" s="308"/>
      <c r="F20" s="309"/>
      <c r="G20" s="308"/>
      <c r="H20" s="308">
        <f>SUM(H16:H19)</f>
        <v>12500</v>
      </c>
      <c r="I20" s="308">
        <f>SUM(I6:I19)</f>
        <v>3086.54</v>
      </c>
      <c r="J20" s="307">
        <f>SUM(J6:J19)</f>
        <v>3086.54</v>
      </c>
    </row>
    <row r="21" spans="1:13" ht="16.5" x14ac:dyDescent="0.3">
      <c r="A21" s="293"/>
      <c r="B21" s="292"/>
      <c r="C21" s="292"/>
      <c r="D21" s="291"/>
      <c r="E21" s="291"/>
      <c r="F21" s="302"/>
      <c r="G21" s="291"/>
      <c r="H21" s="291"/>
      <c r="I21" s="291"/>
      <c r="J21" s="290"/>
      <c r="M21" s="72"/>
    </row>
    <row r="22" spans="1:13" ht="16.5" x14ac:dyDescent="0.3">
      <c r="A22" s="293"/>
      <c r="B22" s="292"/>
      <c r="C22" s="292" t="s">
        <v>59</v>
      </c>
      <c r="D22" s="291"/>
      <c r="E22" s="291"/>
      <c r="F22" s="302"/>
      <c r="G22" s="291"/>
      <c r="H22" s="291">
        <f>H8+H20+H13</f>
        <v>16350</v>
      </c>
      <c r="I22" s="291">
        <f>I8+I20</f>
        <v>3086.54</v>
      </c>
      <c r="J22" s="290">
        <f>J8+J20</f>
        <v>3086.54</v>
      </c>
    </row>
    <row r="23" spans="1:13" ht="16.5" x14ac:dyDescent="0.3">
      <c r="A23" s="293"/>
      <c r="B23" s="292"/>
      <c r="C23" s="292"/>
      <c r="D23" s="291"/>
      <c r="E23" s="291"/>
      <c r="F23" s="302"/>
      <c r="G23" s="291"/>
      <c r="H23" s="291"/>
      <c r="I23" s="291"/>
      <c r="J23" s="290"/>
    </row>
    <row r="24" spans="1:13" ht="16.5" x14ac:dyDescent="0.3">
      <c r="A24" s="301" t="s">
        <v>58</v>
      </c>
      <c r="B24" s="300"/>
      <c r="C24" s="300"/>
      <c r="D24" s="298"/>
      <c r="E24" s="372"/>
      <c r="F24" s="373"/>
      <c r="G24" s="372"/>
      <c r="H24" s="372"/>
      <c r="I24" s="372"/>
      <c r="J24" s="297"/>
    </row>
    <row r="25" spans="1:13" ht="17.25" x14ac:dyDescent="0.25">
      <c r="A25" s="369" t="s">
        <v>292</v>
      </c>
      <c r="B25" s="371"/>
      <c r="C25" s="370"/>
      <c r="D25" s="350"/>
      <c r="E25" s="350"/>
      <c r="F25" s="351"/>
      <c r="G25" s="350"/>
      <c r="H25" s="350"/>
      <c r="I25" s="350"/>
      <c r="J25" s="348"/>
    </row>
    <row r="26" spans="1:13" ht="17.25" x14ac:dyDescent="0.3">
      <c r="A26" s="369"/>
      <c r="B26" s="344">
        <f>B18+0.01</f>
        <v>15.059999999999999</v>
      </c>
      <c r="C26" s="356" t="s">
        <v>291</v>
      </c>
      <c r="D26" s="349"/>
      <c r="E26" s="349">
        <v>45</v>
      </c>
      <c r="F26" s="355">
        <v>40</v>
      </c>
      <c r="G26" s="349">
        <f>E26*F26</f>
        <v>1800</v>
      </c>
      <c r="H26" s="349">
        <f>G26*1.13</f>
        <v>2033.9999999999998</v>
      </c>
      <c r="I26" s="349">
        <f>'[1]Frozen Pivot'!B485</f>
        <v>0</v>
      </c>
      <c r="J26" s="354">
        <v>0</v>
      </c>
    </row>
    <row r="27" spans="1:13" ht="17.25" x14ac:dyDescent="0.3">
      <c r="A27" s="369" t="s">
        <v>23</v>
      </c>
      <c r="B27" s="343">
        <f>B26+0.01</f>
        <v>15.069999999999999</v>
      </c>
      <c r="C27" s="352" t="s">
        <v>290</v>
      </c>
      <c r="D27" s="350"/>
      <c r="E27" s="350">
        <v>520</v>
      </c>
      <c r="F27" s="351">
        <v>1</v>
      </c>
      <c r="G27" s="350">
        <f>E27*F27</f>
        <v>520</v>
      </c>
      <c r="H27" s="350">
        <f>G27*1.13</f>
        <v>587.59999999999991</v>
      </c>
      <c r="I27" s="349">
        <f>'[1]Frozen Pivot'!B486</f>
        <v>0</v>
      </c>
      <c r="J27" s="348">
        <v>0</v>
      </c>
    </row>
    <row r="28" spans="1:13" ht="17.25" x14ac:dyDescent="0.3">
      <c r="A28" s="369"/>
      <c r="B28" s="344">
        <f>B27+0.01</f>
        <v>15.079999999999998</v>
      </c>
      <c r="C28" s="356" t="s">
        <v>236</v>
      </c>
      <c r="D28" s="349"/>
      <c r="E28" s="349">
        <v>100</v>
      </c>
      <c r="F28" s="355">
        <v>1</v>
      </c>
      <c r="G28" s="349">
        <f>E28*F28</f>
        <v>100</v>
      </c>
      <c r="H28" s="349">
        <f>G28*1.13</f>
        <v>112.99999999999999</v>
      </c>
      <c r="I28" s="349">
        <f>'[1]Frozen Pivot'!B487</f>
        <v>20.350000000000001</v>
      </c>
      <c r="J28" s="354">
        <v>20.350000000000001</v>
      </c>
    </row>
    <row r="29" spans="1:13" ht="17.25" x14ac:dyDescent="0.25">
      <c r="A29" s="369"/>
      <c r="B29" s="361"/>
      <c r="C29" s="352"/>
      <c r="D29" s="350"/>
      <c r="E29" s="350"/>
      <c r="F29" s="351"/>
      <c r="G29" s="350"/>
      <c r="H29" s="350"/>
      <c r="I29" s="350"/>
      <c r="J29" s="348"/>
    </row>
    <row r="30" spans="1:13" ht="17.25" x14ac:dyDescent="0.25">
      <c r="A30" s="362"/>
      <c r="B30" s="367" t="s">
        <v>289</v>
      </c>
      <c r="C30" s="366"/>
      <c r="D30" s="364"/>
      <c r="E30" s="364"/>
      <c r="F30" s="365"/>
      <c r="G30" s="364"/>
      <c r="H30" s="364">
        <f>SUM(H26:H28)</f>
        <v>2734.5999999999995</v>
      </c>
      <c r="I30" s="364">
        <f>SUM(I26:I29)</f>
        <v>20.350000000000001</v>
      </c>
      <c r="J30" s="363">
        <f>SUM(J26:J29)</f>
        <v>20.350000000000001</v>
      </c>
    </row>
    <row r="31" spans="1:13" ht="17.25" x14ac:dyDescent="0.25">
      <c r="A31" s="362"/>
      <c r="B31" s="361"/>
      <c r="C31" s="360"/>
      <c r="D31" s="358"/>
      <c r="E31" s="358"/>
      <c r="F31" s="359"/>
      <c r="G31" s="358"/>
      <c r="H31" s="358"/>
      <c r="I31" s="358"/>
      <c r="J31" s="357"/>
    </row>
    <row r="32" spans="1:13" ht="17.25" x14ac:dyDescent="0.25">
      <c r="A32" s="369" t="s">
        <v>288</v>
      </c>
      <c r="B32" s="371"/>
      <c r="C32" s="370"/>
      <c r="D32" s="350"/>
      <c r="E32" s="350"/>
      <c r="F32" s="351"/>
      <c r="G32" s="350"/>
      <c r="H32" s="350"/>
      <c r="I32" s="350"/>
      <c r="J32" s="348"/>
    </row>
    <row r="33" spans="1:14" ht="17.25" x14ac:dyDescent="0.3">
      <c r="A33" s="369"/>
      <c r="B33" s="344">
        <f>B28+0.01</f>
        <v>15.089999999999998</v>
      </c>
      <c r="C33" s="356" t="s">
        <v>287</v>
      </c>
      <c r="D33" s="349" t="s">
        <v>286</v>
      </c>
      <c r="E33" s="349">
        <v>9.99</v>
      </c>
      <c r="F33" s="355">
        <v>12</v>
      </c>
      <c r="G33" s="349">
        <f>E33*F33</f>
        <v>119.88</v>
      </c>
      <c r="H33" s="349">
        <f>G33*1.13</f>
        <v>135.46439999999998</v>
      </c>
      <c r="I33" s="349">
        <f>'[1]Frozen Pivot'!B488</f>
        <v>29.59</v>
      </c>
      <c r="J33" s="354">
        <f>I33</f>
        <v>29.59</v>
      </c>
    </row>
    <row r="34" spans="1:14" ht="17.25" x14ac:dyDescent="0.3">
      <c r="A34" s="369"/>
      <c r="B34" s="343">
        <f>B33+0.01</f>
        <v>15.099999999999998</v>
      </c>
      <c r="C34" s="352" t="s">
        <v>285</v>
      </c>
      <c r="D34" s="350" t="s">
        <v>284</v>
      </c>
      <c r="E34" s="350">
        <v>12.99</v>
      </c>
      <c r="F34" s="351">
        <v>1</v>
      </c>
      <c r="G34" s="350">
        <f>E34*F34</f>
        <v>12.99</v>
      </c>
      <c r="H34" s="350">
        <f>G34*1.13</f>
        <v>14.678699999999999</v>
      </c>
      <c r="I34" s="349">
        <f>'[1]Frozen Pivot'!B489</f>
        <v>0</v>
      </c>
      <c r="J34" s="348">
        <v>0</v>
      </c>
    </row>
    <row r="35" spans="1:14" ht="17.25" x14ac:dyDescent="0.25">
      <c r="A35" s="369"/>
      <c r="B35" s="368"/>
      <c r="C35" s="356"/>
      <c r="D35" s="349"/>
      <c r="E35" s="349"/>
      <c r="F35" s="355"/>
      <c r="G35" s="349"/>
      <c r="H35" s="349"/>
      <c r="I35" s="349"/>
      <c r="J35" s="354"/>
    </row>
    <row r="36" spans="1:14" ht="17.25" x14ac:dyDescent="0.25">
      <c r="A36" s="362"/>
      <c r="B36" s="367" t="s">
        <v>283</v>
      </c>
      <c r="C36" s="366"/>
      <c r="D36" s="364"/>
      <c r="E36" s="364"/>
      <c r="F36" s="365"/>
      <c r="G36" s="364"/>
      <c r="H36" s="364">
        <f>SUM(H33:H34)</f>
        <v>150.14309999999998</v>
      </c>
      <c r="I36" s="364">
        <f>SUM(I33:I35)</f>
        <v>29.59</v>
      </c>
      <c r="J36" s="363">
        <f>SUM(J33:J35)</f>
        <v>29.59</v>
      </c>
    </row>
    <row r="37" spans="1:14" ht="17.25" x14ac:dyDescent="0.25">
      <c r="A37" s="362"/>
      <c r="B37" s="361"/>
      <c r="C37" s="360"/>
      <c r="D37" s="358"/>
      <c r="E37" s="358"/>
      <c r="F37" s="359"/>
      <c r="G37" s="358"/>
      <c r="H37" s="358"/>
      <c r="I37" s="358"/>
      <c r="J37" s="357"/>
    </row>
    <row r="38" spans="1:14" ht="16.5" x14ac:dyDescent="0.3">
      <c r="A38" s="293" t="s">
        <v>282</v>
      </c>
      <c r="B38" s="292"/>
      <c r="C38" s="303"/>
      <c r="D38" s="179"/>
      <c r="E38" s="179"/>
      <c r="F38" s="180"/>
      <c r="G38" s="179"/>
      <c r="H38" s="179"/>
      <c r="I38" s="179"/>
      <c r="J38" s="305"/>
    </row>
    <row r="39" spans="1:14" ht="17.25" x14ac:dyDescent="0.3">
      <c r="A39" s="304"/>
      <c r="B39" s="317">
        <f>B34+0.01</f>
        <v>15.109999999999998</v>
      </c>
      <c r="C39" s="356" t="s">
        <v>260</v>
      </c>
      <c r="D39" s="349"/>
      <c r="E39" s="349">
        <v>8</v>
      </c>
      <c r="F39" s="355">
        <v>300</v>
      </c>
      <c r="G39" s="349">
        <f>E39*F39</f>
        <v>2400</v>
      </c>
      <c r="H39" s="349">
        <f>G39*1.13</f>
        <v>2711.9999999999995</v>
      </c>
      <c r="I39" s="349">
        <f>'[1]Frozen Pivot'!B490</f>
        <v>515.72</v>
      </c>
      <c r="J39" s="354">
        <v>515.72</v>
      </c>
    </row>
    <row r="40" spans="1:14" ht="20.100000000000001" customHeight="1" x14ac:dyDescent="0.3">
      <c r="A40" s="304"/>
      <c r="B40" s="343">
        <f>B39+0.01</f>
        <v>15.119999999999997</v>
      </c>
      <c r="C40" s="352" t="s">
        <v>281</v>
      </c>
      <c r="D40" s="350" t="s">
        <v>280</v>
      </c>
      <c r="E40" s="350">
        <v>775</v>
      </c>
      <c r="F40" s="351">
        <v>2</v>
      </c>
      <c r="G40" s="350">
        <f>E40*F40</f>
        <v>1550</v>
      </c>
      <c r="H40" s="350">
        <f>G40</f>
        <v>1550</v>
      </c>
      <c r="I40" s="349">
        <f>'[1]Frozen Pivot'!B491</f>
        <v>3446.5</v>
      </c>
      <c r="J40" s="348">
        <v>3446.5</v>
      </c>
    </row>
    <row r="41" spans="1:14" ht="17.25" x14ac:dyDescent="0.3">
      <c r="A41" s="304"/>
      <c r="B41" s="344">
        <f>B40+0.01</f>
        <v>15.129999999999997</v>
      </c>
      <c r="C41" s="356" t="s">
        <v>279</v>
      </c>
      <c r="D41" s="349" t="s">
        <v>278</v>
      </c>
      <c r="E41" s="349">
        <v>150</v>
      </c>
      <c r="F41" s="355">
        <v>1</v>
      </c>
      <c r="G41" s="349">
        <f>E41*F41</f>
        <v>150</v>
      </c>
      <c r="H41" s="349">
        <f>G41</f>
        <v>150</v>
      </c>
      <c r="I41" s="349">
        <f>'[1]Frozen Pivot'!B492</f>
        <v>0</v>
      </c>
      <c r="J41" s="354">
        <v>0</v>
      </c>
    </row>
    <row r="42" spans="1:14" ht="17.25" x14ac:dyDescent="0.3">
      <c r="A42" s="304"/>
      <c r="B42" s="343">
        <f>B41+0.01</f>
        <v>15.139999999999997</v>
      </c>
      <c r="C42" s="352" t="s">
        <v>277</v>
      </c>
      <c r="D42" s="350" t="s">
        <v>274</v>
      </c>
      <c r="E42" s="350">
        <v>2.2000000000000002</v>
      </c>
      <c r="F42" s="351">
        <v>300</v>
      </c>
      <c r="G42" s="350">
        <f>E42*F42</f>
        <v>660</v>
      </c>
      <c r="H42" s="350">
        <f>G42*1.13</f>
        <v>745.8</v>
      </c>
      <c r="I42" s="349">
        <f>'[1]Frozen Pivot'!B493</f>
        <v>82.44</v>
      </c>
      <c r="J42" s="348">
        <v>82.44</v>
      </c>
    </row>
    <row r="43" spans="1:14" ht="17.25" x14ac:dyDescent="0.3">
      <c r="A43" s="304"/>
      <c r="B43" s="344">
        <f>B42+0.01</f>
        <v>15.149999999999997</v>
      </c>
      <c r="C43" s="356" t="s">
        <v>276</v>
      </c>
      <c r="D43" s="349" t="s">
        <v>274</v>
      </c>
      <c r="E43" s="349">
        <v>2</v>
      </c>
      <c r="F43" s="355">
        <v>300</v>
      </c>
      <c r="G43" s="349">
        <f>E43*F43</f>
        <v>600</v>
      </c>
      <c r="H43" s="349">
        <f>G43*1.13</f>
        <v>677.99999999999989</v>
      </c>
      <c r="I43" s="349">
        <f>'[1]Frozen Pivot'!B494</f>
        <v>0</v>
      </c>
      <c r="J43" s="354">
        <v>0</v>
      </c>
      <c r="N43" s="72"/>
    </row>
    <row r="44" spans="1:14" ht="17.25" x14ac:dyDescent="0.3">
      <c r="A44" s="304"/>
      <c r="B44" s="343">
        <f>B43+0.01</f>
        <v>15.159999999999997</v>
      </c>
      <c r="C44" s="352" t="s">
        <v>275</v>
      </c>
      <c r="D44" s="350" t="s">
        <v>274</v>
      </c>
      <c r="E44" s="350">
        <v>2.2000000000000002</v>
      </c>
      <c r="F44" s="351">
        <v>300</v>
      </c>
      <c r="G44" s="350">
        <f>E44*F44</f>
        <v>660</v>
      </c>
      <c r="H44" s="350">
        <f>G44*1.13</f>
        <v>745.8</v>
      </c>
      <c r="I44" s="349">
        <f>'[1]Frozen Pivot'!B495</f>
        <v>0</v>
      </c>
      <c r="J44" s="348">
        <v>0</v>
      </c>
    </row>
    <row r="45" spans="1:14" ht="17.25" x14ac:dyDescent="0.3">
      <c r="A45" s="304"/>
      <c r="B45" s="344">
        <f>B44+0.01</f>
        <v>15.169999999999996</v>
      </c>
      <c r="C45" s="356" t="s">
        <v>273</v>
      </c>
      <c r="D45" s="349" t="s">
        <v>272</v>
      </c>
      <c r="E45" s="349">
        <v>0.21</v>
      </c>
      <c r="F45" s="355">
        <v>150</v>
      </c>
      <c r="G45" s="349">
        <f>E45*F45</f>
        <v>31.5</v>
      </c>
      <c r="H45" s="349">
        <f>G45*1.13</f>
        <v>35.594999999999999</v>
      </c>
      <c r="I45" s="349">
        <f>'[1]Frozen Pivot'!B496</f>
        <v>0</v>
      </c>
      <c r="J45" s="354">
        <v>0</v>
      </c>
    </row>
    <row r="46" spans="1:14" ht="17.25" x14ac:dyDescent="0.3">
      <c r="A46" s="353"/>
      <c r="B46" s="343">
        <f>B45+0.01</f>
        <v>15.179999999999996</v>
      </c>
      <c r="C46" s="352" t="s">
        <v>245</v>
      </c>
      <c r="D46" s="350" t="s">
        <v>271</v>
      </c>
      <c r="E46" s="350">
        <v>80</v>
      </c>
      <c r="F46" s="351">
        <v>3</v>
      </c>
      <c r="G46" s="350">
        <f>E46*F46</f>
        <v>240</v>
      </c>
      <c r="H46" s="350">
        <f>G46*1.13</f>
        <v>271.2</v>
      </c>
      <c r="I46" s="349">
        <f>'[1]Frozen Pivot'!B497</f>
        <v>116.6</v>
      </c>
      <c r="J46" s="348">
        <v>116.6</v>
      </c>
    </row>
    <row r="47" spans="1:14" ht="17.25" x14ac:dyDescent="0.3">
      <c r="A47" s="304"/>
      <c r="B47" s="344">
        <f>B46+0.01</f>
        <v>15.189999999999996</v>
      </c>
      <c r="C47" s="356" t="s">
        <v>270</v>
      </c>
      <c r="D47" s="349" t="s">
        <v>269</v>
      </c>
      <c r="E47" s="349">
        <v>80</v>
      </c>
      <c r="F47" s="355">
        <v>1</v>
      </c>
      <c r="G47" s="349">
        <f>E47*F47</f>
        <v>80</v>
      </c>
      <c r="H47" s="349">
        <f>G47*1.13</f>
        <v>90.399999999999991</v>
      </c>
      <c r="I47" s="349">
        <f>'[1]Frozen Pivot'!B498</f>
        <v>59</v>
      </c>
      <c r="J47" s="354">
        <v>59</v>
      </c>
    </row>
    <row r="48" spans="1:14" ht="17.25" x14ac:dyDescent="0.3">
      <c r="A48" s="353"/>
      <c r="B48" s="343">
        <f>B47+0.01</f>
        <v>15.199999999999996</v>
      </c>
      <c r="C48" s="352" t="s">
        <v>268</v>
      </c>
      <c r="D48" s="350" t="s">
        <v>267</v>
      </c>
      <c r="E48" s="350">
        <v>100</v>
      </c>
      <c r="F48" s="351">
        <v>2</v>
      </c>
      <c r="G48" s="350">
        <f>E48*F48</f>
        <v>200</v>
      </c>
      <c r="H48" s="350">
        <f>G48*1.13</f>
        <v>225.99999999999997</v>
      </c>
      <c r="I48" s="349">
        <f>'[1]Frozen Pivot'!B499</f>
        <v>0</v>
      </c>
      <c r="J48" s="348">
        <v>0</v>
      </c>
    </row>
    <row r="49" spans="1:10" ht="16.5" x14ac:dyDescent="0.3">
      <c r="A49" s="304"/>
      <c r="B49" s="347"/>
      <c r="C49" s="347"/>
      <c r="D49" s="347"/>
      <c r="E49" s="347"/>
      <c r="F49" s="347"/>
      <c r="G49" s="347"/>
      <c r="H49" s="347"/>
      <c r="I49" s="347"/>
      <c r="J49" s="346"/>
    </row>
    <row r="50" spans="1:10" ht="16.5" x14ac:dyDescent="0.3">
      <c r="A50" s="304"/>
      <c r="B50" s="311" t="s">
        <v>266</v>
      </c>
      <c r="C50" s="310"/>
      <c r="D50" s="308"/>
      <c r="E50" s="308"/>
      <c r="F50" s="309"/>
      <c r="G50" s="308"/>
      <c r="H50" s="308">
        <f>SUM(H39:H48)</f>
        <v>7204.7950000000001</v>
      </c>
      <c r="I50" s="308">
        <f>SUM(I29:I42)</f>
        <v>4124.1899999999996</v>
      </c>
      <c r="J50" s="307">
        <f>SUM(J29:J42)</f>
        <v>4124.1899999999996</v>
      </c>
    </row>
    <row r="51" spans="1:10" ht="16.5" x14ac:dyDescent="0.3">
      <c r="A51" s="304"/>
      <c r="B51" s="303"/>
      <c r="C51" s="303"/>
      <c r="D51" s="179"/>
      <c r="E51" s="179"/>
      <c r="F51" s="180"/>
      <c r="G51" s="179"/>
      <c r="H51" s="179"/>
      <c r="I51" s="179"/>
      <c r="J51" s="305"/>
    </row>
    <row r="52" spans="1:10" ht="17.25" x14ac:dyDescent="0.3">
      <c r="A52" s="339" t="s">
        <v>265</v>
      </c>
      <c r="B52" s="338"/>
      <c r="C52" s="337"/>
      <c r="D52" s="333"/>
      <c r="E52" s="333"/>
      <c r="F52" s="334"/>
      <c r="G52" s="333"/>
      <c r="H52" s="333"/>
      <c r="I52" s="333"/>
      <c r="J52" s="332"/>
    </row>
    <row r="53" spans="1:10" ht="17.25" x14ac:dyDescent="0.3">
      <c r="A53" s="326"/>
      <c r="B53" s="317">
        <f>B48+0.01</f>
        <v>15.209999999999996</v>
      </c>
      <c r="C53" s="336" t="s">
        <v>260</v>
      </c>
      <c r="D53" s="328" t="s">
        <v>264</v>
      </c>
      <c r="E53" s="328">
        <v>2</v>
      </c>
      <c r="F53" s="329">
        <v>50</v>
      </c>
      <c r="G53" s="328">
        <f>E53*F53</f>
        <v>100</v>
      </c>
      <c r="H53" s="328">
        <f>G53*1.13</f>
        <v>112.99999999999999</v>
      </c>
      <c r="I53" s="328">
        <f>'[1]Frozen Pivot'!B500</f>
        <v>113</v>
      </c>
      <c r="J53" s="327">
        <v>113</v>
      </c>
    </row>
    <row r="54" spans="1:10" ht="17.25" x14ac:dyDescent="0.3">
      <c r="A54" s="326"/>
      <c r="B54" s="343">
        <f>B53+0.01</f>
        <v>15.219999999999995</v>
      </c>
      <c r="C54" s="335" t="s">
        <v>251</v>
      </c>
      <c r="D54" s="333" t="s">
        <v>263</v>
      </c>
      <c r="E54" s="333">
        <v>13.5</v>
      </c>
      <c r="F54" s="334">
        <v>15</v>
      </c>
      <c r="G54" s="333">
        <f>E54*F54</f>
        <v>202.5</v>
      </c>
      <c r="H54" s="333">
        <f>G54*1.13</f>
        <v>228.82499999999999</v>
      </c>
      <c r="I54" s="328">
        <f>'[1]Frozen Pivot'!B501</f>
        <v>39.119999999999997</v>
      </c>
      <c r="J54" s="332">
        <v>451.19</v>
      </c>
    </row>
    <row r="55" spans="1:10" ht="17.25" x14ac:dyDescent="0.3">
      <c r="A55" s="326"/>
      <c r="B55" s="344">
        <f>B54+0.01</f>
        <v>15.229999999999995</v>
      </c>
      <c r="C55" s="336" t="s">
        <v>262</v>
      </c>
      <c r="D55" s="328" t="s">
        <v>261</v>
      </c>
      <c r="E55" s="328">
        <v>6</v>
      </c>
      <c r="F55" s="329">
        <v>80</v>
      </c>
      <c r="G55" s="328">
        <f>E55*F55</f>
        <v>480</v>
      </c>
      <c r="H55" s="328">
        <f>G55*1.13</f>
        <v>542.4</v>
      </c>
      <c r="I55" s="328">
        <f>'[1]Frozen Pivot'!B502</f>
        <v>0</v>
      </c>
      <c r="J55" s="327">
        <v>0</v>
      </c>
    </row>
    <row r="56" spans="1:10" s="345" customFormat="1" ht="17.25" x14ac:dyDescent="0.3">
      <c r="A56" s="326"/>
      <c r="B56" s="343">
        <f>B55+0.01</f>
        <v>15.239999999999995</v>
      </c>
      <c r="C56" s="335" t="s">
        <v>260</v>
      </c>
      <c r="D56" s="333" t="s">
        <v>259</v>
      </c>
      <c r="E56" s="333">
        <v>2</v>
      </c>
      <c r="F56" s="334">
        <v>60</v>
      </c>
      <c r="G56" s="333">
        <f>E56*F56</f>
        <v>120</v>
      </c>
      <c r="H56" s="333">
        <f>G56*1.13</f>
        <v>135.6</v>
      </c>
      <c r="I56" s="328">
        <f>'[1]Frozen Pivot'!B503</f>
        <v>0</v>
      </c>
      <c r="J56" s="332">
        <v>0</v>
      </c>
    </row>
    <row r="57" spans="1:10" s="345" customFormat="1" ht="17.25" x14ac:dyDescent="0.3">
      <c r="A57" s="326"/>
      <c r="B57" s="344">
        <f>B56+0.01</f>
        <v>15.249999999999995</v>
      </c>
      <c r="C57" s="336" t="s">
        <v>251</v>
      </c>
      <c r="D57" s="328" t="s">
        <v>258</v>
      </c>
      <c r="E57" s="328">
        <v>13.5</v>
      </c>
      <c r="F57" s="329">
        <v>15</v>
      </c>
      <c r="G57" s="328">
        <f>E57*F57</f>
        <v>202.5</v>
      </c>
      <c r="H57" s="328">
        <f>G57*1.13</f>
        <v>228.82499999999999</v>
      </c>
      <c r="I57" s="328">
        <f>'[1]Frozen Pivot'!B504</f>
        <v>295.88</v>
      </c>
      <c r="J57" s="327">
        <v>295.88</v>
      </c>
    </row>
    <row r="58" spans="1:10" s="345" customFormat="1" ht="17.25" x14ac:dyDescent="0.3">
      <c r="A58" s="326"/>
      <c r="B58" s="343">
        <f>B57+0.01</f>
        <v>15.259999999999994</v>
      </c>
      <c r="C58" s="335" t="s">
        <v>10</v>
      </c>
      <c r="D58" s="333" t="s">
        <v>257</v>
      </c>
      <c r="E58" s="333">
        <v>70</v>
      </c>
      <c r="F58" s="334">
        <v>1</v>
      </c>
      <c r="G58" s="333">
        <f>E58*F58</f>
        <v>70</v>
      </c>
      <c r="H58" s="333">
        <f>G58*1.13</f>
        <v>79.099999999999994</v>
      </c>
      <c r="I58" s="328">
        <f>'[1]Frozen Pivot'!B505</f>
        <v>0</v>
      </c>
      <c r="J58" s="332">
        <v>0</v>
      </c>
    </row>
    <row r="59" spans="1:10" ht="17.25" x14ac:dyDescent="0.3">
      <c r="A59" s="326"/>
      <c r="B59" s="331"/>
      <c r="C59" s="330"/>
      <c r="D59" s="328"/>
      <c r="E59" s="328"/>
      <c r="F59" s="329"/>
      <c r="G59" s="328"/>
      <c r="H59" s="328"/>
      <c r="I59" s="328"/>
      <c r="J59" s="327"/>
    </row>
    <row r="60" spans="1:10" ht="17.25" x14ac:dyDescent="0.3">
      <c r="A60" s="326"/>
      <c r="B60" s="325" t="s">
        <v>256</v>
      </c>
      <c r="C60" s="324"/>
      <c r="D60" s="322"/>
      <c r="E60" s="322"/>
      <c r="F60" s="323"/>
      <c r="G60" s="322"/>
      <c r="H60" s="322">
        <f>SUM(H53:H58)</f>
        <v>1327.7499999999998</v>
      </c>
      <c r="I60" s="322">
        <f>SUM(I51:I59)</f>
        <v>448</v>
      </c>
      <c r="J60" s="41">
        <f>SUM(J51:J59)</f>
        <v>860.07</v>
      </c>
    </row>
    <row r="61" spans="1:10" ht="17.25" x14ac:dyDescent="0.3">
      <c r="A61" s="326"/>
      <c r="B61" s="43"/>
      <c r="C61" s="342"/>
      <c r="D61" s="42"/>
      <c r="E61" s="42"/>
      <c r="F61" s="341"/>
      <c r="G61" s="42"/>
      <c r="H61" s="42"/>
      <c r="I61" s="42"/>
      <c r="J61" s="340"/>
    </row>
    <row r="62" spans="1:10" ht="17.25" x14ac:dyDescent="0.3">
      <c r="A62" s="339" t="s">
        <v>255</v>
      </c>
      <c r="B62" s="338"/>
      <c r="C62" s="337"/>
      <c r="D62" s="333"/>
      <c r="E62" s="333"/>
      <c r="F62" s="334"/>
      <c r="G62" s="333"/>
      <c r="H62" s="333"/>
      <c r="I62" s="333"/>
      <c r="J62" s="332"/>
    </row>
    <row r="63" spans="1:10" ht="17.25" x14ac:dyDescent="0.3">
      <c r="A63" s="326"/>
      <c r="B63" s="344">
        <f>B58+0.01</f>
        <v>15.269999999999994</v>
      </c>
      <c r="C63" s="336" t="s">
        <v>254</v>
      </c>
      <c r="D63" s="328" t="s">
        <v>253</v>
      </c>
      <c r="E63" s="328">
        <v>5.5</v>
      </c>
      <c r="F63" s="329">
        <v>6</v>
      </c>
      <c r="G63" s="328">
        <f>E63*F63</f>
        <v>33</v>
      </c>
      <c r="H63" s="328">
        <f>G63*1.13</f>
        <v>37.29</v>
      </c>
      <c r="I63" s="328">
        <f>'[1]Frozen Pivot'!B506</f>
        <v>0</v>
      </c>
      <c r="J63" s="327">
        <v>0</v>
      </c>
    </row>
    <row r="64" spans="1:10" ht="17.25" x14ac:dyDescent="0.3">
      <c r="A64" s="326"/>
      <c r="B64" s="343">
        <f>B63+0.01</f>
        <v>15.279999999999994</v>
      </c>
      <c r="C64" s="335" t="s">
        <v>252</v>
      </c>
      <c r="D64" s="333" t="s">
        <v>251</v>
      </c>
      <c r="E64" s="333">
        <v>13.5</v>
      </c>
      <c r="F64" s="334">
        <v>15</v>
      </c>
      <c r="G64" s="333">
        <f>E64*F64</f>
        <v>202.5</v>
      </c>
      <c r="H64" s="333">
        <f>G64*1.13</f>
        <v>228.82499999999999</v>
      </c>
      <c r="I64" s="328">
        <f>'[1]Frozen Pivot'!B507</f>
        <v>233.91000000000003</v>
      </c>
      <c r="J64" s="332">
        <v>233.91000000000003</v>
      </c>
    </row>
    <row r="65" spans="1:10" ht="17.25" x14ac:dyDescent="0.3">
      <c r="A65" s="326"/>
      <c r="B65" s="344">
        <f>B64+0.01</f>
        <v>15.289999999999994</v>
      </c>
      <c r="C65" s="336" t="s">
        <v>250</v>
      </c>
      <c r="D65" s="328"/>
      <c r="E65" s="328">
        <v>3.5</v>
      </c>
      <c r="F65" s="329">
        <v>50</v>
      </c>
      <c r="G65" s="328">
        <f>E65*F65</f>
        <v>175</v>
      </c>
      <c r="H65" s="328">
        <f>G65*1.13</f>
        <v>197.74999999999997</v>
      </c>
      <c r="I65" s="328">
        <f>'[1]Frozen Pivot'!B508</f>
        <v>0</v>
      </c>
      <c r="J65" s="327">
        <v>0</v>
      </c>
    </row>
    <row r="66" spans="1:10" ht="17.25" x14ac:dyDescent="0.3">
      <c r="A66" s="326"/>
      <c r="B66" s="343">
        <f>B65+0.01</f>
        <v>15.299999999999994</v>
      </c>
      <c r="C66" s="335" t="s">
        <v>249</v>
      </c>
      <c r="D66" s="333"/>
      <c r="E66" s="333">
        <v>50</v>
      </c>
      <c r="F66" s="334">
        <v>2</v>
      </c>
      <c r="G66" s="333">
        <f>E66*F66</f>
        <v>100</v>
      </c>
      <c r="H66" s="333">
        <f>G66*1.13</f>
        <v>112.99999999999999</v>
      </c>
      <c r="I66" s="328">
        <f>'[1]Frozen Pivot'!B509</f>
        <v>0</v>
      </c>
      <c r="J66" s="332">
        <v>0</v>
      </c>
    </row>
    <row r="67" spans="1:10" ht="17.25" x14ac:dyDescent="0.3">
      <c r="A67" s="326"/>
      <c r="B67" s="317">
        <f>B66+0.01</f>
        <v>15.309999999999993</v>
      </c>
      <c r="C67" s="336" t="s">
        <v>166</v>
      </c>
      <c r="D67" s="328"/>
      <c r="E67" s="328">
        <v>10</v>
      </c>
      <c r="F67" s="329">
        <v>3</v>
      </c>
      <c r="G67" s="328">
        <f>E67*F67</f>
        <v>30</v>
      </c>
      <c r="H67" s="328">
        <f>G67*1.13</f>
        <v>33.9</v>
      </c>
      <c r="I67" s="328">
        <f>'[1]Frozen Pivot'!B510</f>
        <v>0</v>
      </c>
      <c r="J67" s="327">
        <v>0</v>
      </c>
    </row>
    <row r="68" spans="1:10" ht="17.25" x14ac:dyDescent="0.3">
      <c r="A68" s="326"/>
      <c r="B68" s="343"/>
      <c r="C68" s="335"/>
      <c r="D68" s="333"/>
      <c r="E68" s="333"/>
      <c r="F68" s="334"/>
      <c r="G68" s="333"/>
      <c r="H68" s="333"/>
      <c r="I68" s="333"/>
      <c r="J68" s="332"/>
    </row>
    <row r="69" spans="1:10" ht="17.25" x14ac:dyDescent="0.3">
      <c r="A69" s="326"/>
      <c r="B69" s="325" t="s">
        <v>248</v>
      </c>
      <c r="C69" s="324"/>
      <c r="D69" s="322"/>
      <c r="E69" s="322"/>
      <c r="F69" s="323"/>
      <c r="G69" s="322"/>
      <c r="H69" s="322">
        <f>SUM(H63:H67)</f>
        <v>610.76499999999999</v>
      </c>
      <c r="I69" s="322">
        <f>SUM(I61:I67)</f>
        <v>233.91000000000003</v>
      </c>
      <c r="J69" s="41">
        <f>SUM(J61:J67)</f>
        <v>233.91000000000003</v>
      </c>
    </row>
    <row r="70" spans="1:10" ht="17.25" x14ac:dyDescent="0.3">
      <c r="A70" s="326"/>
      <c r="B70" s="43"/>
      <c r="C70" s="342"/>
      <c r="D70" s="42"/>
      <c r="E70" s="42"/>
      <c r="F70" s="341"/>
      <c r="G70" s="42"/>
      <c r="H70" s="42"/>
      <c r="I70" s="42"/>
      <c r="J70" s="340"/>
    </row>
    <row r="71" spans="1:10" ht="17.25" x14ac:dyDescent="0.3">
      <c r="A71" s="339" t="s">
        <v>247</v>
      </c>
      <c r="B71" s="338"/>
      <c r="C71" s="337"/>
      <c r="D71" s="333"/>
      <c r="E71" s="333"/>
      <c r="F71" s="334"/>
      <c r="G71" s="333"/>
      <c r="H71" s="333"/>
      <c r="I71" s="333"/>
      <c r="J71" s="332"/>
    </row>
    <row r="72" spans="1:10" ht="17.25" x14ac:dyDescent="0.3">
      <c r="A72" s="326"/>
      <c r="B72" s="317">
        <f>B67+0.01</f>
        <v>15.319999999999993</v>
      </c>
      <c r="C72" s="336" t="s">
        <v>10</v>
      </c>
      <c r="D72" s="328" t="s">
        <v>246</v>
      </c>
      <c r="E72" s="328">
        <v>180</v>
      </c>
      <c r="F72" s="329">
        <v>1</v>
      </c>
      <c r="G72" s="328">
        <f>E72*F72</f>
        <v>180</v>
      </c>
      <c r="H72" s="328">
        <f>G72*1.13</f>
        <v>203.39999999999998</v>
      </c>
      <c r="I72" s="328">
        <f>'[1]Frozen Pivot'!B511</f>
        <v>0</v>
      </c>
      <c r="J72" s="327">
        <v>0</v>
      </c>
    </row>
    <row r="73" spans="1:10" ht="17.25" x14ac:dyDescent="0.3">
      <c r="A73" s="326"/>
      <c r="B73" s="320">
        <f>B72+0.01</f>
        <v>15.329999999999993</v>
      </c>
      <c r="C73" s="335" t="s">
        <v>245</v>
      </c>
      <c r="D73" s="333" t="s">
        <v>244</v>
      </c>
      <c r="E73" s="333">
        <v>80</v>
      </c>
      <c r="F73" s="334">
        <v>5</v>
      </c>
      <c r="G73" s="333">
        <f>E73*F73</f>
        <v>400</v>
      </c>
      <c r="H73" s="333">
        <f>G73*1.13</f>
        <v>451.99999999999994</v>
      </c>
      <c r="I73" s="328">
        <f>'[1]Frozen Pivot'!B512</f>
        <v>0</v>
      </c>
      <c r="J73" s="332">
        <v>20.350000000000001</v>
      </c>
    </row>
    <row r="74" spans="1:10" ht="17.25" x14ac:dyDescent="0.3">
      <c r="A74" s="326"/>
      <c r="B74" s="331"/>
      <c r="C74" s="330"/>
      <c r="D74" s="328"/>
      <c r="E74" s="328"/>
      <c r="F74" s="329"/>
      <c r="G74" s="328"/>
      <c r="H74" s="328"/>
      <c r="I74" s="328"/>
      <c r="J74" s="327"/>
    </row>
    <row r="75" spans="1:10" ht="17.25" x14ac:dyDescent="0.3">
      <c r="A75" s="326"/>
      <c r="B75" s="325" t="s">
        <v>243</v>
      </c>
      <c r="C75" s="324"/>
      <c r="D75" s="322"/>
      <c r="E75" s="322"/>
      <c r="F75" s="323"/>
      <c r="G75" s="322"/>
      <c r="H75" s="322">
        <f>SUM(H72:H73)</f>
        <v>655.39999999999986</v>
      </c>
      <c r="I75" s="322">
        <f>SUM(I70:I74)</f>
        <v>0</v>
      </c>
      <c r="J75" s="41">
        <f>SUM(J70:J74)</f>
        <v>20.350000000000001</v>
      </c>
    </row>
    <row r="76" spans="1:10" ht="16.5" x14ac:dyDescent="0.3">
      <c r="A76" s="304"/>
      <c r="B76" s="303"/>
      <c r="C76" s="303"/>
      <c r="D76" s="179"/>
      <c r="E76" s="179"/>
      <c r="F76" s="180"/>
      <c r="G76" s="179"/>
      <c r="H76" s="179"/>
      <c r="I76" s="179"/>
      <c r="J76" s="305"/>
    </row>
    <row r="77" spans="1:10" ht="16.5" x14ac:dyDescent="0.3">
      <c r="A77" s="293" t="s">
        <v>242</v>
      </c>
      <c r="B77" s="292"/>
      <c r="C77" s="303"/>
      <c r="D77" s="179"/>
      <c r="E77" s="179"/>
      <c r="F77" s="180"/>
      <c r="G77" s="179"/>
      <c r="H77" s="179"/>
      <c r="I77" s="179"/>
      <c r="J77" s="305"/>
    </row>
    <row r="78" spans="1:10" ht="17.25" x14ac:dyDescent="0.3">
      <c r="A78" s="304"/>
      <c r="B78" s="317">
        <f>B73+0.01</f>
        <v>15.339999999999993</v>
      </c>
      <c r="C78" s="321" t="s">
        <v>241</v>
      </c>
      <c r="D78" s="314" t="s">
        <v>240</v>
      </c>
      <c r="E78" s="314">
        <v>40</v>
      </c>
      <c r="F78" s="315">
        <v>18</v>
      </c>
      <c r="G78" s="314">
        <f>E78*F78</f>
        <v>720</v>
      </c>
      <c r="H78" s="314">
        <f>G78*1.13</f>
        <v>813.59999999999991</v>
      </c>
      <c r="I78" s="314">
        <f>'[1]Frozen Pivot'!B513</f>
        <v>762.3</v>
      </c>
      <c r="J78" s="313">
        <v>767.3</v>
      </c>
    </row>
    <row r="79" spans="1:10" ht="17.25" x14ac:dyDescent="0.3">
      <c r="A79" s="304"/>
      <c r="B79" s="320">
        <f>B78+0.01</f>
        <v>15.349999999999993</v>
      </c>
      <c r="C79" s="312" t="s">
        <v>239</v>
      </c>
      <c r="D79" s="179"/>
      <c r="E79" s="179">
        <v>50</v>
      </c>
      <c r="F79" s="180">
        <v>1</v>
      </c>
      <c r="G79" s="179">
        <f>E79*F79</f>
        <v>50</v>
      </c>
      <c r="H79" s="179">
        <f>G79*1.13</f>
        <v>56.499999999999993</v>
      </c>
      <c r="I79" s="314">
        <f>'[1]Frozen Pivot'!B514</f>
        <v>0</v>
      </c>
      <c r="J79" s="305">
        <v>0</v>
      </c>
    </row>
    <row r="80" spans="1:10" ht="17.25" x14ac:dyDescent="0.3">
      <c r="A80" s="304"/>
      <c r="B80" s="319"/>
      <c r="C80" s="319"/>
      <c r="D80" s="318"/>
      <c r="E80" s="314"/>
      <c r="F80" s="315"/>
      <c r="G80" s="314"/>
      <c r="H80" s="314"/>
      <c r="I80" s="314"/>
      <c r="J80" s="313"/>
    </row>
    <row r="81" spans="1:10" ht="16.5" x14ac:dyDescent="0.3">
      <c r="A81" s="304"/>
      <c r="B81" s="311" t="s">
        <v>238</v>
      </c>
      <c r="C81" s="310"/>
      <c r="D81" s="308"/>
      <c r="E81" s="308"/>
      <c r="F81" s="309"/>
      <c r="G81" s="308"/>
      <c r="H81" s="308">
        <f>SUM(H76:H80)</f>
        <v>870.09999999999991</v>
      </c>
      <c r="I81" s="308">
        <f>SUM(I76:I80)</f>
        <v>762.3</v>
      </c>
      <c r="J81" s="307">
        <f>SUM(J76:J80)</f>
        <v>767.3</v>
      </c>
    </row>
    <row r="82" spans="1:10" ht="16.5" x14ac:dyDescent="0.3">
      <c r="A82" s="304"/>
      <c r="B82" s="292"/>
      <c r="C82" s="292"/>
      <c r="D82" s="291"/>
      <c r="E82" s="291"/>
      <c r="F82" s="302"/>
      <c r="G82" s="291"/>
      <c r="H82" s="291"/>
      <c r="I82" s="291"/>
      <c r="J82" s="290"/>
    </row>
    <row r="83" spans="1:10" ht="16.5" x14ac:dyDescent="0.3">
      <c r="A83" s="293" t="s">
        <v>237</v>
      </c>
      <c r="B83" s="292"/>
      <c r="C83" s="303"/>
      <c r="D83" s="179"/>
      <c r="E83" s="179"/>
      <c r="F83" s="180"/>
      <c r="G83" s="179"/>
      <c r="H83" s="179"/>
      <c r="I83" s="179"/>
      <c r="J83" s="305"/>
    </row>
    <row r="84" spans="1:10" ht="17.25" x14ac:dyDescent="0.3">
      <c r="A84" s="304" t="s">
        <v>23</v>
      </c>
      <c r="B84" s="317">
        <f>B79+0.01</f>
        <v>15.359999999999992</v>
      </c>
      <c r="C84" s="316" t="s">
        <v>236</v>
      </c>
      <c r="D84" s="314" t="s">
        <v>235</v>
      </c>
      <c r="E84" s="314">
        <v>2</v>
      </c>
      <c r="F84" s="315">
        <v>50</v>
      </c>
      <c r="G84" s="314">
        <f>E84*F84</f>
        <v>100</v>
      </c>
      <c r="H84" s="314">
        <f>G84*1.13</f>
        <v>112.99999999999999</v>
      </c>
      <c r="I84" s="314">
        <f>'[1]Frozen Pivot'!B515</f>
        <v>0</v>
      </c>
      <c r="J84" s="313">
        <v>80</v>
      </c>
    </row>
    <row r="85" spans="1:10" ht="17.25" x14ac:dyDescent="0.3">
      <c r="A85" s="304"/>
      <c r="B85" s="33"/>
      <c r="C85" s="312"/>
      <c r="D85" s="179"/>
      <c r="E85" s="179"/>
      <c r="F85" s="180"/>
      <c r="G85" s="179"/>
      <c r="H85" s="179"/>
      <c r="I85" s="179"/>
      <c r="J85" s="305"/>
    </row>
    <row r="86" spans="1:10" ht="16.5" x14ac:dyDescent="0.3">
      <c r="A86" s="304"/>
      <c r="B86" s="311" t="s">
        <v>234</v>
      </c>
      <c r="C86" s="310"/>
      <c r="D86" s="308"/>
      <c r="E86" s="308"/>
      <c r="F86" s="309"/>
      <c r="G86" s="308"/>
      <c r="H86" s="308">
        <f>SUM(H84:H84)</f>
        <v>112.99999999999999</v>
      </c>
      <c r="I86" s="308">
        <f>SUM(I82:I84)</f>
        <v>0</v>
      </c>
      <c r="J86" s="307">
        <f>SUM(J82:J84)</f>
        <v>80</v>
      </c>
    </row>
    <row r="87" spans="1:10" ht="16.5" x14ac:dyDescent="0.3">
      <c r="A87" s="304"/>
      <c r="B87" s="292"/>
      <c r="C87" s="292"/>
      <c r="D87" s="291"/>
      <c r="E87" s="291"/>
      <c r="F87" s="302"/>
      <c r="G87" s="291"/>
      <c r="H87" s="291"/>
      <c r="I87" s="291"/>
      <c r="J87" s="290"/>
    </row>
    <row r="88" spans="1:10" ht="16.5" x14ac:dyDescent="0.3">
      <c r="A88" s="304"/>
      <c r="B88" s="303"/>
      <c r="C88" s="306"/>
      <c r="D88" s="179"/>
      <c r="E88" s="179"/>
      <c r="F88" s="180"/>
      <c r="G88" s="179"/>
      <c r="H88" s="179"/>
      <c r="I88" s="179"/>
      <c r="J88" s="305"/>
    </row>
    <row r="89" spans="1:10" ht="16.5" x14ac:dyDescent="0.3">
      <c r="A89" s="304"/>
      <c r="B89" s="303"/>
      <c r="C89" s="292" t="s">
        <v>4</v>
      </c>
      <c r="D89" s="291"/>
      <c r="E89" s="291"/>
      <c r="F89" s="302"/>
      <c r="G89" s="291"/>
      <c r="H89" s="291">
        <f>H86+H81+H75+H69+H60+H50+H36+H30</f>
        <v>13666.553099999997</v>
      </c>
      <c r="I89" s="291">
        <f>I30+I50+I60+I81</f>
        <v>5354.84</v>
      </c>
      <c r="J89" s="290">
        <f>J30+J50+J60+J81</f>
        <v>5771.91</v>
      </c>
    </row>
    <row r="90" spans="1:10" ht="16.5" x14ac:dyDescent="0.3">
      <c r="A90" s="304"/>
      <c r="B90" s="303"/>
      <c r="C90" s="292"/>
      <c r="D90" s="291"/>
      <c r="E90" s="291"/>
      <c r="F90" s="302"/>
      <c r="G90" s="291"/>
      <c r="H90" s="291"/>
      <c r="I90" s="291"/>
      <c r="J90" s="290"/>
    </row>
    <row r="91" spans="1:10" ht="16.5" x14ac:dyDescent="0.3">
      <c r="A91" s="301" t="s">
        <v>3</v>
      </c>
      <c r="B91" s="300"/>
      <c r="C91" s="300"/>
      <c r="D91" s="298"/>
      <c r="E91" s="298"/>
      <c r="F91" s="299"/>
      <c r="G91" s="298"/>
      <c r="H91" s="298"/>
      <c r="I91" s="298"/>
      <c r="J91" s="297"/>
    </row>
    <row r="92" spans="1:10" ht="16.5" x14ac:dyDescent="0.3">
      <c r="A92" s="293"/>
      <c r="B92" s="296" t="s">
        <v>2</v>
      </c>
      <c r="C92" s="296"/>
      <c r="D92" s="295"/>
      <c r="E92" s="295"/>
      <c r="F92" s="295"/>
      <c r="G92" s="295"/>
      <c r="H92" s="295">
        <f>H22</f>
        <v>16350</v>
      </c>
      <c r="I92" s="295">
        <f>I22</f>
        <v>3086.54</v>
      </c>
      <c r="J92" s="294">
        <f>J22</f>
        <v>3086.54</v>
      </c>
    </row>
    <row r="93" spans="1:10" ht="16.5" x14ac:dyDescent="0.3">
      <c r="A93" s="293"/>
      <c r="B93" s="292" t="s">
        <v>1</v>
      </c>
      <c r="C93" s="292"/>
      <c r="D93" s="291"/>
      <c r="E93" s="291"/>
      <c r="F93" s="291"/>
      <c r="G93" s="291"/>
      <c r="H93" s="291">
        <f>H89</f>
        <v>13666.553099999997</v>
      </c>
      <c r="I93" s="291">
        <f>I89</f>
        <v>5354.84</v>
      </c>
      <c r="J93" s="290">
        <f>J89</f>
        <v>5771.91</v>
      </c>
    </row>
    <row r="94" spans="1:10" ht="16.5" x14ac:dyDescent="0.3">
      <c r="A94" s="289"/>
      <c r="B94" s="288" t="s">
        <v>0</v>
      </c>
      <c r="C94" s="288"/>
      <c r="D94" s="287"/>
      <c r="E94" s="287"/>
      <c r="F94" s="287"/>
      <c r="G94" s="287"/>
      <c r="H94" s="287">
        <f>H92-H93</f>
        <v>2683.4469000000026</v>
      </c>
      <c r="I94" s="287">
        <f>I92-I93</f>
        <v>-2268.3000000000002</v>
      </c>
      <c r="J94" s="286">
        <f>J92-J93</f>
        <v>-2685.37</v>
      </c>
    </row>
  </sheetData>
  <mergeCells count="2">
    <mergeCell ref="A1:J1"/>
    <mergeCell ref="A4:C4"/>
  </mergeCells>
  <pageMargins left="0.75" right="0.75" top="1" bottom="1" header="0.3" footer="0.3"/>
  <pageSetup orientation="portrait" verticalDpi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C5FC1-6CE6-4035-BDA6-894654A086A9}">
  <sheetPr codeName="Sheet18"/>
  <dimension ref="A1:J30"/>
  <sheetViews>
    <sheetView zoomScale="73" workbookViewId="0">
      <selection activeCell="L39" sqref="L39"/>
    </sheetView>
  </sheetViews>
  <sheetFormatPr defaultColWidth="12.42578125" defaultRowHeight="15.75" x14ac:dyDescent="0.25"/>
  <cols>
    <col min="1" max="2" width="12.42578125" style="108"/>
    <col min="3" max="3" width="27.28515625" style="108" customWidth="1"/>
    <col min="4" max="4" width="99.42578125" style="108" bestFit="1" customWidth="1"/>
    <col min="5" max="7" width="12.42578125" style="108"/>
    <col min="8" max="8" width="13.28515625" style="108" bestFit="1" customWidth="1"/>
    <col min="9" max="9" width="0" style="108" hidden="1" customWidth="1"/>
    <col min="10" max="16384" width="12.42578125" style="108"/>
  </cols>
  <sheetData>
    <row r="1" spans="1:10" ht="26.25" x14ac:dyDescent="0.25">
      <c r="A1" s="285" t="s">
        <v>233</v>
      </c>
      <c r="B1" s="284"/>
      <c r="C1" s="284"/>
      <c r="D1" s="283"/>
      <c r="E1" s="283"/>
      <c r="F1" s="283"/>
      <c r="G1" s="283"/>
      <c r="H1" s="283"/>
      <c r="I1" s="283"/>
      <c r="J1" s="282"/>
    </row>
    <row r="2" spans="1:10" ht="16.5" x14ac:dyDescent="0.3">
      <c r="A2" s="281"/>
      <c r="B2" s="280" t="s">
        <v>213</v>
      </c>
      <c r="C2" s="279" t="s">
        <v>212</v>
      </c>
      <c r="D2" s="278" t="s">
        <v>211</v>
      </c>
      <c r="E2" s="277" t="s">
        <v>210</v>
      </c>
      <c r="F2" s="276" t="s">
        <v>209</v>
      </c>
      <c r="G2" s="275" t="s">
        <v>208</v>
      </c>
      <c r="H2" s="275" t="s">
        <v>207</v>
      </c>
      <c r="I2" s="275" t="s">
        <v>232</v>
      </c>
      <c r="J2" s="274" t="s">
        <v>206</v>
      </c>
    </row>
    <row r="3" spans="1:10" ht="16.5" x14ac:dyDescent="0.3">
      <c r="A3" s="273"/>
      <c r="B3" s="272"/>
      <c r="C3" s="271"/>
      <c r="D3" s="270"/>
      <c r="E3" s="268"/>
      <c r="F3" s="269"/>
      <c r="G3" s="268"/>
      <c r="H3" s="268"/>
      <c r="I3" s="268"/>
      <c r="J3" s="267"/>
    </row>
    <row r="4" spans="1:10" ht="16.5" x14ac:dyDescent="0.3">
      <c r="A4" s="232" t="s">
        <v>81</v>
      </c>
      <c r="B4" s="231"/>
      <c r="C4" s="231"/>
      <c r="D4" s="229"/>
      <c r="E4" s="229"/>
      <c r="F4" s="230"/>
      <c r="G4" s="229"/>
      <c r="H4" s="229"/>
      <c r="I4" s="229"/>
      <c r="J4" s="228"/>
    </row>
    <row r="5" spans="1:10" ht="17.25" x14ac:dyDescent="0.3">
      <c r="A5" s="144"/>
      <c r="B5" s="156"/>
      <c r="C5" s="156"/>
      <c r="D5" s="134"/>
      <c r="E5" s="134"/>
      <c r="F5" s="135"/>
      <c r="G5" s="134"/>
      <c r="H5" s="134"/>
      <c r="I5" s="134"/>
      <c r="J5" s="133"/>
    </row>
    <row r="6" spans="1:10" ht="18.75" x14ac:dyDescent="0.35">
      <c r="A6" s="194"/>
      <c r="B6" s="266"/>
      <c r="C6" s="266" t="s">
        <v>59</v>
      </c>
      <c r="D6" s="128"/>
      <c r="E6" s="128"/>
      <c r="F6" s="129"/>
      <c r="G6" s="128"/>
      <c r="H6" s="128">
        <v>0</v>
      </c>
      <c r="I6" s="128">
        <v>0</v>
      </c>
      <c r="J6" s="127">
        <v>0</v>
      </c>
    </row>
    <row r="7" spans="1:10" ht="18.75" x14ac:dyDescent="0.35">
      <c r="A7" s="194"/>
      <c r="B7" s="266"/>
      <c r="C7" s="266"/>
      <c r="D7" s="134"/>
      <c r="E7" s="134"/>
      <c r="F7" s="135"/>
      <c r="G7" s="134"/>
      <c r="H7" s="134"/>
      <c r="I7" s="134"/>
      <c r="J7" s="133"/>
    </row>
    <row r="8" spans="1:10" ht="16.5" x14ac:dyDescent="0.3">
      <c r="A8" s="232" t="s">
        <v>58</v>
      </c>
      <c r="B8" s="231"/>
      <c r="C8" s="231"/>
      <c r="D8" s="229"/>
      <c r="E8" s="264"/>
      <c r="F8" s="265"/>
      <c r="G8" s="264"/>
      <c r="H8" s="264"/>
      <c r="I8" s="264"/>
      <c r="J8" s="228"/>
    </row>
    <row r="9" spans="1:10" ht="16.5" x14ac:dyDescent="0.3">
      <c r="A9" s="224" t="s">
        <v>231</v>
      </c>
      <c r="B9" s="223"/>
      <c r="C9" s="223"/>
      <c r="D9" s="222"/>
      <c r="E9" s="222"/>
      <c r="F9" s="233"/>
      <c r="G9" s="222"/>
      <c r="H9" s="222"/>
      <c r="I9" s="222"/>
      <c r="J9" s="221"/>
    </row>
    <row r="10" spans="1:10" ht="16.5" x14ac:dyDescent="0.3">
      <c r="A10" s="263"/>
      <c r="B10" s="244" t="s">
        <v>230</v>
      </c>
      <c r="C10" s="262" t="s">
        <v>229</v>
      </c>
      <c r="D10" s="242" t="s">
        <v>228</v>
      </c>
      <c r="E10" s="242">
        <v>60</v>
      </c>
      <c r="F10" s="243">
        <v>23</v>
      </c>
      <c r="G10" s="242">
        <f>E10*F10</f>
        <v>1380</v>
      </c>
      <c r="H10" s="242">
        <f>G10*1.13</f>
        <v>1559.3999999999999</v>
      </c>
      <c r="I10" s="242">
        <f>J10</f>
        <v>1915.46</v>
      </c>
      <c r="J10" s="241">
        <v>1915.46</v>
      </c>
    </row>
    <row r="11" spans="1:10" ht="16.5" x14ac:dyDescent="0.3">
      <c r="A11" s="224"/>
      <c r="B11" s="261">
        <v>16.02</v>
      </c>
      <c r="C11" s="260" t="s">
        <v>227</v>
      </c>
      <c r="D11" s="259" t="s">
        <v>226</v>
      </c>
      <c r="E11" s="257">
        <f>5*10</f>
        <v>50</v>
      </c>
      <c r="F11" s="258">
        <v>5</v>
      </c>
      <c r="G11" s="257">
        <f>E11*F11</f>
        <v>250</v>
      </c>
      <c r="H11" s="257">
        <f>G11*1.13</f>
        <v>282.5</v>
      </c>
      <c r="I11" s="242">
        <f>'[1]Frozen Pivot'!B518</f>
        <v>122.36</v>
      </c>
      <c r="J11" s="241">
        <v>122.36</v>
      </c>
    </row>
    <row r="12" spans="1:10" ht="16.5" x14ac:dyDescent="0.3">
      <c r="A12" s="224"/>
      <c r="B12" s="256"/>
      <c r="C12" s="255"/>
      <c r="D12" s="253"/>
      <c r="E12" s="253"/>
      <c r="F12" s="254"/>
      <c r="G12" s="253"/>
      <c r="H12" s="253"/>
      <c r="I12" s="246"/>
      <c r="J12" s="245"/>
    </row>
    <row r="13" spans="1:10" ht="16.5" x14ac:dyDescent="0.3">
      <c r="A13" s="235"/>
      <c r="B13" s="240" t="s">
        <v>225</v>
      </c>
      <c r="C13" s="239"/>
      <c r="D13" s="237"/>
      <c r="E13" s="237"/>
      <c r="F13" s="238"/>
      <c r="G13" s="237"/>
      <c r="H13" s="237">
        <f>SUM(H10:H11)</f>
        <v>1841.8999999999999</v>
      </c>
      <c r="I13" s="237">
        <f>SUM(I10:I11)</f>
        <v>2037.82</v>
      </c>
      <c r="J13" s="236">
        <f>SUM(J10:J11)</f>
        <v>2037.82</v>
      </c>
    </row>
    <row r="14" spans="1:10" ht="16.5" x14ac:dyDescent="0.3">
      <c r="A14" s="235"/>
      <c r="B14" s="223"/>
      <c r="C14" s="223"/>
      <c r="D14" s="222"/>
      <c r="E14" s="222"/>
      <c r="F14" s="233"/>
      <c r="G14" s="222"/>
      <c r="H14" s="222"/>
      <c r="I14" s="222"/>
      <c r="J14" s="221"/>
    </row>
    <row r="15" spans="1:10" ht="16.5" x14ac:dyDescent="0.3">
      <c r="A15" s="224" t="s">
        <v>224</v>
      </c>
      <c r="B15" s="223"/>
      <c r="C15" s="223"/>
      <c r="D15" s="222"/>
      <c r="E15" s="222"/>
      <c r="F15" s="233"/>
      <c r="G15" s="222"/>
      <c r="H15" s="222"/>
      <c r="I15" s="222"/>
      <c r="J15" s="221"/>
    </row>
    <row r="16" spans="1:10" ht="16.5" customHeight="1" x14ac:dyDescent="0.3">
      <c r="A16" s="235" t="s">
        <v>23</v>
      </c>
      <c r="B16" s="249">
        <f>B11+0.01</f>
        <v>16.03</v>
      </c>
      <c r="C16" s="244" t="s">
        <v>223</v>
      </c>
      <c r="D16" s="252" t="s">
        <v>222</v>
      </c>
      <c r="E16" s="251">
        <v>372.75</v>
      </c>
      <c r="F16" s="243">
        <v>2</v>
      </c>
      <c r="G16" s="242">
        <f>E16*F16</f>
        <v>745.5</v>
      </c>
      <c r="H16" s="242">
        <f>G16*1.13</f>
        <v>842.41499999999996</v>
      </c>
      <c r="I16" s="242">
        <f>'[1]Frozen Pivot'!B519</f>
        <v>0</v>
      </c>
      <c r="J16" s="241">
        <v>0</v>
      </c>
    </row>
    <row r="17" spans="1:10" ht="16.5" x14ac:dyDescent="0.3">
      <c r="A17" s="224"/>
      <c r="B17" s="223"/>
      <c r="C17" s="223"/>
      <c r="D17" s="222"/>
      <c r="E17" s="222"/>
      <c r="F17" s="233"/>
      <c r="G17" s="222"/>
      <c r="H17" s="222"/>
      <c r="I17" s="222"/>
      <c r="J17" s="221"/>
    </row>
    <row r="18" spans="1:10" ht="16.5" x14ac:dyDescent="0.3">
      <c r="A18" s="224"/>
      <c r="B18" s="240" t="s">
        <v>221</v>
      </c>
      <c r="C18" s="239"/>
      <c r="D18" s="237"/>
      <c r="E18" s="237"/>
      <c r="F18" s="238"/>
      <c r="G18" s="237"/>
      <c r="H18" s="237">
        <f>H16</f>
        <v>842.41499999999996</v>
      </c>
      <c r="I18" s="237">
        <f>I16</f>
        <v>0</v>
      </c>
      <c r="J18" s="236">
        <f>J16</f>
        <v>0</v>
      </c>
    </row>
    <row r="19" spans="1:10" ht="16.5" x14ac:dyDescent="0.3">
      <c r="A19" s="235"/>
      <c r="B19" s="234"/>
      <c r="C19" s="250"/>
      <c r="D19" s="246"/>
      <c r="E19" s="246"/>
      <c r="F19" s="247"/>
      <c r="G19" s="246"/>
      <c r="H19" s="246"/>
      <c r="I19" s="246"/>
      <c r="J19" s="245"/>
    </row>
    <row r="20" spans="1:10" ht="16.5" x14ac:dyDescent="0.3">
      <c r="A20" s="224" t="s">
        <v>220</v>
      </c>
      <c r="B20" s="223"/>
      <c r="C20" s="234"/>
      <c r="D20" s="246"/>
      <c r="E20" s="246"/>
      <c r="F20" s="247"/>
      <c r="G20" s="246"/>
      <c r="H20" s="246"/>
      <c r="I20" s="246"/>
      <c r="J20" s="245"/>
    </row>
    <row r="21" spans="1:10" ht="16.5" x14ac:dyDescent="0.3">
      <c r="A21" s="224"/>
      <c r="B21" s="249">
        <f>B16+0.01</f>
        <v>16.040000000000003</v>
      </c>
      <c r="C21" s="244" t="s">
        <v>219</v>
      </c>
      <c r="D21" s="242" t="s">
        <v>218</v>
      </c>
      <c r="E21" s="242">
        <v>30</v>
      </c>
      <c r="F21" s="243">
        <v>2</v>
      </c>
      <c r="G21" s="242">
        <f>E21*F21</f>
        <v>60</v>
      </c>
      <c r="H21" s="242">
        <f>G21</f>
        <v>60</v>
      </c>
      <c r="I21" s="242">
        <f>'[1]Frozen Pivot'!B520</f>
        <v>0</v>
      </c>
      <c r="J21" s="241">
        <v>0</v>
      </c>
    </row>
    <row r="22" spans="1:10" ht="16.5" x14ac:dyDescent="0.3">
      <c r="A22" s="224"/>
      <c r="B22" s="248">
        <f>B21+0.01</f>
        <v>16.050000000000004</v>
      </c>
      <c r="C22" s="234" t="s">
        <v>217</v>
      </c>
      <c r="D22" s="246" t="s">
        <v>216</v>
      </c>
      <c r="E22" s="246">
        <v>350</v>
      </c>
      <c r="F22" s="247">
        <v>3</v>
      </c>
      <c r="G22" s="246">
        <f>E22*F22</f>
        <v>1050</v>
      </c>
      <c r="H22" s="246">
        <f>G22</f>
        <v>1050</v>
      </c>
      <c r="I22" s="242">
        <f>'[1]Frozen Pivot'!B521</f>
        <v>624.08000000000004</v>
      </c>
      <c r="J22" s="245">
        <v>624.08000000000004</v>
      </c>
    </row>
    <row r="23" spans="1:10" ht="16.5" x14ac:dyDescent="0.3">
      <c r="A23" s="224"/>
      <c r="B23" s="227"/>
      <c r="C23" s="244"/>
      <c r="D23" s="242"/>
      <c r="E23" s="242"/>
      <c r="F23" s="243"/>
      <c r="G23" s="242"/>
      <c r="H23" s="242"/>
      <c r="I23" s="242"/>
      <c r="J23" s="241"/>
    </row>
    <row r="24" spans="1:10" ht="16.5" x14ac:dyDescent="0.3">
      <c r="A24" s="235"/>
      <c r="B24" s="240" t="s">
        <v>215</v>
      </c>
      <c r="C24" s="239"/>
      <c r="D24" s="237"/>
      <c r="E24" s="237"/>
      <c r="F24" s="238"/>
      <c r="G24" s="237"/>
      <c r="H24" s="237">
        <f>SUM(H21:H22)</f>
        <v>1110</v>
      </c>
      <c r="I24" s="237">
        <f>SUM(I21:I22)</f>
        <v>624.08000000000004</v>
      </c>
      <c r="J24" s="236">
        <f>SUM(J21:J22)</f>
        <v>624.08000000000004</v>
      </c>
    </row>
    <row r="25" spans="1:10" ht="16.5" x14ac:dyDescent="0.3">
      <c r="A25" s="235"/>
      <c r="B25" s="234"/>
      <c r="C25" s="223" t="s">
        <v>4</v>
      </c>
      <c r="D25" s="222"/>
      <c r="E25" s="222"/>
      <c r="F25" s="233"/>
      <c r="G25" s="222"/>
      <c r="H25" s="222">
        <f>H13+H18+H24</f>
        <v>3794.3149999999996</v>
      </c>
      <c r="I25" s="222">
        <f>I13+I18+I24</f>
        <v>2661.9</v>
      </c>
      <c r="J25" s="221">
        <f>J13+J18+J24</f>
        <v>2661.9</v>
      </c>
    </row>
    <row r="26" spans="1:10" ht="16.5" x14ac:dyDescent="0.3">
      <c r="A26" s="235"/>
      <c r="B26" s="234"/>
      <c r="C26" s="223"/>
      <c r="D26" s="222"/>
      <c r="E26" s="222"/>
      <c r="F26" s="233"/>
      <c r="G26" s="222"/>
      <c r="H26" s="222"/>
      <c r="I26" s="222"/>
      <c r="J26" s="221"/>
    </row>
    <row r="27" spans="1:10" ht="16.5" x14ac:dyDescent="0.3">
      <c r="A27" s="232" t="s">
        <v>3</v>
      </c>
      <c r="B27" s="231"/>
      <c r="C27" s="231"/>
      <c r="D27" s="229"/>
      <c r="E27" s="229"/>
      <c r="F27" s="230"/>
      <c r="G27" s="229"/>
      <c r="H27" s="229"/>
      <c r="I27" s="229"/>
      <c r="J27" s="228"/>
    </row>
    <row r="28" spans="1:10" ht="16.5" x14ac:dyDescent="0.3">
      <c r="A28" s="224"/>
      <c r="B28" s="227" t="s">
        <v>2</v>
      </c>
      <c r="C28" s="227"/>
      <c r="D28" s="226"/>
      <c r="E28" s="226"/>
      <c r="F28" s="226"/>
      <c r="G28" s="226"/>
      <c r="H28" s="226">
        <v>0</v>
      </c>
      <c r="I28" s="226">
        <v>0</v>
      </c>
      <c r="J28" s="225">
        <v>0</v>
      </c>
    </row>
    <row r="29" spans="1:10" ht="16.5" x14ac:dyDescent="0.3">
      <c r="A29" s="224"/>
      <c r="B29" s="223" t="s">
        <v>1</v>
      </c>
      <c r="C29" s="223"/>
      <c r="D29" s="222"/>
      <c r="E29" s="222"/>
      <c r="F29" s="222"/>
      <c r="G29" s="222"/>
      <c r="H29" s="222">
        <f>H25</f>
        <v>3794.3149999999996</v>
      </c>
      <c r="I29" s="222">
        <f>I25</f>
        <v>2661.9</v>
      </c>
      <c r="J29" s="221">
        <f>J25</f>
        <v>2661.9</v>
      </c>
    </row>
    <row r="30" spans="1:10" ht="16.5" x14ac:dyDescent="0.3">
      <c r="A30" s="220"/>
      <c r="B30" s="219" t="s">
        <v>0</v>
      </c>
      <c r="C30" s="219"/>
      <c r="D30" s="218"/>
      <c r="E30" s="218"/>
      <c r="F30" s="218"/>
      <c r="G30" s="218"/>
      <c r="H30" s="218">
        <f>H28-H29</f>
        <v>-3794.3149999999996</v>
      </c>
      <c r="I30" s="218">
        <f>I28-I29</f>
        <v>-2661.9</v>
      </c>
      <c r="J30" s="217">
        <f>J28-J29</f>
        <v>-2661.9</v>
      </c>
    </row>
  </sheetData>
  <mergeCells count="3">
    <mergeCell ref="A4:C4"/>
    <mergeCell ref="A8:C8"/>
    <mergeCell ref="A27:C27"/>
  </mergeCells>
  <pageMargins left="0.75" right="0.75" top="1" bottom="1" header="0.5" footer="0.5"/>
  <pageSetup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C6C9F-1536-479B-A152-6C7AF78BFDCC}">
  <sheetPr codeName="Sheet2"/>
  <dimension ref="A1:V144"/>
  <sheetViews>
    <sheetView topLeftCell="A112" zoomScale="92" zoomScaleNormal="106" zoomScalePageLayoutView="106" workbookViewId="0">
      <selection activeCell="C132" sqref="C132"/>
    </sheetView>
  </sheetViews>
  <sheetFormatPr defaultColWidth="12.28515625" defaultRowHeight="15.75" x14ac:dyDescent="0.25"/>
  <cols>
    <col min="1" max="1" width="12.28515625" style="108"/>
    <col min="2" max="2" width="12.42578125" style="108" bestFit="1" customWidth="1"/>
    <col min="3" max="3" width="48.28515625" style="108" customWidth="1"/>
    <col min="4" max="4" width="54.85546875" style="108" customWidth="1"/>
    <col min="5" max="6" width="12.42578125" style="108" bestFit="1" customWidth="1"/>
    <col min="7" max="7" width="13.85546875" style="108" bestFit="1" customWidth="1"/>
    <col min="8" max="8" width="18.85546875" style="108" bestFit="1" customWidth="1"/>
    <col min="9" max="9" width="18.7109375" style="108" customWidth="1"/>
    <col min="10" max="16384" width="12.28515625" style="108"/>
  </cols>
  <sheetData>
    <row r="1" spans="1:10" ht="30.75" x14ac:dyDescent="0.55000000000000004">
      <c r="A1" s="216" t="s">
        <v>214</v>
      </c>
      <c r="B1" s="215"/>
      <c r="C1" s="215"/>
      <c r="D1" s="215"/>
      <c r="E1" s="215"/>
      <c r="F1" s="215"/>
      <c r="G1" s="215"/>
      <c r="H1" s="215"/>
      <c r="I1" s="214"/>
    </row>
    <row r="2" spans="1:10" ht="17.25" x14ac:dyDescent="0.3">
      <c r="A2" s="213"/>
      <c r="B2" s="212" t="s">
        <v>213</v>
      </c>
      <c r="C2" s="211" t="s">
        <v>212</v>
      </c>
      <c r="D2" s="210" t="s">
        <v>211</v>
      </c>
      <c r="E2" s="209" t="s">
        <v>210</v>
      </c>
      <c r="F2" s="208" t="s">
        <v>209</v>
      </c>
      <c r="G2" s="207" t="s">
        <v>208</v>
      </c>
      <c r="H2" s="206" t="s">
        <v>207</v>
      </c>
      <c r="I2" s="205" t="s">
        <v>206</v>
      </c>
    </row>
    <row r="3" spans="1:10" ht="17.25" x14ac:dyDescent="0.3">
      <c r="A3" s="204"/>
      <c r="B3" s="150"/>
      <c r="C3" s="150"/>
      <c r="D3" s="202"/>
      <c r="E3" s="202"/>
      <c r="F3" s="203"/>
      <c r="G3" s="202"/>
      <c r="H3" s="134"/>
      <c r="I3" s="133"/>
    </row>
    <row r="4" spans="1:10" ht="17.25" x14ac:dyDescent="0.3">
      <c r="A4" s="192" t="s">
        <v>81</v>
      </c>
      <c r="B4" s="191"/>
      <c r="C4" s="191"/>
      <c r="D4" s="188"/>
      <c r="E4" s="188"/>
      <c r="F4" s="189"/>
      <c r="G4" s="188"/>
      <c r="H4" s="188"/>
      <c r="I4" s="187"/>
    </row>
    <row r="5" spans="1:10" ht="17.25" x14ac:dyDescent="0.3">
      <c r="A5" s="144" t="s">
        <v>80</v>
      </c>
      <c r="B5" s="156"/>
      <c r="C5" s="149"/>
      <c r="D5" s="146"/>
      <c r="E5" s="146"/>
      <c r="F5" s="148"/>
      <c r="G5" s="146"/>
      <c r="H5" s="146"/>
      <c r="I5" s="145"/>
    </row>
    <row r="6" spans="1:10" ht="17.25" x14ac:dyDescent="0.3">
      <c r="A6" s="144" t="s">
        <v>56</v>
      </c>
      <c r="B6" s="150"/>
      <c r="C6" s="149"/>
      <c r="D6" s="146"/>
      <c r="E6" s="146"/>
      <c r="F6" s="148"/>
      <c r="G6" s="146"/>
      <c r="H6" s="146"/>
      <c r="I6" s="145"/>
    </row>
    <row r="7" spans="1:10" ht="17.25" x14ac:dyDescent="0.3">
      <c r="A7" s="144"/>
      <c r="B7" s="154">
        <v>0.01</v>
      </c>
      <c r="C7" s="154" t="s">
        <v>205</v>
      </c>
      <c r="D7" s="153" t="s">
        <v>204</v>
      </c>
      <c r="E7" s="151">
        <f>AVERAGE(572,365,449,365,449,365,418)</f>
        <v>426.14285714285717</v>
      </c>
      <c r="F7" s="152">
        <v>6</v>
      </c>
      <c r="G7" s="151">
        <f>F7*E7</f>
        <v>2556.8571428571431</v>
      </c>
      <c r="H7" s="151">
        <f>G3</f>
        <v>0</v>
      </c>
      <c r="I7" s="70"/>
      <c r="J7" s="108" t="s">
        <v>92</v>
      </c>
    </row>
    <row r="8" spans="1:10" ht="17.25" x14ac:dyDescent="0.3">
      <c r="A8" s="186" t="s">
        <v>203</v>
      </c>
      <c r="B8" s="201"/>
      <c r="C8" s="176"/>
      <c r="D8" s="161"/>
      <c r="E8" s="147"/>
      <c r="F8" s="160"/>
      <c r="G8" s="147"/>
      <c r="H8" s="147"/>
      <c r="I8" s="159"/>
    </row>
    <row r="9" spans="1:10" ht="17.25" x14ac:dyDescent="0.3">
      <c r="A9" s="144"/>
      <c r="B9" s="154">
        <v>0.02</v>
      </c>
      <c r="C9" s="167" t="s">
        <v>202</v>
      </c>
      <c r="D9" s="153" t="s">
        <v>201</v>
      </c>
      <c r="E9" s="151"/>
      <c r="F9" s="152"/>
      <c r="G9" s="151">
        <f>(10485.18-7755.5)*1.4</f>
        <v>3821.5520000000001</v>
      </c>
      <c r="H9" s="151">
        <f>G9</f>
        <v>3821.5520000000001</v>
      </c>
      <c r="I9" s="70">
        <v>2069.83</v>
      </c>
    </row>
    <row r="10" spans="1:10" ht="17.25" x14ac:dyDescent="0.3">
      <c r="A10" s="186" t="s">
        <v>54</v>
      </c>
      <c r="B10" s="162"/>
      <c r="C10" s="176"/>
      <c r="D10" s="161"/>
      <c r="E10" s="147"/>
      <c r="F10" s="160"/>
      <c r="G10" s="147"/>
      <c r="H10" s="147"/>
      <c r="I10" s="159"/>
    </row>
    <row r="11" spans="1:10" ht="17.25" x14ac:dyDescent="0.3">
      <c r="A11" s="144"/>
      <c r="B11" s="154">
        <v>0.03</v>
      </c>
      <c r="C11" s="167" t="s">
        <v>200</v>
      </c>
      <c r="D11" s="153" t="s">
        <v>199</v>
      </c>
      <c r="E11" s="151"/>
      <c r="F11" s="152"/>
      <c r="G11" s="151">
        <v>700</v>
      </c>
      <c r="H11" s="151">
        <f>G11</f>
        <v>700</v>
      </c>
      <c r="I11" s="70"/>
      <c r="J11" s="108" t="s">
        <v>92</v>
      </c>
    </row>
    <row r="12" spans="1:10" ht="17.25" x14ac:dyDescent="0.3">
      <c r="A12" s="186" t="s">
        <v>77</v>
      </c>
      <c r="B12" s="201"/>
      <c r="C12" s="176"/>
      <c r="D12" s="161" t="s">
        <v>23</v>
      </c>
      <c r="E12" s="147"/>
      <c r="F12" s="160"/>
      <c r="G12" s="147"/>
      <c r="H12" s="147"/>
      <c r="I12" s="159"/>
    </row>
    <row r="13" spans="1:10" ht="17.25" x14ac:dyDescent="0.3">
      <c r="A13" s="144"/>
      <c r="B13" s="154">
        <v>0.04</v>
      </c>
      <c r="C13" s="167" t="s">
        <v>198</v>
      </c>
      <c r="D13" s="153" t="s">
        <v>197</v>
      </c>
      <c r="E13" s="151">
        <v>3201.45</v>
      </c>
      <c r="F13" s="152">
        <v>12</v>
      </c>
      <c r="G13" s="151">
        <f>F13*E13</f>
        <v>38417.399999999994</v>
      </c>
      <c r="H13" s="151">
        <f>G13</f>
        <v>38417.399999999994</v>
      </c>
      <c r="I13" s="197">
        <v>25931.99</v>
      </c>
    </row>
    <row r="14" spans="1:10" ht="17.25" x14ac:dyDescent="0.3">
      <c r="A14" s="186" t="s">
        <v>76</v>
      </c>
      <c r="B14" s="201"/>
      <c r="C14" s="176"/>
      <c r="D14" s="161"/>
      <c r="E14" s="147"/>
      <c r="F14" s="160"/>
      <c r="G14" s="147"/>
      <c r="H14" s="147"/>
      <c r="I14" s="159"/>
    </row>
    <row r="15" spans="1:10" ht="17.25" x14ac:dyDescent="0.3">
      <c r="A15" s="144"/>
      <c r="B15" s="154">
        <v>0.05</v>
      </c>
      <c r="C15" s="167" t="s">
        <v>196</v>
      </c>
      <c r="D15" s="153" t="s">
        <v>195</v>
      </c>
      <c r="E15" s="151">
        <v>8000</v>
      </c>
      <c r="F15" s="152">
        <v>1</v>
      </c>
      <c r="G15" s="151">
        <f>F15*E15</f>
        <v>8000</v>
      </c>
      <c r="H15" s="151">
        <f>G15</f>
        <v>8000</v>
      </c>
      <c r="I15" s="70">
        <v>10299.950000000001</v>
      </c>
    </row>
    <row r="16" spans="1:10" ht="17.25" x14ac:dyDescent="0.3">
      <c r="A16" s="186" t="s">
        <v>194</v>
      </c>
      <c r="B16" s="201"/>
      <c r="C16" s="201"/>
      <c r="D16" s="161"/>
      <c r="E16" s="147"/>
      <c r="F16" s="160"/>
      <c r="G16" s="147"/>
      <c r="H16" s="147"/>
      <c r="I16" s="159"/>
    </row>
    <row r="17" spans="1:9" ht="17.25" x14ac:dyDescent="0.3">
      <c r="A17" s="144"/>
      <c r="B17" s="154">
        <v>0.06</v>
      </c>
      <c r="C17" s="167" t="s">
        <v>194</v>
      </c>
      <c r="D17" s="153" t="s">
        <v>193</v>
      </c>
      <c r="E17" s="151">
        <v>61.47</v>
      </c>
      <c r="F17" s="152">
        <f>750*4</f>
        <v>3000</v>
      </c>
      <c r="G17" s="151">
        <f>F17*E17</f>
        <v>184410</v>
      </c>
      <c r="H17" s="151">
        <f>G17</f>
        <v>184410</v>
      </c>
      <c r="I17" s="70">
        <v>99560.81</v>
      </c>
    </row>
    <row r="18" spans="1:9" ht="17.25" x14ac:dyDescent="0.3">
      <c r="A18" s="186" t="s">
        <v>192</v>
      </c>
      <c r="B18" s="201"/>
      <c r="C18" s="201"/>
      <c r="D18" s="161"/>
      <c r="E18" s="147"/>
      <c r="F18" s="160"/>
      <c r="G18" s="147"/>
      <c r="H18" s="147"/>
      <c r="I18" s="159"/>
    </row>
    <row r="19" spans="1:9" ht="17.25" x14ac:dyDescent="0.3">
      <c r="A19" s="144"/>
      <c r="B19" s="154">
        <v>7.0000000000000007E-2</v>
      </c>
      <c r="C19" s="167" t="s">
        <v>191</v>
      </c>
      <c r="D19" s="153" t="s">
        <v>189</v>
      </c>
      <c r="E19" s="151"/>
      <c r="F19" s="152"/>
      <c r="G19" s="151">
        <f>4012.5*0.95</f>
        <v>3811.875</v>
      </c>
      <c r="H19" s="151">
        <f>G19</f>
        <v>3811.875</v>
      </c>
      <c r="I19" s="70">
        <v>10265</v>
      </c>
    </row>
    <row r="20" spans="1:9" ht="17.25" x14ac:dyDescent="0.3">
      <c r="A20" s="186"/>
      <c r="B20" s="162">
        <v>0.08</v>
      </c>
      <c r="C20" s="176" t="s">
        <v>190</v>
      </c>
      <c r="D20" s="161" t="s">
        <v>189</v>
      </c>
      <c r="E20" s="147"/>
      <c r="F20" s="160"/>
      <c r="G20" s="147">
        <f>7302.5*0.95</f>
        <v>6937.375</v>
      </c>
      <c r="H20" s="147">
        <f>G20</f>
        <v>6937.375</v>
      </c>
      <c r="I20" s="159">
        <v>5066.68</v>
      </c>
    </row>
    <row r="21" spans="1:9" ht="17.25" x14ac:dyDescent="0.3">
      <c r="A21" s="144" t="s">
        <v>188</v>
      </c>
      <c r="B21" s="149"/>
      <c r="C21" s="175"/>
      <c r="D21" s="155"/>
      <c r="E21" s="146"/>
      <c r="F21" s="148"/>
      <c r="G21" s="146"/>
      <c r="H21" s="146"/>
      <c r="I21" s="145"/>
    </row>
    <row r="22" spans="1:9" ht="17.25" x14ac:dyDescent="0.3">
      <c r="A22" s="144"/>
      <c r="B22" s="154">
        <v>0.09</v>
      </c>
      <c r="C22" s="167" t="s">
        <v>187</v>
      </c>
      <c r="D22" s="153"/>
      <c r="E22" s="151"/>
      <c r="F22" s="152"/>
      <c r="G22" s="151">
        <f>44331.64/2</f>
        <v>22165.82</v>
      </c>
      <c r="H22" s="151">
        <f>G22</f>
        <v>22165.82</v>
      </c>
      <c r="I22" s="70">
        <f>H22</f>
        <v>22165.82</v>
      </c>
    </row>
    <row r="23" spans="1:9" ht="17.25" x14ac:dyDescent="0.3">
      <c r="A23" s="144"/>
      <c r="B23" s="162"/>
      <c r="C23" s="176"/>
      <c r="D23" s="161"/>
      <c r="E23" s="147"/>
      <c r="F23" s="160"/>
      <c r="G23" s="147"/>
      <c r="H23" s="147"/>
      <c r="I23" s="159"/>
    </row>
    <row r="24" spans="1:9" ht="17.25" x14ac:dyDescent="0.3">
      <c r="A24" s="144"/>
      <c r="B24" s="143" t="s">
        <v>72</v>
      </c>
      <c r="C24" s="142"/>
      <c r="D24" s="200"/>
      <c r="E24" s="198"/>
      <c r="F24" s="199"/>
      <c r="G24" s="198"/>
      <c r="H24" s="140">
        <f>SUM(H6:H22)</f>
        <v>268264.022</v>
      </c>
      <c r="I24" s="139">
        <f>SUM(I6:I22)</f>
        <v>175360.08000000002</v>
      </c>
    </row>
    <row r="25" spans="1:9" ht="17.25" x14ac:dyDescent="0.3">
      <c r="A25" s="144"/>
      <c r="B25" s="150"/>
      <c r="C25" s="150"/>
      <c r="D25" s="185"/>
      <c r="E25" s="134"/>
      <c r="F25" s="135"/>
      <c r="G25" s="134"/>
      <c r="H25" s="134"/>
      <c r="I25" s="133"/>
    </row>
    <row r="26" spans="1:9" ht="17.25" x14ac:dyDescent="0.3">
      <c r="A26" s="144" t="s">
        <v>69</v>
      </c>
      <c r="B26" s="156"/>
      <c r="C26" s="149"/>
      <c r="D26" s="155"/>
      <c r="E26" s="146"/>
      <c r="F26" s="148"/>
      <c r="G26" s="146"/>
      <c r="H26" s="146"/>
      <c r="I26" s="145"/>
    </row>
    <row r="27" spans="1:9" ht="17.25" x14ac:dyDescent="0.3">
      <c r="A27" s="144" t="s">
        <v>68</v>
      </c>
      <c r="B27" s="156"/>
      <c r="C27" s="149"/>
      <c r="D27" s="155"/>
      <c r="E27" s="146"/>
      <c r="F27" s="148"/>
      <c r="G27" s="146"/>
      <c r="H27" s="146"/>
      <c r="I27" s="145"/>
    </row>
    <row r="28" spans="1:9" ht="17.25" x14ac:dyDescent="0.3">
      <c r="A28" s="144"/>
      <c r="B28" s="163">
        <f>B22+0.01</f>
        <v>9.9999999999999992E-2</v>
      </c>
      <c r="C28" s="167" t="s">
        <v>186</v>
      </c>
      <c r="D28" s="153" t="s">
        <v>178</v>
      </c>
      <c r="E28" s="151">
        <v>1235.9000000000001</v>
      </c>
      <c r="F28" s="152">
        <v>12</v>
      </c>
      <c r="G28" s="151">
        <f>F28*E28</f>
        <v>14830.800000000001</v>
      </c>
      <c r="H28" s="151">
        <f>G28*1.13</f>
        <v>16758.804</v>
      </c>
      <c r="I28" s="70">
        <v>7829.84</v>
      </c>
    </row>
    <row r="29" spans="1:9" ht="17.25" x14ac:dyDescent="0.3">
      <c r="A29" s="144" t="s">
        <v>67</v>
      </c>
      <c r="B29" s="156"/>
      <c r="C29" s="156"/>
      <c r="D29" s="155"/>
      <c r="E29" s="146"/>
      <c r="F29" s="148"/>
      <c r="G29" s="178"/>
      <c r="H29" s="178"/>
      <c r="I29" s="196"/>
    </row>
    <row r="30" spans="1:9" ht="17.25" x14ac:dyDescent="0.3">
      <c r="A30" s="144"/>
      <c r="B30" s="163">
        <f>B28+0.01</f>
        <v>0.10999999999999999</v>
      </c>
      <c r="C30" s="167" t="s">
        <v>185</v>
      </c>
      <c r="D30" s="153" t="s">
        <v>178</v>
      </c>
      <c r="E30" s="151">
        <v>2627.05</v>
      </c>
      <c r="F30" s="152">
        <v>12</v>
      </c>
      <c r="G30" s="151">
        <f>F30*E30</f>
        <v>31524.600000000002</v>
      </c>
      <c r="H30" s="151">
        <f>G30*1.13</f>
        <v>35622.798000000003</v>
      </c>
      <c r="I30" s="70">
        <v>17125.169999999998</v>
      </c>
    </row>
    <row r="31" spans="1:9" ht="17.25" x14ac:dyDescent="0.3">
      <c r="A31" s="144" t="s">
        <v>66</v>
      </c>
      <c r="B31" s="156"/>
      <c r="C31" s="175"/>
      <c r="D31" s="155"/>
      <c r="E31" s="146"/>
      <c r="F31" s="148"/>
      <c r="G31" s="178"/>
      <c r="H31" s="178"/>
      <c r="I31" s="196"/>
    </row>
    <row r="32" spans="1:9" ht="17.25" x14ac:dyDescent="0.3">
      <c r="A32" s="144"/>
      <c r="B32" s="163">
        <f>B30+0.01</f>
        <v>0.11999999999999998</v>
      </c>
      <c r="C32" s="167" t="s">
        <v>184</v>
      </c>
      <c r="D32" s="153" t="s">
        <v>178</v>
      </c>
      <c r="E32" s="151">
        <v>1255.1199999999999</v>
      </c>
      <c r="F32" s="152">
        <v>12</v>
      </c>
      <c r="G32" s="151">
        <f>F32*E32</f>
        <v>15061.439999999999</v>
      </c>
      <c r="H32" s="151">
        <f>G32</f>
        <v>15061.439999999999</v>
      </c>
      <c r="I32" s="70">
        <v>8774.2199999999993</v>
      </c>
    </row>
    <row r="33" spans="1:9" ht="17.25" x14ac:dyDescent="0.3">
      <c r="A33" s="144" t="s">
        <v>65</v>
      </c>
      <c r="B33" s="156"/>
      <c r="C33" s="156"/>
      <c r="D33" s="155"/>
      <c r="E33" s="146"/>
      <c r="F33" s="148"/>
      <c r="G33" s="178"/>
      <c r="H33" s="178"/>
      <c r="I33" s="196"/>
    </row>
    <row r="34" spans="1:9" ht="17.25" x14ac:dyDescent="0.3">
      <c r="A34" s="144"/>
      <c r="B34" s="163">
        <f>B32+0.01</f>
        <v>0.12999999999999998</v>
      </c>
      <c r="C34" s="167" t="s">
        <v>183</v>
      </c>
      <c r="D34" s="153" t="s">
        <v>178</v>
      </c>
      <c r="E34" s="151">
        <v>258.51</v>
      </c>
      <c r="F34" s="152">
        <v>12</v>
      </c>
      <c r="G34" s="151">
        <f>F34*E34</f>
        <v>3102.12</v>
      </c>
      <c r="H34" s="151">
        <f>G34</f>
        <v>3102.12</v>
      </c>
      <c r="I34" s="70">
        <v>1278.76</v>
      </c>
    </row>
    <row r="35" spans="1:9" ht="17.25" x14ac:dyDescent="0.3">
      <c r="A35" s="144" t="s">
        <v>64</v>
      </c>
      <c r="B35" s="156"/>
      <c r="C35" s="175"/>
      <c r="D35" s="155"/>
      <c r="E35" s="146"/>
      <c r="F35" s="148"/>
      <c r="G35" s="178"/>
      <c r="H35" s="178"/>
      <c r="I35" s="196"/>
    </row>
    <row r="36" spans="1:9" ht="17.25" x14ac:dyDescent="0.3">
      <c r="A36" s="144"/>
      <c r="B36" s="163">
        <f>B34+0.01</f>
        <v>0.13999999999999999</v>
      </c>
      <c r="C36" s="167" t="s">
        <v>182</v>
      </c>
      <c r="D36" s="153" t="s">
        <v>178</v>
      </c>
      <c r="E36" s="151">
        <v>263.89</v>
      </c>
      <c r="F36" s="152">
        <v>12</v>
      </c>
      <c r="G36" s="151">
        <f>F36*E36</f>
        <v>3166.68</v>
      </c>
      <c r="H36" s="151">
        <f>G36</f>
        <v>3166.68</v>
      </c>
      <c r="I36" s="70">
        <v>1729.79</v>
      </c>
    </row>
    <row r="37" spans="1:9" ht="17.25" x14ac:dyDescent="0.3">
      <c r="A37" s="144" t="s">
        <v>63</v>
      </c>
      <c r="B37" s="156"/>
      <c r="C37" s="175"/>
      <c r="D37" s="155"/>
      <c r="E37" s="146"/>
      <c r="F37" s="148"/>
      <c r="G37" s="178"/>
      <c r="H37" s="178"/>
      <c r="I37" s="196"/>
    </row>
    <row r="38" spans="1:9" ht="17.25" x14ac:dyDescent="0.3">
      <c r="A38" s="144"/>
      <c r="B38" s="163">
        <f>B36+0.01</f>
        <v>0.15</v>
      </c>
      <c r="C38" s="167" t="s">
        <v>179</v>
      </c>
      <c r="D38" s="153" t="s">
        <v>178</v>
      </c>
      <c r="E38" s="151">
        <v>60</v>
      </c>
      <c r="F38" s="152">
        <v>12</v>
      </c>
      <c r="G38" s="151">
        <f>F38*E38</f>
        <v>720</v>
      </c>
      <c r="H38" s="151">
        <f>G38</f>
        <v>720</v>
      </c>
      <c r="I38" s="197">
        <v>5800.92</v>
      </c>
    </row>
    <row r="39" spans="1:9" ht="17.25" x14ac:dyDescent="0.3">
      <c r="A39" s="144" t="s">
        <v>62</v>
      </c>
      <c r="B39" s="156"/>
      <c r="C39" s="175"/>
      <c r="D39" s="155"/>
      <c r="E39" s="146"/>
      <c r="F39" s="148"/>
      <c r="G39" s="178"/>
      <c r="H39" s="178"/>
      <c r="I39" s="196"/>
    </row>
    <row r="40" spans="1:9" ht="17.25" x14ac:dyDescent="0.3">
      <c r="A40" s="144"/>
      <c r="B40" s="154">
        <v>0.16</v>
      </c>
      <c r="C40" s="167" t="s">
        <v>181</v>
      </c>
      <c r="D40" s="153" t="s">
        <v>178</v>
      </c>
      <c r="E40" s="151">
        <v>238.33</v>
      </c>
      <c r="F40" s="152">
        <v>12</v>
      </c>
      <c r="G40" s="151">
        <f>F40*E40</f>
        <v>2859.96</v>
      </c>
      <c r="H40" s="151">
        <f>G40</f>
        <v>2859.96</v>
      </c>
      <c r="I40" s="70">
        <v>0</v>
      </c>
    </row>
    <row r="41" spans="1:9" ht="17.25" x14ac:dyDescent="0.3">
      <c r="A41" s="144" t="s">
        <v>180</v>
      </c>
      <c r="B41" s="156"/>
      <c r="C41" s="175"/>
      <c r="D41" s="155"/>
      <c r="E41" s="146"/>
      <c r="F41" s="148"/>
      <c r="G41" s="178"/>
      <c r="H41" s="178"/>
      <c r="I41" s="196"/>
    </row>
    <row r="42" spans="1:9" ht="17.25" x14ac:dyDescent="0.3">
      <c r="A42" s="144"/>
      <c r="B42" s="154">
        <v>0.17</v>
      </c>
      <c r="C42" s="167" t="s">
        <v>179</v>
      </c>
      <c r="D42" s="153" t="s">
        <v>178</v>
      </c>
      <c r="E42" s="151">
        <v>150</v>
      </c>
      <c r="F42" s="152">
        <v>12</v>
      </c>
      <c r="G42" s="151">
        <f>F42*E42</f>
        <v>1800</v>
      </c>
      <c r="H42" s="151">
        <f>G42</f>
        <v>1800</v>
      </c>
      <c r="I42" s="70">
        <v>775</v>
      </c>
    </row>
    <row r="43" spans="1:9" ht="17.25" x14ac:dyDescent="0.3">
      <c r="A43" s="186"/>
      <c r="B43" s="162"/>
      <c r="C43" s="176"/>
      <c r="D43" s="161"/>
      <c r="E43" s="147"/>
      <c r="F43" s="160"/>
      <c r="G43" s="147"/>
      <c r="H43" s="147"/>
      <c r="I43" s="159"/>
    </row>
    <row r="44" spans="1:9" ht="17.25" x14ac:dyDescent="0.3">
      <c r="A44" s="144"/>
      <c r="B44" s="143" t="s">
        <v>60</v>
      </c>
      <c r="C44" s="142"/>
      <c r="D44" s="169"/>
      <c r="E44" s="140"/>
      <c r="F44" s="141"/>
      <c r="G44" s="140"/>
      <c r="H44" s="140">
        <f>SUM(H28:H42)</f>
        <v>79091.801999999996</v>
      </c>
      <c r="I44" s="139">
        <f>SUM(I28:I42)</f>
        <v>43313.7</v>
      </c>
    </row>
    <row r="45" spans="1:9" ht="17.25" x14ac:dyDescent="0.3">
      <c r="A45" s="144"/>
      <c r="B45" s="150"/>
      <c r="C45" s="150"/>
      <c r="D45" s="185"/>
      <c r="E45" s="134"/>
      <c r="F45" s="135"/>
      <c r="G45" s="134"/>
      <c r="H45" s="134"/>
      <c r="I45" s="133"/>
    </row>
    <row r="46" spans="1:9" ht="18.75" x14ac:dyDescent="0.35">
      <c r="A46" s="194"/>
      <c r="B46" s="193"/>
      <c r="C46" s="193" t="s">
        <v>59</v>
      </c>
      <c r="D46" s="195"/>
      <c r="E46" s="128"/>
      <c r="F46" s="129"/>
      <c r="G46" s="128"/>
      <c r="H46" s="128">
        <f>H44+H24</f>
        <v>347355.82400000002</v>
      </c>
      <c r="I46" s="127">
        <f>I44+I24</f>
        <v>218673.78000000003</v>
      </c>
    </row>
    <row r="47" spans="1:9" ht="18.75" x14ac:dyDescent="0.35">
      <c r="A47" s="194"/>
      <c r="B47" s="193"/>
      <c r="C47" s="193"/>
      <c r="D47" s="185"/>
      <c r="E47" s="134"/>
      <c r="F47" s="135"/>
      <c r="G47" s="134"/>
      <c r="H47" s="134"/>
      <c r="I47" s="133"/>
    </row>
    <row r="48" spans="1:9" ht="17.25" x14ac:dyDescent="0.3">
      <c r="A48" s="192" t="s">
        <v>58</v>
      </c>
      <c r="B48" s="191"/>
      <c r="C48" s="191"/>
      <c r="D48" s="190"/>
      <c r="E48" s="188"/>
      <c r="F48" s="189"/>
      <c r="G48" s="188"/>
      <c r="H48" s="188"/>
      <c r="I48" s="187"/>
    </row>
    <row r="49" spans="1:10" ht="17.25" x14ac:dyDescent="0.3">
      <c r="A49" s="144" t="s">
        <v>177</v>
      </c>
      <c r="B49" s="156"/>
      <c r="C49" s="149"/>
      <c r="D49" s="155"/>
      <c r="E49" s="146"/>
      <c r="F49" s="148"/>
      <c r="G49" s="146"/>
      <c r="H49" s="146"/>
      <c r="I49" s="145"/>
    </row>
    <row r="50" spans="1:10" ht="17.25" x14ac:dyDescent="0.3">
      <c r="A50" s="144" t="s">
        <v>56</v>
      </c>
      <c r="B50" s="150"/>
      <c r="C50" s="149"/>
      <c r="D50" s="155"/>
      <c r="E50" s="146"/>
      <c r="F50" s="148"/>
      <c r="G50" s="146"/>
      <c r="H50" s="146"/>
      <c r="I50" s="145"/>
    </row>
    <row r="51" spans="1:10" ht="17.25" x14ac:dyDescent="0.3">
      <c r="A51" s="144"/>
      <c r="B51" s="154">
        <v>0.18</v>
      </c>
      <c r="C51" s="167" t="s">
        <v>176</v>
      </c>
      <c r="D51" s="153" t="s">
        <v>175</v>
      </c>
      <c r="E51" s="151">
        <f>AVERAGE(221.43,295.31,304.38,421.32,655.78)</f>
        <v>379.64400000000001</v>
      </c>
      <c r="F51" s="152">
        <v>6</v>
      </c>
      <c r="G51" s="151">
        <f>F51*E51</f>
        <v>2277.864</v>
      </c>
      <c r="H51" s="151">
        <f>G51</f>
        <v>2277.864</v>
      </c>
      <c r="I51" s="70"/>
      <c r="J51" s="108" t="s">
        <v>92</v>
      </c>
    </row>
    <row r="52" spans="1:10" ht="17.25" x14ac:dyDescent="0.3">
      <c r="A52" s="144" t="s">
        <v>55</v>
      </c>
      <c r="B52" s="156"/>
      <c r="C52" s="175"/>
      <c r="D52" s="155"/>
      <c r="E52" s="146"/>
      <c r="F52" s="148"/>
      <c r="G52" s="147"/>
      <c r="H52" s="147"/>
      <c r="I52" s="159"/>
    </row>
    <row r="53" spans="1:10" ht="17.25" x14ac:dyDescent="0.3">
      <c r="A53" s="186"/>
      <c r="B53" s="154">
        <v>0.19</v>
      </c>
      <c r="C53" s="167" t="s">
        <v>174</v>
      </c>
      <c r="D53" s="153" t="s">
        <v>173</v>
      </c>
      <c r="E53" s="151">
        <f>35.19+372.84</f>
        <v>408.03</v>
      </c>
      <c r="F53" s="152">
        <v>12</v>
      </c>
      <c r="G53" s="151">
        <f>F53*E53</f>
        <v>4896.3599999999997</v>
      </c>
      <c r="H53" s="151">
        <f>G53</f>
        <v>4896.3599999999997</v>
      </c>
      <c r="I53" s="70">
        <v>3124.76</v>
      </c>
    </row>
    <row r="54" spans="1:10" ht="17.25" x14ac:dyDescent="0.3">
      <c r="A54" s="186"/>
      <c r="B54" s="173">
        <f>B53+0.01</f>
        <v>0.2</v>
      </c>
      <c r="C54" s="175" t="s">
        <v>172</v>
      </c>
      <c r="D54" s="155" t="s">
        <v>171</v>
      </c>
      <c r="E54" s="146">
        <v>50.96</v>
      </c>
      <c r="F54" s="148">
        <v>25</v>
      </c>
      <c r="G54" s="147">
        <f>F54*E54</f>
        <v>1274</v>
      </c>
      <c r="H54" s="147">
        <f>G54</f>
        <v>1274</v>
      </c>
      <c r="I54" s="159">
        <v>454.98</v>
      </c>
    </row>
    <row r="55" spans="1:10" ht="17.25" x14ac:dyDescent="0.3">
      <c r="A55" s="186"/>
      <c r="B55" s="154">
        <v>0.21</v>
      </c>
      <c r="C55" s="167" t="s">
        <v>170</v>
      </c>
      <c r="D55" s="153" t="s">
        <v>149</v>
      </c>
      <c r="E55" s="151"/>
      <c r="F55" s="152"/>
      <c r="G55" s="151"/>
      <c r="H55" s="151">
        <v>3325</v>
      </c>
      <c r="I55" s="70">
        <v>936.55</v>
      </c>
    </row>
    <row r="56" spans="1:10" ht="17.25" x14ac:dyDescent="0.3">
      <c r="A56" s="144" t="s">
        <v>54</v>
      </c>
      <c r="B56" s="149"/>
      <c r="C56" s="175"/>
      <c r="D56" s="155"/>
      <c r="E56" s="146"/>
      <c r="F56" s="148"/>
      <c r="G56" s="147"/>
      <c r="H56" s="147"/>
      <c r="I56" s="159"/>
    </row>
    <row r="57" spans="1:10" ht="17.25" x14ac:dyDescent="0.3">
      <c r="A57" s="144"/>
      <c r="B57" s="154">
        <v>0.22</v>
      </c>
      <c r="C57" s="167" t="s">
        <v>169</v>
      </c>
      <c r="D57" s="153" t="s">
        <v>168</v>
      </c>
      <c r="E57" s="151"/>
      <c r="F57" s="152"/>
      <c r="G57" s="151">
        <v>350</v>
      </c>
      <c r="H57" s="151">
        <f>G57*1</f>
        <v>350</v>
      </c>
      <c r="I57" s="70">
        <v>214.59</v>
      </c>
    </row>
    <row r="58" spans="1:10" ht="17.25" x14ac:dyDescent="0.3">
      <c r="A58" s="144" t="s">
        <v>53</v>
      </c>
      <c r="B58" s="156"/>
      <c r="C58" s="175"/>
      <c r="D58" s="155"/>
      <c r="E58" s="146"/>
      <c r="F58" s="148"/>
      <c r="G58" s="147"/>
      <c r="H58" s="147"/>
      <c r="I58" s="159"/>
    </row>
    <row r="59" spans="1:10" ht="17.25" x14ac:dyDescent="0.3">
      <c r="A59" s="144"/>
      <c r="B59" s="154">
        <v>0.23</v>
      </c>
      <c r="C59" s="167" t="s">
        <v>167</v>
      </c>
      <c r="D59" s="153" t="s">
        <v>166</v>
      </c>
      <c r="E59" s="151">
        <v>50</v>
      </c>
      <c r="F59" s="152">
        <v>14</v>
      </c>
      <c r="G59" s="151">
        <f>F59*E59</f>
        <v>700</v>
      </c>
      <c r="H59" s="151">
        <f>G59</f>
        <v>700</v>
      </c>
      <c r="I59" s="70">
        <v>1545.11</v>
      </c>
    </row>
    <row r="60" spans="1:10" ht="17.25" x14ac:dyDescent="0.3">
      <c r="A60" s="144" t="s">
        <v>52</v>
      </c>
      <c r="B60" s="156"/>
      <c r="C60" s="175"/>
      <c r="D60" s="155"/>
      <c r="E60" s="146"/>
      <c r="F60" s="148"/>
      <c r="G60" s="147"/>
      <c r="H60" s="147"/>
      <c r="I60" s="159"/>
    </row>
    <row r="61" spans="1:10" ht="17.25" x14ac:dyDescent="0.3">
      <c r="A61" s="144"/>
      <c r="B61" s="154">
        <v>0.24</v>
      </c>
      <c r="C61" s="167" t="s">
        <v>165</v>
      </c>
      <c r="D61" s="153" t="s">
        <v>163</v>
      </c>
      <c r="E61" s="151"/>
      <c r="F61" s="152"/>
      <c r="G61" s="151"/>
      <c r="H61" s="151">
        <f>14000</f>
        <v>14000</v>
      </c>
      <c r="I61" s="70">
        <v>0</v>
      </c>
      <c r="J61" s="108" t="s">
        <v>92</v>
      </c>
    </row>
    <row r="62" spans="1:10" ht="17.25" x14ac:dyDescent="0.3">
      <c r="A62" s="144" t="s">
        <v>51</v>
      </c>
      <c r="B62" s="162"/>
      <c r="C62" s="176"/>
      <c r="D62" s="161"/>
      <c r="E62" s="147"/>
      <c r="F62" s="160"/>
      <c r="G62" s="147"/>
      <c r="H62" s="147"/>
      <c r="I62" s="159"/>
    </row>
    <row r="63" spans="1:10" ht="17.25" x14ac:dyDescent="0.3">
      <c r="A63" s="144"/>
      <c r="B63" s="154">
        <v>0.25</v>
      </c>
      <c r="C63" s="167" t="s">
        <v>164</v>
      </c>
      <c r="D63" s="153" t="s">
        <v>163</v>
      </c>
      <c r="E63" s="151"/>
      <c r="F63" s="152"/>
      <c r="G63" s="151"/>
      <c r="H63" s="151">
        <v>10000</v>
      </c>
      <c r="I63" s="70">
        <v>9994.2999999999993</v>
      </c>
    </row>
    <row r="64" spans="1:10" ht="17.25" x14ac:dyDescent="0.3">
      <c r="A64" s="186"/>
      <c r="B64" s="162"/>
      <c r="C64" s="176"/>
      <c r="D64" s="161"/>
      <c r="E64" s="147"/>
      <c r="F64" s="160"/>
      <c r="G64" s="147"/>
      <c r="H64" s="147"/>
      <c r="I64" s="159"/>
    </row>
    <row r="65" spans="1:22" ht="17.25" x14ac:dyDescent="0.3">
      <c r="A65" s="144"/>
      <c r="B65" s="143" t="s">
        <v>162</v>
      </c>
      <c r="C65" s="142"/>
      <c r="D65" s="169"/>
      <c r="E65" s="140"/>
      <c r="F65" s="141"/>
      <c r="G65" s="140"/>
      <c r="H65" s="140">
        <f>SUM(H51:H63)</f>
        <v>36823.224000000002</v>
      </c>
      <c r="I65" s="139">
        <f>SUM(I51:I63)</f>
        <v>16270.289999999999</v>
      </c>
    </row>
    <row r="66" spans="1:22" ht="17.25" x14ac:dyDescent="0.3">
      <c r="A66" s="144"/>
      <c r="B66" s="150"/>
      <c r="C66" s="150"/>
      <c r="D66" s="185"/>
      <c r="E66" s="134"/>
      <c r="F66" s="135"/>
      <c r="G66" s="134"/>
      <c r="H66" s="134"/>
      <c r="I66" s="133"/>
    </row>
    <row r="67" spans="1:22" ht="17.25" x14ac:dyDescent="0.3">
      <c r="A67" s="144" t="s">
        <v>31</v>
      </c>
      <c r="B67" s="156"/>
      <c r="C67" s="149"/>
      <c r="D67" s="155"/>
      <c r="E67" s="146"/>
      <c r="F67" s="148"/>
      <c r="G67" s="146"/>
      <c r="H67" s="146"/>
      <c r="I67" s="145"/>
    </row>
    <row r="68" spans="1:22" ht="17.25" x14ac:dyDescent="0.3">
      <c r="A68" s="144" t="s">
        <v>30</v>
      </c>
      <c r="B68" s="156"/>
      <c r="C68" s="149"/>
      <c r="D68" s="155"/>
      <c r="E68" s="146"/>
      <c r="F68" s="148"/>
      <c r="G68" s="146"/>
      <c r="H68" s="146"/>
      <c r="I68" s="145"/>
      <c r="K68" s="178"/>
      <c r="L68" s="178"/>
      <c r="M68" s="178"/>
      <c r="N68" s="178"/>
      <c r="O68" s="178"/>
      <c r="P68" s="178"/>
      <c r="Q68" s="178"/>
      <c r="R68" s="178"/>
      <c r="S68" s="178"/>
      <c r="T68" s="178"/>
      <c r="U68" s="178"/>
      <c r="V68" s="178"/>
    </row>
    <row r="69" spans="1:22" ht="17.25" x14ac:dyDescent="0.3">
      <c r="A69" s="144"/>
      <c r="B69" s="154">
        <v>0.26</v>
      </c>
      <c r="C69" s="167" t="s">
        <v>160</v>
      </c>
      <c r="D69" s="153" t="s">
        <v>161</v>
      </c>
      <c r="E69" s="151">
        <v>55</v>
      </c>
      <c r="F69" s="152">
        <v>13</v>
      </c>
      <c r="G69" s="151">
        <f>F69*E69</f>
        <v>715</v>
      </c>
      <c r="H69" s="151">
        <f>G69</f>
        <v>715</v>
      </c>
      <c r="I69" s="70">
        <v>715</v>
      </c>
      <c r="Q69" s="178"/>
      <c r="R69" s="178"/>
      <c r="S69" s="178"/>
      <c r="T69" s="178"/>
      <c r="U69" s="178"/>
      <c r="V69" s="178"/>
    </row>
    <row r="70" spans="1:22" ht="17.25" x14ac:dyDescent="0.3">
      <c r="A70" s="144"/>
      <c r="B70" s="162">
        <v>0.27</v>
      </c>
      <c r="C70" s="184" t="s">
        <v>160</v>
      </c>
      <c r="D70" s="183" t="s">
        <v>159</v>
      </c>
      <c r="E70" s="181">
        <v>50</v>
      </c>
      <c r="F70" s="182">
        <v>8</v>
      </c>
      <c r="G70" s="181">
        <f>F70*E70</f>
        <v>400</v>
      </c>
      <c r="H70" s="181">
        <f>F70*E70</f>
        <v>400</v>
      </c>
      <c r="I70" s="145">
        <v>400</v>
      </c>
      <c r="Q70" s="180"/>
      <c r="R70" s="179"/>
      <c r="S70" s="179"/>
      <c r="T70" s="179"/>
      <c r="U70" s="179"/>
      <c r="V70" s="178"/>
    </row>
    <row r="71" spans="1:22" ht="17.25" x14ac:dyDescent="0.3">
      <c r="A71" s="144"/>
      <c r="B71" s="154">
        <v>0.28000000000000003</v>
      </c>
      <c r="C71" s="167" t="s">
        <v>158</v>
      </c>
      <c r="D71" s="165" t="s">
        <v>157</v>
      </c>
      <c r="E71" s="158">
        <v>80</v>
      </c>
      <c r="F71" s="164">
        <v>24</v>
      </c>
      <c r="G71" s="158">
        <f>E71*F71</f>
        <v>1920</v>
      </c>
      <c r="H71" s="158">
        <f>G71</f>
        <v>1920</v>
      </c>
      <c r="I71" s="70">
        <v>1920</v>
      </c>
      <c r="K71" s="178"/>
      <c r="L71" s="178"/>
      <c r="M71" s="178"/>
      <c r="N71" s="178"/>
      <c r="O71" s="178"/>
      <c r="P71" s="178"/>
      <c r="Q71" s="178"/>
      <c r="R71" s="178"/>
      <c r="S71" s="178"/>
      <c r="T71" s="178"/>
      <c r="U71" s="178"/>
      <c r="V71" s="178"/>
    </row>
    <row r="72" spans="1:22" ht="17.25" x14ac:dyDescent="0.3">
      <c r="A72" s="144"/>
      <c r="B72" s="162">
        <v>0.28999999999999998</v>
      </c>
      <c r="C72" s="175" t="s">
        <v>156</v>
      </c>
      <c r="D72" s="155" t="s">
        <v>152</v>
      </c>
      <c r="E72" s="146">
        <v>735</v>
      </c>
      <c r="F72" s="148">
        <v>16</v>
      </c>
      <c r="G72" s="147">
        <f>F72*E72</f>
        <v>11760</v>
      </c>
      <c r="H72" s="147">
        <f>G72</f>
        <v>11760</v>
      </c>
      <c r="I72" s="159">
        <v>0</v>
      </c>
      <c r="K72" s="178"/>
      <c r="L72" s="178"/>
      <c r="M72" s="178"/>
      <c r="N72" s="178"/>
      <c r="O72" s="178"/>
      <c r="P72" s="178"/>
      <c r="Q72" s="178"/>
      <c r="R72" s="178"/>
      <c r="S72" s="178"/>
      <c r="T72" s="178"/>
      <c r="U72" s="178"/>
      <c r="V72" s="178"/>
    </row>
    <row r="73" spans="1:22" ht="17.25" x14ac:dyDescent="0.3">
      <c r="A73" s="144"/>
      <c r="B73" s="163">
        <v>0.3</v>
      </c>
      <c r="C73" s="167" t="s">
        <v>155</v>
      </c>
      <c r="D73" s="165" t="s">
        <v>152</v>
      </c>
      <c r="E73" s="158">
        <v>735</v>
      </c>
      <c r="F73" s="164">
        <v>16</v>
      </c>
      <c r="G73" s="158">
        <f>F73*E73</f>
        <v>11760</v>
      </c>
      <c r="H73" s="158">
        <f>G73</f>
        <v>11760</v>
      </c>
      <c r="I73" s="70">
        <v>0</v>
      </c>
    </row>
    <row r="74" spans="1:22" ht="17.25" x14ac:dyDescent="0.3">
      <c r="A74" s="144"/>
      <c r="B74" s="177" t="s">
        <v>154</v>
      </c>
      <c r="C74" s="175" t="s">
        <v>153</v>
      </c>
      <c r="D74" s="155" t="s">
        <v>152</v>
      </c>
      <c r="E74" s="146">
        <v>735</v>
      </c>
      <c r="F74" s="148">
        <v>16</v>
      </c>
      <c r="G74" s="147">
        <f>F74*E74</f>
        <v>11760</v>
      </c>
      <c r="H74" s="147">
        <f>G74</f>
        <v>11760</v>
      </c>
      <c r="I74" s="159">
        <v>0</v>
      </c>
    </row>
    <row r="75" spans="1:22" ht="17.25" x14ac:dyDescent="0.3">
      <c r="A75" s="144" t="s">
        <v>29</v>
      </c>
      <c r="B75" s="149"/>
      <c r="C75" s="175"/>
      <c r="D75" s="155"/>
      <c r="E75" s="146"/>
      <c r="F75" s="148"/>
      <c r="G75" s="147"/>
      <c r="H75" s="146"/>
      <c r="I75" s="145"/>
    </row>
    <row r="76" spans="1:22" ht="17.25" x14ac:dyDescent="0.3">
      <c r="A76" s="144"/>
      <c r="B76" s="154">
        <v>0.32</v>
      </c>
      <c r="C76" s="167" t="s">
        <v>151</v>
      </c>
      <c r="D76" s="153" t="s">
        <v>149</v>
      </c>
      <c r="E76" s="151"/>
      <c r="F76" s="152"/>
      <c r="G76" s="151"/>
      <c r="H76" s="151">
        <f>712.3*1.2</f>
        <v>854.75999999999988</v>
      </c>
      <c r="I76" s="70">
        <v>109.19</v>
      </c>
    </row>
    <row r="77" spans="1:22" ht="17.25" x14ac:dyDescent="0.3">
      <c r="A77" s="144" t="s">
        <v>28</v>
      </c>
      <c r="B77" s="149"/>
      <c r="C77" s="175"/>
      <c r="D77" s="155"/>
      <c r="E77" s="146"/>
      <c r="F77" s="148"/>
      <c r="G77" s="147"/>
      <c r="H77" s="146"/>
      <c r="I77" s="145"/>
    </row>
    <row r="78" spans="1:22" ht="17.25" x14ac:dyDescent="0.3">
      <c r="A78" s="144"/>
      <c r="B78" s="154">
        <v>0.33</v>
      </c>
      <c r="C78" s="167" t="s">
        <v>150</v>
      </c>
      <c r="D78" s="153" t="s">
        <v>149</v>
      </c>
      <c r="E78" s="151"/>
      <c r="F78" s="152"/>
      <c r="G78" s="151"/>
      <c r="H78" s="151">
        <f>1284.13*1.2</f>
        <v>1540.9560000000001</v>
      </c>
      <c r="I78" s="70"/>
      <c r="J78" s="108" t="s">
        <v>92</v>
      </c>
    </row>
    <row r="79" spans="1:22" ht="17.25" x14ac:dyDescent="0.3">
      <c r="A79" s="144" t="s">
        <v>27</v>
      </c>
      <c r="B79" s="156"/>
      <c r="C79" s="156"/>
      <c r="D79" s="155"/>
      <c r="E79" s="146"/>
      <c r="F79" s="148"/>
      <c r="G79" s="147"/>
      <c r="H79" s="146"/>
      <c r="I79" s="145"/>
    </row>
    <row r="80" spans="1:22" ht="17.25" x14ac:dyDescent="0.3">
      <c r="A80" s="144"/>
      <c r="B80" s="154">
        <v>0.34</v>
      </c>
      <c r="C80" s="167" t="s">
        <v>148</v>
      </c>
      <c r="D80" s="153" t="s">
        <v>146</v>
      </c>
      <c r="E80" s="151">
        <v>6420.93</v>
      </c>
      <c r="F80" s="152">
        <v>1</v>
      </c>
      <c r="G80" s="151">
        <f>F80*E80</f>
        <v>6420.93</v>
      </c>
      <c r="H80" s="151">
        <f>G80</f>
        <v>6420.93</v>
      </c>
      <c r="I80" s="70">
        <f>'[1]Frozen Pivot'!B38</f>
        <v>0</v>
      </c>
      <c r="J80" s="108" t="s">
        <v>92</v>
      </c>
    </row>
    <row r="81" spans="1:10" ht="17.25" x14ac:dyDescent="0.3">
      <c r="A81" s="144"/>
      <c r="B81" s="162">
        <v>0.35</v>
      </c>
      <c r="C81" s="176" t="s">
        <v>147</v>
      </c>
      <c r="D81" s="161" t="s">
        <v>146</v>
      </c>
      <c r="E81" s="147">
        <v>6420.93</v>
      </c>
      <c r="F81" s="160">
        <v>1</v>
      </c>
      <c r="G81" s="147">
        <f>F81*E81</f>
        <v>6420.93</v>
      </c>
      <c r="H81" s="147">
        <f>G81</f>
        <v>6420.93</v>
      </c>
      <c r="I81" s="159">
        <f>'[1]Frozen Pivot'!B39</f>
        <v>0</v>
      </c>
      <c r="J81" s="108" t="s">
        <v>92</v>
      </c>
    </row>
    <row r="82" spans="1:10" ht="17.25" x14ac:dyDescent="0.3">
      <c r="A82" s="144"/>
      <c r="B82" s="154">
        <v>0.36</v>
      </c>
      <c r="C82" s="167" t="s">
        <v>46</v>
      </c>
      <c r="D82" s="153" t="s">
        <v>146</v>
      </c>
      <c r="E82" s="151">
        <v>6420.93</v>
      </c>
      <c r="F82" s="152">
        <v>1</v>
      </c>
      <c r="G82" s="151">
        <f>F82*E82</f>
        <v>6420.93</v>
      </c>
      <c r="H82" s="151">
        <f>G82</f>
        <v>6420.93</v>
      </c>
      <c r="I82" s="70">
        <v>0</v>
      </c>
      <c r="J82" s="108" t="s">
        <v>92</v>
      </c>
    </row>
    <row r="83" spans="1:10" ht="17.25" x14ac:dyDescent="0.3">
      <c r="A83" s="144"/>
      <c r="B83" s="162">
        <v>0.37</v>
      </c>
      <c r="C83" s="149" t="s">
        <v>145</v>
      </c>
      <c r="D83" s="155" t="s">
        <v>144</v>
      </c>
      <c r="E83" s="146">
        <v>735</v>
      </c>
      <c r="F83" s="148">
        <v>3</v>
      </c>
      <c r="G83" s="147">
        <f>F83*E83</f>
        <v>2205</v>
      </c>
      <c r="H83" s="146">
        <f>G83</f>
        <v>2205</v>
      </c>
      <c r="I83" s="145">
        <f>'[1]Frozen Pivot'!B41</f>
        <v>0</v>
      </c>
      <c r="J83" s="108" t="s">
        <v>92</v>
      </c>
    </row>
    <row r="84" spans="1:10" ht="17.25" x14ac:dyDescent="0.3">
      <c r="A84" s="144"/>
      <c r="B84" s="166"/>
      <c r="C84" s="166"/>
      <c r="D84" s="165"/>
      <c r="E84" s="158"/>
      <c r="F84" s="164"/>
      <c r="G84" s="158"/>
      <c r="H84" s="158"/>
      <c r="I84" s="157"/>
    </row>
    <row r="85" spans="1:10" ht="17.25" x14ac:dyDescent="0.3">
      <c r="A85" s="144"/>
      <c r="B85" s="143" t="s">
        <v>26</v>
      </c>
      <c r="C85" s="142"/>
      <c r="D85" s="169"/>
      <c r="E85" s="140"/>
      <c r="F85" s="141"/>
      <c r="G85" s="140"/>
      <c r="H85" s="140">
        <f>SUM(H69:H83)</f>
        <v>62178.506000000001</v>
      </c>
      <c r="I85" s="139">
        <f>SUM(I69:I83)</f>
        <v>3144.19</v>
      </c>
    </row>
    <row r="86" spans="1:10" ht="17.25" x14ac:dyDescent="0.3">
      <c r="A86" s="144"/>
      <c r="B86" s="149"/>
      <c r="C86" s="149"/>
      <c r="D86" s="155"/>
      <c r="E86" s="146"/>
      <c r="F86" s="148"/>
      <c r="G86" s="146"/>
      <c r="H86" s="146"/>
      <c r="I86" s="145"/>
    </row>
    <row r="87" spans="1:10" ht="17.25" x14ac:dyDescent="0.3">
      <c r="A87" s="144" t="s">
        <v>25</v>
      </c>
      <c r="B87" s="156"/>
      <c r="C87" s="156"/>
      <c r="D87" s="155"/>
      <c r="E87" s="146"/>
      <c r="F87" s="148"/>
      <c r="G87" s="146"/>
      <c r="H87" s="146"/>
      <c r="I87" s="145"/>
    </row>
    <row r="88" spans="1:10" ht="17.25" x14ac:dyDescent="0.3">
      <c r="A88" s="144" t="s">
        <v>24</v>
      </c>
      <c r="B88" s="156"/>
      <c r="C88" s="149"/>
      <c r="D88" s="155"/>
      <c r="E88" s="146"/>
      <c r="F88" s="148"/>
      <c r="G88" s="146"/>
      <c r="H88" s="146"/>
      <c r="I88" s="145"/>
    </row>
    <row r="89" spans="1:10" ht="17.25" x14ac:dyDescent="0.3">
      <c r="A89" s="144"/>
      <c r="B89" s="154">
        <v>0.38</v>
      </c>
      <c r="C89" s="167" t="s">
        <v>143</v>
      </c>
      <c r="D89" s="153" t="s">
        <v>142</v>
      </c>
      <c r="E89" s="151">
        <f>AVERAGE(2064.04,2288.27,1953.68,1779.92,1525.53,1665.38,1703.49,1827.05,1512.8,2148.42)</f>
        <v>1846.8579999999997</v>
      </c>
      <c r="F89" s="152">
        <v>12</v>
      </c>
      <c r="G89" s="151">
        <f>F89*E89</f>
        <v>22162.295999999995</v>
      </c>
      <c r="H89" s="151">
        <f>G89*1.13</f>
        <v>25043.394479999992</v>
      </c>
      <c r="I89" s="70">
        <v>13819.33</v>
      </c>
    </row>
    <row r="90" spans="1:10" ht="17.25" x14ac:dyDescent="0.3">
      <c r="A90" s="144"/>
      <c r="B90" s="162">
        <v>0.39</v>
      </c>
      <c r="C90" s="175" t="s">
        <v>141</v>
      </c>
      <c r="D90" s="155" t="s">
        <v>140</v>
      </c>
      <c r="E90" s="146"/>
      <c r="F90" s="148"/>
      <c r="G90" s="147"/>
      <c r="H90" s="146">
        <f>6780*1.2</f>
        <v>8136</v>
      </c>
      <c r="I90" s="159">
        <v>7910</v>
      </c>
    </row>
    <row r="91" spans="1:10" ht="17.25" x14ac:dyDescent="0.3">
      <c r="A91" s="144"/>
      <c r="B91" s="154"/>
      <c r="C91" s="167"/>
      <c r="D91" s="153"/>
      <c r="E91" s="151"/>
      <c r="F91" s="152"/>
      <c r="G91" s="151"/>
      <c r="H91" s="151"/>
      <c r="I91" s="70"/>
    </row>
    <row r="92" spans="1:10" ht="17.25" x14ac:dyDescent="0.3">
      <c r="A92" s="144" t="s">
        <v>139</v>
      </c>
      <c r="B92" s="156"/>
      <c r="C92" s="156"/>
      <c r="D92" s="155"/>
      <c r="E92" s="146"/>
      <c r="F92" s="148"/>
      <c r="G92" s="147"/>
      <c r="H92" s="146"/>
      <c r="I92" s="145"/>
    </row>
    <row r="93" spans="1:10" ht="17.25" x14ac:dyDescent="0.3">
      <c r="A93" s="144"/>
      <c r="B93" s="163">
        <v>0.4</v>
      </c>
      <c r="C93" s="154" t="s">
        <v>136</v>
      </c>
      <c r="D93" s="153" t="s">
        <v>138</v>
      </c>
      <c r="E93" s="151"/>
      <c r="F93" s="152"/>
      <c r="G93" s="151"/>
      <c r="H93" s="151">
        <v>54301.98</v>
      </c>
      <c r="I93" s="70">
        <f>H93</f>
        <v>54301.98</v>
      </c>
    </row>
    <row r="94" spans="1:10" ht="17.25" x14ac:dyDescent="0.3">
      <c r="A94" s="144"/>
      <c r="B94" s="162">
        <v>0.41</v>
      </c>
      <c r="C94" s="149" t="s">
        <v>136</v>
      </c>
      <c r="D94" s="155" t="s">
        <v>137</v>
      </c>
      <c r="E94" s="146"/>
      <c r="F94" s="148"/>
      <c r="G94" s="147"/>
      <c r="H94" s="146">
        <v>3708.83</v>
      </c>
      <c r="I94" s="145">
        <f>H94</f>
        <v>3708.83</v>
      </c>
    </row>
    <row r="95" spans="1:10" ht="17.25" x14ac:dyDescent="0.3">
      <c r="A95" s="144"/>
      <c r="B95" s="154">
        <v>0.42</v>
      </c>
      <c r="C95" s="154" t="s">
        <v>136</v>
      </c>
      <c r="D95" s="153" t="s">
        <v>135</v>
      </c>
      <c r="E95" s="158">
        <v>136.15</v>
      </c>
      <c r="F95" s="164">
        <v>12</v>
      </c>
      <c r="G95" s="158">
        <f>F95*E95</f>
        <v>1633.8000000000002</v>
      </c>
      <c r="H95" s="158">
        <f>G95*1.13</f>
        <v>1846.194</v>
      </c>
      <c r="I95" s="70">
        <f>H95</f>
        <v>1846.194</v>
      </c>
    </row>
    <row r="96" spans="1:10" ht="17.25" x14ac:dyDescent="0.3">
      <c r="A96" s="174" t="s">
        <v>21</v>
      </c>
      <c r="B96" s="149"/>
      <c r="C96" s="149"/>
      <c r="D96" s="155"/>
      <c r="E96" s="146"/>
      <c r="F96" s="148"/>
      <c r="G96" s="147"/>
      <c r="H96" s="146"/>
      <c r="I96" s="145"/>
    </row>
    <row r="97" spans="1:9" ht="17.25" x14ac:dyDescent="0.3">
      <c r="A97" s="144"/>
      <c r="B97" s="149">
        <v>0.43</v>
      </c>
      <c r="C97" s="149" t="s">
        <v>134</v>
      </c>
      <c r="D97" s="155" t="s">
        <v>133</v>
      </c>
      <c r="E97" s="146">
        <v>144</v>
      </c>
      <c r="F97" s="148">
        <v>12</v>
      </c>
      <c r="G97" s="147">
        <f>F97*E97</f>
        <v>1728</v>
      </c>
      <c r="H97" s="147">
        <f>G97*1.13</f>
        <v>1952.6399999999999</v>
      </c>
      <c r="I97" s="159">
        <f>H97/2</f>
        <v>976.31999999999994</v>
      </c>
    </row>
    <row r="98" spans="1:9" ht="17.25" x14ac:dyDescent="0.3">
      <c r="A98" s="170"/>
      <c r="B98" s="154">
        <v>0.44</v>
      </c>
      <c r="C98" s="154" t="s">
        <v>132</v>
      </c>
      <c r="D98" s="153" t="s">
        <v>131</v>
      </c>
      <c r="E98" s="151">
        <v>21316.11</v>
      </c>
      <c r="F98" s="152"/>
      <c r="G98" s="151"/>
      <c r="H98" s="151">
        <v>20280</v>
      </c>
      <c r="I98" s="70">
        <f>'[1]Frozen Pivot'!B48</f>
        <v>0</v>
      </c>
    </row>
    <row r="99" spans="1:9" ht="17.25" x14ac:dyDescent="0.3">
      <c r="A99" s="144" t="s">
        <v>20</v>
      </c>
      <c r="B99" s="156"/>
      <c r="C99" s="156"/>
      <c r="D99" s="155"/>
      <c r="E99" s="146"/>
      <c r="F99" s="148"/>
      <c r="G99" s="147"/>
      <c r="H99" s="146"/>
      <c r="I99" s="145"/>
    </row>
    <row r="100" spans="1:9" ht="17.25" x14ac:dyDescent="0.3">
      <c r="A100" s="170"/>
      <c r="B100" s="154">
        <v>0.45</v>
      </c>
      <c r="C100" s="154" t="s">
        <v>129</v>
      </c>
      <c r="D100" s="153" t="s">
        <v>130</v>
      </c>
      <c r="E100" s="151">
        <v>24.896999999999998</v>
      </c>
      <c r="F100" s="152">
        <v>12</v>
      </c>
      <c r="G100" s="151">
        <f>F100*E100</f>
        <v>298.76400000000001</v>
      </c>
      <c r="H100" s="151">
        <f>G100</f>
        <v>298.76400000000001</v>
      </c>
      <c r="I100" s="70">
        <v>573.81482045633754</v>
      </c>
    </row>
    <row r="101" spans="1:9" ht="17.25" x14ac:dyDescent="0.3">
      <c r="A101" s="170"/>
      <c r="B101" s="149">
        <v>0.46</v>
      </c>
      <c r="C101" s="149" t="s">
        <v>129</v>
      </c>
      <c r="D101" s="155" t="s">
        <v>128</v>
      </c>
      <c r="E101" s="146">
        <v>30</v>
      </c>
      <c r="F101" s="148">
        <v>12</v>
      </c>
      <c r="G101" s="147">
        <f>F101*E101</f>
        <v>360</v>
      </c>
      <c r="H101" s="147">
        <f>G101</f>
        <v>360</v>
      </c>
      <c r="I101" s="159">
        <v>691.42646156927049</v>
      </c>
    </row>
    <row r="102" spans="1:9" ht="18.95" customHeight="1" x14ac:dyDescent="0.3">
      <c r="A102" s="170"/>
      <c r="B102" s="154">
        <v>0.47</v>
      </c>
      <c r="C102" s="154" t="s">
        <v>127</v>
      </c>
      <c r="D102" s="153" t="s">
        <v>126</v>
      </c>
      <c r="E102" s="151">
        <v>25</v>
      </c>
      <c r="F102" s="152">
        <v>12</v>
      </c>
      <c r="G102" s="151">
        <f>F102*E102</f>
        <v>300</v>
      </c>
      <c r="H102" s="151">
        <f>G102</f>
        <v>300</v>
      </c>
      <c r="I102" s="70">
        <v>576.18871797439203</v>
      </c>
    </row>
    <row r="103" spans="1:9" ht="17.25" x14ac:dyDescent="0.3">
      <c r="A103" s="144" t="s">
        <v>125</v>
      </c>
      <c r="B103" s="149"/>
      <c r="C103" s="149"/>
      <c r="D103" s="155"/>
      <c r="E103" s="146"/>
      <c r="F103" s="148"/>
      <c r="G103" s="147"/>
      <c r="H103" s="146"/>
      <c r="I103" s="145"/>
    </row>
    <row r="104" spans="1:9" ht="17.25" x14ac:dyDescent="0.3">
      <c r="A104" s="170"/>
      <c r="B104" s="154">
        <v>0.48</v>
      </c>
      <c r="C104" s="154" t="s">
        <v>124</v>
      </c>
      <c r="D104" s="153" t="s">
        <v>123</v>
      </c>
      <c r="E104" s="151">
        <v>4000</v>
      </c>
      <c r="F104" s="152">
        <v>1</v>
      </c>
      <c r="G104" s="151">
        <f>E104</f>
        <v>4000</v>
      </c>
      <c r="H104" s="151">
        <f>G104</f>
        <v>4000</v>
      </c>
      <c r="I104" s="70">
        <v>4520</v>
      </c>
    </row>
    <row r="105" spans="1:9" ht="17.25" x14ac:dyDescent="0.3">
      <c r="A105" s="170"/>
      <c r="B105" s="149">
        <v>0.49</v>
      </c>
      <c r="C105" s="149" t="s">
        <v>122</v>
      </c>
      <c r="D105" s="155" t="s">
        <v>121</v>
      </c>
      <c r="E105" s="146">
        <v>1453.68</v>
      </c>
      <c r="F105" s="148">
        <v>1</v>
      </c>
      <c r="G105" s="147">
        <f>F105*E105</f>
        <v>1453.68</v>
      </c>
      <c r="H105" s="146">
        <f>G105</f>
        <v>1453.68</v>
      </c>
      <c r="I105" s="145">
        <v>792.81</v>
      </c>
    </row>
    <row r="106" spans="1:9" ht="17.25" x14ac:dyDescent="0.3">
      <c r="A106" s="170"/>
      <c r="B106" s="154"/>
      <c r="C106" s="154"/>
      <c r="D106" s="153"/>
      <c r="E106" s="151"/>
      <c r="F106" s="152"/>
      <c r="G106" s="151"/>
      <c r="H106" s="151"/>
      <c r="I106" s="70"/>
    </row>
    <row r="107" spans="1:9" ht="17.25" x14ac:dyDescent="0.3">
      <c r="A107" s="144" t="s">
        <v>18</v>
      </c>
      <c r="B107" s="149"/>
      <c r="C107" s="149"/>
      <c r="D107" s="155"/>
      <c r="E107" s="146"/>
      <c r="F107" s="148"/>
      <c r="G107" s="147"/>
      <c r="H107" s="146"/>
      <c r="I107" s="145"/>
    </row>
    <row r="108" spans="1:9" ht="17.25" x14ac:dyDescent="0.3">
      <c r="A108" s="144"/>
      <c r="B108" s="173">
        <v>0.5</v>
      </c>
      <c r="C108" s="149" t="s">
        <v>120</v>
      </c>
      <c r="D108" s="155" t="s">
        <v>119</v>
      </c>
      <c r="E108" s="146">
        <v>80</v>
      </c>
      <c r="F108" s="148">
        <v>12</v>
      </c>
      <c r="G108" s="147">
        <f>F108*E108</f>
        <v>960</v>
      </c>
      <c r="H108" s="147">
        <f>G108</f>
        <v>960</v>
      </c>
      <c r="I108" s="159">
        <v>1570.3816216216219</v>
      </c>
    </row>
    <row r="109" spans="1:9" ht="17.25" x14ac:dyDescent="0.3">
      <c r="A109" s="170"/>
      <c r="B109" s="154">
        <v>0.51</v>
      </c>
      <c r="C109" s="154" t="s">
        <v>117</v>
      </c>
      <c r="D109" s="153" t="s">
        <v>118</v>
      </c>
      <c r="E109" s="172"/>
      <c r="F109" s="154"/>
      <c r="G109" s="151"/>
      <c r="H109" s="158">
        <v>1800</v>
      </c>
      <c r="I109" s="157">
        <v>2944.4655405405406</v>
      </c>
    </row>
    <row r="110" spans="1:9" ht="17.25" x14ac:dyDescent="0.3">
      <c r="A110" s="144"/>
      <c r="B110" s="162">
        <v>0.52</v>
      </c>
      <c r="C110" s="149" t="s">
        <v>117</v>
      </c>
      <c r="D110" s="155" t="s">
        <v>116</v>
      </c>
      <c r="E110" s="171"/>
      <c r="F110" s="148"/>
      <c r="G110" s="147"/>
      <c r="H110" s="147">
        <v>200</v>
      </c>
      <c r="I110" s="159">
        <v>327.16283783783786</v>
      </c>
    </row>
    <row r="111" spans="1:9" ht="17.25" x14ac:dyDescent="0.3">
      <c r="A111" s="170"/>
      <c r="B111" s="154">
        <v>0.53</v>
      </c>
      <c r="C111" s="154" t="s">
        <v>115</v>
      </c>
      <c r="D111" s="153" t="s">
        <v>114</v>
      </c>
      <c r="E111" s="151">
        <v>40</v>
      </c>
      <c r="F111" s="152">
        <v>4</v>
      </c>
      <c r="G111" s="151">
        <f>F111*E111</f>
        <v>160</v>
      </c>
      <c r="H111" s="158">
        <f>G111</f>
        <v>160</v>
      </c>
      <c r="I111" s="157">
        <v>142.63999999999999</v>
      </c>
    </row>
    <row r="112" spans="1:9" ht="17.25" x14ac:dyDescent="0.3">
      <c r="A112" s="144"/>
      <c r="B112" s="149"/>
      <c r="C112" s="149"/>
      <c r="D112" s="155"/>
      <c r="E112" s="146"/>
      <c r="F112" s="148"/>
      <c r="G112" s="147"/>
      <c r="H112" s="146"/>
      <c r="I112" s="145"/>
    </row>
    <row r="113" spans="1:9" ht="17.25" x14ac:dyDescent="0.3">
      <c r="A113" s="144"/>
      <c r="B113" s="143" t="s">
        <v>17</v>
      </c>
      <c r="C113" s="142"/>
      <c r="D113" s="169"/>
      <c r="E113" s="140"/>
      <c r="F113" s="141"/>
      <c r="G113" s="168"/>
      <c r="H113" s="140">
        <f>SUM(H89:H112)</f>
        <v>124801.48247999999</v>
      </c>
      <c r="I113" s="139">
        <f>SUM(I89:I112)</f>
        <v>94701.543999999994</v>
      </c>
    </row>
    <row r="114" spans="1:9" ht="17.25" x14ac:dyDescent="0.3">
      <c r="A114" s="144"/>
      <c r="B114" s="149"/>
      <c r="C114" s="149"/>
      <c r="D114" s="155"/>
      <c r="E114" s="146"/>
      <c r="F114" s="148"/>
      <c r="G114" s="147"/>
      <c r="H114" s="146"/>
      <c r="I114" s="145"/>
    </row>
    <row r="115" spans="1:9" ht="17.25" x14ac:dyDescent="0.3">
      <c r="A115" s="144" t="s">
        <v>16</v>
      </c>
      <c r="B115" s="156"/>
      <c r="C115" s="149"/>
      <c r="D115" s="155"/>
      <c r="E115" s="146"/>
      <c r="F115" s="148"/>
      <c r="G115" s="147"/>
      <c r="H115" s="146"/>
      <c r="I115" s="145"/>
    </row>
    <row r="116" spans="1:9" ht="17.25" x14ac:dyDescent="0.3">
      <c r="A116" s="144" t="s">
        <v>15</v>
      </c>
      <c r="B116" s="150"/>
      <c r="C116" s="149"/>
      <c r="D116" s="155"/>
      <c r="E116" s="146"/>
      <c r="F116" s="148"/>
      <c r="G116" s="147"/>
      <c r="H116" s="146"/>
      <c r="I116" s="145"/>
    </row>
    <row r="117" spans="1:9" ht="17.25" x14ac:dyDescent="0.3">
      <c r="A117" s="144"/>
      <c r="B117" s="154">
        <f>B111+0.01</f>
        <v>0.54</v>
      </c>
      <c r="C117" s="167" t="s">
        <v>113</v>
      </c>
      <c r="D117" s="153" t="s">
        <v>112</v>
      </c>
      <c r="E117" s="151">
        <v>2000</v>
      </c>
      <c r="F117" s="152"/>
      <c r="G117" s="151"/>
      <c r="H117" s="151">
        <f>E117</f>
        <v>2000</v>
      </c>
      <c r="I117" s="70">
        <v>922.03</v>
      </c>
    </row>
    <row r="118" spans="1:9" ht="17.25" x14ac:dyDescent="0.3">
      <c r="A118" s="144" t="s">
        <v>14</v>
      </c>
      <c r="B118" s="149"/>
      <c r="C118" s="149"/>
      <c r="D118" s="155"/>
      <c r="E118" s="146"/>
      <c r="F118" s="148"/>
      <c r="G118" s="147"/>
      <c r="H118" s="146"/>
      <c r="I118" s="145"/>
    </row>
    <row r="119" spans="1:9" ht="17.25" x14ac:dyDescent="0.3">
      <c r="A119" s="144"/>
      <c r="B119" s="154">
        <f>B117+0.01</f>
        <v>0.55000000000000004</v>
      </c>
      <c r="C119" s="154" t="s">
        <v>111</v>
      </c>
      <c r="D119" s="153" t="s">
        <v>110</v>
      </c>
      <c r="E119" s="151">
        <v>70</v>
      </c>
      <c r="F119" s="152">
        <v>12</v>
      </c>
      <c r="G119" s="151">
        <f>F119*E119</f>
        <v>840</v>
      </c>
      <c r="H119" s="151">
        <f>G119*1.13</f>
        <v>949.19999999999993</v>
      </c>
      <c r="I119" s="70">
        <v>636.75</v>
      </c>
    </row>
    <row r="120" spans="1:9" ht="17.25" x14ac:dyDescent="0.3">
      <c r="A120" s="144" t="s">
        <v>13</v>
      </c>
      <c r="B120" s="156"/>
      <c r="C120" s="149"/>
      <c r="D120" s="155"/>
      <c r="E120" s="146"/>
      <c r="F120" s="148"/>
      <c r="G120" s="147"/>
      <c r="H120" s="146"/>
      <c r="I120" s="145"/>
    </row>
    <row r="121" spans="1:9" ht="17.25" x14ac:dyDescent="0.3">
      <c r="A121" s="144"/>
      <c r="B121" s="154">
        <f>B119+0.01</f>
        <v>0.56000000000000005</v>
      </c>
      <c r="C121" s="154" t="s">
        <v>109</v>
      </c>
      <c r="D121" s="153" t="s">
        <v>108</v>
      </c>
      <c r="E121" s="151"/>
      <c r="F121" s="152"/>
      <c r="G121" s="151"/>
      <c r="H121" s="151">
        <v>500</v>
      </c>
      <c r="I121" s="70">
        <v>273.32</v>
      </c>
    </row>
    <row r="122" spans="1:9" ht="17.25" x14ac:dyDescent="0.3">
      <c r="A122" s="144" t="s">
        <v>12</v>
      </c>
      <c r="B122" s="156"/>
      <c r="C122" s="149"/>
      <c r="D122" s="155"/>
      <c r="E122" s="146"/>
      <c r="F122" s="148"/>
      <c r="G122" s="147"/>
      <c r="H122" s="146"/>
      <c r="I122" s="145"/>
    </row>
    <row r="123" spans="1:9" ht="17.25" x14ac:dyDescent="0.3">
      <c r="A123" s="144"/>
      <c r="B123" s="154">
        <f>B121+0.01</f>
        <v>0.57000000000000006</v>
      </c>
      <c r="C123" s="154" t="s">
        <v>107</v>
      </c>
      <c r="D123" s="153" t="s">
        <v>106</v>
      </c>
      <c r="E123" s="151">
        <v>100</v>
      </c>
      <c r="F123" s="152">
        <v>12</v>
      </c>
      <c r="G123" s="151">
        <f>E123*F123</f>
        <v>1200</v>
      </c>
      <c r="H123" s="151">
        <f>G123*1.13</f>
        <v>1355.9999999999998</v>
      </c>
      <c r="I123" s="70">
        <v>1640.27</v>
      </c>
    </row>
    <row r="124" spans="1:9" ht="17.25" x14ac:dyDescent="0.3">
      <c r="A124" s="144" t="s">
        <v>11</v>
      </c>
      <c r="B124" s="156"/>
      <c r="C124" s="149"/>
      <c r="D124" s="155"/>
      <c r="E124" s="146"/>
      <c r="F124" s="148"/>
      <c r="G124" s="147"/>
      <c r="H124" s="146"/>
      <c r="I124" s="145"/>
    </row>
    <row r="125" spans="1:9" ht="17.25" x14ac:dyDescent="0.3">
      <c r="A125" s="144"/>
      <c r="B125" s="166">
        <f>B123+0.01</f>
        <v>0.58000000000000007</v>
      </c>
      <c r="C125" s="166" t="s">
        <v>105</v>
      </c>
      <c r="D125" s="165" t="s">
        <v>104</v>
      </c>
      <c r="E125" s="158"/>
      <c r="F125" s="164"/>
      <c r="G125" s="158"/>
      <c r="H125" s="158">
        <v>1500</v>
      </c>
      <c r="I125" s="157">
        <v>792.81</v>
      </c>
    </row>
    <row r="126" spans="1:9" ht="17.25" x14ac:dyDescent="0.3">
      <c r="A126" s="144" t="s">
        <v>10</v>
      </c>
      <c r="B126" s="150"/>
      <c r="C126" s="149"/>
      <c r="D126" s="155"/>
      <c r="E126" s="146"/>
      <c r="F126" s="148"/>
      <c r="G126" s="147"/>
      <c r="H126" s="146"/>
      <c r="I126" s="145"/>
    </row>
    <row r="127" spans="1:9" ht="17.25" x14ac:dyDescent="0.3">
      <c r="A127" s="144"/>
      <c r="B127" s="154">
        <f>B125+0.01</f>
        <v>0.59000000000000008</v>
      </c>
      <c r="C127" s="154" t="s">
        <v>103</v>
      </c>
      <c r="D127" s="153" t="s">
        <v>102</v>
      </c>
      <c r="E127" s="151"/>
      <c r="F127" s="152"/>
      <c r="G127" s="151"/>
      <c r="H127" s="151">
        <v>1000</v>
      </c>
      <c r="I127" s="70">
        <v>5136.2299999999996</v>
      </c>
    </row>
    <row r="128" spans="1:9" ht="17.25" x14ac:dyDescent="0.3">
      <c r="A128" s="144" t="s">
        <v>9</v>
      </c>
      <c r="B128" s="156"/>
      <c r="C128" s="149"/>
      <c r="D128" s="155"/>
      <c r="E128" s="146"/>
      <c r="F128" s="148"/>
      <c r="G128" s="147"/>
      <c r="H128" s="146"/>
      <c r="I128" s="145"/>
    </row>
    <row r="129" spans="1:10" ht="17.25" x14ac:dyDescent="0.3">
      <c r="A129" s="144"/>
      <c r="B129" s="163">
        <f>B127+0.01</f>
        <v>0.60000000000000009</v>
      </c>
      <c r="C129" s="154" t="s">
        <v>101</v>
      </c>
      <c r="D129" s="153" t="s">
        <v>100</v>
      </c>
      <c r="E129" s="151"/>
      <c r="F129" s="152"/>
      <c r="G129" s="151"/>
      <c r="H129" s="151">
        <v>750</v>
      </c>
      <c r="I129" s="70">
        <v>2476.54</v>
      </c>
    </row>
    <row r="130" spans="1:10" ht="17.25" x14ac:dyDescent="0.3">
      <c r="A130" s="144" t="s">
        <v>99</v>
      </c>
      <c r="B130" s="156"/>
      <c r="C130" s="149"/>
      <c r="D130" s="155"/>
      <c r="E130" s="146"/>
      <c r="F130" s="148"/>
      <c r="G130" s="147"/>
      <c r="H130" s="146"/>
      <c r="I130" s="145"/>
    </row>
    <row r="131" spans="1:10" ht="17.25" x14ac:dyDescent="0.3">
      <c r="A131" s="144"/>
      <c r="B131" s="154">
        <f>B129+0.01</f>
        <v>0.6100000000000001</v>
      </c>
      <c r="C131" s="154" t="s">
        <v>98</v>
      </c>
      <c r="D131" s="153" t="s">
        <v>97</v>
      </c>
      <c r="E131" s="151"/>
      <c r="F131" s="152"/>
      <c r="G131" s="151"/>
      <c r="H131" s="158">
        <v>1000</v>
      </c>
      <c r="I131" s="157">
        <f>'[1]Frozen Pivot'!B65</f>
        <v>0</v>
      </c>
      <c r="J131" s="108" t="s">
        <v>92</v>
      </c>
    </row>
    <row r="132" spans="1:10" ht="17.25" x14ac:dyDescent="0.3">
      <c r="A132" s="144"/>
      <c r="B132" s="162">
        <f>B131+0.01</f>
        <v>0.62000000000000011</v>
      </c>
      <c r="C132" s="162" t="s">
        <v>96</v>
      </c>
      <c r="D132" s="161" t="s">
        <v>95</v>
      </c>
      <c r="E132" s="147">
        <v>70</v>
      </c>
      <c r="F132" s="160">
        <v>5</v>
      </c>
      <c r="G132" s="147">
        <f>F132*E132</f>
        <v>350</v>
      </c>
      <c r="H132" s="147">
        <f>G132</f>
        <v>350</v>
      </c>
      <c r="I132" s="159">
        <f>'[1]Frozen Pivot'!B66</f>
        <v>0</v>
      </c>
      <c r="J132" s="108" t="s">
        <v>92</v>
      </c>
    </row>
    <row r="133" spans="1:10" ht="17.25" x14ac:dyDescent="0.3">
      <c r="A133" s="144"/>
      <c r="B133" s="154">
        <f>B132+0.01</f>
        <v>0.63000000000000012</v>
      </c>
      <c r="C133" s="154" t="s">
        <v>94</v>
      </c>
      <c r="D133" s="153" t="s">
        <v>93</v>
      </c>
      <c r="E133" s="151">
        <v>70</v>
      </c>
      <c r="F133" s="152">
        <v>10</v>
      </c>
      <c r="G133" s="158">
        <f>F133*E133</f>
        <v>700</v>
      </c>
      <c r="H133" s="158">
        <v>700</v>
      </c>
      <c r="I133" s="157">
        <f>'[1]Frozen Pivot'!B67</f>
        <v>0</v>
      </c>
      <c r="J133" s="108" t="s">
        <v>92</v>
      </c>
    </row>
    <row r="134" spans="1:10" ht="17.25" x14ac:dyDescent="0.3">
      <c r="A134" s="144" t="s">
        <v>91</v>
      </c>
      <c r="B134" s="156"/>
      <c r="C134" s="149"/>
      <c r="D134" s="155"/>
      <c r="E134" s="146"/>
      <c r="F134" s="148"/>
      <c r="G134" s="147"/>
      <c r="H134" s="146"/>
      <c r="I134" s="145"/>
    </row>
    <row r="135" spans="1:10" ht="17.25" x14ac:dyDescent="0.3">
      <c r="A135" s="144"/>
      <c r="B135" s="154">
        <f>B133+0.01</f>
        <v>0.64000000000000012</v>
      </c>
      <c r="C135" s="154" t="s">
        <v>90</v>
      </c>
      <c r="D135" s="153" t="s">
        <v>89</v>
      </c>
      <c r="E135" s="151"/>
      <c r="F135" s="152"/>
      <c r="G135" s="151"/>
      <c r="H135" s="151">
        <v>15000</v>
      </c>
      <c r="I135" s="70">
        <v>1416.08</v>
      </c>
    </row>
    <row r="136" spans="1:10" ht="17.25" x14ac:dyDescent="0.3">
      <c r="A136" s="144"/>
      <c r="B136" s="150"/>
      <c r="C136" s="149"/>
      <c r="D136" s="146"/>
      <c r="E136" s="146"/>
      <c r="F136" s="148"/>
      <c r="G136" s="147"/>
      <c r="H136" s="146"/>
      <c r="I136" s="145"/>
    </row>
    <row r="137" spans="1:10" ht="17.25" x14ac:dyDescent="0.3">
      <c r="A137" s="144"/>
      <c r="B137" s="143" t="s">
        <v>5</v>
      </c>
      <c r="C137" s="142"/>
      <c r="D137" s="140"/>
      <c r="E137" s="140"/>
      <c r="F137" s="141"/>
      <c r="G137" s="140"/>
      <c r="H137" s="140">
        <f>SUM(H117:H136)</f>
        <v>25105.200000000001</v>
      </c>
      <c r="I137" s="139">
        <f>SUM(I117:I136)</f>
        <v>13294.03</v>
      </c>
    </row>
    <row r="138" spans="1:10" ht="17.25" x14ac:dyDescent="0.3">
      <c r="A138" s="138"/>
      <c r="B138" s="137"/>
      <c r="C138" s="136"/>
      <c r="D138" s="134"/>
      <c r="E138" s="134"/>
      <c r="F138" s="135"/>
      <c r="G138" s="134"/>
      <c r="H138" s="134"/>
      <c r="I138" s="133"/>
    </row>
    <row r="139" spans="1:10" ht="18.75" x14ac:dyDescent="0.35">
      <c r="A139" s="132"/>
      <c r="B139" s="131"/>
      <c r="C139" s="130" t="s">
        <v>4</v>
      </c>
      <c r="D139" s="128"/>
      <c r="E139" s="128"/>
      <c r="F139" s="129"/>
      <c r="G139" s="128"/>
      <c r="H139" s="128">
        <f>SUM(H65+H85+H113+H137)</f>
        <v>248908.41248</v>
      </c>
      <c r="I139" s="127">
        <f>SUM(I65+I85+I113+I137)</f>
        <v>127410.05399999999</v>
      </c>
    </row>
    <row r="140" spans="1:10" ht="18.75" x14ac:dyDescent="0.35">
      <c r="A140" s="132"/>
      <c r="B140" s="131"/>
      <c r="C140" s="130"/>
      <c r="D140" s="128"/>
      <c r="E140" s="128"/>
      <c r="F140" s="129"/>
      <c r="G140" s="128"/>
      <c r="H140" s="128"/>
      <c r="I140" s="127"/>
    </row>
    <row r="141" spans="1:10" ht="20.25" x14ac:dyDescent="0.35">
      <c r="A141" s="126" t="s">
        <v>3</v>
      </c>
      <c r="B141" s="125"/>
      <c r="C141" s="125"/>
      <c r="D141" s="123"/>
      <c r="E141" s="123"/>
      <c r="F141" s="124"/>
      <c r="G141" s="123"/>
      <c r="H141" s="122"/>
      <c r="I141" s="121"/>
    </row>
    <row r="142" spans="1:10" ht="20.25" x14ac:dyDescent="0.35">
      <c r="A142" s="116"/>
      <c r="B142" s="120" t="s">
        <v>2</v>
      </c>
      <c r="C142" s="120"/>
      <c r="D142" s="119"/>
      <c r="E142" s="119"/>
      <c r="F142" s="119"/>
      <c r="G142" s="119"/>
      <c r="H142" s="118">
        <f>H46</f>
        <v>347355.82400000002</v>
      </c>
      <c r="I142" s="117">
        <f>I46</f>
        <v>218673.78000000003</v>
      </c>
    </row>
    <row r="143" spans="1:10" ht="20.25" x14ac:dyDescent="0.35">
      <c r="A143" s="116"/>
      <c r="B143" s="115" t="s">
        <v>1</v>
      </c>
      <c r="C143" s="115"/>
      <c r="D143" s="114"/>
      <c r="E143" s="114"/>
      <c r="F143" s="114"/>
      <c r="G143" s="114"/>
      <c r="H143" s="114">
        <f>H139</f>
        <v>248908.41248</v>
      </c>
      <c r="I143" s="113">
        <f>I139</f>
        <v>127410.05399999999</v>
      </c>
    </row>
    <row r="144" spans="1:10" ht="20.25" x14ac:dyDescent="0.35">
      <c r="A144" s="112"/>
      <c r="B144" s="111" t="s">
        <v>0</v>
      </c>
      <c r="C144" s="111"/>
      <c r="D144" s="110"/>
      <c r="E144" s="110"/>
      <c r="F144" s="110"/>
      <c r="G144" s="110"/>
      <c r="H144" s="110">
        <f>H142-H143</f>
        <v>98447.411520000023</v>
      </c>
      <c r="I144" s="109">
        <f>I142-I143</f>
        <v>91263.726000000039</v>
      </c>
    </row>
  </sheetData>
  <mergeCells count="4">
    <mergeCell ref="A4:C4"/>
    <mergeCell ref="A48:C48"/>
    <mergeCell ref="A141:C141"/>
    <mergeCell ref="A1:I1"/>
  </mergeCells>
  <pageMargins left="0.75" right="0.75" top="1" bottom="1" header="0.5" footer="0.5"/>
  <pageSetup orientation="portrait" verticalDpi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B78C7-17E9-4B9E-B548-D3EBD90BD7F1}">
  <sheetPr codeName="Sheet3"/>
  <dimension ref="A1:N46"/>
  <sheetViews>
    <sheetView tabSelected="1" zoomScaleNormal="100" workbookViewId="0">
      <selection activeCell="K23" sqref="K23"/>
    </sheetView>
  </sheetViews>
  <sheetFormatPr defaultColWidth="8.85546875" defaultRowHeight="15" x14ac:dyDescent="0.25"/>
  <cols>
    <col min="1" max="1" width="33.140625" customWidth="1"/>
    <col min="2" max="2" width="40.7109375" bestFit="1" customWidth="1"/>
    <col min="3" max="3" width="29.85546875" bestFit="1" customWidth="1"/>
    <col min="4" max="4" width="32.42578125" bestFit="1" customWidth="1"/>
    <col min="5" max="5" width="13.28515625" customWidth="1"/>
    <col min="6" max="6" width="10" bestFit="1" customWidth="1"/>
    <col min="7" max="7" width="14" customWidth="1"/>
    <col min="8" max="8" width="15.7109375" customWidth="1"/>
    <col min="9" max="9" width="11.85546875" hidden="1" customWidth="1"/>
    <col min="10" max="10" width="14.85546875" bestFit="1" customWidth="1"/>
  </cols>
  <sheetData>
    <row r="1" spans="1:14" ht="26.25" x14ac:dyDescent="0.25">
      <c r="A1" s="402" t="s">
        <v>1378</v>
      </c>
      <c r="B1" s="402"/>
      <c r="C1" s="402"/>
      <c r="D1" s="402"/>
      <c r="E1" s="402"/>
      <c r="F1" s="402"/>
      <c r="G1" s="402"/>
      <c r="H1" s="402"/>
      <c r="I1" s="402"/>
      <c r="J1" s="644"/>
    </row>
    <row r="2" spans="1:14" ht="16.5" x14ac:dyDescent="0.3">
      <c r="A2" s="401"/>
      <c r="B2" s="400" t="s">
        <v>213</v>
      </c>
      <c r="C2" s="399" t="s">
        <v>212</v>
      </c>
      <c r="D2" s="398" t="s">
        <v>211</v>
      </c>
      <c r="E2" s="397" t="s">
        <v>210</v>
      </c>
      <c r="F2" s="396" t="s">
        <v>209</v>
      </c>
      <c r="G2" s="395" t="s">
        <v>208</v>
      </c>
      <c r="H2" s="395" t="s">
        <v>207</v>
      </c>
      <c r="I2" s="395" t="s">
        <v>1376</v>
      </c>
      <c r="J2" s="394" t="s">
        <v>206</v>
      </c>
    </row>
    <row r="3" spans="1:14" ht="16.5" x14ac:dyDescent="0.3">
      <c r="A3" s="393"/>
      <c r="B3" s="392"/>
      <c r="C3" s="391"/>
      <c r="D3" s="390"/>
      <c r="E3" s="388"/>
      <c r="F3" s="389"/>
      <c r="G3" s="388"/>
      <c r="H3" s="388"/>
      <c r="I3" s="388"/>
      <c r="J3" s="387"/>
    </row>
    <row r="4" spans="1:14" ht="16.5" x14ac:dyDescent="0.3">
      <c r="A4" s="386" t="s">
        <v>81</v>
      </c>
      <c r="B4" s="431"/>
      <c r="C4" s="431"/>
      <c r="D4" s="298"/>
      <c r="E4" s="298"/>
      <c r="F4" s="299"/>
      <c r="G4" s="298"/>
      <c r="H4" s="298"/>
      <c r="I4" s="298"/>
      <c r="J4" s="297"/>
    </row>
    <row r="5" spans="1:14" ht="16.5" x14ac:dyDescent="0.3">
      <c r="A5" s="293"/>
      <c r="B5" s="292"/>
      <c r="C5" s="292"/>
      <c r="D5" s="291"/>
      <c r="E5" s="291"/>
      <c r="F5" s="302"/>
      <c r="G5" s="291"/>
      <c r="H5" s="291"/>
      <c r="I5" s="291"/>
      <c r="J5" s="290"/>
    </row>
    <row r="6" spans="1:14" ht="16.5" x14ac:dyDescent="0.3">
      <c r="A6" s="293"/>
      <c r="B6" s="292"/>
      <c r="C6" s="292" t="s">
        <v>59</v>
      </c>
      <c r="D6" s="291"/>
      <c r="E6" s="291"/>
      <c r="F6" s="302"/>
      <c r="G6" s="291"/>
      <c r="H6" s="291">
        <v>0</v>
      </c>
      <c r="I6" s="291">
        <v>0</v>
      </c>
      <c r="J6" s="290">
        <v>0</v>
      </c>
    </row>
    <row r="7" spans="1:14" ht="16.5" x14ac:dyDescent="0.3">
      <c r="A7" s="293"/>
      <c r="B7" s="292"/>
      <c r="C7" s="292"/>
      <c r="D7" s="291"/>
      <c r="E7" s="291"/>
      <c r="F7" s="302"/>
      <c r="G7" s="291"/>
      <c r="H7" s="291"/>
      <c r="I7" s="291"/>
      <c r="J7" s="290"/>
    </row>
    <row r="8" spans="1:14" ht="16.5" x14ac:dyDescent="0.3">
      <c r="A8" s="386" t="s">
        <v>58</v>
      </c>
      <c r="B8" s="431"/>
      <c r="C8" s="431"/>
      <c r="D8" s="298"/>
      <c r="E8" s="372"/>
      <c r="F8" s="373"/>
      <c r="G8" s="372"/>
      <c r="H8" s="372"/>
      <c r="I8" s="372"/>
      <c r="J8" s="297"/>
      <c r="L8" t="s">
        <v>23</v>
      </c>
    </row>
    <row r="9" spans="1:14" ht="16.5" x14ac:dyDescent="0.3">
      <c r="A9" s="293" t="s">
        <v>1379</v>
      </c>
      <c r="B9" s="292"/>
      <c r="C9" s="303"/>
      <c r="D9" s="179"/>
      <c r="E9" s="179"/>
      <c r="F9" s="180"/>
      <c r="G9" s="179"/>
      <c r="H9" s="179"/>
      <c r="I9" s="179"/>
      <c r="J9" s="305"/>
    </row>
    <row r="10" spans="1:14" ht="17.25" x14ac:dyDescent="0.3">
      <c r="A10" s="304"/>
      <c r="B10" s="1229" t="s">
        <v>1380</v>
      </c>
      <c r="C10" s="1230" t="s">
        <v>1381</v>
      </c>
      <c r="D10" s="1230" t="s">
        <v>1382</v>
      </c>
      <c r="E10" s="1231">
        <v>14</v>
      </c>
      <c r="F10" s="1232">
        <v>150</v>
      </c>
      <c r="G10" s="1231">
        <f>E10*F10</f>
        <v>2100</v>
      </c>
      <c r="H10" s="1231">
        <f>G10</f>
        <v>2100</v>
      </c>
      <c r="I10" s="67">
        <f>'[1]Frozen Pivot'!B67</f>
        <v>0</v>
      </c>
      <c r="J10" s="313">
        <f>I10</f>
        <v>0</v>
      </c>
    </row>
    <row r="11" spans="1:14" ht="17.25" x14ac:dyDescent="0.3">
      <c r="A11" s="304"/>
      <c r="B11" s="1233" t="s">
        <v>1383</v>
      </c>
      <c r="C11" s="1234" t="s">
        <v>1384</v>
      </c>
      <c r="D11" s="1234" t="s">
        <v>251</v>
      </c>
      <c r="E11" s="1235">
        <v>3</v>
      </c>
      <c r="F11" s="1236">
        <v>150</v>
      </c>
      <c r="G11" s="1235">
        <f>E11*F11</f>
        <v>450</v>
      </c>
      <c r="H11" s="1235">
        <f>G11*1.13</f>
        <v>508.49999999999994</v>
      </c>
      <c r="I11" s="33">
        <f>'[1]Frozen Pivot'!B68</f>
        <v>0</v>
      </c>
      <c r="J11" s="305">
        <v>228.54</v>
      </c>
    </row>
    <row r="12" spans="1:14" ht="17.25" x14ac:dyDescent="0.3">
      <c r="A12" s="304"/>
      <c r="B12" s="1229" t="s">
        <v>1385</v>
      </c>
      <c r="C12" s="1230" t="s">
        <v>1386</v>
      </c>
      <c r="D12" s="1230" t="s">
        <v>1387</v>
      </c>
      <c r="E12" s="1231">
        <v>30</v>
      </c>
      <c r="F12" s="1232">
        <v>28</v>
      </c>
      <c r="G12" s="1231">
        <f>E12*F12</f>
        <v>840</v>
      </c>
      <c r="H12" s="1231">
        <f>G12*1.13</f>
        <v>949.19999999999993</v>
      </c>
      <c r="I12" s="67">
        <f>'[1]Frozen Pivot'!B69</f>
        <v>820.33</v>
      </c>
      <c r="J12" s="313">
        <f>I12</f>
        <v>820.33</v>
      </c>
      <c r="N12" s="72"/>
    </row>
    <row r="13" spans="1:14" ht="16.5" x14ac:dyDescent="0.3">
      <c r="A13" s="304"/>
      <c r="B13" s="303"/>
      <c r="C13" s="306"/>
      <c r="D13" s="179"/>
      <c r="E13" s="179"/>
      <c r="F13" s="180"/>
      <c r="G13" s="179"/>
      <c r="H13" s="179"/>
      <c r="I13" s="179"/>
      <c r="J13" s="305"/>
    </row>
    <row r="14" spans="1:14" ht="16.5" x14ac:dyDescent="0.3">
      <c r="A14" s="304"/>
      <c r="B14" s="311" t="s">
        <v>1388</v>
      </c>
      <c r="C14" s="428"/>
      <c r="D14" s="308"/>
      <c r="E14" s="308"/>
      <c r="F14" s="309"/>
      <c r="G14" s="308"/>
      <c r="H14" s="308">
        <f>SUM(H9:H12)</f>
        <v>3557.7</v>
      </c>
      <c r="I14" s="308">
        <f>SUM(I10:I12)</f>
        <v>820.33</v>
      </c>
      <c r="J14" s="307">
        <f>SUM(J9:J12)</f>
        <v>1048.8700000000001</v>
      </c>
    </row>
    <row r="15" spans="1:14" ht="16.5" x14ac:dyDescent="0.3">
      <c r="A15" s="293"/>
      <c r="B15" s="292"/>
      <c r="C15" s="292"/>
      <c r="D15" s="291"/>
      <c r="E15" s="291"/>
      <c r="F15" s="302"/>
      <c r="G15" s="291"/>
      <c r="H15" s="291"/>
      <c r="I15" s="291"/>
      <c r="J15" s="290"/>
    </row>
    <row r="16" spans="1:14" ht="16.5" x14ac:dyDescent="0.3">
      <c r="A16" s="293" t="s">
        <v>1389</v>
      </c>
      <c r="B16" s="292"/>
      <c r="C16" s="303"/>
      <c r="D16" s="179"/>
      <c r="E16" s="179"/>
      <c r="F16" s="180"/>
      <c r="G16" s="179"/>
      <c r="H16" s="179"/>
      <c r="I16" s="179"/>
      <c r="J16" s="305"/>
    </row>
    <row r="17" spans="1:10" ht="17.25" x14ac:dyDescent="0.3">
      <c r="A17" s="1237"/>
      <c r="B17" s="1229" t="s">
        <v>1390</v>
      </c>
      <c r="C17" s="1230" t="s">
        <v>1391</v>
      </c>
      <c r="D17" s="1230" t="s">
        <v>1392</v>
      </c>
      <c r="E17" s="1231">
        <v>30</v>
      </c>
      <c r="F17" s="1232">
        <v>16</v>
      </c>
      <c r="G17" s="1231">
        <f>E17*F17</f>
        <v>480</v>
      </c>
      <c r="H17" s="1231">
        <f>G17*1.13</f>
        <v>542.4</v>
      </c>
      <c r="I17" s="67">
        <f>'[1]Frozen Pivot'!B70</f>
        <v>916.58</v>
      </c>
      <c r="J17" s="313">
        <f t="shared" ref="J17:J25" si="0">I17</f>
        <v>916.58</v>
      </c>
    </row>
    <row r="18" spans="1:10" ht="17.25" x14ac:dyDescent="0.3">
      <c r="A18" s="1237"/>
      <c r="B18" s="1233" t="s">
        <v>1393</v>
      </c>
      <c r="C18" s="1234" t="s">
        <v>1394</v>
      </c>
      <c r="D18" s="1234" t="s">
        <v>1395</v>
      </c>
      <c r="E18" s="1235">
        <v>30</v>
      </c>
      <c r="F18" s="1236">
        <v>16</v>
      </c>
      <c r="G18" s="1235">
        <f>F18*E18</f>
        <v>480</v>
      </c>
      <c r="H18" s="1235">
        <f>G18*1.13</f>
        <v>542.4</v>
      </c>
      <c r="I18" s="33">
        <f>'[1]Frozen Pivot'!B71</f>
        <v>415.28999999999996</v>
      </c>
      <c r="J18" s="305">
        <f t="shared" si="0"/>
        <v>415.28999999999996</v>
      </c>
    </row>
    <row r="19" spans="1:10" ht="17.25" x14ac:dyDescent="0.3">
      <c r="A19" s="1237"/>
      <c r="B19" s="1229" t="s">
        <v>1396</v>
      </c>
      <c r="C19" s="1230" t="s">
        <v>1397</v>
      </c>
      <c r="D19" s="1230" t="s">
        <v>1398</v>
      </c>
      <c r="E19" s="1231">
        <v>400</v>
      </c>
      <c r="F19" s="1232">
        <v>16</v>
      </c>
      <c r="G19" s="1231">
        <f t="shared" ref="G19:G24" si="1">E19*F19</f>
        <v>6400</v>
      </c>
      <c r="H19" s="1231">
        <f>G19</f>
        <v>6400</v>
      </c>
      <c r="I19" s="67">
        <f>'[1]Frozen Pivot'!B72</f>
        <v>6400</v>
      </c>
      <c r="J19" s="313">
        <f t="shared" si="0"/>
        <v>6400</v>
      </c>
    </row>
    <row r="20" spans="1:10" ht="17.25" x14ac:dyDescent="0.3">
      <c r="A20" s="1237"/>
      <c r="B20" s="1238" t="s">
        <v>1399</v>
      </c>
      <c r="C20" s="1234" t="s">
        <v>1099</v>
      </c>
      <c r="D20" s="1234" t="s">
        <v>1400</v>
      </c>
      <c r="E20" s="1235">
        <v>150</v>
      </c>
      <c r="F20" s="1236">
        <v>16</v>
      </c>
      <c r="G20" s="1235">
        <f t="shared" si="1"/>
        <v>2400</v>
      </c>
      <c r="H20" s="1235">
        <f>G20</f>
        <v>2400</v>
      </c>
      <c r="I20" s="67">
        <f>'[1]Frozen Pivot'!B73</f>
        <v>300</v>
      </c>
      <c r="J20" s="305">
        <f t="shared" si="0"/>
        <v>300</v>
      </c>
    </row>
    <row r="21" spans="1:10" ht="17.25" x14ac:dyDescent="0.3">
      <c r="A21" s="1237"/>
      <c r="B21" s="1239" t="s">
        <v>1401</v>
      </c>
      <c r="C21" s="1230" t="s">
        <v>1402</v>
      </c>
      <c r="D21" s="1230" t="s">
        <v>1403</v>
      </c>
      <c r="E21" s="1231">
        <v>55</v>
      </c>
      <c r="F21" s="1232">
        <v>24</v>
      </c>
      <c r="G21" s="1231">
        <f t="shared" si="1"/>
        <v>1320</v>
      </c>
      <c r="H21" s="1231">
        <f>G21*1.13</f>
        <v>1491.6</v>
      </c>
      <c r="I21" s="67">
        <f>'[1]Frozen Pivot'!B74</f>
        <v>1575.13</v>
      </c>
      <c r="J21" s="313">
        <f t="shared" si="0"/>
        <v>1575.13</v>
      </c>
    </row>
    <row r="22" spans="1:10" ht="17.25" x14ac:dyDescent="0.3">
      <c r="A22" s="1237"/>
      <c r="B22" s="1238" t="s">
        <v>1404</v>
      </c>
      <c r="C22" s="1234" t="s">
        <v>1405</v>
      </c>
      <c r="D22" s="1234" t="s">
        <v>1406</v>
      </c>
      <c r="E22" s="1235">
        <v>65</v>
      </c>
      <c r="F22" s="1236">
        <v>32</v>
      </c>
      <c r="G22" s="1235">
        <f t="shared" si="1"/>
        <v>2080</v>
      </c>
      <c r="H22" s="1235">
        <f>G22*1.13</f>
        <v>2350.3999999999996</v>
      </c>
      <c r="I22" s="33">
        <f>'[1]Frozen Pivot'!B75</f>
        <v>0</v>
      </c>
      <c r="J22" s="305">
        <v>2636.53</v>
      </c>
    </row>
    <row r="23" spans="1:10" ht="17.25" x14ac:dyDescent="0.3">
      <c r="A23" s="304"/>
      <c r="B23" s="1239" t="s">
        <v>1407</v>
      </c>
      <c r="C23" s="74" t="s">
        <v>1408</v>
      </c>
      <c r="D23" s="67" t="s">
        <v>1409</v>
      </c>
      <c r="E23" s="1240">
        <v>15</v>
      </c>
      <c r="F23" s="380">
        <v>16</v>
      </c>
      <c r="G23" s="1231">
        <f t="shared" si="1"/>
        <v>240</v>
      </c>
      <c r="H23" s="1231">
        <f>G23*1.13</f>
        <v>271.2</v>
      </c>
      <c r="I23" s="67">
        <f>'[1]Frozen Pivot'!B76</f>
        <v>0</v>
      </c>
      <c r="J23" s="313">
        <f t="shared" si="0"/>
        <v>0</v>
      </c>
    </row>
    <row r="24" spans="1:10" ht="17.25" x14ac:dyDescent="0.3">
      <c r="A24" s="304"/>
      <c r="B24" s="1238" t="s">
        <v>1410</v>
      </c>
      <c r="C24" s="35" t="s">
        <v>1411</v>
      </c>
      <c r="D24" s="33" t="s">
        <v>1412</v>
      </c>
      <c r="E24" s="1241">
        <v>30</v>
      </c>
      <c r="F24" s="376">
        <v>6</v>
      </c>
      <c r="G24" s="1235">
        <f t="shared" si="1"/>
        <v>180</v>
      </c>
      <c r="H24" s="1235">
        <f>G24*1.13</f>
        <v>203.39999999999998</v>
      </c>
      <c r="I24" s="67">
        <f>'[1]Frozen Pivot'!B77</f>
        <v>623.86999999999989</v>
      </c>
      <c r="J24" s="305">
        <f t="shared" si="0"/>
        <v>623.86999999999989</v>
      </c>
    </row>
    <row r="25" spans="1:10" ht="17.25" x14ac:dyDescent="0.3">
      <c r="A25" s="304"/>
      <c r="B25" s="1239" t="s">
        <v>1413</v>
      </c>
      <c r="C25" s="74" t="s">
        <v>1414</v>
      </c>
      <c r="D25" s="67" t="s">
        <v>1415</v>
      </c>
      <c r="E25" s="1240">
        <v>65</v>
      </c>
      <c r="F25" s="380">
        <v>15</v>
      </c>
      <c r="G25" s="1240">
        <f>F25*E25</f>
        <v>975</v>
      </c>
      <c r="H25" s="1240">
        <f>G25</f>
        <v>975</v>
      </c>
      <c r="I25" s="67">
        <f>'[1]Frozen Pivot'!B78</f>
        <v>780</v>
      </c>
      <c r="J25" s="313">
        <f t="shared" si="0"/>
        <v>780</v>
      </c>
    </row>
    <row r="26" spans="1:10" s="345" customFormat="1" ht="17.25" x14ac:dyDescent="0.3">
      <c r="A26" s="304"/>
      <c r="B26" s="1238"/>
      <c r="C26" s="35"/>
      <c r="D26" s="33"/>
      <c r="E26" s="33"/>
      <c r="F26" s="376"/>
      <c r="G26" s="33"/>
      <c r="H26" s="33"/>
      <c r="I26" s="33"/>
      <c r="J26" s="305"/>
    </row>
    <row r="27" spans="1:10" ht="16.5" x14ac:dyDescent="0.3">
      <c r="A27" s="304"/>
      <c r="B27" s="311" t="s">
        <v>1416</v>
      </c>
      <c r="C27" s="310"/>
      <c r="D27" s="308"/>
      <c r="E27" s="308"/>
      <c r="F27" s="309"/>
      <c r="G27" s="308"/>
      <c r="H27" s="308">
        <f>SUM(H17:H25)</f>
        <v>15176.4</v>
      </c>
      <c r="I27" s="308">
        <f>SUM(I17:I25)</f>
        <v>11010.869999999999</v>
      </c>
      <c r="J27" s="307">
        <f>SUM(J17:J25)</f>
        <v>13647.400000000001</v>
      </c>
    </row>
    <row r="28" spans="1:10" ht="16.5" x14ac:dyDescent="0.3">
      <c r="A28" s="304"/>
      <c r="B28" s="303"/>
      <c r="C28" s="303"/>
      <c r="D28" s="179"/>
      <c r="E28" s="179"/>
      <c r="F28" s="180"/>
      <c r="G28" s="179"/>
      <c r="H28" s="179"/>
      <c r="I28" s="179"/>
      <c r="J28" s="305"/>
    </row>
    <row r="29" spans="1:10" ht="16.5" x14ac:dyDescent="0.3">
      <c r="A29" s="293" t="s">
        <v>1417</v>
      </c>
      <c r="B29" s="292"/>
      <c r="C29" s="303"/>
      <c r="D29" s="179"/>
      <c r="E29" s="179"/>
      <c r="F29" s="180"/>
      <c r="G29" s="179"/>
      <c r="H29" s="179"/>
      <c r="I29" s="179"/>
      <c r="J29" s="305"/>
    </row>
    <row r="30" spans="1:10" ht="17.25" x14ac:dyDescent="0.3">
      <c r="A30" s="304"/>
      <c r="B30" s="1229" t="s">
        <v>1418</v>
      </c>
      <c r="C30" s="1230" t="s">
        <v>1419</v>
      </c>
      <c r="D30" s="1230" t="s">
        <v>1420</v>
      </c>
      <c r="E30" s="1230">
        <v>0.4</v>
      </c>
      <c r="F30" s="1230">
        <v>2848</v>
      </c>
      <c r="G30" s="1231">
        <f>E30*F30</f>
        <v>1139.2</v>
      </c>
      <c r="H30" s="1231">
        <f>G30</f>
        <v>1139.2</v>
      </c>
      <c r="I30" s="67">
        <f>'[1]Frozen Pivot'!B79</f>
        <v>2397.4</v>
      </c>
      <c r="J30" s="66">
        <f>I30</f>
        <v>2397.4</v>
      </c>
    </row>
    <row r="31" spans="1:10" ht="17.25" x14ac:dyDescent="0.3">
      <c r="A31" s="304"/>
      <c r="B31" s="1233" t="s">
        <v>1421</v>
      </c>
      <c r="C31" s="1234" t="s">
        <v>1422</v>
      </c>
      <c r="D31" s="1234" t="s">
        <v>1423</v>
      </c>
      <c r="E31" s="1234">
        <v>15</v>
      </c>
      <c r="F31" s="1234">
        <v>10</v>
      </c>
      <c r="G31" s="1235">
        <f>E31*F31</f>
        <v>150</v>
      </c>
      <c r="H31" s="1235">
        <f>G31</f>
        <v>150</v>
      </c>
      <c r="I31" s="33">
        <f>'[1]Frozen Pivot'!B80</f>
        <v>490.99</v>
      </c>
      <c r="J31" s="34">
        <f>I31</f>
        <v>490.99</v>
      </c>
    </row>
    <row r="32" spans="1:10" ht="16.5" x14ac:dyDescent="0.3">
      <c r="A32" s="304"/>
      <c r="B32" s="319"/>
      <c r="C32" s="319"/>
      <c r="D32" s="314"/>
      <c r="E32" s="314"/>
      <c r="F32" s="315"/>
      <c r="G32" s="314"/>
      <c r="H32" s="314"/>
      <c r="I32" s="314"/>
      <c r="J32" s="313"/>
    </row>
    <row r="33" spans="1:10" ht="16.5" x14ac:dyDescent="0.3">
      <c r="A33" s="304"/>
      <c r="B33" s="311" t="s">
        <v>1424</v>
      </c>
      <c r="C33" s="310"/>
      <c r="D33" s="308"/>
      <c r="E33" s="308"/>
      <c r="F33" s="309"/>
      <c r="G33" s="308"/>
      <c r="H33" s="308">
        <f>SUM(H30:H32)</f>
        <v>1289.2</v>
      </c>
      <c r="I33" s="308">
        <f>SUM(I30:I31)</f>
        <v>2888.3900000000003</v>
      </c>
      <c r="J33" s="307">
        <f>SUM(J30:J32)</f>
        <v>2888.3900000000003</v>
      </c>
    </row>
    <row r="34" spans="1:10" ht="16.5" x14ac:dyDescent="0.3">
      <c r="A34" s="304"/>
      <c r="B34" s="303"/>
      <c r="C34" s="303"/>
      <c r="D34" s="179"/>
      <c r="E34" s="179"/>
      <c r="F34" s="180"/>
      <c r="G34" s="179"/>
      <c r="H34" s="179"/>
      <c r="I34" s="179"/>
      <c r="J34" s="305"/>
    </row>
    <row r="35" spans="1:10" ht="16.5" x14ac:dyDescent="0.3">
      <c r="A35" s="293" t="s">
        <v>1425</v>
      </c>
      <c r="B35" s="292"/>
      <c r="C35" s="303"/>
      <c r="D35" s="179"/>
      <c r="E35" s="179"/>
      <c r="F35" s="180"/>
      <c r="G35" s="179"/>
      <c r="H35" s="179"/>
      <c r="I35" s="179"/>
      <c r="J35" s="305"/>
    </row>
    <row r="36" spans="1:10" ht="17.25" x14ac:dyDescent="0.3">
      <c r="A36" s="304"/>
      <c r="B36" s="1229" t="s">
        <v>1426</v>
      </c>
      <c r="C36" s="1230" t="s">
        <v>1427</v>
      </c>
      <c r="D36" s="1230" t="s">
        <v>1428</v>
      </c>
      <c r="E36" s="1231">
        <v>150</v>
      </c>
      <c r="F36" s="1230">
        <v>5</v>
      </c>
      <c r="G36" s="1231">
        <f>E36*F36</f>
        <v>750</v>
      </c>
      <c r="H36" s="1231">
        <f>G36</f>
        <v>750</v>
      </c>
      <c r="I36" s="67">
        <f>'[1]Frozen Pivot'!B81</f>
        <v>800</v>
      </c>
      <c r="J36" s="66">
        <f>I36</f>
        <v>800</v>
      </c>
    </row>
    <row r="37" spans="1:10" ht="17.25" x14ac:dyDescent="0.3">
      <c r="A37" s="304" t="s">
        <v>23</v>
      </c>
      <c r="B37" s="1233" t="s">
        <v>1429</v>
      </c>
      <c r="C37" s="1234" t="s">
        <v>1430</v>
      </c>
      <c r="D37" s="1234" t="s">
        <v>1431</v>
      </c>
      <c r="E37" s="1235">
        <f>175.8+51.4</f>
        <v>227.20000000000002</v>
      </c>
      <c r="F37" s="1234">
        <v>1</v>
      </c>
      <c r="G37" s="1235">
        <f>E37*F37</f>
        <v>227.20000000000002</v>
      </c>
      <c r="H37" s="1235">
        <f>G37*1.13</f>
        <v>256.73599999999999</v>
      </c>
      <c r="I37" s="1242">
        <f>'[1]Frozen Pivot'!B82</f>
        <v>147.79</v>
      </c>
      <c r="J37" s="34">
        <f>I37</f>
        <v>147.79</v>
      </c>
    </row>
    <row r="38" spans="1:10" ht="16.5" x14ac:dyDescent="0.3">
      <c r="A38" s="304"/>
      <c r="B38" s="319"/>
      <c r="C38" s="319"/>
      <c r="D38" s="314"/>
      <c r="E38" s="314"/>
      <c r="F38" s="315"/>
      <c r="G38" s="314"/>
      <c r="H38" s="314"/>
      <c r="I38" s="314"/>
      <c r="J38" s="313"/>
    </row>
    <row r="39" spans="1:10" ht="16.5" x14ac:dyDescent="0.3">
      <c r="A39" s="304"/>
      <c r="B39" s="311" t="s">
        <v>1432</v>
      </c>
      <c r="C39" s="310"/>
      <c r="D39" s="308"/>
      <c r="E39" s="308"/>
      <c r="F39" s="309"/>
      <c r="G39" s="308"/>
      <c r="H39" s="308">
        <f>SUM(H36:H38)</f>
        <v>1006.736</v>
      </c>
      <c r="I39" s="308">
        <f>SUM(I36:I38)</f>
        <v>947.79</v>
      </c>
      <c r="J39" s="307">
        <f>SUM(J36:J38)</f>
        <v>947.79</v>
      </c>
    </row>
    <row r="40" spans="1:10" ht="16.5" x14ac:dyDescent="0.3">
      <c r="A40" s="304"/>
      <c r="B40" s="292"/>
      <c r="C40" s="292"/>
      <c r="D40" s="291"/>
      <c r="E40" s="291"/>
      <c r="F40" s="302"/>
      <c r="G40" s="291"/>
      <c r="H40" s="291"/>
      <c r="I40" s="291"/>
      <c r="J40" s="290"/>
    </row>
    <row r="41" spans="1:10" ht="16.5" x14ac:dyDescent="0.3">
      <c r="A41" s="304"/>
      <c r="B41" s="303"/>
      <c r="C41" s="292" t="s">
        <v>4</v>
      </c>
      <c r="D41" s="291"/>
      <c r="E41" s="291"/>
      <c r="F41" s="302"/>
      <c r="G41" s="291"/>
      <c r="H41" s="291">
        <f>SUM(H39+H33+H27+H14)</f>
        <v>21030.036</v>
      </c>
      <c r="I41" s="291">
        <f>SUM(I39+I33+I27+I14)</f>
        <v>15667.38</v>
      </c>
      <c r="J41" s="290">
        <f>SUM(J39+J33+J27+J14)</f>
        <v>18532.45</v>
      </c>
    </row>
    <row r="42" spans="1:10" ht="16.5" x14ac:dyDescent="0.3">
      <c r="A42" s="304"/>
      <c r="B42" s="303"/>
      <c r="C42" s="292"/>
      <c r="D42" s="291"/>
      <c r="E42" s="291"/>
      <c r="F42" s="302"/>
      <c r="G42" s="291"/>
      <c r="H42" s="291"/>
      <c r="I42" s="291"/>
      <c r="J42" s="290"/>
    </row>
    <row r="43" spans="1:10" ht="16.5" x14ac:dyDescent="0.3">
      <c r="A43" s="386" t="s">
        <v>3</v>
      </c>
      <c r="B43" s="431"/>
      <c r="C43" s="431"/>
      <c r="D43" s="298"/>
      <c r="E43" s="298"/>
      <c r="F43" s="299"/>
      <c r="G43" s="298"/>
      <c r="H43" s="298"/>
      <c r="I43" s="298"/>
      <c r="J43" s="297"/>
    </row>
    <row r="44" spans="1:10" ht="16.5" x14ac:dyDescent="0.3">
      <c r="A44" s="293"/>
      <c r="B44" s="296" t="s">
        <v>2</v>
      </c>
      <c r="C44" s="296"/>
      <c r="D44" s="295"/>
      <c r="E44" s="295"/>
      <c r="F44" s="295"/>
      <c r="G44" s="295"/>
      <c r="H44" s="295">
        <f>H6</f>
        <v>0</v>
      </c>
      <c r="I44" s="295">
        <f>I6</f>
        <v>0</v>
      </c>
      <c r="J44" s="294">
        <f>0</f>
        <v>0</v>
      </c>
    </row>
    <row r="45" spans="1:10" ht="16.5" x14ac:dyDescent="0.3">
      <c r="A45" s="293"/>
      <c r="B45" s="292" t="s">
        <v>1</v>
      </c>
      <c r="C45" s="292"/>
      <c r="D45" s="291"/>
      <c r="E45" s="291"/>
      <c r="F45" s="291"/>
      <c r="G45" s="291"/>
      <c r="H45" s="291">
        <f>H41</f>
        <v>21030.036</v>
      </c>
      <c r="I45" s="291">
        <f>I41</f>
        <v>15667.38</v>
      </c>
      <c r="J45" s="290">
        <f>J41</f>
        <v>18532.45</v>
      </c>
    </row>
    <row r="46" spans="1:10" ht="16.5" x14ac:dyDescent="0.3">
      <c r="A46" s="289"/>
      <c r="B46" s="288" t="s">
        <v>0</v>
      </c>
      <c r="C46" s="288"/>
      <c r="D46" s="287"/>
      <c r="E46" s="287"/>
      <c r="F46" s="287"/>
      <c r="G46" s="287"/>
      <c r="H46" s="287">
        <f>H44-H45</f>
        <v>-21030.036</v>
      </c>
      <c r="I46" s="287">
        <f>I44-I45</f>
        <v>-15667.38</v>
      </c>
      <c r="J46" s="287">
        <f>J44-J45</f>
        <v>-18532.45</v>
      </c>
    </row>
  </sheetData>
  <mergeCells count="4">
    <mergeCell ref="A1:J1"/>
    <mergeCell ref="A4:C4"/>
    <mergeCell ref="A8:C8"/>
    <mergeCell ref="A43:C43"/>
  </mergeCells>
  <pageMargins left="0.75" right="0.75" top="1" bottom="1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9C501-0F39-49EB-8610-8A79C395DEE8}">
  <sheetPr codeName="Sheet4"/>
  <dimension ref="A1:L29"/>
  <sheetViews>
    <sheetView topLeftCell="B1" workbookViewId="0">
      <selection activeCell="L22" sqref="L22"/>
    </sheetView>
  </sheetViews>
  <sheetFormatPr defaultColWidth="12.28515625" defaultRowHeight="15.75" x14ac:dyDescent="0.25"/>
  <cols>
    <col min="1" max="2" width="12.28515625" style="108"/>
    <col min="3" max="3" width="27.7109375" style="108" customWidth="1"/>
    <col min="4" max="4" width="34" style="108" customWidth="1"/>
    <col min="5" max="7" width="12.28515625" style="108"/>
    <col min="8" max="8" width="17.28515625" style="108" customWidth="1"/>
    <col min="9" max="9" width="12.28515625" style="108" hidden="1" customWidth="1"/>
    <col min="10" max="10" width="16" style="108" customWidth="1"/>
    <col min="11" max="16384" width="12.28515625" style="108"/>
  </cols>
  <sheetData>
    <row r="1" spans="1:10" ht="26.25" x14ac:dyDescent="0.25">
      <c r="A1" s="1228" t="s">
        <v>1377</v>
      </c>
      <c r="B1" s="1228"/>
      <c r="C1" s="1228"/>
      <c r="D1" s="1228"/>
      <c r="E1" s="1228"/>
      <c r="F1" s="1228"/>
      <c r="G1" s="1228"/>
      <c r="H1" s="1228"/>
      <c r="I1" s="1228"/>
      <c r="J1" s="1227"/>
    </row>
    <row r="2" spans="1:10" ht="16.5" x14ac:dyDescent="0.3">
      <c r="A2" s="1226"/>
      <c r="B2" s="1225" t="s">
        <v>213</v>
      </c>
      <c r="C2" s="1224" t="s">
        <v>212</v>
      </c>
      <c r="D2" s="1223" t="s">
        <v>211</v>
      </c>
      <c r="E2" s="1223" t="s">
        <v>210</v>
      </c>
      <c r="F2" s="1222" t="s">
        <v>209</v>
      </c>
      <c r="G2" s="1221" t="s">
        <v>208</v>
      </c>
      <c r="H2" s="1221" t="s">
        <v>207</v>
      </c>
      <c r="I2" s="1221" t="s">
        <v>1376</v>
      </c>
      <c r="J2" s="1220" t="s">
        <v>206</v>
      </c>
    </row>
    <row r="3" spans="1:10" ht="16.5" x14ac:dyDescent="0.3">
      <c r="A3" s="273"/>
      <c r="B3" s="272"/>
      <c r="C3" s="272"/>
      <c r="D3" s="1201"/>
      <c r="E3" s="1201"/>
      <c r="F3" s="1211"/>
      <c r="G3" s="1201"/>
      <c r="H3" s="1201"/>
      <c r="I3" s="1201"/>
      <c r="J3" s="1200"/>
    </row>
    <row r="4" spans="1:10" ht="16.5" x14ac:dyDescent="0.3">
      <c r="A4" s="1209" t="s">
        <v>81</v>
      </c>
      <c r="B4" s="1208"/>
      <c r="C4" s="1208"/>
      <c r="D4" s="264"/>
      <c r="E4" s="264"/>
      <c r="F4" s="265"/>
      <c r="G4" s="264"/>
      <c r="H4" s="264"/>
      <c r="I4" s="264"/>
      <c r="J4" s="1207"/>
    </row>
    <row r="5" spans="1:10" ht="16.5" x14ac:dyDescent="0.3">
      <c r="A5" s="1203"/>
      <c r="B5" s="1202"/>
      <c r="C5" s="1202"/>
      <c r="D5" s="1201"/>
      <c r="E5" s="1201"/>
      <c r="F5" s="1211"/>
      <c r="G5" s="1201"/>
      <c r="H5" s="1201"/>
      <c r="I5" s="1201"/>
      <c r="J5" s="1200"/>
    </row>
    <row r="6" spans="1:10" ht="16.5" x14ac:dyDescent="0.3">
      <c r="A6" s="1203"/>
      <c r="B6" s="1202"/>
      <c r="C6" s="1202" t="s">
        <v>59</v>
      </c>
      <c r="D6" s="1202"/>
      <c r="E6" s="1201"/>
      <c r="F6" s="1211"/>
      <c r="G6" s="1201"/>
      <c r="H6" s="1201">
        <v>0</v>
      </c>
      <c r="I6" s="1201">
        <v>0</v>
      </c>
      <c r="J6" s="1200">
        <v>0</v>
      </c>
    </row>
    <row r="7" spans="1:10" ht="16.5" x14ac:dyDescent="0.3">
      <c r="A7" s="1203"/>
      <c r="B7" s="1202"/>
      <c r="C7" s="1202"/>
      <c r="D7" s="1201"/>
      <c r="E7" s="1201"/>
      <c r="F7" s="1211"/>
      <c r="G7" s="1201"/>
      <c r="H7" s="1201"/>
      <c r="I7" s="1201"/>
      <c r="J7" s="1200"/>
    </row>
    <row r="8" spans="1:10" ht="16.5" x14ac:dyDescent="0.3">
      <c r="A8" s="1209" t="s">
        <v>58</v>
      </c>
      <c r="B8" s="1208"/>
      <c r="C8" s="1208"/>
      <c r="D8" s="264"/>
      <c r="E8" s="264"/>
      <c r="F8" s="265"/>
      <c r="G8" s="264"/>
      <c r="H8" s="264"/>
      <c r="I8" s="264"/>
      <c r="J8" s="1207"/>
    </row>
    <row r="9" spans="1:10" ht="17.25" x14ac:dyDescent="0.3">
      <c r="A9" s="1078" t="s">
        <v>1375</v>
      </c>
      <c r="B9" s="1076"/>
      <c r="C9" s="1219"/>
      <c r="D9" s="181"/>
      <c r="E9" s="181"/>
      <c r="F9" s="182"/>
      <c r="G9" s="181"/>
      <c r="H9" s="181"/>
      <c r="I9" s="181"/>
      <c r="J9" s="69"/>
    </row>
    <row r="10" spans="1:10" ht="17.25" x14ac:dyDescent="0.3">
      <c r="A10" s="1084"/>
      <c r="B10" s="1218" t="s">
        <v>1374</v>
      </c>
      <c r="C10" s="1214" t="s">
        <v>1373</v>
      </c>
      <c r="D10" s="251" t="s">
        <v>1372</v>
      </c>
      <c r="E10" s="251">
        <f>10*17</f>
        <v>170</v>
      </c>
      <c r="F10" s="1089">
        <v>7</v>
      </c>
      <c r="G10" s="251">
        <f>E10*F10</f>
        <v>1190</v>
      </c>
      <c r="H10" s="251">
        <f>G10*1.13</f>
        <v>1344.6999999999998</v>
      </c>
      <c r="I10" s="251">
        <f>'[1]Frozen Pivot'!B83</f>
        <v>1282.4000000000001</v>
      </c>
      <c r="J10" s="1088">
        <f>I10</f>
        <v>1282.4000000000001</v>
      </c>
    </row>
    <row r="11" spans="1:10" ht="17.25" x14ac:dyDescent="0.3">
      <c r="A11" s="1084"/>
      <c r="B11" s="177" t="s">
        <v>1371</v>
      </c>
      <c r="C11" s="184" t="s">
        <v>219</v>
      </c>
      <c r="D11" s="181" t="s">
        <v>1370</v>
      </c>
      <c r="E11" s="181">
        <v>40</v>
      </c>
      <c r="F11" s="182">
        <v>24</v>
      </c>
      <c r="G11" s="181">
        <f>E11*F11</f>
        <v>960</v>
      </c>
      <c r="H11" s="181">
        <f>G11*1.13</f>
        <v>1084.8</v>
      </c>
      <c r="I11" s="181">
        <f>'[1]Frozen Pivot'!B84</f>
        <v>0</v>
      </c>
      <c r="J11" s="69">
        <v>2000</v>
      </c>
    </row>
    <row r="12" spans="1:10" ht="17.25" x14ac:dyDescent="0.3">
      <c r="A12" s="1084"/>
      <c r="B12" s="1218" t="s">
        <v>1369</v>
      </c>
      <c r="C12" s="1214" t="s">
        <v>1179</v>
      </c>
      <c r="D12" s="251" t="s">
        <v>1368</v>
      </c>
      <c r="E12" s="251">
        <v>20</v>
      </c>
      <c r="F12" s="1089">
        <v>4</v>
      </c>
      <c r="G12" s="251">
        <f>E12*F12</f>
        <v>80</v>
      </c>
      <c r="H12" s="251">
        <f>G12*1.13</f>
        <v>90.399999999999991</v>
      </c>
      <c r="I12" s="251">
        <f>'[1]Frozen Pivot'!B85</f>
        <v>0</v>
      </c>
      <c r="J12" s="1088">
        <f>I12</f>
        <v>0</v>
      </c>
    </row>
    <row r="13" spans="1:10" ht="17.25" x14ac:dyDescent="0.3">
      <c r="A13" s="1084"/>
      <c r="B13" s="177" t="s">
        <v>1367</v>
      </c>
      <c r="C13" s="184" t="s">
        <v>1366</v>
      </c>
      <c r="D13" s="181" t="s">
        <v>1365</v>
      </c>
      <c r="E13" s="181">
        <v>25.12</v>
      </c>
      <c r="F13" s="182">
        <v>25</v>
      </c>
      <c r="G13" s="181">
        <f>E13*F13</f>
        <v>628</v>
      </c>
      <c r="H13" s="181">
        <f>G13*1.13</f>
        <v>709.64</v>
      </c>
      <c r="I13" s="181">
        <f>'[1]Frozen Pivot'!B86</f>
        <v>648.78</v>
      </c>
      <c r="J13" s="69">
        <v>648.78</v>
      </c>
    </row>
    <row r="14" spans="1:10" ht="17.25" x14ac:dyDescent="0.3">
      <c r="A14" s="1084"/>
      <c r="B14" s="1215"/>
      <c r="C14" s="1214"/>
      <c r="D14" s="251"/>
      <c r="E14" s="251"/>
      <c r="F14" s="1089"/>
      <c r="G14" s="251"/>
      <c r="H14" s="251"/>
      <c r="I14" s="251"/>
      <c r="J14" s="1088"/>
    </row>
    <row r="15" spans="1:10" ht="17.25" x14ac:dyDescent="0.3">
      <c r="A15" s="1084"/>
      <c r="B15" s="1213" t="s">
        <v>1364</v>
      </c>
      <c r="C15" s="1082"/>
      <c r="D15" s="1080"/>
      <c r="E15" s="1080"/>
      <c r="F15" s="1081"/>
      <c r="G15" s="1080"/>
      <c r="H15" s="1080">
        <f>SUM(H10:H12)</f>
        <v>2519.9</v>
      </c>
      <c r="I15" s="1080">
        <f>SUM(I10:I13)</f>
        <v>1931.18</v>
      </c>
      <c r="J15" s="1079">
        <f>SUM(J10:J13)</f>
        <v>3931.1800000000003</v>
      </c>
    </row>
    <row r="16" spans="1:10" ht="17.25" x14ac:dyDescent="0.3">
      <c r="A16" s="1084" t="s">
        <v>311</v>
      </c>
      <c r="B16" s="1217"/>
      <c r="C16" s="1216"/>
      <c r="D16" s="1074"/>
      <c r="E16" s="1074"/>
      <c r="F16" s="1075"/>
      <c r="G16" s="1074"/>
      <c r="H16" s="1074"/>
      <c r="I16" s="1074"/>
      <c r="J16" s="1073"/>
    </row>
    <row r="17" spans="1:12" ht="17.25" x14ac:dyDescent="0.3">
      <c r="A17" s="1084"/>
      <c r="B17" s="1215">
        <v>2.0499999999999998</v>
      </c>
      <c r="C17" s="1214" t="s">
        <v>1361</v>
      </c>
      <c r="D17" s="251"/>
      <c r="E17" s="251"/>
      <c r="F17" s="1089"/>
      <c r="G17" s="251"/>
      <c r="H17" s="251"/>
      <c r="I17" s="251"/>
      <c r="J17" s="1088">
        <f>28.11+43.26+37+35.96+36.21+37.48</f>
        <v>218.02</v>
      </c>
    </row>
    <row r="18" spans="1:12" ht="17.25" x14ac:dyDescent="0.3">
      <c r="A18" s="1084"/>
      <c r="B18" s="1215">
        <v>2.06</v>
      </c>
      <c r="C18" s="1214" t="s">
        <v>1363</v>
      </c>
      <c r="D18" s="251"/>
      <c r="E18" s="251"/>
      <c r="F18" s="1089"/>
      <c r="G18" s="251"/>
      <c r="H18" s="251"/>
      <c r="I18" s="251"/>
      <c r="J18" s="1088">
        <f>39.49*3</f>
        <v>118.47</v>
      </c>
    </row>
    <row r="19" spans="1:12" ht="17.25" x14ac:dyDescent="0.3">
      <c r="A19" s="1084"/>
      <c r="B19" s="1213" t="s">
        <v>1362</v>
      </c>
      <c r="C19" s="1082"/>
      <c r="D19" s="1080"/>
      <c r="E19" s="1080"/>
      <c r="F19" s="1081"/>
      <c r="G19" s="1080"/>
      <c r="H19" s="1080"/>
      <c r="I19" s="1080"/>
      <c r="J19" s="1079">
        <f>SUM(J17:J18)</f>
        <v>336.49</v>
      </c>
    </row>
    <row r="20" spans="1:12" ht="17.25" x14ac:dyDescent="0.3">
      <c r="A20" s="1084"/>
      <c r="B20" s="1202"/>
      <c r="C20" s="1202"/>
      <c r="D20" s="1201"/>
      <c r="E20" s="1201"/>
      <c r="F20" s="1211"/>
      <c r="G20" s="1201"/>
      <c r="H20" s="1201"/>
      <c r="I20" s="1201"/>
      <c r="J20" s="1200"/>
    </row>
    <row r="21" spans="1:12" ht="16.5" x14ac:dyDescent="0.3">
      <c r="A21" s="1107"/>
      <c r="B21" s="1212"/>
      <c r="C21" s="1202" t="s">
        <v>4</v>
      </c>
      <c r="D21" s="1202"/>
      <c r="E21" s="1201"/>
      <c r="F21" s="1211"/>
      <c r="G21" s="1201"/>
      <c r="H21" s="1201">
        <f>H15</f>
        <v>2519.9</v>
      </c>
      <c r="I21" s="1201">
        <f>I15</f>
        <v>1931.18</v>
      </c>
      <c r="J21" s="1200">
        <f>J19+J15</f>
        <v>4267.67</v>
      </c>
    </row>
    <row r="22" spans="1:12" ht="16.5" x14ac:dyDescent="0.3">
      <c r="A22" s="1107"/>
      <c r="B22" s="1212"/>
      <c r="C22" s="1202"/>
      <c r="D22" s="1201"/>
      <c r="E22" s="1201"/>
      <c r="F22" s="1211"/>
      <c r="G22" s="1201"/>
      <c r="H22" s="1201"/>
      <c r="I22" s="1201"/>
      <c r="J22" s="1200"/>
      <c r="L22" s="1210"/>
    </row>
    <row r="23" spans="1:12" ht="16.5" x14ac:dyDescent="0.3">
      <c r="A23" s="1209" t="s">
        <v>3</v>
      </c>
      <c r="B23" s="1208"/>
      <c r="C23" s="1208"/>
      <c r="D23" s="264"/>
      <c r="E23" s="264"/>
      <c r="F23" s="265"/>
      <c r="G23" s="264"/>
      <c r="H23" s="264"/>
      <c r="I23" s="264"/>
      <c r="J23" s="1207"/>
    </row>
    <row r="24" spans="1:12" ht="16.5" x14ac:dyDescent="0.3">
      <c r="A24" s="1203"/>
      <c r="B24" s="1206" t="s">
        <v>2</v>
      </c>
      <c r="C24" s="1206"/>
      <c r="D24" s="1205"/>
      <c r="E24" s="1205"/>
      <c r="F24" s="1205"/>
      <c r="G24" s="1205"/>
      <c r="H24" s="1205">
        <v>0</v>
      </c>
      <c r="I24" s="1205">
        <v>0</v>
      </c>
      <c r="J24" s="1204">
        <f>0</f>
        <v>0</v>
      </c>
    </row>
    <row r="25" spans="1:12" ht="16.5" x14ac:dyDescent="0.3">
      <c r="A25" s="1203"/>
      <c r="B25" s="1202" t="s">
        <v>1</v>
      </c>
      <c r="C25" s="1202"/>
      <c r="D25" s="1201"/>
      <c r="E25" s="1201"/>
      <c r="F25" s="1201"/>
      <c r="G25" s="1201"/>
      <c r="H25" s="1201">
        <f>H21</f>
        <v>2519.9</v>
      </c>
      <c r="I25" s="1201">
        <f>I21</f>
        <v>1931.18</v>
      </c>
      <c r="J25" s="1200">
        <f>J21</f>
        <v>4267.67</v>
      </c>
    </row>
    <row r="26" spans="1:12" ht="16.5" x14ac:dyDescent="0.3">
      <c r="A26" s="1199"/>
      <c r="B26" s="1198" t="s">
        <v>0</v>
      </c>
      <c r="C26" s="1198"/>
      <c r="D26" s="1197"/>
      <c r="E26" s="1197"/>
      <c r="F26" s="1197"/>
      <c r="G26" s="1197"/>
      <c r="H26" s="1197">
        <f>H24-H25</f>
        <v>-2519.9</v>
      </c>
      <c r="I26" s="1197">
        <f>I24-I25</f>
        <v>-1931.18</v>
      </c>
      <c r="J26" s="1196">
        <f>J24-J25</f>
        <v>-4267.67</v>
      </c>
    </row>
    <row r="29" spans="1:12" x14ac:dyDescent="0.25">
      <c r="C29" s="108" t="s">
        <v>1361</v>
      </c>
    </row>
  </sheetData>
  <mergeCells count="4">
    <mergeCell ref="A1:J1"/>
    <mergeCell ref="A4:C4"/>
    <mergeCell ref="A8:C8"/>
    <mergeCell ref="A23:C23"/>
  </mergeCells>
  <pageMargins left="0.75" right="0.75" top="1" bottom="1" header="0.5" footer="0.5"/>
  <pageSetup orientation="portrait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05462-4536-4043-B15A-616C78C6F045}">
  <sheetPr codeName="Sheet5"/>
  <dimension ref="A1:CV45"/>
  <sheetViews>
    <sheetView zoomScale="85" zoomScaleNormal="85" zoomScalePageLayoutView="85" workbookViewId="0">
      <pane ySplit="2" topLeftCell="A7" activePane="bottomLeft" state="frozen"/>
      <selection pane="bottomLeft" activeCell="C41" sqref="C41"/>
    </sheetView>
  </sheetViews>
  <sheetFormatPr defaultColWidth="12.140625" defaultRowHeight="15" x14ac:dyDescent="0.25"/>
  <cols>
    <col min="1" max="1" width="25" style="833" bestFit="1" customWidth="1"/>
    <col min="2" max="2" width="12.140625" style="833" customWidth="1"/>
    <col min="3" max="3" width="31.42578125" style="833" customWidth="1"/>
    <col min="4" max="4" width="37.28515625" style="833" customWidth="1"/>
    <col min="5" max="7" width="12.140625" style="833"/>
    <col min="8" max="8" width="13.85546875" style="833" bestFit="1" customWidth="1"/>
    <col min="9" max="9" width="0" style="833" hidden="1" customWidth="1"/>
    <col min="10" max="10" width="12.140625" style="833"/>
    <col min="11" max="100" width="12.140625" style="1193"/>
    <col min="101" max="16384" width="12.140625" style="833"/>
  </cols>
  <sheetData>
    <row r="1" spans="1:100" s="1193" customFormat="1" ht="26.25" x14ac:dyDescent="0.25">
      <c r="A1" s="996" t="s">
        <v>1360</v>
      </c>
      <c r="B1" s="996"/>
      <c r="C1" s="996"/>
      <c r="D1" s="996"/>
      <c r="E1" s="996"/>
      <c r="F1" s="996"/>
      <c r="G1" s="996"/>
      <c r="H1" s="996"/>
      <c r="I1" s="996"/>
      <c r="J1" s="996"/>
    </row>
    <row r="2" spans="1:100" ht="16.5" x14ac:dyDescent="0.3">
      <c r="A2" s="974"/>
      <c r="B2" s="973" t="s">
        <v>213</v>
      </c>
      <c r="C2" s="972" t="s">
        <v>212</v>
      </c>
      <c r="D2" s="995" t="s">
        <v>211</v>
      </c>
      <c r="E2" s="970" t="s">
        <v>210</v>
      </c>
      <c r="F2" s="969" t="s">
        <v>209</v>
      </c>
      <c r="G2" s="968" t="s">
        <v>208</v>
      </c>
      <c r="H2" s="968" t="s">
        <v>207</v>
      </c>
      <c r="I2" s="968" t="s">
        <v>232</v>
      </c>
      <c r="J2" s="967" t="s">
        <v>206</v>
      </c>
    </row>
    <row r="3" spans="1:100" ht="16.5" x14ac:dyDescent="0.3">
      <c r="A3" s="966"/>
      <c r="B3" s="994"/>
      <c r="C3" s="964"/>
      <c r="D3" s="806"/>
      <c r="E3" s="961"/>
      <c r="F3" s="962"/>
      <c r="G3" s="961"/>
      <c r="H3" s="961"/>
      <c r="I3" s="961"/>
      <c r="J3" s="756"/>
    </row>
    <row r="4" spans="1:100" ht="16.5" x14ac:dyDescent="0.3">
      <c r="A4" s="960" t="s">
        <v>81</v>
      </c>
      <c r="B4" s="993"/>
      <c r="C4" s="993"/>
      <c r="D4" s="665"/>
      <c r="E4" s="665"/>
      <c r="F4" s="666"/>
      <c r="G4" s="665"/>
      <c r="H4" s="665"/>
      <c r="I4" s="665"/>
      <c r="J4" s="664"/>
    </row>
    <row r="5" spans="1:100" ht="16.5" x14ac:dyDescent="0.3">
      <c r="A5" s="659"/>
      <c r="B5" s="742"/>
      <c r="C5" s="1193"/>
      <c r="D5" s="1193"/>
      <c r="E5" s="1193"/>
      <c r="F5" s="1193"/>
      <c r="G5" s="1193"/>
      <c r="H5" s="1193"/>
      <c r="I5" s="1193"/>
      <c r="J5" s="1195"/>
      <c r="K5" s="833"/>
      <c r="L5" s="833"/>
      <c r="M5" s="833"/>
      <c r="N5" s="833"/>
      <c r="O5" s="833"/>
      <c r="P5" s="833"/>
      <c r="Q5" s="833"/>
      <c r="R5" s="833"/>
      <c r="S5" s="833"/>
      <c r="T5" s="833"/>
      <c r="U5" s="833"/>
      <c r="V5" s="833"/>
      <c r="W5" s="833"/>
      <c r="X5" s="833"/>
      <c r="Y5" s="833"/>
      <c r="Z5" s="833"/>
      <c r="AA5" s="833"/>
      <c r="AB5" s="833"/>
      <c r="AC5" s="833"/>
      <c r="AD5" s="833"/>
      <c r="AE5" s="833"/>
      <c r="AF5" s="833"/>
      <c r="AG5" s="833"/>
      <c r="AH5" s="833"/>
      <c r="AI5" s="833"/>
      <c r="AJ5" s="833"/>
      <c r="AK5" s="833"/>
      <c r="AL5" s="833"/>
      <c r="AM5" s="833"/>
      <c r="AN5" s="833"/>
      <c r="AO5" s="833"/>
      <c r="AP5" s="833"/>
      <c r="AQ5" s="833"/>
      <c r="AR5" s="833"/>
      <c r="AS5" s="833"/>
      <c r="AT5" s="833"/>
      <c r="AU5" s="833"/>
      <c r="AV5" s="833"/>
      <c r="AW5" s="833"/>
      <c r="AX5" s="833"/>
      <c r="AY5" s="833"/>
      <c r="AZ5" s="833"/>
      <c r="BA5" s="833"/>
      <c r="BB5" s="833"/>
      <c r="BC5" s="833"/>
      <c r="BD5" s="833"/>
      <c r="BE5" s="833"/>
      <c r="BF5" s="833"/>
      <c r="BG5" s="833"/>
      <c r="BH5" s="833"/>
      <c r="BI5" s="833"/>
      <c r="BJ5" s="833"/>
      <c r="BK5" s="833"/>
      <c r="BL5" s="833"/>
      <c r="BM5" s="833"/>
      <c r="BN5" s="833"/>
      <c r="BO5" s="833"/>
      <c r="BP5" s="833"/>
      <c r="BQ5" s="833"/>
      <c r="BR5" s="833"/>
      <c r="BS5" s="833"/>
      <c r="BT5" s="833"/>
      <c r="BU5" s="833"/>
      <c r="BV5" s="833"/>
      <c r="BW5" s="833"/>
      <c r="BX5" s="833"/>
      <c r="BY5" s="833"/>
      <c r="BZ5" s="833"/>
      <c r="CA5" s="833"/>
      <c r="CB5" s="833"/>
      <c r="CC5" s="833"/>
      <c r="CD5" s="833"/>
      <c r="CE5" s="833"/>
      <c r="CF5" s="833"/>
      <c r="CG5" s="833"/>
      <c r="CH5" s="833"/>
      <c r="CI5" s="833"/>
      <c r="CJ5" s="833"/>
      <c r="CK5" s="833"/>
      <c r="CL5" s="833"/>
      <c r="CM5" s="833"/>
      <c r="CN5" s="833"/>
      <c r="CO5" s="833"/>
      <c r="CP5" s="833"/>
      <c r="CQ5" s="833"/>
      <c r="CR5" s="833"/>
      <c r="CS5" s="833"/>
      <c r="CT5" s="833"/>
      <c r="CU5" s="833"/>
      <c r="CV5" s="833"/>
    </row>
    <row r="6" spans="1:100" ht="16.5" x14ac:dyDescent="0.3">
      <c r="A6" s="659"/>
      <c r="B6" s="742"/>
      <c r="C6" s="742" t="s">
        <v>59</v>
      </c>
      <c r="D6" s="655"/>
      <c r="E6" s="655"/>
      <c r="F6" s="728"/>
      <c r="G6" s="655"/>
      <c r="H6" s="655">
        <v>0</v>
      </c>
      <c r="I6" s="655">
        <v>0</v>
      </c>
      <c r="J6" s="654">
        <v>0</v>
      </c>
      <c r="K6" s="833"/>
      <c r="L6" s="833"/>
      <c r="M6" s="833"/>
      <c r="N6" s="833"/>
      <c r="O6" s="833"/>
      <c r="P6" s="833"/>
      <c r="Q6" s="833"/>
      <c r="R6" s="833"/>
      <c r="S6" s="833"/>
      <c r="T6" s="833"/>
      <c r="U6" s="833"/>
      <c r="V6" s="833"/>
      <c r="W6" s="833"/>
      <c r="X6" s="833"/>
      <c r="Y6" s="833"/>
      <c r="Z6" s="833"/>
      <c r="AA6" s="833"/>
      <c r="AB6" s="833"/>
      <c r="AC6" s="833"/>
      <c r="AD6" s="833"/>
      <c r="AE6" s="833"/>
      <c r="AF6" s="833"/>
      <c r="AG6" s="833"/>
      <c r="AH6" s="833"/>
      <c r="AI6" s="833"/>
      <c r="AJ6" s="833"/>
      <c r="AK6" s="833"/>
      <c r="AL6" s="833"/>
      <c r="AM6" s="833"/>
      <c r="AN6" s="833"/>
      <c r="AO6" s="833"/>
      <c r="AP6" s="833"/>
      <c r="AQ6" s="833"/>
      <c r="AR6" s="833"/>
      <c r="AS6" s="833"/>
      <c r="AT6" s="833"/>
      <c r="AU6" s="833"/>
      <c r="AV6" s="833"/>
      <c r="AW6" s="833"/>
      <c r="AX6" s="833"/>
      <c r="AY6" s="833"/>
      <c r="AZ6" s="833"/>
      <c r="BA6" s="833"/>
      <c r="BB6" s="833"/>
      <c r="BC6" s="833"/>
      <c r="BD6" s="833"/>
      <c r="BE6" s="833"/>
      <c r="BF6" s="833"/>
      <c r="BG6" s="833"/>
      <c r="BH6" s="833"/>
      <c r="BI6" s="833"/>
      <c r="BJ6" s="833"/>
      <c r="BK6" s="833"/>
      <c r="BL6" s="833"/>
      <c r="BM6" s="833"/>
      <c r="BN6" s="833"/>
      <c r="BO6" s="833"/>
      <c r="BP6" s="833"/>
      <c r="BQ6" s="833"/>
      <c r="BR6" s="833"/>
      <c r="BS6" s="833"/>
      <c r="BT6" s="833"/>
      <c r="BU6" s="833"/>
      <c r="BV6" s="833"/>
      <c r="BW6" s="833"/>
      <c r="BX6" s="833"/>
      <c r="BY6" s="833"/>
      <c r="BZ6" s="833"/>
      <c r="CA6" s="833"/>
      <c r="CB6" s="833"/>
      <c r="CC6" s="833"/>
      <c r="CD6" s="833"/>
      <c r="CE6" s="833"/>
      <c r="CF6" s="833"/>
      <c r="CG6" s="833"/>
      <c r="CH6" s="833"/>
      <c r="CI6" s="833"/>
      <c r="CJ6" s="833"/>
      <c r="CK6" s="833"/>
      <c r="CL6" s="833"/>
      <c r="CM6" s="833"/>
      <c r="CN6" s="833"/>
      <c r="CO6" s="833"/>
      <c r="CP6" s="833"/>
      <c r="CQ6" s="833"/>
      <c r="CR6" s="833"/>
      <c r="CS6" s="833"/>
      <c r="CT6" s="833"/>
      <c r="CU6" s="833"/>
      <c r="CV6" s="833"/>
    </row>
    <row r="7" spans="1:100" ht="16.5" x14ac:dyDescent="0.3">
      <c r="A7" s="659"/>
      <c r="B7" s="742"/>
      <c r="C7" s="742"/>
      <c r="D7" s="655"/>
      <c r="E7" s="655"/>
      <c r="F7" s="728"/>
      <c r="G7" s="655"/>
      <c r="H7" s="655"/>
      <c r="I7" s="655"/>
      <c r="J7" s="654"/>
      <c r="K7" s="833"/>
      <c r="L7" s="833"/>
      <c r="M7" s="833"/>
      <c r="N7" s="833"/>
      <c r="O7" s="833"/>
      <c r="P7" s="833"/>
      <c r="Q7" s="833"/>
      <c r="R7" s="833"/>
      <c r="S7" s="833"/>
      <c r="T7" s="833"/>
      <c r="U7" s="833"/>
      <c r="V7" s="833"/>
      <c r="W7" s="833"/>
      <c r="X7" s="833"/>
      <c r="Y7" s="833"/>
      <c r="Z7" s="833"/>
      <c r="AA7" s="833"/>
      <c r="AB7" s="833"/>
      <c r="AC7" s="833"/>
      <c r="AD7" s="833"/>
      <c r="AE7" s="833"/>
      <c r="AF7" s="833"/>
      <c r="AG7" s="833"/>
      <c r="AH7" s="833"/>
      <c r="AI7" s="833"/>
      <c r="AJ7" s="833"/>
      <c r="AK7" s="833"/>
      <c r="AL7" s="833"/>
      <c r="AM7" s="833"/>
      <c r="AN7" s="833"/>
      <c r="AO7" s="833"/>
      <c r="AP7" s="833"/>
      <c r="AQ7" s="833"/>
      <c r="AR7" s="833"/>
      <c r="AS7" s="833"/>
      <c r="AT7" s="833"/>
      <c r="AU7" s="833"/>
      <c r="AV7" s="833"/>
      <c r="AW7" s="833"/>
      <c r="AX7" s="833"/>
      <c r="AY7" s="833"/>
      <c r="AZ7" s="833"/>
      <c r="BA7" s="833"/>
      <c r="BB7" s="833"/>
      <c r="BC7" s="833"/>
      <c r="BD7" s="833"/>
      <c r="BE7" s="833"/>
      <c r="BF7" s="833"/>
      <c r="BG7" s="833"/>
      <c r="BH7" s="833"/>
      <c r="BI7" s="833"/>
      <c r="BJ7" s="833"/>
      <c r="BK7" s="833"/>
      <c r="BL7" s="833"/>
      <c r="BM7" s="833"/>
      <c r="BN7" s="833"/>
      <c r="BO7" s="833"/>
      <c r="BP7" s="833"/>
      <c r="BQ7" s="833"/>
      <c r="BR7" s="833"/>
      <c r="BS7" s="833"/>
      <c r="BT7" s="833"/>
      <c r="BU7" s="833"/>
      <c r="BV7" s="833"/>
      <c r="BW7" s="833"/>
      <c r="BX7" s="833"/>
      <c r="BY7" s="833"/>
      <c r="BZ7" s="833"/>
      <c r="CA7" s="833"/>
      <c r="CB7" s="833"/>
      <c r="CC7" s="833"/>
      <c r="CD7" s="833"/>
      <c r="CE7" s="833"/>
      <c r="CF7" s="833"/>
      <c r="CG7" s="833"/>
      <c r="CH7" s="833"/>
      <c r="CI7" s="833"/>
      <c r="CJ7" s="833"/>
      <c r="CK7" s="833"/>
      <c r="CL7" s="833"/>
      <c r="CM7" s="833"/>
      <c r="CN7" s="833"/>
      <c r="CO7" s="833"/>
      <c r="CP7" s="833"/>
      <c r="CQ7" s="833"/>
      <c r="CR7" s="833"/>
      <c r="CS7" s="833"/>
      <c r="CT7" s="833"/>
      <c r="CU7" s="833"/>
      <c r="CV7" s="833"/>
    </row>
    <row r="8" spans="1:100" ht="16.5" x14ac:dyDescent="0.3">
      <c r="A8" s="960" t="s">
        <v>58</v>
      </c>
      <c r="B8" s="993"/>
      <c r="C8" s="993"/>
      <c r="D8" s="665"/>
      <c r="E8" s="991"/>
      <c r="F8" s="992"/>
      <c r="G8" s="991"/>
      <c r="H8" s="991"/>
      <c r="I8" s="991"/>
      <c r="J8" s="664"/>
      <c r="K8" s="833"/>
      <c r="L8" s="833"/>
      <c r="M8" s="833"/>
      <c r="N8" s="833"/>
      <c r="O8" s="833"/>
      <c r="P8" s="833"/>
      <c r="Q8" s="833"/>
      <c r="R8" s="833"/>
      <c r="S8" s="833"/>
      <c r="T8" s="833"/>
      <c r="U8" s="833"/>
      <c r="V8" s="833"/>
      <c r="W8" s="833"/>
      <c r="X8" s="833"/>
      <c r="Y8" s="833"/>
      <c r="Z8" s="833"/>
      <c r="AA8" s="833"/>
      <c r="AB8" s="833"/>
      <c r="AC8" s="833"/>
      <c r="AD8" s="833"/>
      <c r="AE8" s="833"/>
      <c r="AF8" s="833"/>
      <c r="AG8" s="833"/>
      <c r="AH8" s="833"/>
      <c r="AI8" s="833"/>
      <c r="AJ8" s="833"/>
      <c r="AK8" s="833"/>
      <c r="AL8" s="833"/>
      <c r="AM8" s="833"/>
      <c r="AN8" s="833"/>
      <c r="AO8" s="833"/>
      <c r="AP8" s="833"/>
      <c r="AQ8" s="833"/>
      <c r="AR8" s="833"/>
      <c r="AS8" s="833"/>
      <c r="AT8" s="833"/>
      <c r="AU8" s="833"/>
      <c r="AV8" s="833"/>
      <c r="AW8" s="833"/>
      <c r="AX8" s="833"/>
      <c r="AY8" s="833"/>
      <c r="AZ8" s="833"/>
      <c r="BA8" s="833"/>
      <c r="BB8" s="833"/>
      <c r="BC8" s="833"/>
      <c r="BD8" s="833"/>
      <c r="BE8" s="833"/>
      <c r="BF8" s="833"/>
      <c r="BG8" s="833"/>
      <c r="BH8" s="833"/>
      <c r="BI8" s="833"/>
      <c r="BJ8" s="833"/>
      <c r="BK8" s="833"/>
      <c r="BL8" s="833"/>
      <c r="BM8" s="833"/>
      <c r="BN8" s="833"/>
      <c r="BO8" s="833"/>
      <c r="BP8" s="833"/>
      <c r="BQ8" s="833"/>
      <c r="BR8" s="833"/>
      <c r="BS8" s="833"/>
      <c r="BT8" s="833"/>
      <c r="BU8" s="833"/>
      <c r="BV8" s="833"/>
      <c r="BW8" s="833"/>
      <c r="BX8" s="833"/>
      <c r="BY8" s="833"/>
      <c r="BZ8" s="833"/>
      <c r="CA8" s="833"/>
      <c r="CB8" s="833"/>
      <c r="CC8" s="833"/>
      <c r="CD8" s="833"/>
      <c r="CE8" s="833"/>
      <c r="CF8" s="833"/>
      <c r="CG8" s="833"/>
      <c r="CH8" s="833"/>
      <c r="CI8" s="833"/>
      <c r="CJ8" s="833"/>
      <c r="CK8" s="833"/>
      <c r="CL8" s="833"/>
      <c r="CM8" s="833"/>
      <c r="CN8" s="833"/>
      <c r="CO8" s="833"/>
      <c r="CP8" s="833"/>
      <c r="CQ8" s="833"/>
      <c r="CR8" s="833"/>
      <c r="CS8" s="833"/>
      <c r="CT8" s="833"/>
      <c r="CU8" s="833"/>
      <c r="CV8" s="833"/>
    </row>
    <row r="9" spans="1:100" ht="16.5" x14ac:dyDescent="0.3">
      <c r="A9" s="686"/>
      <c r="B9" s="658"/>
      <c r="C9" s="658"/>
      <c r="D9" s="724"/>
      <c r="E9" s="724"/>
      <c r="F9" s="725"/>
      <c r="G9" s="724"/>
      <c r="H9" s="724"/>
      <c r="I9" s="724"/>
      <c r="J9" s="693"/>
      <c r="K9" s="833"/>
      <c r="L9" s="833"/>
      <c r="M9" s="833"/>
      <c r="N9" s="833"/>
      <c r="O9" s="833"/>
      <c r="P9" s="833"/>
      <c r="Q9" s="833"/>
      <c r="R9" s="833"/>
      <c r="S9" s="833"/>
      <c r="T9" s="833"/>
      <c r="U9" s="833"/>
      <c r="V9" s="833"/>
      <c r="W9" s="833"/>
      <c r="X9" s="833"/>
      <c r="Y9" s="833"/>
      <c r="Z9" s="833"/>
      <c r="AA9" s="833"/>
      <c r="AB9" s="833"/>
      <c r="AC9" s="833"/>
      <c r="AD9" s="833"/>
      <c r="AE9" s="833"/>
      <c r="AF9" s="833"/>
      <c r="AG9" s="833"/>
      <c r="AH9" s="833"/>
      <c r="AI9" s="833"/>
      <c r="AJ9" s="833"/>
      <c r="AK9" s="833"/>
      <c r="AL9" s="833"/>
      <c r="AM9" s="833"/>
      <c r="AN9" s="833"/>
      <c r="AO9" s="833"/>
      <c r="AP9" s="833"/>
      <c r="AQ9" s="833"/>
      <c r="AR9" s="833"/>
      <c r="AS9" s="833"/>
      <c r="AT9" s="833"/>
      <c r="AU9" s="833"/>
      <c r="AV9" s="833"/>
      <c r="AW9" s="833"/>
      <c r="AX9" s="833"/>
      <c r="AY9" s="833"/>
      <c r="AZ9" s="833"/>
      <c r="BA9" s="833"/>
      <c r="BB9" s="833"/>
      <c r="BC9" s="833"/>
      <c r="BD9" s="833"/>
      <c r="BE9" s="833"/>
      <c r="BF9" s="833"/>
      <c r="BG9" s="833"/>
      <c r="BH9" s="833"/>
      <c r="BI9" s="833"/>
      <c r="BJ9" s="833"/>
      <c r="BK9" s="833"/>
      <c r="BL9" s="833"/>
      <c r="BM9" s="833"/>
      <c r="BN9" s="833"/>
      <c r="BO9" s="833"/>
      <c r="BP9" s="833"/>
      <c r="BQ9" s="833"/>
      <c r="BR9" s="833"/>
      <c r="BS9" s="833"/>
      <c r="BT9" s="833"/>
      <c r="BU9" s="833"/>
      <c r="BV9" s="833"/>
      <c r="BW9" s="833"/>
      <c r="BX9" s="833"/>
      <c r="BY9" s="833"/>
      <c r="BZ9" s="833"/>
      <c r="CA9" s="833"/>
      <c r="CB9" s="833"/>
      <c r="CC9" s="833"/>
      <c r="CD9" s="833"/>
      <c r="CE9" s="833"/>
      <c r="CF9" s="833"/>
      <c r="CG9" s="833"/>
      <c r="CH9" s="833"/>
      <c r="CI9" s="833"/>
      <c r="CJ9" s="833"/>
      <c r="CK9" s="833"/>
      <c r="CL9" s="833"/>
      <c r="CM9" s="833"/>
      <c r="CN9" s="833"/>
      <c r="CO9" s="833"/>
      <c r="CP9" s="833"/>
      <c r="CQ9" s="833"/>
      <c r="CR9" s="833"/>
      <c r="CS9" s="833"/>
      <c r="CT9" s="833"/>
      <c r="CU9" s="833"/>
      <c r="CV9" s="833"/>
    </row>
    <row r="10" spans="1:100" ht="16.5" x14ac:dyDescent="0.3">
      <c r="A10" s="742" t="s">
        <v>1359</v>
      </c>
      <c r="B10" s="742"/>
      <c r="D10" s="724"/>
      <c r="E10" s="724"/>
      <c r="F10" s="725"/>
      <c r="G10" s="724"/>
      <c r="H10" s="724"/>
      <c r="I10" s="724"/>
      <c r="J10" s="693"/>
      <c r="K10" s="833"/>
      <c r="L10" s="833"/>
      <c r="M10" s="833"/>
      <c r="N10" s="833"/>
      <c r="O10" s="833"/>
      <c r="P10" s="833"/>
      <c r="Q10" s="833"/>
      <c r="R10" s="833"/>
      <c r="S10" s="833"/>
      <c r="T10" s="833"/>
      <c r="U10" s="833"/>
      <c r="V10" s="833"/>
      <c r="W10" s="833"/>
      <c r="X10" s="833"/>
      <c r="Y10" s="833"/>
      <c r="Z10" s="833"/>
      <c r="AA10" s="833"/>
      <c r="AB10" s="833"/>
      <c r="AC10" s="833"/>
      <c r="AD10" s="833"/>
      <c r="AE10" s="833"/>
      <c r="AF10" s="833"/>
      <c r="AG10" s="833"/>
      <c r="AH10" s="833"/>
      <c r="AI10" s="833"/>
      <c r="AJ10" s="833"/>
      <c r="AK10" s="833"/>
      <c r="AL10" s="833"/>
      <c r="AM10" s="833"/>
      <c r="AN10" s="833"/>
      <c r="AO10" s="833"/>
      <c r="AP10" s="833"/>
      <c r="AQ10" s="833"/>
      <c r="AR10" s="833"/>
      <c r="AS10" s="833"/>
      <c r="AT10" s="833"/>
      <c r="AU10" s="833"/>
      <c r="AV10" s="833"/>
      <c r="AW10" s="833"/>
      <c r="AX10" s="833"/>
      <c r="AY10" s="833"/>
      <c r="AZ10" s="833"/>
      <c r="BA10" s="833"/>
      <c r="BB10" s="833"/>
      <c r="BC10" s="833"/>
      <c r="BD10" s="833"/>
      <c r="BE10" s="833"/>
      <c r="BF10" s="833"/>
      <c r="BG10" s="833"/>
      <c r="BH10" s="833"/>
      <c r="BI10" s="833"/>
      <c r="BJ10" s="833"/>
      <c r="BK10" s="833"/>
      <c r="BL10" s="833"/>
      <c r="BM10" s="833"/>
      <c r="BN10" s="833"/>
      <c r="BO10" s="833"/>
      <c r="BP10" s="833"/>
      <c r="BQ10" s="833"/>
      <c r="BR10" s="833"/>
      <c r="BS10" s="833"/>
      <c r="BT10" s="833"/>
      <c r="BU10" s="833"/>
      <c r="BV10" s="833"/>
      <c r="BW10" s="833"/>
      <c r="BX10" s="833"/>
      <c r="BY10" s="833"/>
      <c r="BZ10" s="833"/>
      <c r="CA10" s="833"/>
      <c r="CB10" s="833"/>
      <c r="CC10" s="833"/>
      <c r="CD10" s="833"/>
      <c r="CE10" s="833"/>
      <c r="CF10" s="833"/>
      <c r="CG10" s="833"/>
      <c r="CH10" s="833"/>
      <c r="CI10" s="833"/>
      <c r="CJ10" s="833"/>
      <c r="CK10" s="833"/>
      <c r="CL10" s="833"/>
      <c r="CM10" s="833"/>
      <c r="CN10" s="833"/>
      <c r="CO10" s="833"/>
      <c r="CP10" s="833"/>
      <c r="CQ10" s="833"/>
      <c r="CR10" s="833"/>
      <c r="CS10" s="833"/>
      <c r="CT10" s="833"/>
      <c r="CU10" s="833"/>
      <c r="CV10" s="833"/>
    </row>
    <row r="11" spans="1:100" ht="16.5" x14ac:dyDescent="0.3">
      <c r="A11" s="686"/>
      <c r="B11" s="985" t="s">
        <v>1358</v>
      </c>
      <c r="C11" s="749" t="s">
        <v>1357</v>
      </c>
      <c r="D11" s="701" t="s">
        <v>1356</v>
      </c>
      <c r="E11" s="701">
        <v>25</v>
      </c>
      <c r="F11" s="702">
        <v>24</v>
      </c>
      <c r="G11" s="701">
        <f>E11*F11</f>
        <v>600</v>
      </c>
      <c r="H11" s="701">
        <f>G11*1.13</f>
        <v>677.99999999999989</v>
      </c>
      <c r="I11" s="701">
        <f>'[1]Frozen Pivot'!B87</f>
        <v>385.51</v>
      </c>
      <c r="J11" s="700">
        <v>470</v>
      </c>
      <c r="K11" s="833"/>
      <c r="L11" s="833"/>
      <c r="M11" s="833"/>
      <c r="N11" s="833"/>
      <c r="O11" s="833"/>
      <c r="P11" s="833"/>
      <c r="Q11" s="833"/>
      <c r="R11" s="833"/>
      <c r="S11" s="833"/>
      <c r="T11" s="833"/>
      <c r="U11" s="833"/>
      <c r="V11" s="833"/>
      <c r="W11" s="833"/>
      <c r="X11" s="833"/>
      <c r="Y11" s="833"/>
      <c r="Z11" s="833"/>
      <c r="AA11" s="833"/>
      <c r="AB11" s="833"/>
      <c r="AC11" s="833"/>
      <c r="AD11" s="833"/>
      <c r="AE11" s="833"/>
      <c r="AF11" s="833"/>
      <c r="AG11" s="833"/>
      <c r="AH11" s="833"/>
      <c r="AI11" s="833"/>
      <c r="AJ11" s="833"/>
      <c r="AK11" s="833"/>
      <c r="AL11" s="833"/>
      <c r="AM11" s="833"/>
      <c r="AN11" s="833"/>
      <c r="AO11" s="833"/>
      <c r="AP11" s="833"/>
      <c r="AQ11" s="833"/>
      <c r="AR11" s="833"/>
      <c r="AS11" s="833"/>
      <c r="AT11" s="833"/>
      <c r="AU11" s="833"/>
      <c r="AV11" s="833"/>
      <c r="AW11" s="833"/>
      <c r="AX11" s="833"/>
      <c r="AY11" s="833"/>
      <c r="AZ11" s="833"/>
      <c r="BA11" s="833"/>
      <c r="BB11" s="833"/>
      <c r="BC11" s="833"/>
      <c r="BD11" s="833"/>
      <c r="BE11" s="833"/>
      <c r="BF11" s="833"/>
      <c r="BG11" s="833"/>
      <c r="BH11" s="833"/>
      <c r="BI11" s="833"/>
      <c r="BJ11" s="833"/>
      <c r="BK11" s="833"/>
      <c r="BL11" s="833"/>
      <c r="BM11" s="833"/>
      <c r="BN11" s="833"/>
      <c r="BO11" s="833"/>
      <c r="BP11" s="833"/>
      <c r="BQ11" s="833"/>
      <c r="BR11" s="833"/>
      <c r="BS11" s="833"/>
      <c r="BT11" s="833"/>
      <c r="BU11" s="833"/>
      <c r="BV11" s="833"/>
      <c r="BW11" s="833"/>
      <c r="BX11" s="833"/>
      <c r="BY11" s="833"/>
      <c r="BZ11" s="833"/>
      <c r="CA11" s="833"/>
      <c r="CB11" s="833"/>
      <c r="CC11" s="833"/>
      <c r="CD11" s="833"/>
      <c r="CE11" s="833"/>
      <c r="CF11" s="833"/>
      <c r="CG11" s="833"/>
      <c r="CH11" s="833"/>
      <c r="CI11" s="833"/>
      <c r="CJ11" s="833"/>
      <c r="CK11" s="833"/>
      <c r="CL11" s="833"/>
      <c r="CM11" s="833"/>
      <c r="CN11" s="833"/>
      <c r="CO11" s="833"/>
      <c r="CP11" s="833"/>
      <c r="CQ11" s="833"/>
      <c r="CR11" s="833"/>
      <c r="CS11" s="833"/>
      <c r="CT11" s="833"/>
      <c r="CU11" s="833"/>
      <c r="CV11" s="833"/>
    </row>
    <row r="12" spans="1:100" ht="16.5" x14ac:dyDescent="0.3">
      <c r="A12" s="686"/>
      <c r="B12" s="732" t="s">
        <v>1355</v>
      </c>
      <c r="C12" s="658" t="s">
        <v>1354</v>
      </c>
      <c r="D12" s="724" t="s">
        <v>1353</v>
      </c>
      <c r="E12" s="724">
        <v>19.989999999999998</v>
      </c>
      <c r="F12" s="725">
        <v>12</v>
      </c>
      <c r="G12" s="724">
        <f>E12*F12</f>
        <v>239.88</v>
      </c>
      <c r="H12" s="724">
        <f>G12*1.13</f>
        <v>271.06439999999998</v>
      </c>
      <c r="I12" s="809">
        <f>'[1]Frozen Pivot'!B88</f>
        <v>289.99</v>
      </c>
      <c r="J12" s="693">
        <v>289.99</v>
      </c>
      <c r="K12" s="833"/>
      <c r="L12" s="833"/>
      <c r="M12" s="833"/>
      <c r="N12" s="833"/>
      <c r="O12" s="833"/>
      <c r="P12" s="833"/>
      <c r="Q12" s="833"/>
      <c r="R12" s="833"/>
      <c r="S12" s="833"/>
      <c r="T12" s="833"/>
      <c r="U12" s="833"/>
      <c r="V12" s="833"/>
      <c r="W12" s="833"/>
      <c r="X12" s="833"/>
      <c r="Y12" s="833"/>
      <c r="Z12" s="833"/>
      <c r="AA12" s="833"/>
      <c r="AB12" s="833"/>
      <c r="AC12" s="833"/>
      <c r="AD12" s="833"/>
      <c r="AE12" s="833"/>
      <c r="AF12" s="833"/>
      <c r="AG12" s="833"/>
      <c r="AH12" s="833"/>
      <c r="AI12" s="833"/>
      <c r="AJ12" s="833"/>
      <c r="AK12" s="833"/>
      <c r="AL12" s="833"/>
      <c r="AM12" s="833"/>
      <c r="AN12" s="833"/>
      <c r="AO12" s="833"/>
      <c r="AP12" s="833"/>
      <c r="AQ12" s="833"/>
      <c r="AR12" s="833"/>
      <c r="AS12" s="833"/>
      <c r="AT12" s="833"/>
      <c r="AU12" s="833"/>
      <c r="AV12" s="833"/>
      <c r="AW12" s="833"/>
      <c r="AX12" s="833"/>
      <c r="AY12" s="833"/>
      <c r="AZ12" s="833"/>
      <c r="BA12" s="833"/>
      <c r="BB12" s="833"/>
      <c r="BC12" s="833"/>
      <c r="BD12" s="833"/>
      <c r="BE12" s="833"/>
      <c r="BF12" s="833"/>
      <c r="BG12" s="833"/>
      <c r="BH12" s="833"/>
      <c r="BI12" s="833"/>
      <c r="BJ12" s="833"/>
      <c r="BK12" s="833"/>
      <c r="BL12" s="833"/>
      <c r="BM12" s="833"/>
      <c r="BN12" s="833"/>
      <c r="BO12" s="833"/>
      <c r="BP12" s="833"/>
      <c r="BQ12" s="833"/>
      <c r="BR12" s="833"/>
      <c r="BS12" s="833"/>
      <c r="BT12" s="833"/>
      <c r="BU12" s="833"/>
      <c r="BV12" s="833"/>
      <c r="BW12" s="833"/>
      <c r="BX12" s="833"/>
      <c r="BY12" s="833"/>
      <c r="BZ12" s="833"/>
      <c r="CA12" s="833"/>
      <c r="CB12" s="833"/>
      <c r="CC12" s="833"/>
      <c r="CD12" s="833"/>
      <c r="CE12" s="833"/>
      <c r="CF12" s="833"/>
      <c r="CG12" s="833"/>
      <c r="CH12" s="833"/>
      <c r="CI12" s="833"/>
      <c r="CJ12" s="833"/>
      <c r="CK12" s="833"/>
      <c r="CL12" s="833"/>
      <c r="CM12" s="833"/>
      <c r="CN12" s="833"/>
      <c r="CO12" s="833"/>
      <c r="CP12" s="833"/>
      <c r="CQ12" s="833"/>
      <c r="CR12" s="833"/>
      <c r="CS12" s="833"/>
      <c r="CT12" s="833"/>
      <c r="CU12" s="833"/>
      <c r="CV12" s="833"/>
    </row>
    <row r="13" spans="1:100" ht="16.5" x14ac:dyDescent="0.3">
      <c r="A13" s="686"/>
      <c r="B13" s="663"/>
      <c r="C13" s="663"/>
      <c r="D13" s="701"/>
      <c r="E13" s="701"/>
      <c r="F13" s="702"/>
      <c r="G13" s="701"/>
      <c r="H13" s="701"/>
      <c r="I13" s="701"/>
      <c r="J13" s="700"/>
      <c r="K13" s="833"/>
      <c r="L13" s="833"/>
      <c r="M13" s="833"/>
      <c r="N13" s="833"/>
      <c r="O13" s="833"/>
      <c r="P13" s="833"/>
      <c r="Q13" s="833"/>
      <c r="R13" s="833"/>
      <c r="S13" s="833"/>
      <c r="T13" s="833"/>
      <c r="U13" s="833"/>
      <c r="V13" s="833"/>
      <c r="W13" s="833"/>
      <c r="X13" s="833"/>
      <c r="Y13" s="833"/>
      <c r="Z13" s="833"/>
      <c r="AA13" s="833"/>
      <c r="AB13" s="833"/>
      <c r="AC13" s="833"/>
      <c r="AD13" s="833"/>
      <c r="AE13" s="833"/>
      <c r="AF13" s="833"/>
      <c r="AG13" s="833"/>
      <c r="AH13" s="833"/>
      <c r="AI13" s="833"/>
      <c r="AJ13" s="833"/>
      <c r="AK13" s="833"/>
      <c r="AL13" s="833"/>
      <c r="AM13" s="833"/>
      <c r="AN13" s="833"/>
      <c r="AO13" s="833"/>
      <c r="AP13" s="833"/>
      <c r="AQ13" s="833"/>
      <c r="AR13" s="833"/>
      <c r="AS13" s="833"/>
      <c r="AT13" s="833"/>
      <c r="AU13" s="833"/>
      <c r="AV13" s="833"/>
      <c r="AW13" s="833"/>
      <c r="AX13" s="833"/>
      <c r="AY13" s="833"/>
      <c r="AZ13" s="833"/>
      <c r="BA13" s="833"/>
      <c r="BB13" s="833"/>
      <c r="BC13" s="833"/>
      <c r="BD13" s="833"/>
      <c r="BE13" s="833"/>
      <c r="BF13" s="833"/>
      <c r="BG13" s="833"/>
      <c r="BH13" s="833"/>
      <c r="BI13" s="833"/>
      <c r="BJ13" s="833"/>
      <c r="BK13" s="833"/>
      <c r="BL13" s="833"/>
      <c r="BM13" s="833"/>
      <c r="BN13" s="833"/>
      <c r="BO13" s="833"/>
      <c r="BP13" s="833"/>
      <c r="BQ13" s="833"/>
      <c r="BR13" s="833"/>
      <c r="BS13" s="833"/>
      <c r="BT13" s="833"/>
      <c r="BU13" s="833"/>
      <c r="BV13" s="833"/>
      <c r="BW13" s="833"/>
      <c r="BX13" s="833"/>
      <c r="BY13" s="833"/>
      <c r="BZ13" s="833"/>
      <c r="CA13" s="833"/>
      <c r="CB13" s="833"/>
      <c r="CC13" s="833"/>
      <c r="CD13" s="833"/>
      <c r="CE13" s="833"/>
      <c r="CF13" s="833"/>
      <c r="CG13" s="833"/>
      <c r="CH13" s="833"/>
      <c r="CI13" s="833"/>
      <c r="CJ13" s="833"/>
      <c r="CK13" s="833"/>
      <c r="CL13" s="833"/>
      <c r="CM13" s="833"/>
      <c r="CN13" s="833"/>
      <c r="CO13" s="833"/>
      <c r="CP13" s="833"/>
      <c r="CQ13" s="833"/>
      <c r="CR13" s="833"/>
      <c r="CS13" s="833"/>
      <c r="CT13" s="833"/>
      <c r="CU13" s="833"/>
      <c r="CV13" s="833"/>
    </row>
    <row r="14" spans="1:100" ht="16.5" x14ac:dyDescent="0.3">
      <c r="A14" s="686"/>
      <c r="B14" s="685" t="s">
        <v>1352</v>
      </c>
      <c r="C14" s="733"/>
      <c r="D14" s="680"/>
      <c r="E14" s="680"/>
      <c r="F14" s="716"/>
      <c r="G14" s="680"/>
      <c r="H14" s="680">
        <f>SUM(H11:H13)</f>
        <v>949.06439999999986</v>
      </c>
      <c r="I14" s="680">
        <f>SUM(I11:I13)</f>
        <v>675.5</v>
      </c>
      <c r="J14" s="679">
        <f>SUM(J11:J13)</f>
        <v>759.99</v>
      </c>
      <c r="K14" s="833"/>
      <c r="L14" s="833"/>
      <c r="M14" s="833"/>
      <c r="N14" s="833"/>
      <c r="O14" s="833"/>
      <c r="P14" s="833"/>
      <c r="Q14" s="833"/>
      <c r="R14" s="833"/>
      <c r="S14" s="833"/>
      <c r="T14" s="833"/>
      <c r="U14" s="833"/>
      <c r="V14" s="833"/>
      <c r="W14" s="833"/>
      <c r="X14" s="833"/>
      <c r="Y14" s="833"/>
      <c r="Z14" s="833"/>
      <c r="AA14" s="833"/>
      <c r="AB14" s="833"/>
      <c r="AC14" s="833"/>
      <c r="AD14" s="833"/>
      <c r="AE14" s="833"/>
      <c r="AF14" s="833"/>
      <c r="AG14" s="833"/>
      <c r="AH14" s="833"/>
      <c r="AI14" s="833"/>
      <c r="AJ14" s="833"/>
      <c r="AK14" s="833"/>
      <c r="AL14" s="833"/>
      <c r="AM14" s="833"/>
      <c r="AN14" s="833"/>
      <c r="AO14" s="833"/>
      <c r="AP14" s="833"/>
      <c r="AQ14" s="833"/>
      <c r="AR14" s="833"/>
      <c r="AS14" s="833"/>
      <c r="AT14" s="833"/>
      <c r="AU14" s="833"/>
      <c r="AV14" s="833"/>
      <c r="AW14" s="833"/>
      <c r="AX14" s="833"/>
      <c r="AY14" s="833"/>
      <c r="AZ14" s="833"/>
      <c r="BA14" s="833"/>
      <c r="BB14" s="833"/>
      <c r="BC14" s="833"/>
      <c r="BD14" s="833"/>
      <c r="BE14" s="833"/>
      <c r="BF14" s="833"/>
      <c r="BG14" s="833"/>
      <c r="BH14" s="833"/>
      <c r="BI14" s="833"/>
      <c r="BJ14" s="833"/>
      <c r="BK14" s="833"/>
      <c r="BL14" s="833"/>
      <c r="BM14" s="833"/>
      <c r="BN14" s="833"/>
      <c r="BO14" s="833"/>
      <c r="BP14" s="833"/>
      <c r="BQ14" s="833"/>
      <c r="BR14" s="833"/>
      <c r="BS14" s="833"/>
      <c r="BT14" s="833"/>
      <c r="BU14" s="833"/>
      <c r="BV14" s="833"/>
      <c r="BW14" s="833"/>
      <c r="BX14" s="833"/>
      <c r="BY14" s="833"/>
      <c r="BZ14" s="833"/>
      <c r="CA14" s="833"/>
      <c r="CB14" s="833"/>
      <c r="CC14" s="833"/>
      <c r="CD14" s="833"/>
      <c r="CE14" s="833"/>
      <c r="CF14" s="833"/>
      <c r="CG14" s="833"/>
      <c r="CH14" s="833"/>
      <c r="CI14" s="833"/>
      <c r="CJ14" s="833"/>
      <c r="CK14" s="833"/>
      <c r="CL14" s="833"/>
      <c r="CM14" s="833"/>
      <c r="CN14" s="833"/>
      <c r="CO14" s="833"/>
      <c r="CP14" s="833"/>
      <c r="CQ14" s="833"/>
      <c r="CR14" s="833"/>
      <c r="CS14" s="833"/>
      <c r="CT14" s="833"/>
      <c r="CU14" s="833"/>
      <c r="CV14" s="833"/>
    </row>
    <row r="15" spans="1:100" ht="16.5" x14ac:dyDescent="0.3">
      <c r="A15" s="686"/>
      <c r="B15" s="658"/>
      <c r="C15" s="658"/>
      <c r="D15" s="724"/>
      <c r="E15" s="724"/>
      <c r="F15" s="725"/>
      <c r="G15" s="724"/>
      <c r="H15" s="724"/>
      <c r="I15" s="724"/>
      <c r="J15" s="693"/>
      <c r="K15" s="833"/>
      <c r="L15" s="833"/>
      <c r="M15" s="833"/>
      <c r="N15" s="833"/>
      <c r="O15" s="833"/>
      <c r="P15" s="833"/>
      <c r="Q15" s="833"/>
      <c r="R15" s="833"/>
      <c r="S15" s="833"/>
      <c r="T15" s="833"/>
      <c r="U15" s="833"/>
      <c r="V15" s="833"/>
      <c r="W15" s="833"/>
      <c r="X15" s="833"/>
      <c r="Y15" s="833"/>
      <c r="Z15" s="833"/>
      <c r="AA15" s="833"/>
      <c r="AB15" s="833"/>
      <c r="AC15" s="833"/>
      <c r="AD15" s="833"/>
      <c r="AE15" s="833"/>
      <c r="AF15" s="833"/>
      <c r="AG15" s="833"/>
      <c r="AH15" s="833"/>
      <c r="AI15" s="833"/>
      <c r="AJ15" s="833"/>
      <c r="AK15" s="833"/>
      <c r="AL15" s="833"/>
      <c r="AM15" s="833"/>
      <c r="AN15" s="833"/>
      <c r="AO15" s="833"/>
      <c r="AP15" s="833"/>
      <c r="AQ15" s="833"/>
      <c r="AR15" s="833"/>
      <c r="AS15" s="833"/>
      <c r="AT15" s="833"/>
      <c r="AU15" s="833"/>
      <c r="AV15" s="833"/>
      <c r="AW15" s="833"/>
      <c r="AX15" s="833"/>
      <c r="AY15" s="833"/>
      <c r="AZ15" s="833"/>
      <c r="BA15" s="833"/>
      <c r="BB15" s="833"/>
      <c r="BC15" s="833"/>
      <c r="BD15" s="833"/>
      <c r="BE15" s="833"/>
      <c r="BF15" s="833"/>
      <c r="BG15" s="833"/>
      <c r="BH15" s="833"/>
      <c r="BI15" s="833"/>
      <c r="BJ15" s="833"/>
      <c r="BK15" s="833"/>
      <c r="BL15" s="833"/>
      <c r="BM15" s="833"/>
      <c r="BN15" s="833"/>
      <c r="BO15" s="833"/>
      <c r="BP15" s="833"/>
      <c r="BQ15" s="833"/>
      <c r="BR15" s="833"/>
      <c r="BS15" s="833"/>
      <c r="BT15" s="833"/>
      <c r="BU15" s="833"/>
      <c r="BV15" s="833"/>
      <c r="BW15" s="833"/>
      <c r="BX15" s="833"/>
      <c r="BY15" s="833"/>
      <c r="BZ15" s="833"/>
      <c r="CA15" s="833"/>
      <c r="CB15" s="833"/>
      <c r="CC15" s="833"/>
      <c r="CD15" s="833"/>
      <c r="CE15" s="833"/>
      <c r="CF15" s="833"/>
      <c r="CG15" s="833"/>
      <c r="CH15" s="833"/>
      <c r="CI15" s="833"/>
      <c r="CJ15" s="833"/>
      <c r="CK15" s="833"/>
      <c r="CL15" s="833"/>
      <c r="CM15" s="833"/>
      <c r="CN15" s="833"/>
      <c r="CO15" s="833"/>
      <c r="CP15" s="833"/>
      <c r="CQ15" s="833"/>
      <c r="CR15" s="833"/>
      <c r="CS15" s="833"/>
      <c r="CT15" s="833"/>
      <c r="CU15" s="833"/>
      <c r="CV15" s="833"/>
    </row>
    <row r="16" spans="1:100" ht="16.5" x14ac:dyDescent="0.3">
      <c r="A16" s="742" t="s">
        <v>901</v>
      </c>
      <c r="B16" s="742"/>
      <c r="D16" s="724"/>
      <c r="E16" s="724"/>
      <c r="F16" s="725"/>
      <c r="G16" s="724"/>
      <c r="H16" s="724"/>
      <c r="I16" s="724"/>
      <c r="J16" s="693"/>
      <c r="K16" s="833"/>
      <c r="L16" s="833"/>
      <c r="M16" s="833"/>
      <c r="N16" s="833"/>
      <c r="O16" s="833"/>
      <c r="P16" s="833"/>
      <c r="Q16" s="833"/>
      <c r="R16" s="833"/>
      <c r="S16" s="833"/>
      <c r="T16" s="833"/>
      <c r="U16" s="833"/>
      <c r="V16" s="833"/>
      <c r="W16" s="833"/>
      <c r="X16" s="833"/>
      <c r="Y16" s="833"/>
      <c r="Z16" s="833"/>
      <c r="AA16" s="833"/>
      <c r="AB16" s="833"/>
      <c r="AC16" s="833"/>
      <c r="AD16" s="833"/>
      <c r="AE16" s="833"/>
      <c r="AF16" s="833"/>
      <c r="AG16" s="833"/>
      <c r="AH16" s="833"/>
      <c r="AI16" s="833"/>
      <c r="AJ16" s="833"/>
      <c r="AK16" s="833"/>
      <c r="AL16" s="833"/>
      <c r="AM16" s="833"/>
      <c r="AN16" s="833"/>
      <c r="AO16" s="833"/>
      <c r="AP16" s="833"/>
      <c r="AQ16" s="833"/>
      <c r="AR16" s="833"/>
      <c r="AS16" s="833"/>
      <c r="AT16" s="833"/>
      <c r="AU16" s="833"/>
      <c r="AV16" s="833"/>
      <c r="AW16" s="833"/>
      <c r="AX16" s="833"/>
      <c r="AY16" s="833"/>
      <c r="AZ16" s="833"/>
      <c r="BA16" s="833"/>
      <c r="BB16" s="833"/>
      <c r="BC16" s="833"/>
      <c r="BD16" s="833"/>
      <c r="BE16" s="833"/>
      <c r="BF16" s="833"/>
      <c r="BG16" s="833"/>
      <c r="BH16" s="833"/>
      <c r="BI16" s="833"/>
      <c r="BJ16" s="833"/>
      <c r="BK16" s="833"/>
      <c r="BL16" s="833"/>
      <c r="BM16" s="833"/>
      <c r="BN16" s="833"/>
      <c r="BO16" s="833"/>
      <c r="BP16" s="833"/>
      <c r="BQ16" s="833"/>
      <c r="BR16" s="833"/>
      <c r="BS16" s="833"/>
      <c r="BT16" s="833"/>
      <c r="BU16" s="833"/>
      <c r="BV16" s="833"/>
      <c r="BW16" s="833"/>
      <c r="BX16" s="833"/>
      <c r="BY16" s="833"/>
      <c r="BZ16" s="833"/>
      <c r="CA16" s="833"/>
      <c r="CB16" s="833"/>
      <c r="CC16" s="833"/>
      <c r="CD16" s="833"/>
      <c r="CE16" s="833"/>
      <c r="CF16" s="833"/>
      <c r="CG16" s="833"/>
      <c r="CH16" s="833"/>
      <c r="CI16" s="833"/>
      <c r="CJ16" s="833"/>
      <c r="CK16" s="833"/>
      <c r="CL16" s="833"/>
      <c r="CM16" s="833"/>
      <c r="CN16" s="833"/>
      <c r="CO16" s="833"/>
      <c r="CP16" s="833"/>
      <c r="CQ16" s="833"/>
      <c r="CR16" s="833"/>
      <c r="CS16" s="833"/>
      <c r="CT16" s="833"/>
      <c r="CU16" s="833"/>
      <c r="CV16" s="833"/>
    </row>
    <row r="17" spans="1:100" ht="16.5" x14ac:dyDescent="0.3">
      <c r="A17" s="686"/>
      <c r="B17" s="985" t="s">
        <v>1351</v>
      </c>
      <c r="C17" s="749" t="s">
        <v>1350</v>
      </c>
      <c r="D17" s="701" t="s">
        <v>1349</v>
      </c>
      <c r="E17" s="701">
        <v>6.77</v>
      </c>
      <c r="F17" s="702">
        <v>50</v>
      </c>
      <c r="G17" s="701">
        <f>E17*F17</f>
        <v>338.5</v>
      </c>
      <c r="H17" s="701">
        <f>G17*1.13</f>
        <v>382.50499999999994</v>
      </c>
      <c r="I17" s="701">
        <f>'[1]Frozen Pivot'!B89</f>
        <v>746.12</v>
      </c>
      <c r="J17" s="700">
        <v>746.12</v>
      </c>
      <c r="K17" s="833"/>
      <c r="L17" s="833"/>
      <c r="M17" s="833"/>
      <c r="N17" s="833"/>
      <c r="O17" s="833"/>
      <c r="P17" s="833"/>
      <c r="Q17" s="833"/>
      <c r="R17" s="833"/>
      <c r="S17" s="833"/>
      <c r="T17" s="833"/>
      <c r="U17" s="833"/>
      <c r="V17" s="833"/>
      <c r="W17" s="833"/>
      <c r="X17" s="833"/>
      <c r="Y17" s="833"/>
      <c r="Z17" s="833"/>
      <c r="AA17" s="833"/>
      <c r="AB17" s="833"/>
      <c r="AC17" s="833"/>
      <c r="AD17" s="833"/>
      <c r="AE17" s="833"/>
      <c r="AF17" s="833"/>
      <c r="AG17" s="833"/>
      <c r="AH17" s="833"/>
      <c r="AI17" s="833"/>
      <c r="AJ17" s="833"/>
      <c r="AK17" s="833"/>
      <c r="AL17" s="833"/>
      <c r="AM17" s="833"/>
      <c r="AN17" s="833"/>
      <c r="AO17" s="833"/>
      <c r="AP17" s="833"/>
      <c r="AQ17" s="833"/>
      <c r="AR17" s="833"/>
      <c r="AS17" s="833"/>
      <c r="AT17" s="833"/>
      <c r="AU17" s="833"/>
      <c r="AV17" s="833"/>
      <c r="AW17" s="833"/>
      <c r="AX17" s="833"/>
      <c r="AY17" s="833"/>
      <c r="AZ17" s="833"/>
      <c r="BA17" s="833"/>
      <c r="BB17" s="833"/>
      <c r="BC17" s="833"/>
      <c r="BD17" s="833"/>
      <c r="BE17" s="833"/>
      <c r="BF17" s="833"/>
      <c r="BG17" s="833"/>
      <c r="BH17" s="833"/>
      <c r="BI17" s="833"/>
      <c r="BJ17" s="833"/>
      <c r="BK17" s="833"/>
      <c r="BL17" s="833"/>
      <c r="BM17" s="833"/>
      <c r="BN17" s="833"/>
      <c r="BO17" s="833"/>
      <c r="BP17" s="833"/>
      <c r="BQ17" s="833"/>
      <c r="BR17" s="833"/>
      <c r="BS17" s="833"/>
      <c r="BT17" s="833"/>
      <c r="BU17" s="833"/>
      <c r="BV17" s="833"/>
      <c r="BW17" s="833"/>
      <c r="BX17" s="833"/>
      <c r="BY17" s="833"/>
      <c r="BZ17" s="833"/>
      <c r="CA17" s="833"/>
      <c r="CB17" s="833"/>
      <c r="CC17" s="833"/>
      <c r="CD17" s="833"/>
      <c r="CE17" s="833"/>
      <c r="CF17" s="833"/>
      <c r="CG17" s="833"/>
      <c r="CH17" s="833"/>
      <c r="CI17" s="833"/>
      <c r="CJ17" s="833"/>
      <c r="CK17" s="833"/>
      <c r="CL17" s="833"/>
      <c r="CM17" s="833"/>
      <c r="CN17" s="833"/>
      <c r="CO17" s="833"/>
      <c r="CP17" s="833"/>
      <c r="CQ17" s="833"/>
      <c r="CR17" s="833"/>
      <c r="CS17" s="833"/>
      <c r="CT17" s="833"/>
      <c r="CU17" s="833"/>
      <c r="CV17" s="833"/>
    </row>
    <row r="18" spans="1:100" ht="16.5" x14ac:dyDescent="0.3">
      <c r="A18" s="686"/>
      <c r="B18" s="732" t="s">
        <v>1348</v>
      </c>
      <c r="C18" s="658" t="s">
        <v>1347</v>
      </c>
      <c r="D18" s="724" t="s">
        <v>1346</v>
      </c>
      <c r="E18" s="724">
        <v>15</v>
      </c>
      <c r="F18" s="725">
        <v>8</v>
      </c>
      <c r="G18" s="724">
        <f>E18*F18</f>
        <v>120</v>
      </c>
      <c r="H18" s="724">
        <f>G18*1.13</f>
        <v>135.6</v>
      </c>
      <c r="I18" s="724">
        <f>'[1]Frozen Pivot'!B90</f>
        <v>45</v>
      </c>
      <c r="J18" s="693">
        <v>120</v>
      </c>
      <c r="K18" s="833"/>
      <c r="L18" s="833"/>
      <c r="M18" s="833"/>
      <c r="N18" s="833"/>
      <c r="O18" s="833"/>
      <c r="P18" s="833"/>
      <c r="Q18" s="833"/>
      <c r="R18" s="833"/>
      <c r="S18" s="833"/>
      <c r="T18" s="833"/>
      <c r="U18" s="833"/>
      <c r="V18" s="833"/>
      <c r="W18" s="833"/>
      <c r="X18" s="833"/>
      <c r="Y18" s="833"/>
      <c r="Z18" s="833"/>
      <c r="AA18" s="833"/>
      <c r="AB18" s="833"/>
      <c r="AC18" s="833"/>
      <c r="AD18" s="833"/>
      <c r="AE18" s="833"/>
      <c r="AF18" s="833"/>
      <c r="AG18" s="833"/>
      <c r="AH18" s="833"/>
      <c r="AI18" s="833"/>
      <c r="AJ18" s="833"/>
      <c r="AK18" s="833"/>
      <c r="AL18" s="833"/>
      <c r="AM18" s="833"/>
      <c r="AN18" s="833"/>
      <c r="AO18" s="833"/>
      <c r="AP18" s="833"/>
      <c r="AQ18" s="833"/>
      <c r="AR18" s="833"/>
      <c r="AS18" s="833"/>
      <c r="AT18" s="833"/>
      <c r="AU18" s="833"/>
      <c r="AV18" s="833"/>
      <c r="AW18" s="833"/>
      <c r="AX18" s="833"/>
      <c r="AY18" s="833"/>
      <c r="AZ18" s="833"/>
      <c r="BA18" s="833"/>
      <c r="BB18" s="833"/>
      <c r="BC18" s="833"/>
      <c r="BD18" s="833"/>
      <c r="BE18" s="833"/>
      <c r="BF18" s="833"/>
      <c r="BG18" s="833"/>
      <c r="BH18" s="833"/>
      <c r="BI18" s="833"/>
      <c r="BJ18" s="833"/>
      <c r="BK18" s="833"/>
      <c r="BL18" s="833"/>
      <c r="BM18" s="833"/>
      <c r="BN18" s="833"/>
      <c r="BO18" s="833"/>
      <c r="BP18" s="833"/>
      <c r="BQ18" s="833"/>
      <c r="BR18" s="833"/>
      <c r="BS18" s="833"/>
      <c r="BT18" s="833"/>
      <c r="BU18" s="833"/>
      <c r="BV18" s="833"/>
      <c r="BW18" s="833"/>
      <c r="BX18" s="833"/>
      <c r="BY18" s="833"/>
      <c r="BZ18" s="833"/>
      <c r="CA18" s="833"/>
      <c r="CB18" s="833"/>
      <c r="CC18" s="833"/>
      <c r="CD18" s="833"/>
      <c r="CE18" s="833"/>
      <c r="CF18" s="833"/>
      <c r="CG18" s="833"/>
      <c r="CH18" s="833"/>
      <c r="CI18" s="833"/>
      <c r="CJ18" s="833"/>
      <c r="CK18" s="833"/>
      <c r="CL18" s="833"/>
      <c r="CM18" s="833"/>
      <c r="CN18" s="833"/>
      <c r="CO18" s="833"/>
      <c r="CP18" s="833"/>
      <c r="CQ18" s="833"/>
      <c r="CR18" s="833"/>
      <c r="CS18" s="833"/>
      <c r="CT18" s="833"/>
      <c r="CU18" s="833"/>
      <c r="CV18" s="833"/>
    </row>
    <row r="19" spans="1:100" ht="16.5" x14ac:dyDescent="0.3">
      <c r="A19" s="686"/>
      <c r="B19" s="663"/>
      <c r="C19" s="663"/>
      <c r="D19" s="701"/>
      <c r="E19" s="701"/>
      <c r="F19" s="702"/>
      <c r="G19" s="701"/>
      <c r="H19" s="701"/>
      <c r="I19" s="701"/>
      <c r="J19" s="700"/>
      <c r="K19" s="833"/>
      <c r="L19" s="833"/>
      <c r="M19" s="833"/>
      <c r="N19" s="833"/>
      <c r="O19" s="833"/>
      <c r="P19" s="833"/>
      <c r="Q19" s="833"/>
      <c r="R19" s="833"/>
      <c r="S19" s="833"/>
      <c r="T19" s="833"/>
      <c r="U19" s="833"/>
      <c r="V19" s="833"/>
      <c r="W19" s="833"/>
      <c r="X19" s="833"/>
      <c r="Y19" s="833"/>
      <c r="Z19" s="833"/>
      <c r="AA19" s="833"/>
      <c r="AB19" s="833"/>
      <c r="AC19" s="833"/>
      <c r="AD19" s="833"/>
      <c r="AE19" s="833"/>
      <c r="AF19" s="833"/>
      <c r="AG19" s="833"/>
      <c r="AH19" s="833"/>
      <c r="AI19" s="833"/>
      <c r="AJ19" s="833"/>
      <c r="AK19" s="833"/>
      <c r="AL19" s="833"/>
      <c r="AM19" s="833"/>
      <c r="AN19" s="833"/>
      <c r="AO19" s="833"/>
      <c r="AP19" s="833"/>
      <c r="AQ19" s="833"/>
      <c r="AR19" s="833"/>
      <c r="AS19" s="833"/>
      <c r="AT19" s="833"/>
      <c r="AU19" s="833"/>
      <c r="AV19" s="833"/>
      <c r="AW19" s="833"/>
      <c r="AX19" s="833"/>
      <c r="AY19" s="833"/>
      <c r="AZ19" s="833"/>
      <c r="BA19" s="833"/>
      <c r="BB19" s="833"/>
      <c r="BC19" s="833"/>
      <c r="BD19" s="833"/>
      <c r="BE19" s="833"/>
      <c r="BF19" s="833"/>
      <c r="BG19" s="833"/>
      <c r="BH19" s="833"/>
      <c r="BI19" s="833"/>
      <c r="BJ19" s="833"/>
      <c r="BK19" s="833"/>
      <c r="BL19" s="833"/>
      <c r="BM19" s="833"/>
      <c r="BN19" s="833"/>
      <c r="BO19" s="833"/>
      <c r="BP19" s="833"/>
      <c r="BQ19" s="833"/>
      <c r="BR19" s="833"/>
      <c r="BS19" s="833"/>
      <c r="BT19" s="833"/>
      <c r="BU19" s="833"/>
      <c r="BV19" s="833"/>
      <c r="BW19" s="833"/>
      <c r="BX19" s="833"/>
      <c r="BY19" s="833"/>
      <c r="BZ19" s="833"/>
      <c r="CA19" s="833"/>
      <c r="CB19" s="833"/>
      <c r="CC19" s="833"/>
      <c r="CD19" s="833"/>
      <c r="CE19" s="833"/>
      <c r="CF19" s="833"/>
      <c r="CG19" s="833"/>
      <c r="CH19" s="833"/>
      <c r="CI19" s="833"/>
      <c r="CJ19" s="833"/>
      <c r="CK19" s="833"/>
      <c r="CL19" s="833"/>
      <c r="CM19" s="833"/>
      <c r="CN19" s="833"/>
      <c r="CO19" s="833"/>
      <c r="CP19" s="833"/>
      <c r="CQ19" s="833"/>
      <c r="CR19" s="833"/>
      <c r="CS19" s="833"/>
      <c r="CT19" s="833"/>
      <c r="CU19" s="833"/>
      <c r="CV19" s="833"/>
    </row>
    <row r="20" spans="1:100" ht="16.5" x14ac:dyDescent="0.3">
      <c r="A20" s="686"/>
      <c r="B20" s="685" t="s">
        <v>895</v>
      </c>
      <c r="C20" s="733"/>
      <c r="D20" s="680"/>
      <c r="E20" s="680"/>
      <c r="F20" s="716"/>
      <c r="G20" s="680"/>
      <c r="H20" s="680">
        <f>SUM(H17:H19)</f>
        <v>518.1049999999999</v>
      </c>
      <c r="I20" s="680">
        <f>SUM(I17:I19)</f>
        <v>791.12</v>
      </c>
      <c r="J20" s="679">
        <f>SUM(J17:J19)</f>
        <v>866.12</v>
      </c>
      <c r="K20" s="833"/>
      <c r="L20" s="833"/>
      <c r="M20" s="833"/>
      <c r="N20" s="833"/>
      <c r="O20" s="833"/>
      <c r="P20" s="833"/>
      <c r="Q20" s="833"/>
      <c r="R20" s="833"/>
      <c r="S20" s="833"/>
      <c r="T20" s="833"/>
      <c r="U20" s="833"/>
      <c r="V20" s="833"/>
      <c r="W20" s="833"/>
      <c r="X20" s="833"/>
      <c r="Y20" s="833"/>
      <c r="Z20" s="833"/>
      <c r="AA20" s="833"/>
      <c r="AB20" s="833"/>
      <c r="AC20" s="833"/>
      <c r="AD20" s="833"/>
      <c r="AE20" s="833"/>
      <c r="AF20" s="833"/>
      <c r="AG20" s="833"/>
      <c r="AH20" s="833"/>
      <c r="AI20" s="833"/>
      <c r="AJ20" s="833"/>
      <c r="AK20" s="833"/>
      <c r="AL20" s="833"/>
      <c r="AM20" s="833"/>
      <c r="AN20" s="833"/>
      <c r="AO20" s="833"/>
      <c r="AP20" s="833"/>
      <c r="AQ20" s="833"/>
      <c r="AR20" s="833"/>
      <c r="AS20" s="833"/>
      <c r="AT20" s="833"/>
      <c r="AU20" s="833"/>
      <c r="AV20" s="833"/>
      <c r="AW20" s="833"/>
      <c r="AX20" s="833"/>
      <c r="AY20" s="833"/>
      <c r="AZ20" s="833"/>
      <c r="BA20" s="833"/>
      <c r="BB20" s="833"/>
      <c r="BC20" s="833"/>
      <c r="BD20" s="833"/>
      <c r="BE20" s="833"/>
      <c r="BF20" s="833"/>
      <c r="BG20" s="833"/>
      <c r="BH20" s="833"/>
      <c r="BI20" s="833"/>
      <c r="BJ20" s="833"/>
      <c r="BK20" s="833"/>
      <c r="BL20" s="833"/>
      <c r="BM20" s="833"/>
      <c r="BN20" s="833"/>
      <c r="BO20" s="833"/>
      <c r="BP20" s="833"/>
      <c r="BQ20" s="833"/>
      <c r="BR20" s="833"/>
      <c r="BS20" s="833"/>
      <c r="BT20" s="833"/>
      <c r="BU20" s="833"/>
      <c r="BV20" s="833"/>
      <c r="BW20" s="833"/>
      <c r="BX20" s="833"/>
      <c r="BY20" s="833"/>
      <c r="BZ20" s="833"/>
      <c r="CA20" s="833"/>
      <c r="CB20" s="833"/>
      <c r="CC20" s="833"/>
      <c r="CD20" s="833"/>
      <c r="CE20" s="833"/>
      <c r="CF20" s="833"/>
      <c r="CG20" s="833"/>
      <c r="CH20" s="833"/>
      <c r="CI20" s="833"/>
      <c r="CJ20" s="833"/>
      <c r="CK20" s="833"/>
      <c r="CL20" s="833"/>
      <c r="CM20" s="833"/>
      <c r="CN20" s="833"/>
      <c r="CO20" s="833"/>
      <c r="CP20" s="833"/>
      <c r="CQ20" s="833"/>
      <c r="CR20" s="833"/>
      <c r="CS20" s="833"/>
      <c r="CT20" s="833"/>
      <c r="CU20" s="833"/>
      <c r="CV20" s="833"/>
    </row>
    <row r="21" spans="1:100" ht="16.5" x14ac:dyDescent="0.3">
      <c r="A21" s="686"/>
      <c r="B21" s="658"/>
      <c r="C21" s="742"/>
      <c r="D21" s="655"/>
      <c r="E21" s="655"/>
      <c r="F21" s="728"/>
      <c r="G21" s="655"/>
      <c r="H21" s="655"/>
      <c r="I21" s="655"/>
      <c r="J21" s="756"/>
      <c r="K21" s="833"/>
      <c r="L21" s="833"/>
      <c r="M21" s="833"/>
      <c r="N21" s="833"/>
      <c r="O21" s="833"/>
      <c r="P21" s="833"/>
      <c r="Q21" s="833"/>
      <c r="R21" s="833"/>
      <c r="S21" s="833"/>
      <c r="T21" s="833"/>
      <c r="U21" s="833"/>
      <c r="V21" s="833"/>
      <c r="W21" s="833"/>
      <c r="X21" s="833"/>
      <c r="Y21" s="833"/>
      <c r="Z21" s="833"/>
      <c r="AA21" s="833"/>
      <c r="AB21" s="833"/>
      <c r="AC21" s="833"/>
      <c r="AD21" s="833"/>
      <c r="AE21" s="833"/>
      <c r="AF21" s="833"/>
      <c r="AG21" s="833"/>
      <c r="AH21" s="833"/>
      <c r="AI21" s="833"/>
      <c r="AJ21" s="833"/>
      <c r="AK21" s="833"/>
      <c r="AL21" s="833"/>
      <c r="AM21" s="833"/>
      <c r="AN21" s="833"/>
      <c r="AO21" s="833"/>
      <c r="AP21" s="833"/>
      <c r="AQ21" s="833"/>
      <c r="AR21" s="833"/>
      <c r="AS21" s="833"/>
      <c r="AT21" s="833"/>
      <c r="AU21" s="833"/>
      <c r="AV21" s="833"/>
      <c r="AW21" s="833"/>
      <c r="AX21" s="833"/>
      <c r="AY21" s="833"/>
      <c r="AZ21" s="833"/>
      <c r="BA21" s="833"/>
      <c r="BB21" s="833"/>
      <c r="BC21" s="833"/>
      <c r="BD21" s="833"/>
      <c r="BE21" s="833"/>
      <c r="BF21" s="833"/>
      <c r="BG21" s="833"/>
      <c r="BH21" s="833"/>
      <c r="BI21" s="833"/>
      <c r="BJ21" s="833"/>
      <c r="BK21" s="833"/>
      <c r="BL21" s="833"/>
      <c r="BM21" s="833"/>
      <c r="BN21" s="833"/>
      <c r="BO21" s="833"/>
      <c r="BP21" s="833"/>
      <c r="BQ21" s="833"/>
      <c r="BR21" s="833"/>
      <c r="BS21" s="833"/>
      <c r="BT21" s="833"/>
      <c r="BU21" s="833"/>
      <c r="BV21" s="833"/>
      <c r="BW21" s="833"/>
      <c r="BX21" s="833"/>
      <c r="BY21" s="833"/>
      <c r="BZ21" s="833"/>
      <c r="CA21" s="833"/>
      <c r="CB21" s="833"/>
      <c r="CC21" s="833"/>
      <c r="CD21" s="833"/>
      <c r="CE21" s="833"/>
      <c r="CF21" s="833"/>
      <c r="CG21" s="833"/>
      <c r="CH21" s="833"/>
      <c r="CI21" s="833"/>
      <c r="CJ21" s="833"/>
      <c r="CK21" s="833"/>
      <c r="CL21" s="833"/>
      <c r="CM21" s="833"/>
      <c r="CN21" s="833"/>
      <c r="CO21" s="833"/>
      <c r="CP21" s="833"/>
      <c r="CQ21" s="833"/>
      <c r="CR21" s="833"/>
      <c r="CS21" s="833"/>
      <c r="CT21" s="833"/>
      <c r="CU21" s="833"/>
      <c r="CV21" s="833"/>
    </row>
    <row r="22" spans="1:100" ht="16.5" x14ac:dyDescent="0.3">
      <c r="A22" s="742" t="s">
        <v>1345</v>
      </c>
      <c r="B22" s="742"/>
      <c r="D22" s="724"/>
      <c r="E22" s="724"/>
      <c r="F22" s="725"/>
      <c r="G22" s="724"/>
      <c r="H22" s="724"/>
      <c r="I22" s="724"/>
      <c r="J22" s="693"/>
      <c r="K22" s="833"/>
      <c r="L22" s="833"/>
      <c r="M22" s="833"/>
      <c r="N22" s="833"/>
      <c r="O22" s="833"/>
      <c r="P22" s="833"/>
      <c r="Q22" s="833"/>
      <c r="R22" s="833"/>
      <c r="S22" s="833"/>
      <c r="T22" s="833"/>
      <c r="U22" s="833"/>
      <c r="V22" s="833"/>
      <c r="W22" s="833"/>
      <c r="X22" s="833"/>
      <c r="Y22" s="833"/>
      <c r="Z22" s="833"/>
      <c r="AA22" s="833"/>
      <c r="AB22" s="833"/>
      <c r="AC22" s="833"/>
      <c r="AD22" s="833"/>
      <c r="AE22" s="833"/>
      <c r="AF22" s="833"/>
      <c r="AG22" s="833"/>
      <c r="AH22" s="833"/>
      <c r="AI22" s="833"/>
      <c r="AJ22" s="833"/>
      <c r="AK22" s="833"/>
      <c r="AL22" s="833"/>
      <c r="AM22" s="833"/>
      <c r="AN22" s="833"/>
      <c r="AO22" s="833"/>
      <c r="AP22" s="833"/>
      <c r="AQ22" s="833"/>
      <c r="AR22" s="833"/>
      <c r="AS22" s="833"/>
      <c r="AT22" s="833"/>
      <c r="AU22" s="833"/>
      <c r="AV22" s="833"/>
      <c r="AW22" s="833"/>
      <c r="AX22" s="833"/>
      <c r="AY22" s="833"/>
      <c r="AZ22" s="833"/>
      <c r="BA22" s="833"/>
      <c r="BB22" s="833"/>
      <c r="BC22" s="833"/>
      <c r="BD22" s="833"/>
      <c r="BE22" s="833"/>
      <c r="BF22" s="833"/>
      <c r="BG22" s="833"/>
      <c r="BH22" s="833"/>
      <c r="BI22" s="833"/>
      <c r="BJ22" s="833"/>
      <c r="BK22" s="833"/>
      <c r="BL22" s="833"/>
      <c r="BM22" s="833"/>
      <c r="BN22" s="833"/>
      <c r="BO22" s="833"/>
      <c r="BP22" s="833"/>
      <c r="BQ22" s="833"/>
      <c r="BR22" s="833"/>
      <c r="BS22" s="833"/>
      <c r="BT22" s="833"/>
      <c r="BU22" s="833"/>
      <c r="BV22" s="833"/>
      <c r="BW22" s="833"/>
      <c r="BX22" s="833"/>
      <c r="BY22" s="833"/>
      <c r="BZ22" s="833"/>
      <c r="CA22" s="833"/>
      <c r="CB22" s="833"/>
      <c r="CC22" s="833"/>
      <c r="CD22" s="833"/>
      <c r="CE22" s="833"/>
      <c r="CF22" s="833"/>
      <c r="CG22" s="833"/>
      <c r="CH22" s="833"/>
      <c r="CI22" s="833"/>
      <c r="CJ22" s="833"/>
      <c r="CK22" s="833"/>
      <c r="CL22" s="833"/>
      <c r="CM22" s="833"/>
      <c r="CN22" s="833"/>
      <c r="CO22" s="833"/>
      <c r="CP22" s="833"/>
      <c r="CQ22" s="833"/>
      <c r="CR22" s="833"/>
      <c r="CS22" s="833"/>
      <c r="CT22" s="833"/>
      <c r="CU22" s="833"/>
      <c r="CV22" s="833"/>
    </row>
    <row r="23" spans="1:100" ht="16.5" x14ac:dyDescent="0.3">
      <c r="A23" s="742"/>
      <c r="B23" s="985" t="s">
        <v>1344</v>
      </c>
      <c r="C23" s="663" t="s">
        <v>1343</v>
      </c>
      <c r="D23" s="701" t="s">
        <v>1342</v>
      </c>
      <c r="E23" s="701">
        <v>50</v>
      </c>
      <c r="F23" s="702">
        <v>8</v>
      </c>
      <c r="G23" s="701">
        <f>E23*F23</f>
        <v>400</v>
      </c>
      <c r="H23" s="701">
        <f>G23*1.13</f>
        <v>451.99999999999994</v>
      </c>
      <c r="I23" s="701">
        <f>'[1]Frozen Pivot'!B91</f>
        <v>539.70000000000005</v>
      </c>
      <c r="J23" s="700">
        <f>539.7+90</f>
        <v>629.70000000000005</v>
      </c>
      <c r="K23" s="833"/>
      <c r="L23" s="833"/>
      <c r="M23" s="833"/>
      <c r="N23" s="833"/>
      <c r="O23" s="833"/>
      <c r="P23" s="833"/>
      <c r="Q23" s="833"/>
      <c r="R23" s="833"/>
      <c r="S23" s="833"/>
      <c r="T23" s="833"/>
      <c r="U23" s="833"/>
      <c r="V23" s="833"/>
      <c r="W23" s="833"/>
      <c r="X23" s="833"/>
      <c r="Y23" s="833"/>
      <c r="Z23" s="833"/>
      <c r="AA23" s="833"/>
      <c r="AB23" s="833"/>
      <c r="AC23" s="833"/>
      <c r="AD23" s="833"/>
      <c r="AE23" s="833"/>
      <c r="AF23" s="833"/>
      <c r="AG23" s="833"/>
      <c r="AH23" s="833"/>
      <c r="AI23" s="833"/>
      <c r="AJ23" s="833"/>
      <c r="AK23" s="833"/>
      <c r="AL23" s="833"/>
      <c r="AM23" s="833"/>
      <c r="AN23" s="833"/>
      <c r="AO23" s="833"/>
      <c r="AP23" s="833"/>
      <c r="AQ23" s="833"/>
      <c r="AR23" s="833"/>
      <c r="AS23" s="833"/>
      <c r="AT23" s="833"/>
      <c r="AU23" s="833"/>
      <c r="AV23" s="833"/>
      <c r="AW23" s="833"/>
      <c r="AX23" s="833"/>
      <c r="AY23" s="833"/>
      <c r="AZ23" s="833"/>
      <c r="BA23" s="833"/>
      <c r="BB23" s="833"/>
      <c r="BC23" s="833"/>
      <c r="BD23" s="833"/>
      <c r="BE23" s="833"/>
      <c r="BF23" s="833"/>
      <c r="BG23" s="833"/>
      <c r="BH23" s="833"/>
      <c r="BI23" s="833"/>
      <c r="BJ23" s="833"/>
      <c r="BK23" s="833"/>
      <c r="BL23" s="833"/>
      <c r="BM23" s="833"/>
      <c r="BN23" s="833"/>
      <c r="BO23" s="833"/>
      <c r="BP23" s="833"/>
      <c r="BQ23" s="833"/>
      <c r="BR23" s="833"/>
      <c r="BS23" s="833"/>
      <c r="BT23" s="833"/>
      <c r="BU23" s="833"/>
      <c r="BV23" s="833"/>
      <c r="BW23" s="833"/>
      <c r="BX23" s="833"/>
      <c r="BY23" s="833"/>
      <c r="BZ23" s="833"/>
      <c r="CA23" s="833"/>
      <c r="CB23" s="833"/>
      <c r="CC23" s="833"/>
      <c r="CD23" s="833"/>
      <c r="CE23" s="833"/>
      <c r="CF23" s="833"/>
      <c r="CG23" s="833"/>
      <c r="CH23" s="833"/>
      <c r="CI23" s="833"/>
      <c r="CJ23" s="833"/>
      <c r="CK23" s="833"/>
      <c r="CL23" s="833"/>
      <c r="CM23" s="833"/>
      <c r="CN23" s="833"/>
      <c r="CO23" s="833"/>
      <c r="CP23" s="833"/>
      <c r="CQ23" s="833"/>
      <c r="CR23" s="833"/>
      <c r="CS23" s="833"/>
      <c r="CT23" s="833"/>
      <c r="CU23" s="833"/>
      <c r="CV23" s="833"/>
    </row>
    <row r="24" spans="1:100" ht="16.5" x14ac:dyDescent="0.3">
      <c r="A24" s="659"/>
      <c r="B24" s="742"/>
      <c r="C24" s="658"/>
      <c r="D24" s="724"/>
      <c r="E24" s="724"/>
      <c r="F24" s="725"/>
      <c r="G24" s="724"/>
      <c r="H24" s="724"/>
      <c r="I24" s="724"/>
      <c r="J24" s="1194"/>
      <c r="K24" s="833"/>
      <c r="L24" s="833"/>
      <c r="M24" s="833"/>
      <c r="N24" s="833"/>
      <c r="O24" s="833"/>
      <c r="P24" s="833"/>
      <c r="Q24" s="833"/>
      <c r="R24" s="833"/>
      <c r="S24" s="833"/>
      <c r="T24" s="833"/>
      <c r="U24" s="833"/>
      <c r="V24" s="833"/>
      <c r="W24" s="833"/>
      <c r="X24" s="833"/>
      <c r="Y24" s="833"/>
      <c r="Z24" s="833"/>
      <c r="AA24" s="833"/>
      <c r="AB24" s="833"/>
      <c r="AC24" s="833"/>
      <c r="AD24" s="833"/>
      <c r="AE24" s="833"/>
      <c r="AF24" s="833"/>
      <c r="AG24" s="833"/>
      <c r="AH24" s="833"/>
      <c r="AI24" s="833"/>
      <c r="AJ24" s="833"/>
      <c r="AK24" s="833"/>
      <c r="AL24" s="833"/>
      <c r="AM24" s="833"/>
      <c r="AN24" s="833"/>
      <c r="AO24" s="833"/>
      <c r="AP24" s="833"/>
      <c r="AQ24" s="833"/>
      <c r="AR24" s="833"/>
      <c r="AS24" s="833"/>
      <c r="AT24" s="833"/>
      <c r="AU24" s="833"/>
      <c r="AV24" s="833"/>
      <c r="AW24" s="833"/>
      <c r="AX24" s="833"/>
      <c r="AY24" s="833"/>
      <c r="AZ24" s="833"/>
      <c r="BA24" s="833"/>
      <c r="BB24" s="833"/>
      <c r="BC24" s="833"/>
      <c r="BD24" s="833"/>
      <c r="BE24" s="833"/>
      <c r="BF24" s="833"/>
      <c r="BG24" s="833"/>
      <c r="BH24" s="833"/>
      <c r="BI24" s="833"/>
      <c r="BJ24" s="833"/>
      <c r="BK24" s="833"/>
      <c r="BL24" s="833"/>
      <c r="BM24" s="833"/>
      <c r="BN24" s="833"/>
      <c r="BO24" s="833"/>
      <c r="BP24" s="833"/>
      <c r="BQ24" s="833"/>
      <c r="BR24" s="833"/>
      <c r="BS24" s="833"/>
      <c r="BT24" s="833"/>
      <c r="BU24" s="833"/>
      <c r="BV24" s="833"/>
      <c r="BW24" s="833"/>
      <c r="BX24" s="833"/>
      <c r="BY24" s="833"/>
      <c r="BZ24" s="833"/>
      <c r="CA24" s="833"/>
      <c r="CB24" s="833"/>
      <c r="CC24" s="833"/>
      <c r="CD24" s="833"/>
      <c r="CE24" s="833"/>
      <c r="CF24" s="833"/>
      <c r="CG24" s="833"/>
      <c r="CH24" s="833"/>
      <c r="CI24" s="833"/>
      <c r="CJ24" s="833"/>
      <c r="CK24" s="833"/>
      <c r="CL24" s="833"/>
      <c r="CM24" s="833"/>
      <c r="CN24" s="833"/>
      <c r="CO24" s="833"/>
      <c r="CP24" s="833"/>
      <c r="CQ24" s="833"/>
      <c r="CR24" s="833"/>
      <c r="CS24" s="833"/>
      <c r="CT24" s="833"/>
      <c r="CU24" s="833"/>
      <c r="CV24" s="833"/>
    </row>
    <row r="25" spans="1:100" ht="16.5" x14ac:dyDescent="0.3">
      <c r="A25" s="686"/>
      <c r="B25" s="685" t="s">
        <v>1341</v>
      </c>
      <c r="C25" s="733"/>
      <c r="D25" s="680"/>
      <c r="E25" s="680"/>
      <c r="F25" s="716"/>
      <c r="G25" s="680"/>
      <c r="H25" s="680">
        <f>SUM(H23:H24)</f>
        <v>451.99999999999994</v>
      </c>
      <c r="I25" s="680">
        <f>I23</f>
        <v>539.70000000000005</v>
      </c>
      <c r="J25" s="679">
        <f>J23</f>
        <v>629.70000000000005</v>
      </c>
      <c r="K25" s="833"/>
      <c r="L25" s="833"/>
      <c r="M25" s="833"/>
      <c r="N25" s="833"/>
      <c r="O25" s="833"/>
      <c r="P25" s="833"/>
      <c r="Q25" s="833"/>
      <c r="R25" s="833"/>
      <c r="S25" s="833"/>
      <c r="T25" s="833"/>
      <c r="U25" s="833"/>
      <c r="V25" s="833"/>
      <c r="W25" s="833"/>
      <c r="X25" s="833"/>
      <c r="Y25" s="833"/>
      <c r="Z25" s="833"/>
      <c r="AA25" s="833"/>
      <c r="AB25" s="833"/>
      <c r="AC25" s="833"/>
      <c r="AD25" s="833"/>
      <c r="AE25" s="833"/>
      <c r="AF25" s="833"/>
      <c r="AG25" s="833"/>
      <c r="AH25" s="833"/>
      <c r="AI25" s="833"/>
      <c r="AJ25" s="833"/>
      <c r="AK25" s="833"/>
      <c r="AL25" s="833"/>
      <c r="AM25" s="833"/>
      <c r="AN25" s="833"/>
      <c r="AO25" s="833"/>
      <c r="AP25" s="833"/>
      <c r="AQ25" s="833"/>
      <c r="AR25" s="833"/>
      <c r="AS25" s="833"/>
      <c r="AT25" s="833"/>
      <c r="AU25" s="833"/>
      <c r="AV25" s="833"/>
      <c r="AW25" s="833"/>
      <c r="AX25" s="833"/>
      <c r="AY25" s="833"/>
      <c r="AZ25" s="833"/>
      <c r="BA25" s="833"/>
      <c r="BB25" s="833"/>
      <c r="BC25" s="833"/>
      <c r="BD25" s="833"/>
      <c r="BE25" s="833"/>
      <c r="BF25" s="833"/>
      <c r="BG25" s="833"/>
      <c r="BH25" s="833"/>
      <c r="BI25" s="833"/>
      <c r="BJ25" s="833"/>
      <c r="BK25" s="833"/>
      <c r="BL25" s="833"/>
      <c r="BM25" s="833"/>
      <c r="BN25" s="833"/>
      <c r="BO25" s="833"/>
      <c r="BP25" s="833"/>
      <c r="BQ25" s="833"/>
      <c r="BR25" s="833"/>
      <c r="BS25" s="833"/>
      <c r="BT25" s="833"/>
      <c r="BU25" s="833"/>
      <c r="BV25" s="833"/>
      <c r="BW25" s="833"/>
      <c r="BX25" s="833"/>
      <c r="BY25" s="833"/>
      <c r="BZ25" s="833"/>
      <c r="CA25" s="833"/>
      <c r="CB25" s="833"/>
      <c r="CC25" s="833"/>
      <c r="CD25" s="833"/>
      <c r="CE25" s="833"/>
      <c r="CF25" s="833"/>
      <c r="CG25" s="833"/>
      <c r="CH25" s="833"/>
      <c r="CI25" s="833"/>
      <c r="CJ25" s="833"/>
      <c r="CK25" s="833"/>
      <c r="CL25" s="833"/>
      <c r="CM25" s="833"/>
      <c r="CN25" s="833"/>
      <c r="CO25" s="833"/>
      <c r="CP25" s="833"/>
      <c r="CQ25" s="833"/>
      <c r="CR25" s="833"/>
      <c r="CS25" s="833"/>
      <c r="CT25" s="833"/>
      <c r="CU25" s="833"/>
      <c r="CV25" s="833"/>
    </row>
    <row r="26" spans="1:100" ht="16.5" x14ac:dyDescent="0.3">
      <c r="A26" s="658"/>
      <c r="B26" s="742"/>
      <c r="C26" s="742"/>
      <c r="D26" s="655"/>
      <c r="E26" s="655"/>
      <c r="F26" s="728"/>
      <c r="G26" s="655"/>
      <c r="H26" s="655"/>
      <c r="I26" s="655"/>
      <c r="J26" s="654"/>
      <c r="K26" s="833"/>
      <c r="L26" s="833"/>
      <c r="M26" s="833"/>
      <c r="N26" s="833"/>
      <c r="O26" s="833"/>
      <c r="P26" s="833"/>
      <c r="Q26" s="833"/>
      <c r="R26" s="833"/>
      <c r="S26" s="833"/>
      <c r="T26" s="833"/>
      <c r="U26" s="833"/>
      <c r="V26" s="833"/>
      <c r="W26" s="833"/>
      <c r="X26" s="833"/>
      <c r="Y26" s="833"/>
      <c r="Z26" s="833"/>
      <c r="AA26" s="833"/>
      <c r="AB26" s="833"/>
      <c r="AC26" s="833"/>
      <c r="AD26" s="833"/>
      <c r="AE26" s="833"/>
      <c r="AF26" s="833"/>
      <c r="AG26" s="833"/>
      <c r="AH26" s="833"/>
      <c r="AI26" s="833"/>
      <c r="AJ26" s="833"/>
      <c r="AK26" s="833"/>
      <c r="AL26" s="833"/>
      <c r="AM26" s="833"/>
      <c r="AN26" s="833"/>
      <c r="AO26" s="833"/>
      <c r="AP26" s="833"/>
      <c r="AQ26" s="833"/>
      <c r="AR26" s="833"/>
      <c r="AS26" s="833"/>
      <c r="AT26" s="833"/>
      <c r="AU26" s="833"/>
      <c r="AV26" s="833"/>
      <c r="AW26" s="833"/>
      <c r="AX26" s="833"/>
      <c r="AY26" s="833"/>
      <c r="AZ26" s="833"/>
      <c r="BA26" s="833"/>
      <c r="BB26" s="833"/>
      <c r="BC26" s="833"/>
      <c r="BD26" s="833"/>
      <c r="BE26" s="833"/>
      <c r="BF26" s="833"/>
      <c r="BG26" s="833"/>
      <c r="BH26" s="833"/>
      <c r="BI26" s="833"/>
      <c r="BJ26" s="833"/>
      <c r="BK26" s="833"/>
      <c r="BL26" s="833"/>
      <c r="BM26" s="833"/>
      <c r="BN26" s="833"/>
      <c r="BO26" s="833"/>
      <c r="BP26" s="833"/>
      <c r="BQ26" s="833"/>
      <c r="BR26" s="833"/>
      <c r="BS26" s="833"/>
      <c r="BT26" s="833"/>
      <c r="BU26" s="833"/>
      <c r="BV26" s="833"/>
      <c r="BW26" s="833"/>
      <c r="BX26" s="833"/>
      <c r="BY26" s="833"/>
      <c r="BZ26" s="833"/>
      <c r="CA26" s="833"/>
      <c r="CB26" s="833"/>
      <c r="CC26" s="833"/>
      <c r="CD26" s="833"/>
      <c r="CE26" s="833"/>
      <c r="CF26" s="833"/>
      <c r="CG26" s="833"/>
      <c r="CH26" s="833"/>
      <c r="CI26" s="833"/>
      <c r="CJ26" s="833"/>
      <c r="CK26" s="833"/>
      <c r="CL26" s="833"/>
      <c r="CM26" s="833"/>
      <c r="CN26" s="833"/>
      <c r="CO26" s="833"/>
      <c r="CP26" s="833"/>
      <c r="CQ26" s="833"/>
      <c r="CR26" s="833"/>
      <c r="CS26" s="833"/>
      <c r="CT26" s="833"/>
      <c r="CU26" s="833"/>
      <c r="CV26" s="833"/>
    </row>
    <row r="27" spans="1:100" ht="16.5" x14ac:dyDescent="0.3">
      <c r="A27" s="742" t="s">
        <v>1340</v>
      </c>
      <c r="B27" s="742"/>
      <c r="D27" s="724"/>
      <c r="E27" s="724"/>
      <c r="F27" s="725"/>
      <c r="G27" s="724"/>
      <c r="H27" s="724"/>
      <c r="I27" s="724"/>
      <c r="J27" s="693"/>
      <c r="K27" s="833"/>
      <c r="L27" s="833"/>
      <c r="M27" s="833"/>
      <c r="N27" s="833"/>
      <c r="O27" s="833"/>
      <c r="P27" s="833"/>
      <c r="Q27" s="833"/>
      <c r="R27" s="833"/>
      <c r="S27" s="833"/>
      <c r="T27" s="833"/>
      <c r="U27" s="833"/>
      <c r="V27" s="833"/>
      <c r="W27" s="833"/>
      <c r="X27" s="833"/>
      <c r="Y27" s="833"/>
      <c r="Z27" s="833"/>
      <c r="AA27" s="833"/>
      <c r="AB27" s="833"/>
      <c r="AC27" s="833"/>
      <c r="AD27" s="833"/>
      <c r="AE27" s="833"/>
      <c r="AF27" s="833"/>
      <c r="AG27" s="833"/>
      <c r="AH27" s="833"/>
      <c r="AI27" s="833"/>
      <c r="AJ27" s="833"/>
      <c r="AK27" s="833"/>
      <c r="AL27" s="833"/>
      <c r="AM27" s="833"/>
      <c r="AN27" s="833"/>
      <c r="AO27" s="833"/>
      <c r="AP27" s="833"/>
      <c r="AQ27" s="833"/>
      <c r="AR27" s="833"/>
      <c r="AS27" s="833"/>
      <c r="AT27" s="833"/>
      <c r="AU27" s="833"/>
      <c r="AV27" s="833"/>
      <c r="AW27" s="833"/>
      <c r="AX27" s="833"/>
      <c r="AY27" s="833"/>
      <c r="AZ27" s="833"/>
      <c r="BA27" s="833"/>
      <c r="BB27" s="833"/>
      <c r="BC27" s="833"/>
      <c r="BD27" s="833"/>
      <c r="BE27" s="833"/>
      <c r="BF27" s="833"/>
      <c r="BG27" s="833"/>
      <c r="BH27" s="833"/>
      <c r="BI27" s="833"/>
      <c r="BJ27" s="833"/>
      <c r="BK27" s="833"/>
      <c r="BL27" s="833"/>
      <c r="BM27" s="833"/>
      <c r="BN27" s="833"/>
      <c r="BO27" s="833"/>
      <c r="BP27" s="833"/>
      <c r="BQ27" s="833"/>
      <c r="BR27" s="833"/>
      <c r="BS27" s="833"/>
      <c r="BT27" s="833"/>
      <c r="BU27" s="833"/>
      <c r="BV27" s="833"/>
      <c r="BW27" s="833"/>
      <c r="BX27" s="833"/>
      <c r="BY27" s="833"/>
      <c r="BZ27" s="833"/>
      <c r="CA27" s="833"/>
      <c r="CB27" s="833"/>
      <c r="CC27" s="833"/>
      <c r="CD27" s="833"/>
      <c r="CE27" s="833"/>
      <c r="CF27" s="833"/>
      <c r="CG27" s="833"/>
      <c r="CH27" s="833"/>
      <c r="CI27" s="833"/>
      <c r="CJ27" s="833"/>
      <c r="CK27" s="833"/>
      <c r="CL27" s="833"/>
      <c r="CM27" s="833"/>
      <c r="CN27" s="833"/>
      <c r="CO27" s="833"/>
      <c r="CP27" s="833"/>
      <c r="CQ27" s="833"/>
      <c r="CR27" s="833"/>
      <c r="CS27" s="833"/>
      <c r="CT27" s="833"/>
      <c r="CU27" s="833"/>
      <c r="CV27" s="833"/>
    </row>
    <row r="28" spans="1:100" ht="16.5" x14ac:dyDescent="0.3">
      <c r="A28" s="686"/>
      <c r="B28" s="985" t="s">
        <v>1339</v>
      </c>
      <c r="C28" s="749" t="s">
        <v>1338</v>
      </c>
      <c r="D28" s="701" t="s">
        <v>1337</v>
      </c>
      <c r="E28" s="701">
        <v>100</v>
      </c>
      <c r="F28" s="702">
        <v>8</v>
      </c>
      <c r="G28" s="701">
        <f>E28*F28</f>
        <v>800</v>
      </c>
      <c r="H28" s="701">
        <f>G28*1.13</f>
        <v>903.99999999999989</v>
      </c>
      <c r="I28" s="701">
        <f>'[1]Frozen Pivot'!B92</f>
        <v>0</v>
      </c>
      <c r="J28" s="700">
        <f>315+500</f>
        <v>815</v>
      </c>
      <c r="K28" s="833"/>
      <c r="L28" s="833"/>
      <c r="M28" s="833"/>
      <c r="N28" s="833"/>
      <c r="O28" s="833"/>
      <c r="P28" s="833"/>
      <c r="Q28" s="833"/>
      <c r="R28" s="833"/>
      <c r="S28" s="833"/>
      <c r="T28" s="833"/>
      <c r="U28" s="833"/>
      <c r="V28" s="833"/>
      <c r="W28" s="833"/>
      <c r="X28" s="833"/>
      <c r="Y28" s="833"/>
      <c r="Z28" s="833"/>
      <c r="AA28" s="833"/>
      <c r="AB28" s="833"/>
      <c r="AC28" s="833"/>
      <c r="AD28" s="833"/>
      <c r="AE28" s="833"/>
      <c r="AF28" s="833"/>
      <c r="AG28" s="833"/>
      <c r="AH28" s="833"/>
      <c r="AI28" s="833"/>
      <c r="AJ28" s="833"/>
      <c r="AK28" s="833"/>
      <c r="AL28" s="833"/>
      <c r="AM28" s="833"/>
      <c r="AN28" s="833"/>
      <c r="AO28" s="833"/>
      <c r="AP28" s="833"/>
      <c r="AQ28" s="833"/>
      <c r="AR28" s="833"/>
      <c r="AS28" s="833"/>
      <c r="AT28" s="833"/>
      <c r="AU28" s="833"/>
      <c r="AV28" s="833"/>
      <c r="AW28" s="833"/>
      <c r="AX28" s="833"/>
      <c r="AY28" s="833"/>
      <c r="AZ28" s="833"/>
      <c r="BA28" s="833"/>
      <c r="BB28" s="833"/>
      <c r="BC28" s="833"/>
      <c r="BD28" s="833"/>
      <c r="BE28" s="833"/>
      <c r="BF28" s="833"/>
      <c r="BG28" s="833"/>
      <c r="BH28" s="833"/>
      <c r="BI28" s="833"/>
      <c r="BJ28" s="833"/>
      <c r="BK28" s="833"/>
      <c r="BL28" s="833"/>
      <c r="BM28" s="833"/>
      <c r="BN28" s="833"/>
      <c r="BO28" s="833"/>
      <c r="BP28" s="833"/>
      <c r="BQ28" s="833"/>
      <c r="BR28" s="833"/>
      <c r="BS28" s="833"/>
      <c r="BT28" s="833"/>
      <c r="BU28" s="833"/>
      <c r="BV28" s="833"/>
      <c r="BW28" s="833"/>
      <c r="BX28" s="833"/>
      <c r="BY28" s="833"/>
      <c r="BZ28" s="833"/>
      <c r="CA28" s="833"/>
      <c r="CB28" s="833"/>
      <c r="CC28" s="833"/>
      <c r="CD28" s="833"/>
      <c r="CE28" s="833"/>
      <c r="CF28" s="833"/>
      <c r="CG28" s="833"/>
      <c r="CH28" s="833"/>
      <c r="CI28" s="833"/>
      <c r="CJ28" s="833"/>
      <c r="CK28" s="833"/>
      <c r="CL28" s="833"/>
      <c r="CM28" s="833"/>
      <c r="CN28" s="833"/>
      <c r="CO28" s="833"/>
      <c r="CP28" s="833"/>
      <c r="CQ28" s="833"/>
      <c r="CR28" s="833"/>
      <c r="CS28" s="833"/>
      <c r="CT28" s="833"/>
      <c r="CU28" s="833"/>
      <c r="CV28" s="833"/>
    </row>
    <row r="29" spans="1:100" ht="16.5" x14ac:dyDescent="0.3">
      <c r="A29" s="686"/>
      <c r="B29" s="732" t="s">
        <v>1332</v>
      </c>
      <c r="C29" s="748" t="s">
        <v>251</v>
      </c>
      <c r="D29" s="724" t="s">
        <v>1336</v>
      </c>
      <c r="E29" s="724">
        <v>3</v>
      </c>
      <c r="F29" s="725">
        <v>30</v>
      </c>
      <c r="G29" s="724">
        <f>E29*F29</f>
        <v>90</v>
      </c>
      <c r="H29" s="724">
        <f>G29*1.13</f>
        <v>101.69999999999999</v>
      </c>
      <c r="I29" s="809">
        <f>'[1]Frozen Pivot'!B93</f>
        <v>0</v>
      </c>
      <c r="J29" s="693">
        <v>0</v>
      </c>
      <c r="K29" s="833"/>
      <c r="L29" s="833"/>
      <c r="M29" s="833"/>
      <c r="N29" s="833"/>
      <c r="O29" s="833"/>
      <c r="P29" s="833"/>
      <c r="Q29" s="833"/>
      <c r="R29" s="833"/>
      <c r="S29" s="833"/>
      <c r="T29" s="833"/>
      <c r="U29" s="833"/>
      <c r="V29" s="833"/>
      <c r="W29" s="833"/>
      <c r="X29" s="833"/>
      <c r="Y29" s="833"/>
      <c r="Z29" s="833"/>
      <c r="AA29" s="833"/>
      <c r="AB29" s="833"/>
      <c r="AC29" s="833"/>
      <c r="AD29" s="833"/>
      <c r="AE29" s="833"/>
      <c r="AF29" s="833"/>
      <c r="AG29" s="833"/>
      <c r="AH29" s="833"/>
      <c r="AI29" s="833"/>
      <c r="AJ29" s="833"/>
      <c r="AK29" s="833"/>
      <c r="AL29" s="833"/>
      <c r="AM29" s="833"/>
      <c r="AN29" s="833"/>
      <c r="AO29" s="833"/>
      <c r="AP29" s="833"/>
      <c r="AQ29" s="833"/>
      <c r="AR29" s="833"/>
      <c r="AS29" s="833"/>
      <c r="AT29" s="833"/>
      <c r="AU29" s="833"/>
      <c r="AV29" s="833"/>
      <c r="AW29" s="833"/>
      <c r="AX29" s="833"/>
      <c r="AY29" s="833"/>
      <c r="AZ29" s="833"/>
      <c r="BA29" s="833"/>
      <c r="BB29" s="833"/>
      <c r="BC29" s="833"/>
      <c r="BD29" s="833"/>
      <c r="BE29" s="833"/>
      <c r="BF29" s="833"/>
      <c r="BG29" s="833"/>
      <c r="BH29" s="833"/>
      <c r="BI29" s="833"/>
      <c r="BJ29" s="833"/>
      <c r="BK29" s="833"/>
      <c r="BL29" s="833"/>
      <c r="BM29" s="833"/>
      <c r="BN29" s="833"/>
      <c r="BO29" s="833"/>
      <c r="BP29" s="833"/>
      <c r="BQ29" s="833"/>
      <c r="BR29" s="833"/>
      <c r="BS29" s="833"/>
      <c r="BT29" s="833"/>
      <c r="BU29" s="833"/>
      <c r="BV29" s="833"/>
      <c r="BW29" s="833"/>
      <c r="BX29" s="833"/>
      <c r="BY29" s="833"/>
      <c r="BZ29" s="833"/>
      <c r="CA29" s="833"/>
      <c r="CB29" s="833"/>
      <c r="CC29" s="833"/>
      <c r="CD29" s="833"/>
      <c r="CE29" s="833"/>
      <c r="CF29" s="833"/>
      <c r="CG29" s="833"/>
      <c r="CH29" s="833"/>
      <c r="CI29" s="833"/>
      <c r="CJ29" s="833"/>
      <c r="CK29" s="833"/>
      <c r="CL29" s="833"/>
      <c r="CM29" s="833"/>
      <c r="CN29" s="833"/>
      <c r="CO29" s="833"/>
      <c r="CP29" s="833"/>
      <c r="CQ29" s="833"/>
      <c r="CR29" s="833"/>
      <c r="CS29" s="833"/>
      <c r="CT29" s="833"/>
      <c r="CU29" s="833"/>
      <c r="CV29" s="833"/>
    </row>
    <row r="30" spans="1:100" ht="16.5" x14ac:dyDescent="0.3">
      <c r="A30" s="686"/>
      <c r="B30" s="663"/>
      <c r="C30" s="663"/>
      <c r="D30" s="701"/>
      <c r="E30" s="701"/>
      <c r="F30" s="702"/>
      <c r="G30" s="701"/>
      <c r="H30" s="701"/>
      <c r="I30" s="701"/>
      <c r="J30" s="700"/>
      <c r="K30" s="833"/>
      <c r="L30" s="833"/>
      <c r="M30" s="833"/>
      <c r="N30" s="833"/>
      <c r="O30" s="833"/>
      <c r="P30" s="833"/>
      <c r="Q30" s="833"/>
      <c r="R30" s="833"/>
      <c r="S30" s="833"/>
      <c r="T30" s="833"/>
      <c r="U30" s="833"/>
      <c r="V30" s="833"/>
      <c r="W30" s="833"/>
      <c r="X30" s="833"/>
      <c r="Y30" s="833"/>
      <c r="Z30" s="833"/>
      <c r="AA30" s="833"/>
      <c r="AB30" s="833"/>
      <c r="AC30" s="833"/>
      <c r="AD30" s="833"/>
      <c r="AE30" s="833"/>
      <c r="AF30" s="833"/>
      <c r="AG30" s="833"/>
      <c r="AH30" s="833"/>
      <c r="AI30" s="833"/>
      <c r="AJ30" s="833"/>
      <c r="AK30" s="833"/>
      <c r="AL30" s="833"/>
      <c r="AM30" s="833"/>
      <c r="AN30" s="833"/>
      <c r="AO30" s="833"/>
      <c r="AP30" s="833"/>
      <c r="AQ30" s="833"/>
      <c r="AR30" s="833"/>
      <c r="AS30" s="833"/>
      <c r="AT30" s="833"/>
      <c r="AU30" s="833"/>
      <c r="AV30" s="833"/>
      <c r="AW30" s="833"/>
      <c r="AX30" s="833"/>
      <c r="AY30" s="833"/>
      <c r="AZ30" s="833"/>
      <c r="BA30" s="833"/>
      <c r="BB30" s="833"/>
      <c r="BC30" s="833"/>
      <c r="BD30" s="833"/>
      <c r="BE30" s="833"/>
      <c r="BF30" s="833"/>
      <c r="BG30" s="833"/>
      <c r="BH30" s="833"/>
      <c r="BI30" s="833"/>
      <c r="BJ30" s="833"/>
      <c r="BK30" s="833"/>
      <c r="BL30" s="833"/>
      <c r="BM30" s="833"/>
      <c r="BN30" s="833"/>
      <c r="BO30" s="833"/>
      <c r="BP30" s="833"/>
      <c r="BQ30" s="833"/>
      <c r="BR30" s="833"/>
      <c r="BS30" s="833"/>
      <c r="BT30" s="833"/>
      <c r="BU30" s="833"/>
      <c r="BV30" s="833"/>
      <c r="BW30" s="833"/>
      <c r="BX30" s="833"/>
      <c r="BY30" s="833"/>
      <c r="BZ30" s="833"/>
      <c r="CA30" s="833"/>
      <c r="CB30" s="833"/>
      <c r="CC30" s="833"/>
      <c r="CD30" s="833"/>
      <c r="CE30" s="833"/>
      <c r="CF30" s="833"/>
      <c r="CG30" s="833"/>
      <c r="CH30" s="833"/>
      <c r="CI30" s="833"/>
      <c r="CJ30" s="833"/>
      <c r="CK30" s="833"/>
      <c r="CL30" s="833"/>
      <c r="CM30" s="833"/>
      <c r="CN30" s="833"/>
      <c r="CO30" s="833"/>
      <c r="CP30" s="833"/>
      <c r="CQ30" s="833"/>
      <c r="CR30" s="833"/>
      <c r="CS30" s="833"/>
      <c r="CT30" s="833"/>
      <c r="CU30" s="833"/>
      <c r="CV30" s="833"/>
    </row>
    <row r="31" spans="1:100" ht="16.5" x14ac:dyDescent="0.3">
      <c r="A31" s="686"/>
      <c r="B31" s="685" t="s">
        <v>1329</v>
      </c>
      <c r="C31" s="733"/>
      <c r="D31" s="680"/>
      <c r="E31" s="680"/>
      <c r="F31" s="716"/>
      <c r="G31" s="680"/>
      <c r="H31" s="680">
        <f>SUM(H28:H30)</f>
        <v>1005.6999999999998</v>
      </c>
      <c r="I31" s="680">
        <f>SUM(I28:I30)</f>
        <v>0</v>
      </c>
      <c r="J31" s="679">
        <f>SUM(J28:J30)</f>
        <v>815</v>
      </c>
      <c r="K31" s="833"/>
      <c r="L31" s="833"/>
      <c r="M31" s="833"/>
      <c r="N31" s="833"/>
      <c r="O31" s="833"/>
      <c r="P31" s="833"/>
      <c r="Q31" s="833"/>
      <c r="R31" s="833"/>
      <c r="S31" s="833"/>
      <c r="T31" s="833"/>
      <c r="U31" s="833"/>
      <c r="V31" s="833"/>
      <c r="W31" s="833"/>
      <c r="X31" s="833"/>
      <c r="Y31" s="833"/>
      <c r="Z31" s="833"/>
      <c r="AA31" s="833"/>
      <c r="AB31" s="833"/>
      <c r="AC31" s="833"/>
      <c r="AD31" s="833"/>
      <c r="AE31" s="833"/>
      <c r="AF31" s="833"/>
      <c r="AG31" s="833"/>
      <c r="AH31" s="833"/>
      <c r="AI31" s="833"/>
      <c r="AJ31" s="833"/>
      <c r="AK31" s="833"/>
      <c r="AL31" s="833"/>
      <c r="AM31" s="833"/>
      <c r="AN31" s="833"/>
      <c r="AO31" s="833"/>
      <c r="AP31" s="833"/>
      <c r="AQ31" s="833"/>
      <c r="AR31" s="833"/>
      <c r="AS31" s="833"/>
      <c r="AT31" s="833"/>
      <c r="AU31" s="833"/>
      <c r="AV31" s="833"/>
      <c r="AW31" s="833"/>
      <c r="AX31" s="833"/>
      <c r="AY31" s="833"/>
      <c r="AZ31" s="833"/>
      <c r="BA31" s="833"/>
      <c r="BB31" s="833"/>
      <c r="BC31" s="833"/>
      <c r="BD31" s="833"/>
      <c r="BE31" s="833"/>
      <c r="BF31" s="833"/>
      <c r="BG31" s="833"/>
      <c r="BH31" s="833"/>
      <c r="BI31" s="833"/>
      <c r="BJ31" s="833"/>
      <c r="BK31" s="833"/>
      <c r="BL31" s="833"/>
      <c r="BM31" s="833"/>
      <c r="BN31" s="833"/>
      <c r="BO31" s="833"/>
      <c r="BP31" s="833"/>
      <c r="BQ31" s="833"/>
      <c r="BR31" s="833"/>
      <c r="BS31" s="833"/>
      <c r="BT31" s="833"/>
      <c r="BU31" s="833"/>
      <c r="BV31" s="833"/>
      <c r="BW31" s="833"/>
      <c r="BX31" s="833"/>
      <c r="BY31" s="833"/>
      <c r="BZ31" s="833"/>
      <c r="CA31" s="833"/>
      <c r="CB31" s="833"/>
      <c r="CC31" s="833"/>
      <c r="CD31" s="833"/>
      <c r="CE31" s="833"/>
      <c r="CF31" s="833"/>
      <c r="CG31" s="833"/>
      <c r="CH31" s="833"/>
      <c r="CI31" s="833"/>
      <c r="CJ31" s="833"/>
      <c r="CK31" s="833"/>
      <c r="CL31" s="833"/>
      <c r="CM31" s="833"/>
      <c r="CN31" s="833"/>
      <c r="CO31" s="833"/>
      <c r="CP31" s="833"/>
      <c r="CQ31" s="833"/>
      <c r="CR31" s="833"/>
      <c r="CS31" s="833"/>
      <c r="CT31" s="833"/>
      <c r="CU31" s="833"/>
      <c r="CV31" s="833"/>
    </row>
    <row r="32" spans="1:100" ht="16.5" x14ac:dyDescent="0.3">
      <c r="A32" s="658"/>
      <c r="B32" s="742"/>
      <c r="C32" s="742"/>
      <c r="D32" s="655"/>
      <c r="E32" s="655"/>
      <c r="F32" s="728"/>
      <c r="G32" s="655"/>
      <c r="H32" s="655"/>
      <c r="I32" s="655"/>
      <c r="J32" s="654"/>
      <c r="K32" s="833"/>
      <c r="L32" s="833"/>
      <c r="M32" s="833"/>
      <c r="N32" s="833"/>
      <c r="O32" s="833"/>
      <c r="P32" s="833"/>
      <c r="Q32" s="833"/>
      <c r="R32" s="833"/>
      <c r="S32" s="833"/>
      <c r="T32" s="833"/>
      <c r="U32" s="833"/>
      <c r="V32" s="833"/>
      <c r="W32" s="833"/>
      <c r="X32" s="833"/>
      <c r="Y32" s="833"/>
      <c r="Z32" s="833"/>
      <c r="AA32" s="833"/>
      <c r="AB32" s="833"/>
      <c r="AC32" s="833"/>
      <c r="AD32" s="833"/>
      <c r="AE32" s="833"/>
      <c r="AF32" s="833"/>
      <c r="AG32" s="833"/>
      <c r="AH32" s="833"/>
      <c r="AI32" s="833"/>
      <c r="AJ32" s="833"/>
      <c r="AK32" s="833"/>
      <c r="AL32" s="833"/>
      <c r="AM32" s="833"/>
      <c r="AN32" s="833"/>
      <c r="AO32" s="833"/>
      <c r="AP32" s="833"/>
      <c r="AQ32" s="833"/>
      <c r="AR32" s="833"/>
      <c r="AS32" s="833"/>
      <c r="AT32" s="833"/>
      <c r="AU32" s="833"/>
      <c r="AV32" s="833"/>
      <c r="AW32" s="833"/>
      <c r="AX32" s="833"/>
      <c r="AY32" s="833"/>
      <c r="AZ32" s="833"/>
      <c r="BA32" s="833"/>
      <c r="BB32" s="833"/>
      <c r="BC32" s="833"/>
      <c r="BD32" s="833"/>
      <c r="BE32" s="833"/>
      <c r="BF32" s="833"/>
      <c r="BG32" s="833"/>
      <c r="BH32" s="833"/>
      <c r="BI32" s="833"/>
      <c r="BJ32" s="833"/>
      <c r="BK32" s="833"/>
      <c r="BL32" s="833"/>
      <c r="BM32" s="833"/>
      <c r="BN32" s="833"/>
      <c r="BO32" s="833"/>
      <c r="BP32" s="833"/>
      <c r="BQ32" s="833"/>
      <c r="BR32" s="833"/>
      <c r="BS32" s="833"/>
      <c r="BT32" s="833"/>
      <c r="BU32" s="833"/>
      <c r="BV32" s="833"/>
      <c r="BW32" s="833"/>
      <c r="BX32" s="833"/>
      <c r="BY32" s="833"/>
      <c r="BZ32" s="833"/>
      <c r="CA32" s="833"/>
      <c r="CB32" s="833"/>
      <c r="CC32" s="833"/>
      <c r="CD32" s="833"/>
      <c r="CE32" s="833"/>
      <c r="CF32" s="833"/>
      <c r="CG32" s="833"/>
      <c r="CH32" s="833"/>
      <c r="CI32" s="833"/>
      <c r="CJ32" s="833"/>
      <c r="CK32" s="833"/>
      <c r="CL32" s="833"/>
      <c r="CM32" s="833"/>
      <c r="CN32" s="833"/>
      <c r="CO32" s="833"/>
      <c r="CP32" s="833"/>
      <c r="CQ32" s="833"/>
      <c r="CR32" s="833"/>
      <c r="CS32" s="833"/>
      <c r="CT32" s="833"/>
      <c r="CU32" s="833"/>
      <c r="CV32" s="833"/>
    </row>
    <row r="33" spans="1:100" ht="16.5" x14ac:dyDescent="0.3">
      <c r="A33" s="742" t="s">
        <v>1335</v>
      </c>
      <c r="B33" s="742"/>
      <c r="D33" s="724"/>
      <c r="E33" s="724"/>
      <c r="F33" s="725"/>
      <c r="G33" s="724"/>
      <c r="H33" s="724"/>
      <c r="I33" s="724"/>
      <c r="J33" s="693"/>
      <c r="K33" s="833"/>
      <c r="L33" s="833"/>
      <c r="M33" s="833"/>
      <c r="N33" s="833"/>
      <c r="O33" s="833"/>
      <c r="P33" s="833"/>
      <c r="Q33" s="833"/>
      <c r="R33" s="833"/>
      <c r="S33" s="833"/>
      <c r="T33" s="833"/>
      <c r="U33" s="833"/>
      <c r="V33" s="833"/>
      <c r="W33" s="833"/>
      <c r="X33" s="833"/>
      <c r="Y33" s="833"/>
      <c r="Z33" s="833"/>
      <c r="AA33" s="833"/>
      <c r="AB33" s="833"/>
      <c r="AC33" s="833"/>
      <c r="AD33" s="833"/>
      <c r="AE33" s="833"/>
      <c r="AF33" s="833"/>
      <c r="AG33" s="833"/>
      <c r="AH33" s="833"/>
      <c r="AI33" s="833"/>
      <c r="AJ33" s="833"/>
      <c r="AK33" s="833"/>
      <c r="AL33" s="833"/>
      <c r="AM33" s="833"/>
      <c r="AN33" s="833"/>
      <c r="AO33" s="833"/>
      <c r="AP33" s="833"/>
      <c r="AQ33" s="833"/>
      <c r="AR33" s="833"/>
      <c r="AS33" s="833"/>
      <c r="AT33" s="833"/>
      <c r="AU33" s="833"/>
      <c r="AV33" s="833"/>
      <c r="AW33" s="833"/>
      <c r="AX33" s="833"/>
      <c r="AY33" s="833"/>
      <c r="AZ33" s="833"/>
      <c r="BA33" s="833"/>
      <c r="BB33" s="833"/>
      <c r="BC33" s="833"/>
      <c r="BD33" s="833"/>
      <c r="BE33" s="833"/>
      <c r="BF33" s="833"/>
      <c r="BG33" s="833"/>
      <c r="BH33" s="833"/>
      <c r="BI33" s="833"/>
      <c r="BJ33" s="833"/>
      <c r="BK33" s="833"/>
      <c r="BL33" s="833"/>
      <c r="BM33" s="833"/>
      <c r="BN33" s="833"/>
      <c r="BO33" s="833"/>
      <c r="BP33" s="833"/>
      <c r="BQ33" s="833"/>
      <c r="BR33" s="833"/>
      <c r="BS33" s="833"/>
      <c r="BT33" s="833"/>
      <c r="BU33" s="833"/>
      <c r="BV33" s="833"/>
      <c r="BW33" s="833"/>
      <c r="BX33" s="833"/>
      <c r="BY33" s="833"/>
      <c r="BZ33" s="833"/>
      <c r="CA33" s="833"/>
      <c r="CB33" s="833"/>
      <c r="CC33" s="833"/>
      <c r="CD33" s="833"/>
      <c r="CE33" s="833"/>
      <c r="CF33" s="833"/>
      <c r="CG33" s="833"/>
      <c r="CH33" s="833"/>
      <c r="CI33" s="833"/>
      <c r="CJ33" s="833"/>
      <c r="CK33" s="833"/>
      <c r="CL33" s="833"/>
      <c r="CM33" s="833"/>
      <c r="CN33" s="833"/>
      <c r="CO33" s="833"/>
      <c r="CP33" s="833"/>
      <c r="CQ33" s="833"/>
      <c r="CR33" s="833"/>
      <c r="CS33" s="833"/>
      <c r="CT33" s="833"/>
      <c r="CU33" s="833"/>
      <c r="CV33" s="833"/>
    </row>
    <row r="34" spans="1:100" ht="16.5" x14ac:dyDescent="0.3">
      <c r="A34" s="686"/>
      <c r="B34" s="985" t="s">
        <v>1334</v>
      </c>
      <c r="C34" s="749" t="s">
        <v>1333</v>
      </c>
      <c r="D34" s="701" t="s">
        <v>1330</v>
      </c>
      <c r="E34" s="701"/>
      <c r="F34" s="702"/>
      <c r="G34" s="701"/>
      <c r="H34" s="701"/>
      <c r="I34" s="701"/>
      <c r="J34" s="700">
        <f>4.99*6</f>
        <v>29.94</v>
      </c>
      <c r="K34" s="833"/>
      <c r="L34" s="833"/>
      <c r="M34" s="833"/>
      <c r="N34" s="833"/>
      <c r="O34" s="833"/>
      <c r="P34" s="833"/>
      <c r="Q34" s="833"/>
      <c r="R34" s="833"/>
      <c r="S34" s="833"/>
      <c r="T34" s="833"/>
      <c r="U34" s="833"/>
      <c r="V34" s="833"/>
      <c r="W34" s="833"/>
      <c r="X34" s="833"/>
      <c r="Y34" s="833"/>
      <c r="Z34" s="833"/>
      <c r="AA34" s="833"/>
      <c r="AB34" s="833"/>
      <c r="AC34" s="833"/>
      <c r="AD34" s="833"/>
      <c r="AE34" s="833"/>
      <c r="AF34" s="833"/>
      <c r="AG34" s="833"/>
      <c r="AH34" s="833"/>
      <c r="AI34" s="833"/>
      <c r="AJ34" s="833"/>
      <c r="AK34" s="833"/>
      <c r="AL34" s="833"/>
      <c r="AM34" s="833"/>
      <c r="AN34" s="833"/>
      <c r="AO34" s="833"/>
      <c r="AP34" s="833"/>
      <c r="AQ34" s="833"/>
      <c r="AR34" s="833"/>
      <c r="AS34" s="833"/>
      <c r="AT34" s="833"/>
      <c r="AU34" s="833"/>
      <c r="AV34" s="833"/>
      <c r="AW34" s="833"/>
      <c r="AX34" s="833"/>
      <c r="AY34" s="833"/>
      <c r="AZ34" s="833"/>
      <c r="BA34" s="833"/>
      <c r="BB34" s="833"/>
      <c r="BC34" s="833"/>
      <c r="BD34" s="833"/>
      <c r="BE34" s="833"/>
      <c r="BF34" s="833"/>
      <c r="BG34" s="833"/>
      <c r="BH34" s="833"/>
      <c r="BI34" s="833"/>
      <c r="BJ34" s="833"/>
      <c r="BK34" s="833"/>
      <c r="BL34" s="833"/>
      <c r="BM34" s="833"/>
      <c r="BN34" s="833"/>
      <c r="BO34" s="833"/>
      <c r="BP34" s="833"/>
      <c r="BQ34" s="833"/>
      <c r="BR34" s="833"/>
      <c r="BS34" s="833"/>
      <c r="BT34" s="833"/>
      <c r="BU34" s="833"/>
      <c r="BV34" s="833"/>
      <c r="BW34" s="833"/>
      <c r="BX34" s="833"/>
      <c r="BY34" s="833"/>
      <c r="BZ34" s="833"/>
      <c r="CA34" s="833"/>
      <c r="CB34" s="833"/>
      <c r="CC34" s="833"/>
      <c r="CD34" s="833"/>
      <c r="CE34" s="833"/>
      <c r="CF34" s="833"/>
      <c r="CG34" s="833"/>
      <c r="CH34" s="833"/>
      <c r="CI34" s="833"/>
      <c r="CJ34" s="833"/>
      <c r="CK34" s="833"/>
      <c r="CL34" s="833"/>
      <c r="CM34" s="833"/>
      <c r="CN34" s="833"/>
      <c r="CO34" s="833"/>
      <c r="CP34" s="833"/>
      <c r="CQ34" s="833"/>
      <c r="CR34" s="833"/>
      <c r="CS34" s="833"/>
      <c r="CT34" s="833"/>
      <c r="CU34" s="833"/>
      <c r="CV34" s="833"/>
    </row>
    <row r="35" spans="1:100" ht="16.5" x14ac:dyDescent="0.3">
      <c r="A35" s="686"/>
      <c r="B35" s="732" t="s">
        <v>1332</v>
      </c>
      <c r="C35" s="748" t="s">
        <v>1331</v>
      </c>
      <c r="D35" s="724" t="s">
        <v>1330</v>
      </c>
      <c r="E35" s="724"/>
      <c r="F35" s="725"/>
      <c r="G35" s="724"/>
      <c r="H35" s="724"/>
      <c r="I35" s="809"/>
      <c r="J35" s="693">
        <f>13.99*3</f>
        <v>41.97</v>
      </c>
      <c r="K35" s="833"/>
      <c r="L35" s="833"/>
      <c r="M35" s="833"/>
      <c r="N35" s="833"/>
      <c r="O35" s="833"/>
      <c r="P35" s="833"/>
      <c r="Q35" s="833"/>
      <c r="R35" s="833"/>
      <c r="S35" s="833"/>
      <c r="T35" s="833"/>
      <c r="U35" s="833"/>
      <c r="V35" s="833"/>
      <c r="W35" s="833"/>
      <c r="X35" s="833"/>
      <c r="Y35" s="833"/>
      <c r="Z35" s="833"/>
      <c r="AA35" s="833"/>
      <c r="AB35" s="833"/>
      <c r="AC35" s="833"/>
      <c r="AD35" s="833"/>
      <c r="AE35" s="833"/>
      <c r="AF35" s="833"/>
      <c r="AG35" s="833"/>
      <c r="AH35" s="833"/>
      <c r="AI35" s="833"/>
      <c r="AJ35" s="833"/>
      <c r="AK35" s="833"/>
      <c r="AL35" s="833"/>
      <c r="AM35" s="833"/>
      <c r="AN35" s="833"/>
      <c r="AO35" s="833"/>
      <c r="AP35" s="833"/>
      <c r="AQ35" s="833"/>
      <c r="AR35" s="833"/>
      <c r="AS35" s="833"/>
      <c r="AT35" s="833"/>
      <c r="AU35" s="833"/>
      <c r="AV35" s="833"/>
      <c r="AW35" s="833"/>
      <c r="AX35" s="833"/>
      <c r="AY35" s="833"/>
      <c r="AZ35" s="833"/>
      <c r="BA35" s="833"/>
      <c r="BB35" s="833"/>
      <c r="BC35" s="833"/>
      <c r="BD35" s="833"/>
      <c r="BE35" s="833"/>
      <c r="BF35" s="833"/>
      <c r="BG35" s="833"/>
      <c r="BH35" s="833"/>
      <c r="BI35" s="833"/>
      <c r="BJ35" s="833"/>
      <c r="BK35" s="833"/>
      <c r="BL35" s="833"/>
      <c r="BM35" s="833"/>
      <c r="BN35" s="833"/>
      <c r="BO35" s="833"/>
      <c r="BP35" s="833"/>
      <c r="BQ35" s="833"/>
      <c r="BR35" s="833"/>
      <c r="BS35" s="833"/>
      <c r="BT35" s="833"/>
      <c r="BU35" s="833"/>
      <c r="BV35" s="833"/>
      <c r="BW35" s="833"/>
      <c r="BX35" s="833"/>
      <c r="BY35" s="833"/>
      <c r="BZ35" s="833"/>
      <c r="CA35" s="833"/>
      <c r="CB35" s="833"/>
      <c r="CC35" s="833"/>
      <c r="CD35" s="833"/>
      <c r="CE35" s="833"/>
      <c r="CF35" s="833"/>
      <c r="CG35" s="833"/>
      <c r="CH35" s="833"/>
      <c r="CI35" s="833"/>
      <c r="CJ35" s="833"/>
      <c r="CK35" s="833"/>
      <c r="CL35" s="833"/>
      <c r="CM35" s="833"/>
      <c r="CN35" s="833"/>
      <c r="CO35" s="833"/>
      <c r="CP35" s="833"/>
      <c r="CQ35" s="833"/>
      <c r="CR35" s="833"/>
      <c r="CS35" s="833"/>
      <c r="CT35" s="833"/>
      <c r="CU35" s="833"/>
      <c r="CV35" s="833"/>
    </row>
    <row r="36" spans="1:100" ht="16.5" x14ac:dyDescent="0.3">
      <c r="A36" s="686"/>
      <c r="B36" s="663"/>
      <c r="C36" s="663"/>
      <c r="D36" s="701"/>
      <c r="E36" s="701"/>
      <c r="F36" s="702"/>
      <c r="G36" s="701"/>
      <c r="H36" s="701"/>
      <c r="I36" s="701"/>
      <c r="J36" s="700"/>
      <c r="K36" s="833"/>
      <c r="L36" s="833"/>
      <c r="M36" s="833"/>
      <c r="N36" s="833"/>
      <c r="O36" s="833"/>
      <c r="P36" s="833"/>
      <c r="Q36" s="833"/>
      <c r="R36" s="833"/>
      <c r="S36" s="833"/>
      <c r="T36" s="833"/>
      <c r="U36" s="833"/>
      <c r="V36" s="833"/>
      <c r="W36" s="833"/>
      <c r="X36" s="833"/>
      <c r="Y36" s="833"/>
      <c r="Z36" s="833"/>
      <c r="AA36" s="833"/>
      <c r="AB36" s="833"/>
      <c r="AC36" s="833"/>
      <c r="AD36" s="833"/>
      <c r="AE36" s="833"/>
      <c r="AF36" s="833"/>
      <c r="AG36" s="833"/>
      <c r="AH36" s="833"/>
      <c r="AI36" s="833"/>
      <c r="AJ36" s="833"/>
      <c r="AK36" s="833"/>
      <c r="AL36" s="833"/>
      <c r="AM36" s="833"/>
      <c r="AN36" s="833"/>
      <c r="AO36" s="833"/>
      <c r="AP36" s="833"/>
      <c r="AQ36" s="833"/>
      <c r="AR36" s="833"/>
      <c r="AS36" s="833"/>
      <c r="AT36" s="833"/>
      <c r="AU36" s="833"/>
      <c r="AV36" s="833"/>
      <c r="AW36" s="833"/>
      <c r="AX36" s="833"/>
      <c r="AY36" s="833"/>
      <c r="AZ36" s="833"/>
      <c r="BA36" s="833"/>
      <c r="BB36" s="833"/>
      <c r="BC36" s="833"/>
      <c r="BD36" s="833"/>
      <c r="BE36" s="833"/>
      <c r="BF36" s="833"/>
      <c r="BG36" s="833"/>
      <c r="BH36" s="833"/>
      <c r="BI36" s="833"/>
      <c r="BJ36" s="833"/>
      <c r="BK36" s="833"/>
      <c r="BL36" s="833"/>
      <c r="BM36" s="833"/>
      <c r="BN36" s="833"/>
      <c r="BO36" s="833"/>
      <c r="BP36" s="833"/>
      <c r="BQ36" s="833"/>
      <c r="BR36" s="833"/>
      <c r="BS36" s="833"/>
      <c r="BT36" s="833"/>
      <c r="BU36" s="833"/>
      <c r="BV36" s="833"/>
      <c r="BW36" s="833"/>
      <c r="BX36" s="833"/>
      <c r="BY36" s="833"/>
      <c r="BZ36" s="833"/>
      <c r="CA36" s="833"/>
      <c r="CB36" s="833"/>
      <c r="CC36" s="833"/>
      <c r="CD36" s="833"/>
      <c r="CE36" s="833"/>
      <c r="CF36" s="833"/>
      <c r="CG36" s="833"/>
      <c r="CH36" s="833"/>
      <c r="CI36" s="833"/>
      <c r="CJ36" s="833"/>
      <c r="CK36" s="833"/>
      <c r="CL36" s="833"/>
      <c r="CM36" s="833"/>
      <c r="CN36" s="833"/>
      <c r="CO36" s="833"/>
      <c r="CP36" s="833"/>
      <c r="CQ36" s="833"/>
      <c r="CR36" s="833"/>
      <c r="CS36" s="833"/>
      <c r="CT36" s="833"/>
      <c r="CU36" s="833"/>
      <c r="CV36" s="833"/>
    </row>
    <row r="37" spans="1:100" ht="16.5" x14ac:dyDescent="0.3">
      <c r="A37" s="686"/>
      <c r="B37" s="685" t="s">
        <v>1329</v>
      </c>
      <c r="C37" s="733"/>
      <c r="D37" s="680"/>
      <c r="E37" s="680"/>
      <c r="F37" s="716"/>
      <c r="G37" s="680"/>
      <c r="H37" s="680">
        <f>SUM(H34:H36)</f>
        <v>0</v>
      </c>
      <c r="I37" s="680">
        <f>SUM(I34:I36)</f>
        <v>0</v>
      </c>
      <c r="J37" s="679">
        <f>SUM(J34:J36)</f>
        <v>71.91</v>
      </c>
      <c r="K37" s="833"/>
      <c r="L37" s="833"/>
      <c r="M37" s="833"/>
      <c r="N37" s="833"/>
      <c r="O37" s="833"/>
      <c r="P37" s="833"/>
      <c r="Q37" s="833"/>
      <c r="R37" s="833"/>
      <c r="S37" s="833"/>
      <c r="T37" s="833"/>
      <c r="U37" s="833"/>
      <c r="V37" s="833"/>
      <c r="W37" s="833"/>
      <c r="X37" s="833"/>
      <c r="Y37" s="833"/>
      <c r="Z37" s="833"/>
      <c r="AA37" s="833"/>
      <c r="AB37" s="833"/>
      <c r="AC37" s="833"/>
      <c r="AD37" s="833"/>
      <c r="AE37" s="833"/>
      <c r="AF37" s="833"/>
      <c r="AG37" s="833"/>
      <c r="AH37" s="833"/>
      <c r="AI37" s="833"/>
      <c r="AJ37" s="833"/>
      <c r="AK37" s="833"/>
      <c r="AL37" s="833"/>
      <c r="AM37" s="833"/>
      <c r="AN37" s="833"/>
      <c r="AO37" s="833"/>
      <c r="AP37" s="833"/>
      <c r="AQ37" s="833"/>
      <c r="AR37" s="833"/>
      <c r="AS37" s="833"/>
      <c r="AT37" s="833"/>
      <c r="AU37" s="833"/>
      <c r="AV37" s="833"/>
      <c r="AW37" s="833"/>
      <c r="AX37" s="833"/>
      <c r="AY37" s="833"/>
      <c r="AZ37" s="833"/>
      <c r="BA37" s="833"/>
      <c r="BB37" s="833"/>
      <c r="BC37" s="833"/>
      <c r="BD37" s="833"/>
      <c r="BE37" s="833"/>
      <c r="BF37" s="833"/>
      <c r="BG37" s="833"/>
      <c r="BH37" s="833"/>
      <c r="BI37" s="833"/>
      <c r="BJ37" s="833"/>
      <c r="BK37" s="833"/>
      <c r="BL37" s="833"/>
      <c r="BM37" s="833"/>
      <c r="BN37" s="833"/>
      <c r="BO37" s="833"/>
      <c r="BP37" s="833"/>
      <c r="BQ37" s="833"/>
      <c r="BR37" s="833"/>
      <c r="BS37" s="833"/>
      <c r="BT37" s="833"/>
      <c r="BU37" s="833"/>
      <c r="BV37" s="833"/>
      <c r="BW37" s="833"/>
      <c r="BX37" s="833"/>
      <c r="BY37" s="833"/>
      <c r="BZ37" s="833"/>
      <c r="CA37" s="833"/>
      <c r="CB37" s="833"/>
      <c r="CC37" s="833"/>
      <c r="CD37" s="833"/>
      <c r="CE37" s="833"/>
      <c r="CF37" s="833"/>
      <c r="CG37" s="833"/>
      <c r="CH37" s="833"/>
      <c r="CI37" s="833"/>
      <c r="CJ37" s="833"/>
      <c r="CK37" s="833"/>
      <c r="CL37" s="833"/>
      <c r="CM37" s="833"/>
      <c r="CN37" s="833"/>
      <c r="CO37" s="833"/>
      <c r="CP37" s="833"/>
      <c r="CQ37" s="833"/>
      <c r="CR37" s="833"/>
      <c r="CS37" s="833"/>
      <c r="CT37" s="833"/>
      <c r="CU37" s="833"/>
      <c r="CV37" s="833"/>
    </row>
    <row r="38" spans="1:100" ht="16.5" x14ac:dyDescent="0.3">
      <c r="A38" s="686"/>
      <c r="B38" s="742"/>
      <c r="C38" s="742"/>
      <c r="D38" s="655"/>
      <c r="E38" s="655"/>
      <c r="F38" s="728"/>
      <c r="G38" s="655"/>
      <c r="H38" s="655"/>
      <c r="I38" s="655"/>
      <c r="J38" s="756"/>
      <c r="K38" s="833"/>
      <c r="L38" s="833"/>
      <c r="M38" s="833"/>
      <c r="N38" s="833"/>
      <c r="O38" s="833"/>
      <c r="P38" s="833"/>
      <c r="Q38" s="833"/>
      <c r="R38" s="833"/>
      <c r="S38" s="833"/>
      <c r="T38" s="833"/>
      <c r="U38" s="833"/>
      <c r="V38" s="833"/>
      <c r="W38" s="833"/>
      <c r="X38" s="833"/>
      <c r="Y38" s="833"/>
      <c r="Z38" s="833"/>
      <c r="AA38" s="833"/>
      <c r="AB38" s="833"/>
      <c r="AC38" s="833"/>
      <c r="AD38" s="833"/>
      <c r="AE38" s="833"/>
      <c r="AF38" s="833"/>
      <c r="AG38" s="833"/>
      <c r="AH38" s="833"/>
      <c r="AI38" s="833"/>
      <c r="AJ38" s="833"/>
      <c r="AK38" s="833"/>
      <c r="AL38" s="833"/>
      <c r="AM38" s="833"/>
      <c r="AN38" s="833"/>
      <c r="AO38" s="833"/>
      <c r="AP38" s="833"/>
      <c r="AQ38" s="833"/>
      <c r="AR38" s="833"/>
      <c r="AS38" s="833"/>
      <c r="AT38" s="833"/>
      <c r="AU38" s="833"/>
      <c r="AV38" s="833"/>
      <c r="AW38" s="833"/>
      <c r="AX38" s="833"/>
      <c r="AY38" s="833"/>
      <c r="AZ38" s="833"/>
      <c r="BA38" s="833"/>
      <c r="BB38" s="833"/>
      <c r="BC38" s="833"/>
      <c r="BD38" s="833"/>
      <c r="BE38" s="833"/>
      <c r="BF38" s="833"/>
      <c r="BG38" s="833"/>
      <c r="BH38" s="833"/>
      <c r="BI38" s="833"/>
      <c r="BJ38" s="833"/>
      <c r="BK38" s="833"/>
      <c r="BL38" s="833"/>
      <c r="BM38" s="833"/>
      <c r="BN38" s="833"/>
      <c r="BO38" s="833"/>
      <c r="BP38" s="833"/>
      <c r="BQ38" s="833"/>
      <c r="BR38" s="833"/>
      <c r="BS38" s="833"/>
      <c r="BT38" s="833"/>
      <c r="BU38" s="833"/>
      <c r="BV38" s="833"/>
      <c r="BW38" s="833"/>
      <c r="BX38" s="833"/>
      <c r="BY38" s="833"/>
      <c r="BZ38" s="833"/>
      <c r="CA38" s="833"/>
      <c r="CB38" s="833"/>
      <c r="CC38" s="833"/>
      <c r="CD38" s="833"/>
      <c r="CE38" s="833"/>
      <c r="CF38" s="833"/>
      <c r="CG38" s="833"/>
      <c r="CH38" s="833"/>
      <c r="CI38" s="833"/>
      <c r="CJ38" s="833"/>
      <c r="CK38" s="833"/>
      <c r="CL38" s="833"/>
      <c r="CM38" s="833"/>
      <c r="CN38" s="833"/>
      <c r="CO38" s="833"/>
      <c r="CP38" s="833"/>
      <c r="CQ38" s="833"/>
      <c r="CR38" s="833"/>
      <c r="CS38" s="833"/>
      <c r="CT38" s="833"/>
      <c r="CU38" s="833"/>
      <c r="CV38" s="833"/>
    </row>
    <row r="39" spans="1:100" ht="16.5" x14ac:dyDescent="0.3">
      <c r="A39" s="686"/>
      <c r="B39" s="742"/>
      <c r="C39" s="742"/>
      <c r="D39" s="655"/>
      <c r="E39" s="655"/>
      <c r="F39" s="728"/>
      <c r="G39" s="655"/>
      <c r="H39" s="655"/>
      <c r="I39" s="655"/>
      <c r="J39" s="654"/>
      <c r="K39" s="833"/>
      <c r="L39" s="833"/>
      <c r="M39" s="833"/>
      <c r="N39" s="833"/>
      <c r="O39" s="833"/>
      <c r="P39" s="833"/>
      <c r="Q39" s="833"/>
      <c r="R39" s="833"/>
      <c r="S39" s="833"/>
      <c r="T39" s="833"/>
      <c r="U39" s="833"/>
      <c r="V39" s="833"/>
      <c r="W39" s="833"/>
      <c r="X39" s="833"/>
      <c r="Y39" s="833"/>
      <c r="Z39" s="833"/>
      <c r="AA39" s="833"/>
      <c r="AB39" s="833"/>
      <c r="AC39" s="833"/>
      <c r="AD39" s="833"/>
      <c r="AE39" s="833"/>
      <c r="AF39" s="833"/>
      <c r="AG39" s="833"/>
      <c r="AH39" s="833"/>
      <c r="AI39" s="833"/>
      <c r="AJ39" s="833"/>
      <c r="AK39" s="833"/>
      <c r="AL39" s="833"/>
      <c r="AM39" s="833"/>
      <c r="AN39" s="833"/>
      <c r="AO39" s="833"/>
      <c r="AP39" s="833"/>
      <c r="AQ39" s="833"/>
      <c r="AR39" s="833"/>
      <c r="AS39" s="833"/>
      <c r="AT39" s="833"/>
      <c r="AU39" s="833"/>
      <c r="AV39" s="833"/>
      <c r="AW39" s="833"/>
      <c r="AX39" s="833"/>
      <c r="AY39" s="833"/>
      <c r="AZ39" s="833"/>
      <c r="BA39" s="833"/>
      <c r="BB39" s="833"/>
      <c r="BC39" s="833"/>
      <c r="BD39" s="833"/>
      <c r="BE39" s="833"/>
      <c r="BF39" s="833"/>
      <c r="BG39" s="833"/>
      <c r="BH39" s="833"/>
      <c r="BI39" s="833"/>
      <c r="BJ39" s="833"/>
      <c r="BK39" s="833"/>
      <c r="BL39" s="833"/>
      <c r="BM39" s="833"/>
      <c r="BN39" s="833"/>
      <c r="BO39" s="833"/>
      <c r="BP39" s="833"/>
      <c r="BQ39" s="833"/>
      <c r="BR39" s="833"/>
      <c r="BS39" s="833"/>
      <c r="BT39" s="833"/>
      <c r="BU39" s="833"/>
      <c r="BV39" s="833"/>
      <c r="BW39" s="833"/>
      <c r="BX39" s="833"/>
      <c r="BY39" s="833"/>
      <c r="BZ39" s="833"/>
      <c r="CA39" s="833"/>
      <c r="CB39" s="833"/>
      <c r="CC39" s="833"/>
      <c r="CD39" s="833"/>
      <c r="CE39" s="833"/>
      <c r="CF39" s="833"/>
      <c r="CG39" s="833"/>
      <c r="CH39" s="833"/>
      <c r="CI39" s="833"/>
      <c r="CJ39" s="833"/>
      <c r="CK39" s="833"/>
      <c r="CL39" s="833"/>
      <c r="CM39" s="833"/>
      <c r="CN39" s="833"/>
      <c r="CO39" s="833"/>
      <c r="CP39" s="833"/>
      <c r="CQ39" s="833"/>
      <c r="CR39" s="833"/>
      <c r="CS39" s="833"/>
      <c r="CT39" s="833"/>
      <c r="CU39" s="833"/>
      <c r="CV39" s="833"/>
    </row>
    <row r="40" spans="1:100" ht="16.5" x14ac:dyDescent="0.3">
      <c r="A40" s="686"/>
      <c r="B40" s="658"/>
      <c r="C40" s="742" t="s">
        <v>4</v>
      </c>
      <c r="D40" s="655"/>
      <c r="E40" s="655"/>
      <c r="F40" s="728"/>
      <c r="G40" s="655"/>
      <c r="H40" s="655">
        <f>H14+H20+H25+H31</f>
        <v>2924.8693999999996</v>
      </c>
      <c r="I40" s="655">
        <f>I14+I20+I25+I31</f>
        <v>2006.32</v>
      </c>
      <c r="J40" s="654">
        <f>J14+J20+J25+J31</f>
        <v>3070.8100000000004</v>
      </c>
      <c r="K40" s="833"/>
      <c r="L40" s="833"/>
      <c r="M40" s="833"/>
      <c r="N40" s="833"/>
      <c r="O40" s="833"/>
      <c r="P40" s="833"/>
      <c r="Q40" s="833"/>
      <c r="R40" s="833"/>
      <c r="S40" s="833"/>
      <c r="T40" s="833"/>
      <c r="U40" s="833"/>
      <c r="V40" s="833"/>
      <c r="W40" s="833"/>
      <c r="X40" s="833"/>
      <c r="Y40" s="833"/>
      <c r="Z40" s="833"/>
      <c r="AA40" s="833"/>
      <c r="AB40" s="833"/>
      <c r="AC40" s="833"/>
      <c r="AD40" s="833"/>
      <c r="AE40" s="833"/>
      <c r="AF40" s="833"/>
      <c r="AG40" s="833"/>
      <c r="AH40" s="833"/>
      <c r="AI40" s="833"/>
      <c r="AJ40" s="833"/>
      <c r="AK40" s="833"/>
      <c r="AL40" s="833"/>
      <c r="AM40" s="833"/>
      <c r="AN40" s="833"/>
      <c r="AO40" s="833"/>
      <c r="AP40" s="833"/>
      <c r="AQ40" s="833"/>
      <c r="AR40" s="833"/>
      <c r="AS40" s="833"/>
      <c r="AT40" s="833"/>
      <c r="AU40" s="833"/>
      <c r="AV40" s="833"/>
      <c r="AW40" s="833"/>
      <c r="AX40" s="833"/>
      <c r="AY40" s="833"/>
      <c r="AZ40" s="833"/>
      <c r="BA40" s="833"/>
      <c r="BB40" s="833"/>
      <c r="BC40" s="833"/>
      <c r="BD40" s="833"/>
      <c r="BE40" s="833"/>
      <c r="BF40" s="833"/>
      <c r="BG40" s="833"/>
      <c r="BH40" s="833"/>
      <c r="BI40" s="833"/>
      <c r="BJ40" s="833"/>
      <c r="BK40" s="833"/>
      <c r="BL40" s="833"/>
      <c r="BM40" s="833"/>
      <c r="BN40" s="833"/>
      <c r="BO40" s="833"/>
      <c r="BP40" s="833"/>
      <c r="BQ40" s="833"/>
      <c r="BR40" s="833"/>
      <c r="BS40" s="833"/>
      <c r="BT40" s="833"/>
      <c r="BU40" s="833"/>
      <c r="BV40" s="833"/>
      <c r="BW40" s="833"/>
      <c r="BX40" s="833"/>
      <c r="BY40" s="833"/>
      <c r="BZ40" s="833"/>
      <c r="CA40" s="833"/>
      <c r="CB40" s="833"/>
      <c r="CC40" s="833"/>
      <c r="CD40" s="833"/>
      <c r="CE40" s="833"/>
      <c r="CF40" s="833"/>
      <c r="CG40" s="833"/>
      <c r="CH40" s="833"/>
      <c r="CI40" s="833"/>
      <c r="CJ40" s="833"/>
      <c r="CK40" s="833"/>
      <c r="CL40" s="833"/>
      <c r="CM40" s="833"/>
      <c r="CN40" s="833"/>
      <c r="CO40" s="833"/>
      <c r="CP40" s="833"/>
      <c r="CQ40" s="833"/>
      <c r="CR40" s="833"/>
      <c r="CS40" s="833"/>
      <c r="CT40" s="833"/>
      <c r="CU40" s="833"/>
      <c r="CV40" s="833"/>
    </row>
    <row r="41" spans="1:100" ht="16.5" x14ac:dyDescent="0.3">
      <c r="A41" s="686"/>
      <c r="B41" s="658"/>
      <c r="C41" s="742"/>
      <c r="D41" s="655"/>
      <c r="E41" s="655"/>
      <c r="F41" s="728"/>
      <c r="G41" s="655"/>
      <c r="H41" s="655"/>
      <c r="I41" s="655"/>
      <c r="J41" s="654"/>
      <c r="K41" s="833"/>
      <c r="L41" s="833"/>
      <c r="M41" s="833"/>
      <c r="N41" s="833"/>
      <c r="O41" s="833"/>
      <c r="P41" s="833"/>
      <c r="Q41" s="833"/>
      <c r="R41" s="833"/>
      <c r="S41" s="833"/>
      <c r="T41" s="833"/>
      <c r="U41" s="833"/>
      <c r="V41" s="833"/>
      <c r="W41" s="833"/>
      <c r="X41" s="833"/>
      <c r="Y41" s="833"/>
      <c r="Z41" s="833"/>
      <c r="AA41" s="833"/>
      <c r="AB41" s="833"/>
      <c r="AC41" s="833"/>
      <c r="AD41" s="833"/>
      <c r="AE41" s="833"/>
      <c r="AF41" s="833"/>
      <c r="AG41" s="833"/>
      <c r="AH41" s="833"/>
      <c r="AI41" s="833"/>
      <c r="AJ41" s="833"/>
      <c r="AK41" s="833"/>
      <c r="AL41" s="833"/>
      <c r="AM41" s="833"/>
      <c r="AN41" s="833"/>
      <c r="AO41" s="833"/>
      <c r="AP41" s="833"/>
      <c r="AQ41" s="833"/>
      <c r="AR41" s="833"/>
      <c r="AS41" s="833"/>
      <c r="AT41" s="833"/>
      <c r="AU41" s="833"/>
      <c r="AV41" s="833"/>
      <c r="AW41" s="833"/>
      <c r="AX41" s="833"/>
      <c r="AY41" s="833"/>
      <c r="AZ41" s="833"/>
      <c r="BA41" s="833"/>
      <c r="BB41" s="833"/>
      <c r="BC41" s="833"/>
      <c r="BD41" s="833"/>
      <c r="BE41" s="833"/>
      <c r="BF41" s="833"/>
      <c r="BG41" s="833"/>
      <c r="BH41" s="833"/>
      <c r="BI41" s="833"/>
      <c r="BJ41" s="833"/>
      <c r="BK41" s="833"/>
      <c r="BL41" s="833"/>
      <c r="BM41" s="833"/>
      <c r="BN41" s="833"/>
      <c r="BO41" s="833"/>
      <c r="BP41" s="833"/>
      <c r="BQ41" s="833"/>
      <c r="BR41" s="833"/>
      <c r="BS41" s="833"/>
      <c r="BT41" s="833"/>
      <c r="BU41" s="833"/>
      <c r="BV41" s="833"/>
      <c r="BW41" s="833"/>
      <c r="BX41" s="833"/>
      <c r="BY41" s="833"/>
      <c r="BZ41" s="833"/>
      <c r="CA41" s="833"/>
      <c r="CB41" s="833"/>
      <c r="CC41" s="833"/>
      <c r="CD41" s="833"/>
      <c r="CE41" s="833"/>
      <c r="CF41" s="833"/>
      <c r="CG41" s="833"/>
      <c r="CH41" s="833"/>
      <c r="CI41" s="833"/>
      <c r="CJ41" s="833"/>
      <c r="CK41" s="833"/>
      <c r="CL41" s="833"/>
      <c r="CM41" s="833"/>
      <c r="CN41" s="833"/>
      <c r="CO41" s="833"/>
      <c r="CP41" s="833"/>
      <c r="CQ41" s="833"/>
      <c r="CR41" s="833"/>
      <c r="CS41" s="833"/>
      <c r="CT41" s="833"/>
      <c r="CU41" s="833"/>
      <c r="CV41" s="833"/>
    </row>
    <row r="42" spans="1:100" ht="16.5" x14ac:dyDescent="0.3">
      <c r="A42" s="960" t="s">
        <v>3</v>
      </c>
      <c r="B42" s="993"/>
      <c r="C42" s="993"/>
      <c r="D42" s="665"/>
      <c r="E42" s="665"/>
      <c r="F42" s="666"/>
      <c r="G42" s="665"/>
      <c r="H42" s="665"/>
      <c r="I42" s="665"/>
      <c r="J42" s="664"/>
      <c r="K42" s="833"/>
      <c r="L42" s="833"/>
      <c r="M42" s="833"/>
      <c r="N42" s="833"/>
      <c r="O42" s="833"/>
      <c r="P42" s="833"/>
      <c r="Q42" s="833"/>
      <c r="R42" s="833"/>
      <c r="S42" s="833"/>
      <c r="T42" s="833"/>
      <c r="U42" s="833"/>
      <c r="V42" s="833"/>
      <c r="W42" s="833"/>
      <c r="X42" s="833"/>
      <c r="Y42" s="833"/>
      <c r="Z42" s="833"/>
      <c r="AA42" s="833"/>
      <c r="AB42" s="833"/>
      <c r="AC42" s="833"/>
      <c r="AD42" s="833"/>
      <c r="AE42" s="833"/>
      <c r="AF42" s="833"/>
      <c r="AG42" s="833"/>
      <c r="AH42" s="833"/>
      <c r="AI42" s="833"/>
      <c r="AJ42" s="833"/>
      <c r="AK42" s="833"/>
      <c r="AL42" s="833"/>
      <c r="AM42" s="833"/>
      <c r="AN42" s="833"/>
      <c r="AO42" s="833"/>
      <c r="AP42" s="833"/>
      <c r="AQ42" s="833"/>
      <c r="AR42" s="833"/>
      <c r="AS42" s="833"/>
      <c r="AT42" s="833"/>
      <c r="AU42" s="833"/>
      <c r="AV42" s="833"/>
      <c r="AW42" s="833"/>
      <c r="AX42" s="833"/>
      <c r="AY42" s="833"/>
      <c r="AZ42" s="833"/>
      <c r="BA42" s="833"/>
      <c r="BB42" s="833"/>
      <c r="BC42" s="833"/>
      <c r="BD42" s="833"/>
      <c r="BE42" s="833"/>
      <c r="BF42" s="833"/>
      <c r="BG42" s="833"/>
      <c r="BH42" s="833"/>
      <c r="BI42" s="833"/>
      <c r="BJ42" s="833"/>
      <c r="BK42" s="833"/>
      <c r="BL42" s="833"/>
      <c r="BM42" s="833"/>
      <c r="BN42" s="833"/>
      <c r="BO42" s="833"/>
      <c r="BP42" s="833"/>
      <c r="BQ42" s="833"/>
      <c r="BR42" s="833"/>
      <c r="BS42" s="833"/>
      <c r="BT42" s="833"/>
      <c r="BU42" s="833"/>
      <c r="BV42" s="833"/>
      <c r="BW42" s="833"/>
      <c r="BX42" s="833"/>
      <c r="BY42" s="833"/>
      <c r="BZ42" s="833"/>
      <c r="CA42" s="833"/>
      <c r="CB42" s="833"/>
      <c r="CC42" s="833"/>
      <c r="CD42" s="833"/>
      <c r="CE42" s="833"/>
      <c r="CF42" s="833"/>
      <c r="CG42" s="833"/>
      <c r="CH42" s="833"/>
      <c r="CI42" s="833"/>
      <c r="CJ42" s="833"/>
      <c r="CK42" s="833"/>
      <c r="CL42" s="833"/>
      <c r="CM42" s="833"/>
      <c r="CN42" s="833"/>
      <c r="CO42" s="833"/>
      <c r="CP42" s="833"/>
      <c r="CQ42" s="833"/>
      <c r="CR42" s="833"/>
      <c r="CS42" s="833"/>
      <c r="CT42" s="833"/>
      <c r="CU42" s="833"/>
      <c r="CV42" s="833"/>
    </row>
    <row r="43" spans="1:100" ht="16.5" x14ac:dyDescent="0.3">
      <c r="A43" s="659"/>
      <c r="B43" s="978" t="s">
        <v>2</v>
      </c>
      <c r="C43" s="978"/>
      <c r="D43" s="660"/>
      <c r="E43" s="660"/>
      <c r="F43" s="660"/>
      <c r="G43" s="660"/>
      <c r="H43" s="660">
        <f>H6</f>
        <v>0</v>
      </c>
      <c r="I43" s="660">
        <f>I6</f>
        <v>0</v>
      </c>
      <c r="J43" s="1054">
        <f>J6</f>
        <v>0</v>
      </c>
      <c r="K43" s="833"/>
      <c r="L43" s="833"/>
      <c r="M43" s="833"/>
      <c r="N43" s="833"/>
      <c r="O43" s="833"/>
      <c r="P43" s="833"/>
      <c r="Q43" s="833"/>
      <c r="R43" s="833"/>
      <c r="S43" s="833"/>
      <c r="T43" s="833"/>
      <c r="U43" s="833"/>
      <c r="V43" s="833"/>
      <c r="W43" s="833"/>
      <c r="X43" s="833"/>
      <c r="Y43" s="833"/>
      <c r="Z43" s="833"/>
      <c r="AA43" s="833"/>
      <c r="AB43" s="833"/>
      <c r="AC43" s="833"/>
      <c r="AD43" s="833"/>
      <c r="AE43" s="833"/>
      <c r="AF43" s="833"/>
      <c r="AG43" s="833"/>
      <c r="AH43" s="833"/>
      <c r="AI43" s="833"/>
      <c r="AJ43" s="833"/>
      <c r="AK43" s="833"/>
      <c r="AL43" s="833"/>
      <c r="AM43" s="833"/>
      <c r="AN43" s="833"/>
      <c r="AO43" s="833"/>
      <c r="AP43" s="833"/>
      <c r="AQ43" s="833"/>
      <c r="AR43" s="833"/>
      <c r="AS43" s="833"/>
      <c r="AT43" s="833"/>
      <c r="AU43" s="833"/>
      <c r="AV43" s="833"/>
      <c r="AW43" s="833"/>
      <c r="AX43" s="833"/>
      <c r="AY43" s="833"/>
      <c r="AZ43" s="833"/>
      <c r="BA43" s="833"/>
      <c r="BB43" s="833"/>
      <c r="BC43" s="833"/>
      <c r="BD43" s="833"/>
      <c r="BE43" s="833"/>
      <c r="BF43" s="833"/>
      <c r="BG43" s="833"/>
      <c r="BH43" s="833"/>
      <c r="BI43" s="833"/>
      <c r="BJ43" s="833"/>
      <c r="BK43" s="833"/>
      <c r="BL43" s="833"/>
      <c r="BM43" s="833"/>
      <c r="BN43" s="833"/>
      <c r="BO43" s="833"/>
      <c r="BP43" s="833"/>
      <c r="BQ43" s="833"/>
      <c r="BR43" s="833"/>
      <c r="BS43" s="833"/>
      <c r="BT43" s="833"/>
      <c r="BU43" s="833"/>
      <c r="BV43" s="833"/>
      <c r="BW43" s="833"/>
      <c r="BX43" s="833"/>
      <c r="BY43" s="833"/>
      <c r="BZ43" s="833"/>
      <c r="CA43" s="833"/>
      <c r="CB43" s="833"/>
      <c r="CC43" s="833"/>
      <c r="CD43" s="833"/>
      <c r="CE43" s="833"/>
      <c r="CF43" s="833"/>
      <c r="CG43" s="833"/>
      <c r="CH43" s="833"/>
      <c r="CI43" s="833"/>
      <c r="CJ43" s="833"/>
      <c r="CK43" s="833"/>
      <c r="CL43" s="833"/>
      <c r="CM43" s="833"/>
      <c r="CN43" s="833"/>
      <c r="CO43" s="833"/>
      <c r="CP43" s="833"/>
      <c r="CQ43" s="833"/>
      <c r="CR43" s="833"/>
      <c r="CS43" s="833"/>
      <c r="CT43" s="833"/>
      <c r="CU43" s="833"/>
      <c r="CV43" s="833"/>
    </row>
    <row r="44" spans="1:100" ht="16.5" x14ac:dyDescent="0.3">
      <c r="A44" s="659"/>
      <c r="B44" s="742" t="s">
        <v>1</v>
      </c>
      <c r="C44" s="742"/>
      <c r="D44" s="655"/>
      <c r="E44" s="655"/>
      <c r="F44" s="655"/>
      <c r="G44" s="655"/>
      <c r="H44" s="655">
        <f>H40</f>
        <v>2924.8693999999996</v>
      </c>
      <c r="I44" s="655">
        <f>I40</f>
        <v>2006.32</v>
      </c>
      <c r="J44" s="654">
        <f>J31+J25+J20+J14</f>
        <v>3070.8100000000004</v>
      </c>
      <c r="K44" s="833"/>
      <c r="L44" s="833"/>
      <c r="M44" s="833"/>
      <c r="N44" s="833"/>
      <c r="O44" s="833"/>
      <c r="P44" s="833"/>
      <c r="Q44" s="833"/>
      <c r="R44" s="833"/>
      <c r="S44" s="833"/>
      <c r="T44" s="833"/>
      <c r="U44" s="833"/>
      <c r="V44" s="833"/>
      <c r="W44" s="833"/>
      <c r="X44" s="833"/>
      <c r="Y44" s="833"/>
      <c r="Z44" s="833"/>
      <c r="AA44" s="833"/>
      <c r="AB44" s="833"/>
      <c r="AC44" s="833"/>
      <c r="AD44" s="833"/>
      <c r="AE44" s="833"/>
      <c r="AF44" s="833"/>
      <c r="AG44" s="833"/>
      <c r="AH44" s="833"/>
      <c r="AI44" s="833"/>
      <c r="AJ44" s="833"/>
      <c r="AK44" s="833"/>
      <c r="AL44" s="833"/>
      <c r="AM44" s="833"/>
      <c r="AN44" s="833"/>
      <c r="AO44" s="833"/>
      <c r="AP44" s="833"/>
      <c r="AQ44" s="833"/>
      <c r="AR44" s="833"/>
      <c r="AS44" s="833"/>
      <c r="AT44" s="833"/>
      <c r="AU44" s="833"/>
      <c r="AV44" s="833"/>
      <c r="AW44" s="833"/>
      <c r="AX44" s="833"/>
      <c r="AY44" s="833"/>
      <c r="AZ44" s="833"/>
      <c r="BA44" s="833"/>
      <c r="BB44" s="833"/>
      <c r="BC44" s="833"/>
      <c r="BD44" s="833"/>
      <c r="BE44" s="833"/>
      <c r="BF44" s="833"/>
      <c r="BG44" s="833"/>
      <c r="BH44" s="833"/>
      <c r="BI44" s="833"/>
      <c r="BJ44" s="833"/>
      <c r="BK44" s="833"/>
      <c r="BL44" s="833"/>
      <c r="BM44" s="833"/>
      <c r="BN44" s="833"/>
      <c r="BO44" s="833"/>
      <c r="BP44" s="833"/>
      <c r="BQ44" s="833"/>
      <c r="BR44" s="833"/>
      <c r="BS44" s="833"/>
      <c r="BT44" s="833"/>
      <c r="BU44" s="833"/>
      <c r="BV44" s="833"/>
      <c r="BW44" s="833"/>
      <c r="BX44" s="833"/>
      <c r="BY44" s="833"/>
      <c r="BZ44" s="833"/>
      <c r="CA44" s="833"/>
      <c r="CB44" s="833"/>
      <c r="CC44" s="833"/>
      <c r="CD44" s="833"/>
      <c r="CE44" s="833"/>
      <c r="CF44" s="833"/>
      <c r="CG44" s="833"/>
      <c r="CH44" s="833"/>
      <c r="CI44" s="833"/>
      <c r="CJ44" s="833"/>
      <c r="CK44" s="833"/>
      <c r="CL44" s="833"/>
      <c r="CM44" s="833"/>
      <c r="CN44" s="833"/>
      <c r="CO44" s="833"/>
      <c r="CP44" s="833"/>
      <c r="CQ44" s="833"/>
      <c r="CR44" s="833"/>
      <c r="CS44" s="833"/>
      <c r="CT44" s="833"/>
      <c r="CU44" s="833"/>
      <c r="CV44" s="833"/>
    </row>
    <row r="45" spans="1:100" ht="16.5" x14ac:dyDescent="0.3">
      <c r="A45" s="653"/>
      <c r="B45" s="977" t="s">
        <v>0</v>
      </c>
      <c r="C45" s="977"/>
      <c r="D45" s="649"/>
      <c r="E45" s="649"/>
      <c r="F45" s="649"/>
      <c r="G45" s="649"/>
      <c r="H45" s="649">
        <f>H43-H44</f>
        <v>-2924.8693999999996</v>
      </c>
      <c r="I45" s="649">
        <f>I43-I44</f>
        <v>-2006.32</v>
      </c>
      <c r="J45" s="976">
        <f>J43-J44</f>
        <v>-3070.8100000000004</v>
      </c>
      <c r="K45" s="833"/>
      <c r="L45" s="833"/>
      <c r="M45" s="833"/>
      <c r="N45" s="833"/>
      <c r="O45" s="833"/>
      <c r="P45" s="833"/>
      <c r="Q45" s="833"/>
      <c r="R45" s="833"/>
      <c r="S45" s="833"/>
      <c r="T45" s="833"/>
      <c r="U45" s="833"/>
      <c r="V45" s="833"/>
      <c r="W45" s="833"/>
      <c r="X45" s="833"/>
      <c r="Y45" s="833"/>
      <c r="Z45" s="833"/>
      <c r="AA45" s="833"/>
      <c r="AB45" s="833"/>
      <c r="AC45" s="833"/>
      <c r="AD45" s="833"/>
      <c r="AE45" s="833"/>
      <c r="AF45" s="833"/>
      <c r="AG45" s="833"/>
      <c r="AH45" s="833"/>
      <c r="AI45" s="833"/>
      <c r="AJ45" s="833"/>
      <c r="AK45" s="833"/>
      <c r="AL45" s="833"/>
      <c r="AM45" s="833"/>
      <c r="AN45" s="833"/>
      <c r="AO45" s="833"/>
      <c r="AP45" s="833"/>
      <c r="AQ45" s="833"/>
      <c r="AR45" s="833"/>
      <c r="AS45" s="833"/>
      <c r="AT45" s="833"/>
      <c r="AU45" s="833"/>
      <c r="AV45" s="833"/>
      <c r="AW45" s="833"/>
      <c r="AX45" s="833"/>
      <c r="AY45" s="833"/>
      <c r="AZ45" s="833"/>
      <c r="BA45" s="833"/>
      <c r="BB45" s="833"/>
      <c r="BC45" s="833"/>
      <c r="BD45" s="833"/>
      <c r="BE45" s="833"/>
      <c r="BF45" s="833"/>
      <c r="BG45" s="833"/>
      <c r="BH45" s="833"/>
      <c r="BI45" s="833"/>
      <c r="BJ45" s="833"/>
      <c r="BK45" s="833"/>
      <c r="BL45" s="833"/>
      <c r="BM45" s="833"/>
      <c r="BN45" s="833"/>
      <c r="BO45" s="833"/>
      <c r="BP45" s="833"/>
      <c r="BQ45" s="833"/>
      <c r="BR45" s="833"/>
      <c r="BS45" s="833"/>
      <c r="BT45" s="833"/>
      <c r="BU45" s="833"/>
      <c r="BV45" s="833"/>
      <c r="BW45" s="833"/>
      <c r="BX45" s="833"/>
      <c r="BY45" s="833"/>
      <c r="BZ45" s="833"/>
      <c r="CA45" s="833"/>
      <c r="CB45" s="833"/>
      <c r="CC45" s="833"/>
      <c r="CD45" s="833"/>
      <c r="CE45" s="833"/>
      <c r="CF45" s="833"/>
      <c r="CG45" s="833"/>
      <c r="CH45" s="833"/>
      <c r="CI45" s="833"/>
      <c r="CJ45" s="833"/>
      <c r="CK45" s="833"/>
      <c r="CL45" s="833"/>
      <c r="CM45" s="833"/>
      <c r="CN45" s="833"/>
      <c r="CO45" s="833"/>
      <c r="CP45" s="833"/>
      <c r="CQ45" s="833"/>
      <c r="CR45" s="833"/>
      <c r="CS45" s="833"/>
      <c r="CT45" s="833"/>
      <c r="CU45" s="833"/>
      <c r="CV45" s="833"/>
    </row>
  </sheetData>
  <mergeCells count="4">
    <mergeCell ref="A4:C4"/>
    <mergeCell ref="A8:C8"/>
    <mergeCell ref="A42:C42"/>
    <mergeCell ref="A1:J1"/>
  </mergeCells>
  <pageMargins left="0.75" right="0.75" top="1" bottom="1" header="0.5" footer="0.5"/>
  <pageSetup orientation="portrait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451D1-05FE-44E7-8777-AFDDB4C315FD}">
  <sheetPr codeName="Sheet6"/>
  <dimension ref="A1:K30"/>
  <sheetViews>
    <sheetView topLeftCell="D7" zoomScale="85" zoomScaleNormal="85" zoomScalePageLayoutView="85" workbookViewId="0">
      <selection activeCell="K13" sqref="K13"/>
    </sheetView>
  </sheetViews>
  <sheetFormatPr defaultColWidth="12.42578125" defaultRowHeight="15.75" x14ac:dyDescent="0.25"/>
  <cols>
    <col min="1" max="2" width="12.42578125" style="432"/>
    <col min="3" max="3" width="30.42578125" style="432" bestFit="1" customWidth="1"/>
    <col min="4" max="4" width="105.85546875" style="432" bestFit="1" customWidth="1"/>
    <col min="5" max="5" width="31.85546875" style="432" customWidth="1"/>
    <col min="6" max="6" width="28.28515625" style="432" customWidth="1"/>
    <col min="7" max="7" width="26.28515625" style="432" customWidth="1"/>
    <col min="8" max="8" width="19.42578125" style="432" customWidth="1"/>
    <col min="9" max="9" width="21.28515625" style="432" hidden="1" customWidth="1"/>
    <col min="10" max="10" width="21.42578125" style="432" customWidth="1"/>
    <col min="11" max="16384" width="12.42578125" style="432"/>
  </cols>
  <sheetData>
    <row r="1" spans="1:11" ht="26.25" x14ac:dyDescent="0.4">
      <c r="A1" s="1192" t="s">
        <v>1328</v>
      </c>
      <c r="B1" s="1191"/>
      <c r="C1" s="1191"/>
      <c r="D1" s="1191"/>
      <c r="E1" s="1191"/>
      <c r="F1" s="1191"/>
      <c r="G1" s="1191"/>
      <c r="H1" s="1191"/>
      <c r="I1" s="1191"/>
      <c r="J1" s="1190"/>
    </row>
    <row r="2" spans="1:11" x14ac:dyDescent="0.25">
      <c r="A2" s="1189"/>
      <c r="B2" s="1188" t="s">
        <v>213</v>
      </c>
      <c r="C2" s="1187" t="s">
        <v>212</v>
      </c>
      <c r="D2" s="1186" t="s">
        <v>211</v>
      </c>
      <c r="E2" s="1185" t="s">
        <v>210</v>
      </c>
      <c r="F2" s="1184" t="s">
        <v>209</v>
      </c>
      <c r="G2" s="1183" t="s">
        <v>208</v>
      </c>
      <c r="H2" s="1183" t="s">
        <v>207</v>
      </c>
      <c r="I2" s="1183" t="s">
        <v>232</v>
      </c>
      <c r="J2" s="1182" t="s">
        <v>206</v>
      </c>
    </row>
    <row r="3" spans="1:11" x14ac:dyDescent="0.25">
      <c r="A3" s="1181"/>
      <c r="B3" s="1180"/>
      <c r="C3" s="1179"/>
      <c r="D3" s="1178"/>
      <c r="E3" s="1176"/>
      <c r="F3" s="1177"/>
      <c r="G3" s="1176"/>
      <c r="H3" s="1176"/>
      <c r="I3" s="1176"/>
      <c r="J3" s="1175"/>
    </row>
    <row r="4" spans="1:11" x14ac:dyDescent="0.25">
      <c r="A4" s="1167" t="s">
        <v>81</v>
      </c>
      <c r="B4" s="1166"/>
      <c r="C4" s="1166"/>
      <c r="D4" s="1165"/>
      <c r="E4" s="1165"/>
      <c r="F4" s="1174"/>
      <c r="G4" s="1165"/>
      <c r="H4" s="1165"/>
      <c r="I4" s="1165"/>
      <c r="J4" s="1162"/>
    </row>
    <row r="5" spans="1:11" x14ac:dyDescent="0.25">
      <c r="A5" s="1139"/>
      <c r="B5" s="1145"/>
      <c r="C5" s="1138"/>
      <c r="D5" s="1136"/>
      <c r="E5" s="1136"/>
      <c r="F5" s="1137"/>
      <c r="G5" s="1136"/>
      <c r="H5" s="1136"/>
      <c r="I5" s="1136"/>
      <c r="J5" s="1135"/>
    </row>
    <row r="6" spans="1:11" ht="17.25" x14ac:dyDescent="0.3">
      <c r="A6" s="1173"/>
      <c r="B6" s="1172"/>
      <c r="C6" s="742" t="s">
        <v>59</v>
      </c>
      <c r="D6" s="655"/>
      <c r="E6" s="655"/>
      <c r="F6" s="728"/>
      <c r="G6" s="655"/>
      <c r="H6" s="655">
        <v>0</v>
      </c>
      <c r="I6" s="655">
        <v>0</v>
      </c>
      <c r="J6" s="654">
        <v>0</v>
      </c>
    </row>
    <row r="7" spans="1:11" ht="17.25" x14ac:dyDescent="0.3">
      <c r="A7" s="1173"/>
      <c r="B7" s="1172"/>
      <c r="C7" s="1171"/>
      <c r="D7" s="1169"/>
      <c r="E7" s="1169"/>
      <c r="F7" s="1170"/>
      <c r="G7" s="1169"/>
      <c r="H7" s="1169"/>
      <c r="I7" s="1169"/>
      <c r="J7" s="1168"/>
    </row>
    <row r="8" spans="1:11" x14ac:dyDescent="0.25">
      <c r="A8" s="1167" t="s">
        <v>58</v>
      </c>
      <c r="B8" s="1166"/>
      <c r="C8" s="1166"/>
      <c r="D8" s="1165"/>
      <c r="E8" s="1163"/>
      <c r="F8" s="1164"/>
      <c r="G8" s="1163"/>
      <c r="H8" s="1163"/>
      <c r="I8" s="1163"/>
      <c r="J8" s="1162"/>
    </row>
    <row r="9" spans="1:11" x14ac:dyDescent="0.25">
      <c r="A9" s="1140"/>
      <c r="B9" s="1139"/>
      <c r="C9" s="1138"/>
      <c r="D9" s="1136"/>
      <c r="E9" s="1136"/>
      <c r="F9" s="1137"/>
      <c r="G9" s="1136"/>
      <c r="H9" s="1136"/>
      <c r="I9" s="1136"/>
      <c r="J9" s="1135"/>
    </row>
    <row r="10" spans="1:11" x14ac:dyDescent="0.25">
      <c r="A10" s="1152" t="s">
        <v>1327</v>
      </c>
      <c r="B10" s="1151"/>
      <c r="C10" s="1145"/>
      <c r="D10" s="1136"/>
      <c r="E10" s="1136"/>
      <c r="F10" s="1137"/>
      <c r="G10" s="1136"/>
      <c r="H10" s="1136"/>
      <c r="I10" s="1136"/>
      <c r="J10" s="1135"/>
    </row>
    <row r="11" spans="1:11" x14ac:dyDescent="0.25">
      <c r="A11" s="1161"/>
      <c r="B11" s="1157" t="s">
        <v>1326</v>
      </c>
      <c r="C11" s="1156" t="s">
        <v>1325</v>
      </c>
      <c r="D11" s="1154" t="s">
        <v>1324</v>
      </c>
      <c r="E11" s="1154">
        <f>150+120</f>
        <v>270</v>
      </c>
      <c r="F11" s="1155">
        <v>1</v>
      </c>
      <c r="G11" s="1154">
        <f>E11*F11</f>
        <v>270</v>
      </c>
      <c r="H11" s="1154">
        <f>G11*1.13</f>
        <v>305.09999999999997</v>
      </c>
      <c r="I11" s="1154">
        <f>'[1]Frozen Pivot'!B94</f>
        <v>0</v>
      </c>
      <c r="J11" s="1153">
        <v>0</v>
      </c>
      <c r="K11" s="432" t="s">
        <v>92</v>
      </c>
    </row>
    <row r="12" spans="1:11" x14ac:dyDescent="0.25">
      <c r="A12" s="1140"/>
      <c r="B12" s="1160" t="s">
        <v>1323</v>
      </c>
      <c r="C12" s="1138" t="s">
        <v>1322</v>
      </c>
      <c r="D12" s="1136" t="s">
        <v>1321</v>
      </c>
      <c r="E12" s="1136">
        <v>19.989999999999998</v>
      </c>
      <c r="F12" s="1137">
        <v>15</v>
      </c>
      <c r="G12" s="1136">
        <f>E12*F12</f>
        <v>299.84999999999997</v>
      </c>
      <c r="H12" s="1136">
        <f>G12*1.13</f>
        <v>338.83049999999992</v>
      </c>
      <c r="I12" s="1136">
        <f>'[1]Frozen Pivot'!B95</f>
        <v>0</v>
      </c>
      <c r="J12" s="1135">
        <v>0</v>
      </c>
      <c r="K12" s="432" t="s">
        <v>92</v>
      </c>
    </row>
    <row r="13" spans="1:11" x14ac:dyDescent="0.25">
      <c r="A13" s="1140"/>
      <c r="B13" s="1157" t="s">
        <v>1320</v>
      </c>
      <c r="C13" s="1156" t="s">
        <v>1319</v>
      </c>
      <c r="D13" s="1154" t="s">
        <v>1318</v>
      </c>
      <c r="E13" s="1154">
        <v>80</v>
      </c>
      <c r="F13" s="1155">
        <v>4</v>
      </c>
      <c r="G13" s="1154">
        <f>E13*F13</f>
        <v>320</v>
      </c>
      <c r="H13" s="1154">
        <f>G13*1.13</f>
        <v>361.59999999999997</v>
      </c>
      <c r="I13" s="1154">
        <f>'[1]Frozen Pivot'!B96</f>
        <v>0</v>
      </c>
      <c r="J13" s="1153">
        <v>0</v>
      </c>
    </row>
    <row r="14" spans="1:11" x14ac:dyDescent="0.25">
      <c r="A14" s="1140"/>
      <c r="B14" s="1160" t="s">
        <v>1317</v>
      </c>
      <c r="C14" s="1138" t="s">
        <v>1316</v>
      </c>
      <c r="D14" s="1136" t="s">
        <v>1315</v>
      </c>
      <c r="E14" s="1136">
        <v>30</v>
      </c>
      <c r="F14" s="1137">
        <v>4</v>
      </c>
      <c r="G14" s="1136">
        <f>E14*F14</f>
        <v>120</v>
      </c>
      <c r="H14" s="1136">
        <f>G14*1.13</f>
        <v>135.6</v>
      </c>
      <c r="I14" s="1136">
        <f>'[1]Frozen Pivot'!B97</f>
        <v>0</v>
      </c>
      <c r="J14" s="1135">
        <v>0</v>
      </c>
    </row>
    <row r="15" spans="1:11" x14ac:dyDescent="0.25">
      <c r="A15" s="1140"/>
      <c r="B15" s="1157" t="s">
        <v>1314</v>
      </c>
      <c r="C15" s="1156" t="s">
        <v>251</v>
      </c>
      <c r="D15" s="1158" t="s">
        <v>1313</v>
      </c>
      <c r="E15" s="1154">
        <v>12</v>
      </c>
      <c r="F15" s="1155">
        <v>20</v>
      </c>
      <c r="G15" s="1154">
        <f>E15*F15</f>
        <v>240</v>
      </c>
      <c r="H15" s="1154">
        <f>G15*1.13</f>
        <v>271.2</v>
      </c>
      <c r="I15" s="1154">
        <f>'[1]Frozen Pivot'!B98</f>
        <v>250.53</v>
      </c>
      <c r="J15" s="1153">
        <v>250.53</v>
      </c>
    </row>
    <row r="16" spans="1:11" x14ac:dyDescent="0.25">
      <c r="A16" s="1140"/>
      <c r="B16" s="1160" t="s">
        <v>1312</v>
      </c>
      <c r="C16" s="1138" t="s">
        <v>579</v>
      </c>
      <c r="D16" s="1136" t="s">
        <v>1311</v>
      </c>
      <c r="E16" s="1136">
        <v>10</v>
      </c>
      <c r="F16" s="1137">
        <v>5</v>
      </c>
      <c r="G16" s="1136">
        <f>E16*F16</f>
        <v>50</v>
      </c>
      <c r="H16" s="1136">
        <f>G16 * 1.13</f>
        <v>56.499999999999993</v>
      </c>
      <c r="I16" s="1136">
        <f>'[1]Frozen Pivot'!B99</f>
        <v>0</v>
      </c>
      <c r="J16" s="1135">
        <v>0</v>
      </c>
      <c r="K16" s="432" t="s">
        <v>92</v>
      </c>
    </row>
    <row r="17" spans="1:11" x14ac:dyDescent="0.25">
      <c r="A17" s="1140"/>
      <c r="B17" s="1159"/>
      <c r="C17" s="1156"/>
      <c r="D17" s="1158"/>
      <c r="E17" s="1154"/>
      <c r="F17" s="1155"/>
      <c r="G17" s="1154"/>
      <c r="H17" s="1154"/>
      <c r="I17" s="1154"/>
      <c r="J17" s="1153"/>
    </row>
    <row r="18" spans="1:11" x14ac:dyDescent="0.25">
      <c r="A18" s="1140"/>
      <c r="B18" s="1150" t="s">
        <v>1310</v>
      </c>
      <c r="C18" s="1149"/>
      <c r="D18" s="1147"/>
      <c r="E18" s="1147"/>
      <c r="F18" s="1148"/>
      <c r="G18" s="1147"/>
      <c r="H18" s="1147">
        <f>SUM(H11:H17)</f>
        <v>1468.8304999999998</v>
      </c>
      <c r="I18" s="1147">
        <f>SUM(I10:I13)</f>
        <v>0</v>
      </c>
      <c r="J18" s="1146">
        <f>SUM(J11:J16)</f>
        <v>250.53</v>
      </c>
    </row>
    <row r="19" spans="1:11" x14ac:dyDescent="0.25">
      <c r="A19" s="1140"/>
      <c r="B19" s="1145"/>
      <c r="C19" s="1138"/>
      <c r="D19" s="1136"/>
      <c r="E19" s="1136"/>
      <c r="F19" s="1137"/>
      <c r="G19" s="1136"/>
      <c r="H19" s="1136"/>
      <c r="I19" s="1136"/>
      <c r="J19" s="1135"/>
    </row>
    <row r="20" spans="1:11" x14ac:dyDescent="0.25">
      <c r="A20" s="1152" t="s">
        <v>1309</v>
      </c>
      <c r="B20" s="1151"/>
      <c r="C20" s="1145"/>
      <c r="D20" s="1136"/>
      <c r="E20" s="1136"/>
      <c r="F20" s="1137"/>
      <c r="G20" s="1136"/>
      <c r="H20" s="1136"/>
      <c r="I20" s="1136"/>
      <c r="J20" s="1135"/>
    </row>
    <row r="21" spans="1:11" x14ac:dyDescent="0.25">
      <c r="A21" s="1140"/>
      <c r="B21" s="1157" t="s">
        <v>1308</v>
      </c>
      <c r="C21" s="1156" t="s">
        <v>1307</v>
      </c>
      <c r="D21" s="1154" t="s">
        <v>1306</v>
      </c>
      <c r="E21" s="1154">
        <v>100</v>
      </c>
      <c r="F21" s="1155">
        <v>2</v>
      </c>
      <c r="G21" s="1154">
        <f>E21*F21</f>
        <v>200</v>
      </c>
      <c r="H21" s="1154">
        <f>G21*1.13</f>
        <v>225.99999999999997</v>
      </c>
      <c r="I21" s="1154">
        <f>'[1]Frozen Pivot'!B100</f>
        <v>0</v>
      </c>
      <c r="J21" s="1153">
        <v>0</v>
      </c>
      <c r="K21" s="432" t="s">
        <v>92</v>
      </c>
    </row>
    <row r="22" spans="1:11" x14ac:dyDescent="0.25">
      <c r="A22" s="1152"/>
      <c r="B22" s="1151"/>
      <c r="C22" s="1145"/>
      <c r="D22" s="1136"/>
      <c r="E22" s="1136"/>
      <c r="F22" s="1137"/>
      <c r="G22" s="1136"/>
      <c r="H22" s="1136"/>
      <c r="I22" s="1136"/>
      <c r="J22" s="1135"/>
    </row>
    <row r="23" spans="1:11" x14ac:dyDescent="0.25">
      <c r="A23" s="1140"/>
      <c r="B23" s="1150" t="s">
        <v>1305</v>
      </c>
      <c r="C23" s="1149"/>
      <c r="D23" s="1147"/>
      <c r="E23" s="1147"/>
      <c r="F23" s="1148"/>
      <c r="G23" s="1147"/>
      <c r="H23" s="1147">
        <f>SUM(H21:H22)</f>
        <v>225.99999999999997</v>
      </c>
      <c r="I23" s="1147">
        <f>SUM(I21:I22)</f>
        <v>0</v>
      </c>
      <c r="J23" s="1146">
        <f>SUM(J21:J22)</f>
        <v>0</v>
      </c>
    </row>
    <row r="24" spans="1:11" x14ac:dyDescent="0.25">
      <c r="A24" s="1140"/>
      <c r="B24" s="1145"/>
      <c r="C24" s="1138"/>
      <c r="D24" s="1136"/>
      <c r="E24" s="1136"/>
      <c r="F24" s="1137"/>
      <c r="G24" s="1136"/>
      <c r="H24" s="1136"/>
      <c r="I24" s="1136"/>
      <c r="J24" s="1135"/>
    </row>
    <row r="25" spans="1:11" ht="17.25" x14ac:dyDescent="0.3">
      <c r="A25" s="1140"/>
      <c r="C25" s="1144" t="s">
        <v>4</v>
      </c>
      <c r="D25" s="1142"/>
      <c r="E25" s="1142"/>
      <c r="F25" s="1143"/>
      <c r="G25" s="1142"/>
      <c r="H25" s="1142">
        <f>SUM(H18,H23)</f>
        <v>1694.8304999999998</v>
      </c>
      <c r="I25" s="1142">
        <v>0</v>
      </c>
      <c r="J25" s="1141">
        <v>0</v>
      </c>
    </row>
    <row r="26" spans="1:11" x14ac:dyDescent="0.25">
      <c r="A26" s="1140"/>
      <c r="B26" s="1139"/>
      <c r="C26" s="1138"/>
      <c r="D26" s="1136"/>
      <c r="E26" s="1136"/>
      <c r="F26" s="1137"/>
      <c r="G26" s="1136"/>
      <c r="H26" s="1136"/>
      <c r="I26" s="1136"/>
      <c r="J26" s="1135"/>
    </row>
    <row r="27" spans="1:11" ht="18.75" x14ac:dyDescent="0.3">
      <c r="A27" s="1134" t="s">
        <v>3</v>
      </c>
      <c r="B27" s="1133"/>
      <c r="C27" s="1133"/>
      <c r="D27" s="1131"/>
      <c r="E27" s="1131"/>
      <c r="F27" s="1132"/>
      <c r="G27" s="1131"/>
      <c r="H27" s="1131"/>
      <c r="I27" s="1131"/>
      <c r="J27" s="1130"/>
    </row>
    <row r="28" spans="1:11" ht="18.75" x14ac:dyDescent="0.3">
      <c r="A28" s="1129"/>
      <c r="B28" s="1128" t="s">
        <v>2</v>
      </c>
      <c r="C28" s="1127"/>
      <c r="D28" s="1126"/>
      <c r="E28" s="1126"/>
      <c r="F28" s="1126"/>
      <c r="G28" s="1126"/>
      <c r="H28" s="1126">
        <f>H6</f>
        <v>0</v>
      </c>
      <c r="I28" s="1126">
        <f>I6</f>
        <v>0</v>
      </c>
      <c r="J28" s="1125">
        <f>J6</f>
        <v>0</v>
      </c>
    </row>
    <row r="29" spans="1:11" ht="18.75" x14ac:dyDescent="0.3">
      <c r="A29" s="1124"/>
      <c r="B29" s="1123" t="s">
        <v>1</v>
      </c>
      <c r="C29" s="1122"/>
      <c r="D29" s="1121"/>
      <c r="E29" s="1121"/>
      <c r="F29" s="1121"/>
      <c r="G29" s="1121"/>
      <c r="H29" s="1121">
        <f>H25</f>
        <v>1694.8304999999998</v>
      </c>
      <c r="I29" s="1121">
        <f>I25</f>
        <v>0</v>
      </c>
      <c r="J29" s="1120">
        <f>J23+J18</f>
        <v>250.53</v>
      </c>
    </row>
    <row r="30" spans="1:11" ht="18.75" x14ac:dyDescent="0.3">
      <c r="A30" s="1119"/>
      <c r="B30" s="1118" t="s">
        <v>0</v>
      </c>
      <c r="C30" s="1117"/>
      <c r="D30" s="1116"/>
      <c r="E30" s="1116"/>
      <c r="F30" s="1116"/>
      <c r="G30" s="1116"/>
      <c r="H30" s="1116">
        <f>H28-H29</f>
        <v>-1694.8304999999998</v>
      </c>
      <c r="I30" s="1116">
        <f>I28-I29</f>
        <v>0</v>
      </c>
      <c r="J30" s="1115">
        <f>J28-J29</f>
        <v>-250.53</v>
      </c>
    </row>
  </sheetData>
  <mergeCells count="3">
    <mergeCell ref="A8:C8"/>
    <mergeCell ref="A4:C4"/>
    <mergeCell ref="A1:J1"/>
  </mergeCells>
  <pageMargins left="0.75" right="0.75" top="1" bottom="1" header="0.5" footer="0.5"/>
  <pageSetup orientation="portrait" horizontalDpi="4294967292" verticalDpi="429496729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19ABC-562C-4523-AD76-525C53C4817E}">
  <sheetPr codeName="Sheet7"/>
  <dimension ref="A1:J38"/>
  <sheetViews>
    <sheetView zoomScale="75" zoomScaleNormal="80" zoomScalePageLayoutView="80" workbookViewId="0">
      <selection activeCell="M17" sqref="M17"/>
    </sheetView>
  </sheetViews>
  <sheetFormatPr defaultColWidth="12.28515625" defaultRowHeight="15.75" x14ac:dyDescent="0.25"/>
  <cols>
    <col min="1" max="2" width="12.28515625" style="108"/>
    <col min="3" max="3" width="34" style="108" customWidth="1"/>
    <col min="4" max="4" width="106" style="108" customWidth="1"/>
    <col min="5" max="7" width="12.28515625" style="108"/>
    <col min="8" max="8" width="16.28515625" style="108" customWidth="1"/>
    <col min="9" max="9" width="0" style="108" hidden="1" customWidth="1"/>
    <col min="10" max="10" width="15" style="108" bestFit="1" customWidth="1"/>
    <col min="11" max="16384" width="12.28515625" style="108"/>
  </cols>
  <sheetData>
    <row r="1" spans="1:10" ht="26.25" x14ac:dyDescent="0.25">
      <c r="A1" s="460" t="s">
        <v>1304</v>
      </c>
      <c r="B1" s="460"/>
      <c r="C1" s="460"/>
      <c r="D1" s="460"/>
      <c r="E1" s="460"/>
      <c r="F1" s="460"/>
      <c r="G1" s="460"/>
      <c r="H1" s="460"/>
      <c r="I1" s="460"/>
      <c r="J1" s="460"/>
    </row>
    <row r="2" spans="1:10" ht="17.25" x14ac:dyDescent="0.3">
      <c r="A2" s="1114"/>
      <c r="B2" s="1113" t="s">
        <v>213</v>
      </c>
      <c r="C2" s="1112" t="s">
        <v>212</v>
      </c>
      <c r="D2" s="1111" t="s">
        <v>211</v>
      </c>
      <c r="E2" s="1111" t="s">
        <v>210</v>
      </c>
      <c r="F2" s="1110" t="s">
        <v>209</v>
      </c>
      <c r="G2" s="1109" t="s">
        <v>208</v>
      </c>
      <c r="H2" s="1109" t="s">
        <v>207</v>
      </c>
      <c r="I2" s="1109" t="s">
        <v>232</v>
      </c>
      <c r="J2" s="1108" t="s">
        <v>206</v>
      </c>
    </row>
    <row r="3" spans="1:10" ht="17.25" x14ac:dyDescent="0.3">
      <c r="A3" s="204"/>
      <c r="B3" s="150"/>
      <c r="C3" s="150"/>
      <c r="D3" s="134"/>
      <c r="E3" s="134"/>
      <c r="F3" s="135"/>
      <c r="G3" s="134"/>
      <c r="H3" s="134"/>
      <c r="I3" s="134"/>
      <c r="J3" s="133"/>
    </row>
    <row r="4" spans="1:10" ht="17.25" x14ac:dyDescent="0.3">
      <c r="A4" s="192" t="s">
        <v>81</v>
      </c>
      <c r="B4" s="191"/>
      <c r="C4" s="191"/>
      <c r="D4" s="188"/>
      <c r="E4" s="188"/>
      <c r="F4" s="189"/>
      <c r="G4" s="188"/>
      <c r="H4" s="188"/>
      <c r="I4" s="188"/>
      <c r="J4" s="187"/>
    </row>
    <row r="5" spans="1:10" ht="17.25" x14ac:dyDescent="0.3">
      <c r="A5" s="144"/>
      <c r="B5" s="156"/>
      <c r="C5" s="156"/>
      <c r="D5" s="134"/>
      <c r="E5" s="134"/>
      <c r="F5" s="135"/>
      <c r="G5" s="134"/>
      <c r="H5" s="134"/>
      <c r="I5" s="134"/>
      <c r="J5" s="133"/>
    </row>
    <row r="6" spans="1:10" ht="18.75" x14ac:dyDescent="0.35">
      <c r="A6" s="194"/>
      <c r="B6" s="266"/>
      <c r="C6" s="266" t="s">
        <v>59</v>
      </c>
      <c r="D6" s="128"/>
      <c r="E6" s="128"/>
      <c r="F6" s="129"/>
      <c r="G6" s="128"/>
      <c r="H6" s="128">
        <v>0</v>
      </c>
      <c r="I6" s="128">
        <v>0</v>
      </c>
      <c r="J6" s="127">
        <v>0</v>
      </c>
    </row>
    <row r="7" spans="1:10" ht="18.75" x14ac:dyDescent="0.35">
      <c r="A7" s="194"/>
      <c r="B7" s="266"/>
      <c r="C7" s="266"/>
      <c r="D7" s="134"/>
      <c r="E7" s="134"/>
      <c r="F7" s="135"/>
      <c r="G7" s="134"/>
      <c r="H7" s="134"/>
      <c r="I7" s="134"/>
      <c r="J7" s="133"/>
    </row>
    <row r="8" spans="1:10" ht="17.25" x14ac:dyDescent="0.3">
      <c r="A8" s="192" t="s">
        <v>58</v>
      </c>
      <c r="B8" s="191"/>
      <c r="C8" s="191"/>
      <c r="D8" s="188"/>
      <c r="E8" s="188"/>
      <c r="F8" s="189"/>
      <c r="G8" s="188"/>
      <c r="H8" s="188"/>
      <c r="I8" s="188"/>
      <c r="J8" s="187"/>
    </row>
    <row r="9" spans="1:10" ht="17.25" x14ac:dyDescent="0.3">
      <c r="A9" s="144" t="s">
        <v>1303</v>
      </c>
      <c r="B9" s="223"/>
      <c r="C9" s="234"/>
      <c r="D9" s="246"/>
      <c r="E9" s="246"/>
      <c r="F9" s="247"/>
      <c r="G9" s="246"/>
      <c r="H9" s="246"/>
      <c r="I9" s="246"/>
      <c r="J9" s="245"/>
    </row>
    <row r="10" spans="1:10" ht="17.25" x14ac:dyDescent="0.3">
      <c r="A10" s="1107"/>
      <c r="B10" s="1092" t="s">
        <v>1302</v>
      </c>
      <c r="C10" s="1102" t="s">
        <v>1301</v>
      </c>
      <c r="D10" s="251" t="s">
        <v>1300</v>
      </c>
      <c r="E10" s="251">
        <v>30</v>
      </c>
      <c r="F10" s="1089">
        <v>25</v>
      </c>
      <c r="G10" s="251">
        <v>900</v>
      </c>
      <c r="H10" s="251">
        <f>G10*1.13</f>
        <v>1016.9999999999999</v>
      </c>
      <c r="I10" s="251">
        <f>'[1]Frozen Pivot'!B101</f>
        <v>784.46</v>
      </c>
      <c r="J10" s="1088">
        <v>784.46</v>
      </c>
    </row>
    <row r="11" spans="1:10" ht="17.25" x14ac:dyDescent="0.3">
      <c r="A11" s="1107"/>
      <c r="B11" s="1093" t="s">
        <v>1299</v>
      </c>
      <c r="C11" s="1103" t="s">
        <v>251</v>
      </c>
      <c r="D11" s="181" t="s">
        <v>1298</v>
      </c>
      <c r="E11" s="181">
        <v>3</v>
      </c>
      <c r="F11" s="182" t="s">
        <v>1297</v>
      </c>
      <c r="G11" s="181">
        <f>E11*10*25</f>
        <v>750</v>
      </c>
      <c r="H11" s="181">
        <f>G11*1.13</f>
        <v>847.49999999999989</v>
      </c>
      <c r="I11" s="1104">
        <f>'[1]Frozen Pivot'!B102</f>
        <v>252.15</v>
      </c>
      <c r="J11" s="69">
        <v>252.15</v>
      </c>
    </row>
    <row r="12" spans="1:10" ht="17.25" x14ac:dyDescent="0.3">
      <c r="A12" s="1107"/>
      <c r="B12" s="1092" t="s">
        <v>1296</v>
      </c>
      <c r="C12" s="1102" t="s">
        <v>1295</v>
      </c>
      <c r="D12" s="251" t="s">
        <v>1294</v>
      </c>
      <c r="E12" s="251">
        <v>100</v>
      </c>
      <c r="F12" s="1089">
        <v>1</v>
      </c>
      <c r="G12" s="251">
        <v>100</v>
      </c>
      <c r="H12" s="251">
        <f>G12*1.13</f>
        <v>112.99999999999999</v>
      </c>
      <c r="I12" s="251">
        <f>'[1]Frozen Pivot'!B103</f>
        <v>0</v>
      </c>
      <c r="J12" s="1088">
        <v>0</v>
      </c>
    </row>
    <row r="13" spans="1:10" ht="17.25" x14ac:dyDescent="0.3">
      <c r="A13" s="1106"/>
      <c r="B13" s="1093" t="s">
        <v>1293</v>
      </c>
      <c r="C13" s="1103" t="s">
        <v>1292</v>
      </c>
      <c r="D13" s="181" t="s">
        <v>1291</v>
      </c>
      <c r="E13" s="181">
        <v>150</v>
      </c>
      <c r="F13" s="182">
        <v>1</v>
      </c>
      <c r="G13" s="181">
        <v>150</v>
      </c>
      <c r="H13" s="181">
        <f>G13*1.13</f>
        <v>169.49999999999997</v>
      </c>
      <c r="I13" s="1104">
        <f>'[1]Frozen Pivot'!B104</f>
        <v>0</v>
      </c>
      <c r="J13" s="69">
        <v>0</v>
      </c>
    </row>
    <row r="14" spans="1:10" ht="18.75" x14ac:dyDescent="0.35">
      <c r="A14" s="1105"/>
      <c r="B14" s="1092" t="s">
        <v>1290</v>
      </c>
      <c r="C14" s="1102" t="s">
        <v>231</v>
      </c>
      <c r="D14" s="251" t="s">
        <v>1289</v>
      </c>
      <c r="E14" s="251">
        <v>35</v>
      </c>
      <c r="F14" s="1089">
        <v>4</v>
      </c>
      <c r="G14" s="251">
        <v>225</v>
      </c>
      <c r="H14" s="251">
        <f>G14*1.13</f>
        <v>254.24999999999997</v>
      </c>
      <c r="I14" s="251">
        <f>'[1]Frozen Pivot'!B105</f>
        <v>0</v>
      </c>
      <c r="J14" s="1088">
        <v>0</v>
      </c>
    </row>
    <row r="15" spans="1:10" ht="18.75" x14ac:dyDescent="0.35">
      <c r="A15" s="1105"/>
      <c r="B15" s="1093" t="s">
        <v>1288</v>
      </c>
      <c r="C15" s="1103" t="s">
        <v>1287</v>
      </c>
      <c r="D15" s="181" t="s">
        <v>1286</v>
      </c>
      <c r="E15" s="181">
        <v>19</v>
      </c>
      <c r="F15" s="182">
        <v>9</v>
      </c>
      <c r="G15" s="181">
        <f>E15*F15</f>
        <v>171</v>
      </c>
      <c r="H15" s="181">
        <f>G15*1.13</f>
        <v>193.23</v>
      </c>
      <c r="I15" s="1104">
        <f>'[1]Frozen Pivot'!B106</f>
        <v>372.39</v>
      </c>
      <c r="J15" s="69">
        <v>372.39</v>
      </c>
    </row>
    <row r="16" spans="1:10" ht="18.75" x14ac:dyDescent="0.35">
      <c r="A16" s="1071"/>
      <c r="B16" s="1092" t="s">
        <v>1285</v>
      </c>
      <c r="C16" s="1102" t="s">
        <v>1284</v>
      </c>
      <c r="D16" s="251" t="s">
        <v>1283</v>
      </c>
      <c r="E16" s="251">
        <v>8</v>
      </c>
      <c r="F16" s="1089">
        <v>25</v>
      </c>
      <c r="G16" s="251">
        <f>E16*F16</f>
        <v>200</v>
      </c>
      <c r="H16" s="251">
        <f>G16*1.13</f>
        <v>225.99999999999997</v>
      </c>
      <c r="I16" s="251">
        <f>'[1]Frozen Pivot'!B107</f>
        <v>0</v>
      </c>
      <c r="J16" s="1088">
        <v>0</v>
      </c>
    </row>
    <row r="17" spans="1:10" ht="18.75" x14ac:dyDescent="0.35">
      <c r="A17" s="1071"/>
      <c r="B17" s="1093" t="s">
        <v>1282</v>
      </c>
      <c r="C17" s="1103" t="s">
        <v>1281</v>
      </c>
      <c r="D17" s="181" t="s">
        <v>1280</v>
      </c>
      <c r="E17" s="181">
        <v>0.7</v>
      </c>
      <c r="F17" s="182">
        <v>50</v>
      </c>
      <c r="G17" s="181">
        <f>E17*F17+8</f>
        <v>43</v>
      </c>
      <c r="H17" s="181">
        <f>G17*1.13</f>
        <v>48.589999999999996</v>
      </c>
      <c r="I17" s="1104">
        <f>'[1]Frozen Pivot'!B108</f>
        <v>20.99</v>
      </c>
      <c r="J17" s="69">
        <v>20.99</v>
      </c>
    </row>
    <row r="18" spans="1:10" ht="18.75" x14ac:dyDescent="0.35">
      <c r="A18" s="1071"/>
      <c r="B18" s="1092" t="s">
        <v>1279</v>
      </c>
      <c r="C18" s="1102" t="s">
        <v>1278</v>
      </c>
      <c r="D18" s="251" t="s">
        <v>1277</v>
      </c>
      <c r="E18" s="251">
        <v>39.880000000000003</v>
      </c>
      <c r="F18" s="1089">
        <v>1</v>
      </c>
      <c r="G18" s="251">
        <f>E18*F18</f>
        <v>39.880000000000003</v>
      </c>
      <c r="H18" s="251">
        <f>G18*1.13</f>
        <v>45.064399999999999</v>
      </c>
      <c r="I18" s="251">
        <f>'[1]Frozen Pivot'!B109</f>
        <v>0</v>
      </c>
      <c r="J18" s="1088">
        <v>0</v>
      </c>
    </row>
    <row r="19" spans="1:10" ht="18.75" x14ac:dyDescent="0.35">
      <c r="A19" s="1071"/>
      <c r="B19" s="1093" t="s">
        <v>1276</v>
      </c>
      <c r="C19" s="1103" t="s">
        <v>1275</v>
      </c>
      <c r="D19" s="181" t="s">
        <v>1274</v>
      </c>
      <c r="E19" s="181">
        <v>11.98</v>
      </c>
      <c r="F19" s="182">
        <v>9</v>
      </c>
      <c r="G19" s="181">
        <f>E19*F19</f>
        <v>107.82000000000001</v>
      </c>
      <c r="H19" s="181">
        <f>G19*1.13</f>
        <v>121.83659999999999</v>
      </c>
      <c r="I19" s="251">
        <f>'[1]Frozen Pivot'!B110</f>
        <v>0</v>
      </c>
      <c r="J19" s="69">
        <v>0</v>
      </c>
    </row>
    <row r="20" spans="1:10" ht="18.75" x14ac:dyDescent="0.35">
      <c r="A20" s="1071"/>
      <c r="B20" s="1092"/>
      <c r="C20" s="1102"/>
      <c r="D20" s="251"/>
      <c r="E20" s="251"/>
      <c r="F20" s="1089"/>
      <c r="G20" s="251"/>
      <c r="H20" s="251"/>
      <c r="I20" s="251"/>
      <c r="J20" s="1088"/>
    </row>
    <row r="21" spans="1:10" ht="18.75" x14ac:dyDescent="0.35">
      <c r="A21" s="1071"/>
      <c r="B21" s="1101" t="s">
        <v>1273</v>
      </c>
      <c r="C21" s="1100"/>
      <c r="D21" s="1080"/>
      <c r="E21" s="1080"/>
      <c r="F21" s="1081"/>
      <c r="G21" s="1080"/>
      <c r="H21" s="1080">
        <f>SUM(H10:H19)</f>
        <v>3035.971</v>
      </c>
      <c r="I21" s="1080">
        <v>0</v>
      </c>
      <c r="J21" s="1079">
        <f>SUM(J10:J19)</f>
        <v>1429.99</v>
      </c>
    </row>
    <row r="22" spans="1:10" ht="18.75" x14ac:dyDescent="0.35">
      <c r="A22" s="1071"/>
      <c r="B22" s="1077"/>
      <c r="C22" s="1077"/>
      <c r="D22" s="1074"/>
      <c r="E22" s="1074"/>
      <c r="F22" s="1075"/>
      <c r="G22" s="1074"/>
      <c r="H22" s="1074"/>
      <c r="I22" s="1074"/>
      <c r="J22" s="1073"/>
    </row>
    <row r="23" spans="1:10" ht="17.25" x14ac:dyDescent="0.3">
      <c r="A23" s="1099" t="s">
        <v>1272</v>
      </c>
      <c r="B23" s="178"/>
      <c r="C23" s="1077"/>
      <c r="D23" s="1074"/>
      <c r="E23" s="1074"/>
      <c r="F23" s="1075"/>
      <c r="G23" s="1074"/>
      <c r="H23" s="1074"/>
      <c r="I23" s="1074"/>
      <c r="J23" s="1073"/>
    </row>
    <row r="24" spans="1:10" ht="17.25" x14ac:dyDescent="0.3">
      <c r="B24" s="1092" t="s">
        <v>1271</v>
      </c>
      <c r="C24" s="1098" t="s">
        <v>1270</v>
      </c>
      <c r="D24" s="251" t="s">
        <v>1269</v>
      </c>
      <c r="E24" s="251">
        <v>130</v>
      </c>
      <c r="F24" s="1089">
        <v>1</v>
      </c>
      <c r="G24" s="251">
        <v>130</v>
      </c>
      <c r="H24" s="251">
        <f>G24*1.13</f>
        <v>146.89999999999998</v>
      </c>
      <c r="I24" s="251">
        <f>'[1]Frozen Pivot'!B111</f>
        <v>0</v>
      </c>
      <c r="J24" s="1088">
        <v>329</v>
      </c>
    </row>
    <row r="25" spans="1:10" ht="17.25" x14ac:dyDescent="0.3">
      <c r="A25" s="1078"/>
      <c r="B25" s="1093" t="s">
        <v>1268</v>
      </c>
      <c r="C25" s="1086" t="s">
        <v>1267</v>
      </c>
      <c r="D25" s="1097" t="s">
        <v>1266</v>
      </c>
      <c r="E25" s="1096">
        <v>24</v>
      </c>
      <c r="F25" s="182">
        <v>1</v>
      </c>
      <c r="G25" s="181">
        <f>E25*F25</f>
        <v>24</v>
      </c>
      <c r="H25" s="181">
        <f>G25*1.13</f>
        <v>27.119999999999997</v>
      </c>
      <c r="I25" s="181">
        <f>'[1]Frozen Pivot'!B112</f>
        <v>0</v>
      </c>
      <c r="J25" s="69">
        <v>169</v>
      </c>
    </row>
    <row r="26" spans="1:10" ht="17.25" x14ac:dyDescent="0.3">
      <c r="A26" s="1084"/>
      <c r="B26" s="1095" t="s">
        <v>1265</v>
      </c>
      <c r="C26" s="1091" t="s">
        <v>1264</v>
      </c>
      <c r="D26" s="1094" t="s">
        <v>1263</v>
      </c>
      <c r="E26" s="251">
        <v>148</v>
      </c>
      <c r="F26" s="1089">
        <v>1</v>
      </c>
      <c r="G26" s="251">
        <f>E26*F26</f>
        <v>148</v>
      </c>
      <c r="H26" s="251">
        <f>G26*1.13</f>
        <v>167.23999999999998</v>
      </c>
      <c r="I26" s="251">
        <f>'[1]Frozen Pivot'!B113</f>
        <v>0</v>
      </c>
      <c r="J26" s="1088">
        <v>0</v>
      </c>
    </row>
    <row r="27" spans="1:10" ht="17.25" x14ac:dyDescent="0.3">
      <c r="A27" s="1084"/>
      <c r="B27" s="1093" t="s">
        <v>1262</v>
      </c>
      <c r="C27" s="1086" t="s">
        <v>1261</v>
      </c>
      <c r="D27" s="181" t="s">
        <v>1260</v>
      </c>
      <c r="E27" s="1085">
        <v>69.989999999999995</v>
      </c>
      <c r="F27" s="182">
        <v>1</v>
      </c>
      <c r="G27" s="181">
        <f>E27*F27</f>
        <v>69.989999999999995</v>
      </c>
      <c r="H27" s="181">
        <f>G27*1.13</f>
        <v>79.088699999999989</v>
      </c>
      <c r="I27" s="181">
        <f>'[1]Frozen Pivot'!B114</f>
        <v>0</v>
      </c>
      <c r="J27" s="69">
        <v>0</v>
      </c>
    </row>
    <row r="28" spans="1:10" ht="17.25" x14ac:dyDescent="0.3">
      <c r="A28" s="1084"/>
      <c r="B28" s="1092" t="s">
        <v>1259</v>
      </c>
      <c r="C28" s="1091" t="s">
        <v>1258</v>
      </c>
      <c r="D28" s="251" t="s">
        <v>1257</v>
      </c>
      <c r="E28" s="1090">
        <v>95.99</v>
      </c>
      <c r="F28" s="1089">
        <v>1</v>
      </c>
      <c r="G28" s="251">
        <f>E28*F28</f>
        <v>95.99</v>
      </c>
      <c r="H28" s="251">
        <f>G28*1.13</f>
        <v>108.46869999999998</v>
      </c>
      <c r="I28" s="251">
        <f>'[1]Frozen Pivot'!B115</f>
        <v>210.57</v>
      </c>
      <c r="J28" s="1088">
        <v>210.57</v>
      </c>
    </row>
    <row r="29" spans="1:10" ht="17.25" x14ac:dyDescent="0.3">
      <c r="A29" s="1084"/>
      <c r="B29" s="1087"/>
      <c r="C29" s="1086"/>
      <c r="D29" s="181"/>
      <c r="E29" s="1085"/>
      <c r="F29" s="182"/>
      <c r="G29" s="181"/>
      <c r="H29" s="181"/>
      <c r="I29" s="181"/>
      <c r="J29" s="69"/>
    </row>
    <row r="30" spans="1:10" ht="17.25" x14ac:dyDescent="0.3">
      <c r="A30" s="1084"/>
      <c r="B30" s="1083" t="s">
        <v>1256</v>
      </c>
      <c r="C30" s="1082"/>
      <c r="D30" s="1080"/>
      <c r="E30" s="1080"/>
      <c r="F30" s="1081"/>
      <c r="G30" s="1080"/>
      <c r="H30" s="1080">
        <f>SUM(H24:H28)</f>
        <v>528.81740000000002</v>
      </c>
      <c r="I30" s="1080">
        <f>SUM(I25:I27)</f>
        <v>0</v>
      </c>
      <c r="J30" s="1079">
        <f>SUM(J24:J28)</f>
        <v>708.56999999999994</v>
      </c>
    </row>
    <row r="31" spans="1:10" ht="17.25" x14ac:dyDescent="0.3">
      <c r="A31" s="1078"/>
      <c r="B31" s="1077"/>
      <c r="C31" s="1076"/>
      <c r="D31" s="1074"/>
      <c r="E31" s="1074"/>
      <c r="F31" s="1075"/>
      <c r="G31" s="1074"/>
      <c r="H31" s="1074"/>
      <c r="I31" s="1074"/>
      <c r="J31" s="1073"/>
    </row>
    <row r="32" spans="1:10" ht="18.75" x14ac:dyDescent="0.35">
      <c r="A32" s="178"/>
      <c r="B32" s="1071"/>
      <c r="C32" s="266" t="s">
        <v>4</v>
      </c>
      <c r="D32" s="128"/>
      <c r="E32" s="128"/>
      <c r="F32" s="129"/>
      <c r="G32" s="128"/>
      <c r="H32" s="128">
        <f>H21+H30</f>
        <v>3564.7883999999999</v>
      </c>
      <c r="I32" s="128">
        <v>0</v>
      </c>
      <c r="J32" s="127">
        <f>J30+J21</f>
        <v>2138.56</v>
      </c>
    </row>
    <row r="33" spans="1:10" ht="18.75" x14ac:dyDescent="0.35">
      <c r="A33" s="1072"/>
      <c r="B33" s="1071"/>
      <c r="C33" s="266"/>
      <c r="D33" s="128"/>
      <c r="E33" s="128"/>
      <c r="F33" s="129"/>
      <c r="G33" s="128"/>
      <c r="H33" s="128"/>
      <c r="I33" s="128"/>
      <c r="J33" s="127"/>
    </row>
    <row r="34" spans="1:10" ht="18.75" x14ac:dyDescent="0.35">
      <c r="B34" s="1071"/>
      <c r="D34" s="128"/>
      <c r="E34" s="128"/>
      <c r="F34" s="129"/>
      <c r="G34" s="128"/>
      <c r="H34" s="128"/>
      <c r="I34" s="266"/>
      <c r="J34" s="127"/>
    </row>
    <row r="35" spans="1:10" ht="20.25" x14ac:dyDescent="0.35">
      <c r="A35" s="1070" t="s">
        <v>3</v>
      </c>
      <c r="B35" s="1069"/>
      <c r="C35" s="1069"/>
      <c r="D35" s="123"/>
      <c r="E35" s="123"/>
      <c r="F35" s="124"/>
      <c r="G35" s="123"/>
      <c r="H35" s="123"/>
      <c r="I35" s="123"/>
      <c r="J35" s="1068"/>
    </row>
    <row r="36" spans="1:10" ht="20.25" x14ac:dyDescent="0.35">
      <c r="A36" s="1067"/>
      <c r="B36" s="1066" t="s">
        <v>2</v>
      </c>
      <c r="C36" s="1066"/>
      <c r="D36" s="119"/>
      <c r="E36" s="119"/>
      <c r="F36" s="119"/>
      <c r="G36" s="119"/>
      <c r="H36" s="119">
        <v>0</v>
      </c>
      <c r="I36" s="119">
        <v>0</v>
      </c>
      <c r="J36" s="1065">
        <v>0</v>
      </c>
    </row>
    <row r="37" spans="1:10" ht="20.25" x14ac:dyDescent="0.35">
      <c r="A37" s="1064"/>
      <c r="B37" s="1064" t="s">
        <v>1</v>
      </c>
      <c r="C37" s="1064"/>
      <c r="D37" s="114"/>
      <c r="E37" s="114"/>
      <c r="F37" s="114"/>
      <c r="G37" s="114"/>
      <c r="H37" s="114">
        <f>H32</f>
        <v>3564.7883999999999</v>
      </c>
      <c r="I37" s="114">
        <v>0</v>
      </c>
      <c r="J37" s="113">
        <f>J32</f>
        <v>2138.56</v>
      </c>
    </row>
    <row r="38" spans="1:10" ht="20.25" x14ac:dyDescent="0.35">
      <c r="A38" s="1063"/>
      <c r="B38" s="1062" t="s">
        <v>0</v>
      </c>
      <c r="C38" s="1062"/>
      <c r="D38" s="110"/>
      <c r="E38" s="110"/>
      <c r="F38" s="110"/>
      <c r="G38" s="110"/>
      <c r="H38" s="110">
        <f>H36-H37</f>
        <v>-3564.7883999999999</v>
      </c>
      <c r="I38" s="110">
        <v>0</v>
      </c>
      <c r="J38" s="109">
        <f>J36-J37</f>
        <v>-2138.56</v>
      </c>
    </row>
  </sheetData>
  <mergeCells count="3">
    <mergeCell ref="A1:J1"/>
    <mergeCell ref="A4:C4"/>
    <mergeCell ref="A8:C8"/>
  </mergeCells>
  <pageMargins left="0.75" right="0.75" top="1" bottom="1" header="0.5" footer="0.5"/>
  <pageSetup orientation="portrait" horizontalDpi="4294967292" verticalDpi="429496729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BF65B-4264-4A66-8211-F8A02C6278AC}">
  <sheetPr codeName="Sheet8"/>
  <dimension ref="A1:L147"/>
  <sheetViews>
    <sheetView topLeftCell="A103" workbookViewId="0">
      <selection activeCell="G156" sqref="G156"/>
    </sheetView>
  </sheetViews>
  <sheetFormatPr defaultColWidth="12.42578125" defaultRowHeight="15.75" x14ac:dyDescent="0.25"/>
  <cols>
    <col min="1" max="1" width="12.42578125" style="432"/>
    <col min="2" max="2" width="19.7109375" style="432" customWidth="1"/>
    <col min="3" max="3" width="23.28515625" style="432" bestFit="1" customWidth="1"/>
    <col min="4" max="4" width="62.85546875" style="432" bestFit="1" customWidth="1"/>
    <col min="5" max="7" width="12.42578125" style="432"/>
    <col min="8" max="8" width="12.7109375" style="432" bestFit="1" customWidth="1"/>
    <col min="9" max="9" width="0" style="432" hidden="1" customWidth="1"/>
    <col min="10" max="16384" width="12.42578125" style="432"/>
  </cols>
  <sheetData>
    <row r="1" spans="1:12" ht="26.25" x14ac:dyDescent="0.25">
      <c r="A1" s="996" t="s">
        <v>1255</v>
      </c>
      <c r="B1" s="996"/>
      <c r="C1" s="996"/>
      <c r="D1" s="996"/>
      <c r="E1" s="996"/>
      <c r="F1" s="996"/>
      <c r="G1" s="996"/>
      <c r="H1" s="996"/>
      <c r="I1" s="996"/>
      <c r="J1" s="996"/>
    </row>
    <row r="2" spans="1:12" ht="16.5" x14ac:dyDescent="0.3">
      <c r="A2" s="974"/>
      <c r="B2" s="973" t="s">
        <v>213</v>
      </c>
      <c r="C2" s="972" t="s">
        <v>212</v>
      </c>
      <c r="D2" s="995" t="s">
        <v>211</v>
      </c>
      <c r="E2" s="970" t="s">
        <v>210</v>
      </c>
      <c r="F2" s="969" t="s">
        <v>209</v>
      </c>
      <c r="G2" s="968" t="s">
        <v>208</v>
      </c>
      <c r="H2" s="968" t="s">
        <v>207</v>
      </c>
      <c r="I2" s="968" t="s">
        <v>232</v>
      </c>
      <c r="J2" s="967" t="s">
        <v>206</v>
      </c>
    </row>
    <row r="3" spans="1:12" ht="16.5" x14ac:dyDescent="0.3">
      <c r="A3" s="966"/>
      <c r="B3" s="994"/>
      <c r="C3" s="964"/>
      <c r="D3" s="806"/>
      <c r="E3" s="961"/>
      <c r="F3" s="962"/>
      <c r="G3" s="961"/>
      <c r="H3" s="961"/>
      <c r="I3" s="961"/>
      <c r="J3" s="756"/>
    </row>
    <row r="4" spans="1:12" ht="16.5" x14ac:dyDescent="0.3">
      <c r="A4" s="960" t="s">
        <v>81</v>
      </c>
      <c r="B4" s="993"/>
      <c r="C4" s="993"/>
      <c r="D4" s="665"/>
      <c r="E4" s="665"/>
      <c r="F4" s="666"/>
      <c r="G4" s="665"/>
      <c r="H4" s="665"/>
      <c r="I4" s="665"/>
      <c r="J4" s="664"/>
    </row>
    <row r="5" spans="1:12" ht="16.5" x14ac:dyDescent="0.3">
      <c r="A5" s="1060" t="s">
        <v>1176</v>
      </c>
      <c r="B5" s="1059"/>
      <c r="C5" s="1059"/>
      <c r="D5" s="655"/>
      <c r="E5" s="655"/>
      <c r="F5" s="728"/>
      <c r="G5" s="655"/>
      <c r="H5" s="655"/>
      <c r="I5" s="655"/>
      <c r="J5" s="654"/>
    </row>
    <row r="6" spans="1:12" ht="16.5" x14ac:dyDescent="0.3">
      <c r="A6" s="741" t="s">
        <v>1175</v>
      </c>
      <c r="B6" s="742"/>
      <c r="C6" s="658"/>
      <c r="D6" s="724"/>
      <c r="E6" s="724"/>
      <c r="F6" s="725"/>
      <c r="G6" s="724"/>
      <c r="H6" s="724"/>
      <c r="I6" s="724"/>
      <c r="J6" s="693"/>
    </row>
    <row r="7" spans="1:12" ht="16.5" x14ac:dyDescent="0.3">
      <c r="A7" s="659"/>
      <c r="B7" s="722">
        <v>6.01</v>
      </c>
      <c r="C7" s="663" t="s">
        <v>1253</v>
      </c>
      <c r="D7" s="701" t="s">
        <v>1254</v>
      </c>
      <c r="E7" s="701">
        <v>100</v>
      </c>
      <c r="F7" s="702">
        <v>1</v>
      </c>
      <c r="G7" s="701">
        <f>E7*F7</f>
        <v>100</v>
      </c>
      <c r="H7" s="701">
        <f>G7*1.13</f>
        <v>112.99999999999999</v>
      </c>
      <c r="I7" s="701">
        <v>434</v>
      </c>
      <c r="J7" s="700">
        <v>217</v>
      </c>
      <c r="L7" s="432" t="s">
        <v>1247</v>
      </c>
    </row>
    <row r="8" spans="1:12" ht="16.5" x14ac:dyDescent="0.3">
      <c r="A8" s="659"/>
      <c r="B8" s="727"/>
      <c r="C8" s="658"/>
      <c r="D8" s="724"/>
      <c r="E8" s="724"/>
      <c r="F8" s="725"/>
      <c r="G8" s="724"/>
      <c r="H8" s="724"/>
      <c r="I8" s="724"/>
      <c r="J8" s="693"/>
    </row>
    <row r="9" spans="1:12" ht="16.5" x14ac:dyDescent="0.3">
      <c r="A9" s="686"/>
      <c r="B9" s="685" t="s">
        <v>1246</v>
      </c>
      <c r="C9" s="733"/>
      <c r="D9" s="680"/>
      <c r="E9" s="680"/>
      <c r="F9" s="716"/>
      <c r="G9" s="680"/>
      <c r="H9" s="680">
        <f>SUM(H7:H7)</f>
        <v>112.99999999999999</v>
      </c>
      <c r="I9" s="680">
        <f>I7</f>
        <v>434</v>
      </c>
      <c r="J9" s="679">
        <f>J7</f>
        <v>217</v>
      </c>
    </row>
    <row r="10" spans="1:12" ht="16.5" x14ac:dyDescent="0.3">
      <c r="A10" s="686"/>
      <c r="B10" s="742"/>
      <c r="C10" s="742"/>
      <c r="D10" s="655"/>
      <c r="E10" s="655"/>
      <c r="F10" s="728"/>
      <c r="G10" s="655"/>
      <c r="H10" s="655"/>
      <c r="I10" s="655"/>
      <c r="J10" s="654"/>
    </row>
    <row r="11" spans="1:12" ht="16.5" x14ac:dyDescent="0.3">
      <c r="A11" s="741" t="s">
        <v>1173</v>
      </c>
      <c r="B11" s="742"/>
      <c r="C11" s="658"/>
      <c r="D11" s="724"/>
      <c r="E11" s="724"/>
      <c r="F11" s="725"/>
      <c r="G11" s="724"/>
      <c r="H11" s="724"/>
      <c r="I11" s="724"/>
      <c r="J11" s="693"/>
    </row>
    <row r="12" spans="1:12" ht="16.5" x14ac:dyDescent="0.3">
      <c r="A12" s="659"/>
      <c r="B12" s="722">
        <v>6.02</v>
      </c>
      <c r="C12" s="663" t="s">
        <v>1253</v>
      </c>
      <c r="D12" s="701" t="s">
        <v>1252</v>
      </c>
      <c r="E12" s="701">
        <v>100</v>
      </c>
      <c r="F12" s="702">
        <v>1</v>
      </c>
      <c r="G12" s="701">
        <f>E12*F12</f>
        <v>100</v>
      </c>
      <c r="H12" s="701">
        <f>G12*1.13</f>
        <v>112.99999999999999</v>
      </c>
      <c r="I12" s="1061">
        <f>'[1]Frozen Pivot'!B121</f>
        <v>0</v>
      </c>
      <c r="J12" s="700">
        <v>217</v>
      </c>
    </row>
    <row r="13" spans="1:12" ht="16.5" x14ac:dyDescent="0.3">
      <c r="A13" s="659"/>
      <c r="B13" s="1055"/>
      <c r="C13" s="658"/>
      <c r="D13" s="724"/>
      <c r="E13" s="724"/>
      <c r="F13" s="725"/>
      <c r="G13" s="724"/>
      <c r="H13" s="724"/>
      <c r="I13" s="724"/>
      <c r="J13" s="693"/>
    </row>
    <row r="14" spans="1:12" ht="16.5" x14ac:dyDescent="0.3">
      <c r="A14" s="686"/>
      <c r="B14" s="685" t="s">
        <v>1251</v>
      </c>
      <c r="C14" s="733"/>
      <c r="D14" s="680"/>
      <c r="E14" s="680"/>
      <c r="F14" s="716"/>
      <c r="G14" s="680"/>
      <c r="H14" s="680">
        <f>SUM(H12:H12)</f>
        <v>112.99999999999999</v>
      </c>
      <c r="I14" s="680">
        <f>I12</f>
        <v>0</v>
      </c>
      <c r="J14" s="679">
        <f>J12</f>
        <v>217</v>
      </c>
    </row>
    <row r="15" spans="1:12" ht="16.5" x14ac:dyDescent="0.3">
      <c r="A15" s="686"/>
      <c r="B15" s="742"/>
      <c r="C15" s="742"/>
      <c r="D15" s="655"/>
      <c r="E15" s="655"/>
      <c r="F15" s="728"/>
      <c r="G15" s="655"/>
      <c r="H15" s="655"/>
      <c r="I15" s="655"/>
      <c r="J15" s="654"/>
    </row>
    <row r="16" spans="1:12" ht="16.5" x14ac:dyDescent="0.3">
      <c r="A16" s="686"/>
      <c r="B16" s="685" t="s">
        <v>1250</v>
      </c>
      <c r="C16" s="733"/>
      <c r="D16" s="680"/>
      <c r="E16" s="680"/>
      <c r="F16" s="716"/>
      <c r="G16" s="680"/>
      <c r="H16" s="680">
        <f>H14+H9</f>
        <v>225.99999999999997</v>
      </c>
      <c r="I16" s="680">
        <f>I14+I9</f>
        <v>434</v>
      </c>
      <c r="J16" s="679">
        <f>J14+J9</f>
        <v>434</v>
      </c>
    </row>
    <row r="17" spans="1:12" ht="16.5" x14ac:dyDescent="0.3">
      <c r="A17" s="1060" t="s">
        <v>1249</v>
      </c>
      <c r="B17" s="1059"/>
      <c r="C17" s="1059"/>
      <c r="D17" s="655"/>
      <c r="E17" s="655"/>
      <c r="F17" s="728"/>
      <c r="G17" s="655"/>
      <c r="H17" s="655"/>
      <c r="I17" s="655"/>
      <c r="J17" s="654"/>
    </row>
    <row r="18" spans="1:12" ht="16.5" x14ac:dyDescent="0.3">
      <c r="A18" s="741" t="s">
        <v>1196</v>
      </c>
      <c r="B18" s="742"/>
      <c r="C18" s="658"/>
      <c r="D18" s="724"/>
      <c r="E18" s="724"/>
      <c r="F18" s="725"/>
      <c r="G18" s="724"/>
      <c r="H18" s="724"/>
      <c r="I18" s="724"/>
      <c r="J18" s="693"/>
    </row>
    <row r="19" spans="1:12" ht="16.5" x14ac:dyDescent="0.3">
      <c r="A19" s="659"/>
      <c r="B19" s="722">
        <v>6.03</v>
      </c>
      <c r="C19" s="663" t="s">
        <v>1248</v>
      </c>
      <c r="D19" s="701"/>
      <c r="E19" s="701"/>
      <c r="F19" s="702"/>
      <c r="G19" s="701"/>
      <c r="H19" s="701">
        <f>G19*1.13</f>
        <v>0</v>
      </c>
      <c r="I19" s="701">
        <v>434</v>
      </c>
      <c r="J19" s="700">
        <v>207.2</v>
      </c>
      <c r="L19" s="432" t="s">
        <v>1247</v>
      </c>
    </row>
    <row r="20" spans="1:12" ht="16.5" x14ac:dyDescent="0.3">
      <c r="A20" s="659"/>
      <c r="B20" s="727"/>
      <c r="C20" s="658"/>
      <c r="D20" s="724"/>
      <c r="E20" s="724"/>
      <c r="F20" s="725"/>
      <c r="G20" s="724"/>
      <c r="H20" s="724"/>
      <c r="I20" s="724"/>
      <c r="J20" s="693"/>
    </row>
    <row r="21" spans="1:12" ht="16.5" x14ac:dyDescent="0.3">
      <c r="A21" s="686"/>
      <c r="B21" s="685" t="s">
        <v>1246</v>
      </c>
      <c r="C21" s="733"/>
      <c r="D21" s="680"/>
      <c r="E21" s="680"/>
      <c r="F21" s="716"/>
      <c r="G21" s="680"/>
      <c r="H21" s="680">
        <f>SUM(H19:H19)</f>
        <v>0</v>
      </c>
      <c r="I21" s="680">
        <f>I19</f>
        <v>434</v>
      </c>
      <c r="J21" s="679">
        <f>J19</f>
        <v>207.2</v>
      </c>
    </row>
    <row r="22" spans="1:12" ht="16.5" x14ac:dyDescent="0.3">
      <c r="A22" s="659"/>
      <c r="B22" s="742"/>
      <c r="C22" s="742"/>
      <c r="D22" s="655"/>
      <c r="E22" s="655"/>
      <c r="F22" s="728"/>
      <c r="G22" s="655"/>
      <c r="H22" s="655"/>
      <c r="I22" s="655"/>
      <c r="J22" s="654"/>
    </row>
    <row r="23" spans="1:12" ht="16.5" x14ac:dyDescent="0.3">
      <c r="A23" s="659"/>
      <c r="B23" s="742"/>
      <c r="C23" s="742" t="s">
        <v>59</v>
      </c>
      <c r="D23" s="655"/>
      <c r="E23" s="655"/>
      <c r="F23" s="728"/>
      <c r="G23" s="655"/>
      <c r="H23" s="655">
        <f>H16</f>
        <v>225.99999999999997</v>
      </c>
      <c r="I23" s="655">
        <v>0</v>
      </c>
      <c r="J23" s="654">
        <f>J21+J16</f>
        <v>641.20000000000005</v>
      </c>
    </row>
    <row r="24" spans="1:12" ht="16.5" x14ac:dyDescent="0.3">
      <c r="A24" s="659"/>
      <c r="B24" s="742"/>
      <c r="C24" s="742"/>
      <c r="D24" s="655"/>
      <c r="E24" s="655"/>
      <c r="F24" s="728"/>
      <c r="G24" s="655"/>
      <c r="H24" s="655"/>
      <c r="I24" s="655"/>
      <c r="J24" s="654"/>
    </row>
    <row r="25" spans="1:12" ht="16.5" x14ac:dyDescent="0.3">
      <c r="A25" s="960" t="s">
        <v>58</v>
      </c>
      <c r="B25" s="993"/>
      <c r="C25" s="993"/>
      <c r="D25" s="665"/>
      <c r="E25" s="991"/>
      <c r="F25" s="992"/>
      <c r="G25" s="991"/>
      <c r="H25" s="991"/>
      <c r="I25" s="991"/>
      <c r="J25" s="664"/>
    </row>
    <row r="26" spans="1:12" ht="16.5" x14ac:dyDescent="0.3">
      <c r="A26" s="659" t="s">
        <v>1245</v>
      </c>
      <c r="B26" s="742"/>
      <c r="C26" s="658"/>
      <c r="D26" s="724"/>
      <c r="E26" s="724"/>
      <c r="F26" s="725"/>
      <c r="G26" s="724"/>
      <c r="H26" s="724"/>
      <c r="I26" s="724"/>
      <c r="J26" s="693"/>
    </row>
    <row r="27" spans="1:12" ht="16.5" x14ac:dyDescent="0.3">
      <c r="A27" s="743"/>
      <c r="B27" s="837" t="s">
        <v>1244</v>
      </c>
      <c r="C27" s="1058" t="s">
        <v>260</v>
      </c>
      <c r="D27" s="701" t="s">
        <v>1243</v>
      </c>
      <c r="E27" s="701">
        <v>50</v>
      </c>
      <c r="F27" s="702">
        <v>5</v>
      </c>
      <c r="G27" s="701">
        <f>E27*F27</f>
        <v>250</v>
      </c>
      <c r="H27" s="701">
        <f>G27*1.13</f>
        <v>282.5</v>
      </c>
      <c r="I27" s="701">
        <f>'[1]Frozen Pivot'!B126</f>
        <v>0</v>
      </c>
      <c r="J27" s="700">
        <f>I27</f>
        <v>0</v>
      </c>
    </row>
    <row r="28" spans="1:12" ht="16.5" x14ac:dyDescent="0.3">
      <c r="A28" s="743"/>
      <c r="B28" s="836"/>
      <c r="C28" s="726"/>
      <c r="D28" s="724"/>
      <c r="E28" s="724"/>
      <c r="F28" s="725"/>
      <c r="G28" s="724"/>
      <c r="H28" s="724"/>
      <c r="I28" s="724"/>
      <c r="J28" s="693"/>
    </row>
    <row r="29" spans="1:12" ht="16.5" x14ac:dyDescent="0.3">
      <c r="A29" s="686"/>
      <c r="B29" s="685" t="s">
        <v>1242</v>
      </c>
      <c r="C29" s="733"/>
      <c r="D29" s="680"/>
      <c r="E29" s="680"/>
      <c r="F29" s="716"/>
      <c r="G29" s="680"/>
      <c r="H29" s="680">
        <f>SUM(H27:H27)</f>
        <v>282.5</v>
      </c>
      <c r="I29" s="680">
        <f>SUM(I27:I27)</f>
        <v>0</v>
      </c>
      <c r="J29" s="679">
        <f>SUM(J27:J27)</f>
        <v>0</v>
      </c>
    </row>
    <row r="30" spans="1:12" ht="16.5" x14ac:dyDescent="0.3">
      <c r="A30" s="686"/>
      <c r="B30" s="742"/>
      <c r="C30" s="742"/>
      <c r="D30" s="655"/>
      <c r="E30" s="655"/>
      <c r="F30" s="728"/>
      <c r="G30" s="655"/>
      <c r="H30" s="655"/>
      <c r="I30" s="655"/>
      <c r="J30" s="654"/>
    </row>
    <row r="31" spans="1:12" ht="16.5" x14ac:dyDescent="0.3">
      <c r="A31" s="659" t="s">
        <v>1159</v>
      </c>
      <c r="B31" s="658"/>
      <c r="C31" s="658"/>
      <c r="D31" s="724"/>
      <c r="E31" s="724"/>
      <c r="F31" s="725"/>
      <c r="G31" s="724"/>
      <c r="H31" s="724"/>
      <c r="I31" s="724"/>
      <c r="J31" s="693"/>
    </row>
    <row r="32" spans="1:12" ht="16.5" x14ac:dyDescent="0.3">
      <c r="A32" s="659"/>
      <c r="B32" s="837" t="s">
        <v>1241</v>
      </c>
      <c r="C32" s="663" t="s">
        <v>1179</v>
      </c>
      <c r="D32" s="701" t="s">
        <v>1240</v>
      </c>
      <c r="E32" s="701">
        <v>30</v>
      </c>
      <c r="F32" s="702">
        <v>10</v>
      </c>
      <c r="G32" s="701">
        <f>E32*F32</f>
        <v>300</v>
      </c>
      <c r="H32" s="701">
        <f>G32*1.13</f>
        <v>338.99999999999994</v>
      </c>
      <c r="I32" s="701">
        <f>'[1]Frozen Pivot'!B127</f>
        <v>0</v>
      </c>
      <c r="J32" s="700">
        <v>0</v>
      </c>
    </row>
    <row r="33" spans="1:10" ht="16.5" x14ac:dyDescent="0.3">
      <c r="A33" s="659"/>
      <c r="B33" s="836" t="s">
        <v>1239</v>
      </c>
      <c r="C33" s="658" t="s">
        <v>1238</v>
      </c>
      <c r="D33" s="724" t="s">
        <v>1237</v>
      </c>
      <c r="E33" s="724">
        <v>10</v>
      </c>
      <c r="F33" s="725">
        <v>10</v>
      </c>
      <c r="G33" s="724">
        <f>E33*F33</f>
        <v>100</v>
      </c>
      <c r="H33" s="724">
        <f>G33*1.13</f>
        <v>112.99999999999999</v>
      </c>
      <c r="I33" s="724">
        <f>'[1]Frozen Pivot'!B128</f>
        <v>0</v>
      </c>
      <c r="J33" s="693">
        <v>0</v>
      </c>
    </row>
    <row r="34" spans="1:10" ht="16.5" x14ac:dyDescent="0.3">
      <c r="A34" s="659"/>
      <c r="B34" s="837"/>
      <c r="C34" s="663"/>
      <c r="D34" s="701"/>
      <c r="E34" s="701"/>
      <c r="F34" s="702"/>
      <c r="G34" s="701"/>
      <c r="H34" s="701"/>
      <c r="I34" s="701"/>
      <c r="J34" s="700"/>
    </row>
    <row r="35" spans="1:10" ht="16.5" x14ac:dyDescent="0.3">
      <c r="A35" s="686"/>
      <c r="B35" s="685" t="s">
        <v>1154</v>
      </c>
      <c r="C35" s="733"/>
      <c r="D35" s="680"/>
      <c r="E35" s="680"/>
      <c r="F35" s="716"/>
      <c r="G35" s="680"/>
      <c r="H35" s="680">
        <f>SUM(H32:H33)</f>
        <v>451.99999999999994</v>
      </c>
      <c r="I35" s="680">
        <v>0</v>
      </c>
      <c r="J35" s="679">
        <v>0</v>
      </c>
    </row>
    <row r="36" spans="1:10" ht="16.5" x14ac:dyDescent="0.3">
      <c r="A36" s="686"/>
      <c r="B36" s="742"/>
      <c r="C36" s="742"/>
      <c r="D36" s="655"/>
      <c r="E36" s="655"/>
      <c r="F36" s="728"/>
      <c r="G36" s="655"/>
      <c r="H36" s="655"/>
      <c r="I36" s="655"/>
      <c r="J36" s="654"/>
    </row>
    <row r="37" spans="1:10" ht="16.5" x14ac:dyDescent="0.3">
      <c r="A37" s="659" t="s">
        <v>1236</v>
      </c>
      <c r="B37" s="742"/>
      <c r="C37" s="658"/>
      <c r="D37" s="724"/>
      <c r="E37" s="724"/>
      <c r="F37" s="725"/>
      <c r="G37" s="724"/>
      <c r="H37" s="724"/>
      <c r="I37" s="724"/>
      <c r="J37" s="693"/>
    </row>
    <row r="38" spans="1:10" ht="16.5" x14ac:dyDescent="0.3">
      <c r="A38" s="686"/>
      <c r="B38" s="722">
        <v>6.14</v>
      </c>
      <c r="C38" s="749" t="s">
        <v>1235</v>
      </c>
      <c r="D38" s="701" t="s">
        <v>1234</v>
      </c>
      <c r="E38" s="701">
        <v>15</v>
      </c>
      <c r="F38" s="702">
        <v>10</v>
      </c>
      <c r="G38" s="701">
        <f>E38*F38</f>
        <v>150</v>
      </c>
      <c r="H38" s="701">
        <f>G38*1.13</f>
        <v>169.49999999999997</v>
      </c>
      <c r="I38" s="701">
        <f>'[1]Frozen Pivot'!B129</f>
        <v>0</v>
      </c>
      <c r="J38" s="700">
        <v>149.65</v>
      </c>
    </row>
    <row r="39" spans="1:10" ht="16.5" x14ac:dyDescent="0.3">
      <c r="A39" s="686" t="s">
        <v>23</v>
      </c>
      <c r="B39" s="727">
        <v>6.15</v>
      </c>
      <c r="C39" s="658" t="s">
        <v>1233</v>
      </c>
      <c r="D39" s="724" t="s">
        <v>1232</v>
      </c>
      <c r="E39" s="724">
        <v>4</v>
      </c>
      <c r="F39" s="725">
        <v>25</v>
      </c>
      <c r="G39" s="724">
        <f>E39*F39</f>
        <v>100</v>
      </c>
      <c r="H39" s="724">
        <f>G39*1.13</f>
        <v>112.99999999999999</v>
      </c>
      <c r="I39" s="724">
        <f>'[1]Frozen Pivot'!B130</f>
        <v>0</v>
      </c>
      <c r="J39" s="693">
        <v>0</v>
      </c>
    </row>
    <row r="40" spans="1:10" ht="16.5" x14ac:dyDescent="0.3">
      <c r="A40" s="686"/>
      <c r="B40" s="722"/>
      <c r="C40" s="663"/>
      <c r="D40" s="701"/>
      <c r="E40" s="701"/>
      <c r="F40" s="702"/>
      <c r="G40" s="701"/>
      <c r="H40" s="701"/>
      <c r="I40" s="701"/>
      <c r="J40" s="700"/>
    </row>
    <row r="41" spans="1:10" ht="16.5" x14ac:dyDescent="0.3">
      <c r="A41" s="686"/>
      <c r="B41" s="685" t="s">
        <v>1224</v>
      </c>
      <c r="C41" s="733"/>
      <c r="D41" s="680"/>
      <c r="E41" s="680"/>
      <c r="F41" s="716"/>
      <c r="G41" s="680"/>
      <c r="H41" s="680">
        <f>SUM(H38:H39)</f>
        <v>282.49999999999994</v>
      </c>
      <c r="I41" s="680">
        <f>SUM(I38:I39)</f>
        <v>0</v>
      </c>
      <c r="J41" s="679">
        <f>SUM(J38:J39)</f>
        <v>149.65</v>
      </c>
    </row>
    <row r="42" spans="1:10" ht="16.5" x14ac:dyDescent="0.3">
      <c r="A42" s="686"/>
      <c r="B42" s="742"/>
      <c r="C42" s="742"/>
      <c r="D42" s="655"/>
      <c r="E42" s="655"/>
      <c r="F42" s="728"/>
      <c r="G42" s="655"/>
      <c r="H42" s="655"/>
      <c r="I42" s="655"/>
      <c r="J42" s="654"/>
    </row>
    <row r="43" spans="1:10" ht="16.5" x14ac:dyDescent="0.3">
      <c r="A43" s="659" t="s">
        <v>1231</v>
      </c>
      <c r="B43" s="742"/>
      <c r="C43" s="658"/>
      <c r="D43" s="724"/>
      <c r="E43" s="724"/>
      <c r="F43" s="725"/>
      <c r="G43" s="724"/>
      <c r="H43" s="724"/>
      <c r="I43" s="724"/>
      <c r="J43" s="693"/>
    </row>
    <row r="44" spans="1:10" ht="16.5" x14ac:dyDescent="0.3">
      <c r="A44" s="741" t="s">
        <v>1230</v>
      </c>
      <c r="B44" s="742"/>
      <c r="C44" s="658"/>
      <c r="D44" s="724"/>
      <c r="E44" s="724"/>
      <c r="F44" s="725"/>
      <c r="G44" s="724"/>
      <c r="H44" s="724"/>
      <c r="I44" s="724"/>
      <c r="J44" s="693"/>
    </row>
    <row r="45" spans="1:10" ht="16.5" x14ac:dyDescent="0.3">
      <c r="A45" s="1057"/>
      <c r="B45" s="722">
        <v>6.16</v>
      </c>
      <c r="C45" s="663" t="s">
        <v>1227</v>
      </c>
      <c r="D45" s="701" t="s">
        <v>1226</v>
      </c>
      <c r="E45" s="701">
        <v>250</v>
      </c>
      <c r="F45" s="702">
        <v>1</v>
      </c>
      <c r="G45" s="701">
        <f>E45*F45</f>
        <v>250</v>
      </c>
      <c r="H45" s="701">
        <f>G45*1.13</f>
        <v>282.5</v>
      </c>
      <c r="I45" s="701">
        <f>'[1]Frozen Pivot'!B131</f>
        <v>0</v>
      </c>
      <c r="J45" s="700"/>
    </row>
    <row r="46" spans="1:10" ht="16.5" x14ac:dyDescent="0.3">
      <c r="A46" s="659"/>
      <c r="B46" s="727">
        <v>6.17</v>
      </c>
      <c r="C46" s="658" t="s">
        <v>252</v>
      </c>
      <c r="D46" s="724" t="s">
        <v>1225</v>
      </c>
      <c r="E46" s="724">
        <v>100</v>
      </c>
      <c r="F46" s="725">
        <v>1</v>
      </c>
      <c r="G46" s="724">
        <f>E46*F46</f>
        <v>100</v>
      </c>
      <c r="H46" s="724">
        <f>G46*1.13</f>
        <v>112.99999999999999</v>
      </c>
      <c r="I46" s="724">
        <f>'[1]Frozen Pivot'!B132</f>
        <v>149.65</v>
      </c>
      <c r="J46" s="693">
        <v>149.65</v>
      </c>
    </row>
    <row r="47" spans="1:10" ht="16.5" x14ac:dyDescent="0.3">
      <c r="A47" s="659"/>
      <c r="B47" s="722"/>
      <c r="C47" s="663"/>
      <c r="D47" s="701"/>
      <c r="E47" s="701"/>
      <c r="F47" s="702"/>
      <c r="G47" s="701"/>
      <c r="H47" s="701"/>
      <c r="I47" s="701"/>
      <c r="J47" s="700"/>
    </row>
    <row r="48" spans="1:10" ht="16.5" x14ac:dyDescent="0.3">
      <c r="A48" s="659"/>
      <c r="B48" s="685" t="s">
        <v>1224</v>
      </c>
      <c r="C48" s="733"/>
      <c r="D48" s="680"/>
      <c r="E48" s="680"/>
      <c r="F48" s="716"/>
      <c r="G48" s="680"/>
      <c r="H48" s="680">
        <f>SUM(H45:H46)</f>
        <v>395.5</v>
      </c>
      <c r="I48" s="680">
        <f>SUM(I45:I46)</f>
        <v>149.65</v>
      </c>
      <c r="J48" s="679">
        <f>SUM(J45:J46)</f>
        <v>149.65</v>
      </c>
    </row>
    <row r="49" spans="1:10" ht="16.5" x14ac:dyDescent="0.3">
      <c r="A49" s="659"/>
      <c r="B49" s="727"/>
      <c r="C49" s="658"/>
      <c r="D49" s="724"/>
      <c r="E49" s="724"/>
      <c r="F49" s="725"/>
      <c r="G49" s="724"/>
      <c r="H49" s="724"/>
      <c r="I49" s="724"/>
      <c r="J49" s="693"/>
    </row>
    <row r="50" spans="1:10" ht="16.5" x14ac:dyDescent="0.3">
      <c r="A50" s="741" t="s">
        <v>1229</v>
      </c>
      <c r="B50" s="742"/>
      <c r="C50" s="658"/>
      <c r="D50" s="724"/>
      <c r="E50" s="724"/>
      <c r="F50" s="725"/>
      <c r="G50" s="724"/>
      <c r="H50" s="724"/>
      <c r="I50" s="724"/>
      <c r="J50" s="693"/>
    </row>
    <row r="51" spans="1:10" ht="16.5" x14ac:dyDescent="0.3">
      <c r="A51" s="1057"/>
      <c r="B51" s="722">
        <v>6.18</v>
      </c>
      <c r="C51" s="663" t="s">
        <v>1227</v>
      </c>
      <c r="D51" s="701" t="s">
        <v>1226</v>
      </c>
      <c r="E51" s="701">
        <v>250</v>
      </c>
      <c r="F51" s="702">
        <v>1</v>
      </c>
      <c r="G51" s="701">
        <f>E51*F51</f>
        <v>250</v>
      </c>
      <c r="H51" s="701">
        <f>G51*1.13</f>
        <v>282.5</v>
      </c>
      <c r="I51" s="701">
        <f>'[1]Frozen Pivot'!B133</f>
        <v>0</v>
      </c>
      <c r="J51" s="700"/>
    </row>
    <row r="52" spans="1:10" ht="16.5" x14ac:dyDescent="0.3">
      <c r="A52" s="659"/>
      <c r="B52" s="727">
        <v>6.19</v>
      </c>
      <c r="C52" s="658" t="s">
        <v>252</v>
      </c>
      <c r="D52" s="724" t="s">
        <v>1225</v>
      </c>
      <c r="E52" s="724">
        <v>200</v>
      </c>
      <c r="F52" s="725">
        <v>1</v>
      </c>
      <c r="G52" s="724">
        <f>E52*F52</f>
        <v>200</v>
      </c>
      <c r="H52" s="724">
        <f>G52*1.13</f>
        <v>225.99999999999997</v>
      </c>
      <c r="I52" s="724">
        <f>'[1]Frozen Pivot'!B134</f>
        <v>0</v>
      </c>
      <c r="J52" s="693"/>
    </row>
    <row r="53" spans="1:10" ht="16.5" x14ac:dyDescent="0.3">
      <c r="A53" s="659"/>
      <c r="B53" s="722"/>
      <c r="C53" s="663"/>
      <c r="D53" s="701"/>
      <c r="E53" s="701"/>
      <c r="F53" s="702"/>
      <c r="G53" s="701"/>
      <c r="H53" s="701"/>
      <c r="I53" s="701"/>
      <c r="J53" s="700"/>
    </row>
    <row r="54" spans="1:10" ht="16.5" x14ac:dyDescent="0.3">
      <c r="A54" s="659"/>
      <c r="B54" s="685" t="s">
        <v>1224</v>
      </c>
      <c r="C54" s="733"/>
      <c r="D54" s="680"/>
      <c r="E54" s="680"/>
      <c r="F54" s="716"/>
      <c r="G54" s="680"/>
      <c r="H54" s="680">
        <f>SUM(H51:H52)</f>
        <v>508.5</v>
      </c>
      <c r="I54" s="680">
        <f>SUM(I51:I52)</f>
        <v>0</v>
      </c>
      <c r="J54" s="679">
        <f>SUM(J51:J52)</f>
        <v>0</v>
      </c>
    </row>
    <row r="55" spans="1:10" ht="16.5" x14ac:dyDescent="0.3">
      <c r="A55" s="659"/>
      <c r="B55" s="727"/>
      <c r="C55" s="658"/>
      <c r="D55" s="724"/>
      <c r="E55" s="724"/>
      <c r="F55" s="725"/>
      <c r="G55" s="724"/>
      <c r="H55" s="724"/>
      <c r="I55" s="724"/>
      <c r="J55" s="693"/>
    </row>
    <row r="56" spans="1:10" ht="16.5" x14ac:dyDescent="0.3">
      <c r="A56" s="741" t="s">
        <v>1228</v>
      </c>
      <c r="B56" s="742"/>
      <c r="C56" s="658"/>
      <c r="D56" s="724"/>
      <c r="E56" s="724"/>
      <c r="F56" s="725"/>
      <c r="G56" s="724"/>
      <c r="H56" s="724"/>
      <c r="I56" s="724"/>
      <c r="J56" s="693"/>
    </row>
    <row r="57" spans="1:10" ht="16.5" x14ac:dyDescent="0.3">
      <c r="A57" s="1057"/>
      <c r="B57" s="1056">
        <v>6.2</v>
      </c>
      <c r="C57" s="663" t="s">
        <v>1227</v>
      </c>
      <c r="D57" s="701" t="s">
        <v>1226</v>
      </c>
      <c r="E57" s="701">
        <v>250</v>
      </c>
      <c r="F57" s="702">
        <v>1</v>
      </c>
      <c r="G57" s="701">
        <f>E57*F57</f>
        <v>250</v>
      </c>
      <c r="H57" s="701">
        <f>G57*1.13</f>
        <v>282.5</v>
      </c>
      <c r="I57" s="701">
        <f>'[1]Frozen Pivot'!B135</f>
        <v>0</v>
      </c>
      <c r="J57" s="700"/>
    </row>
    <row r="58" spans="1:10" ht="16.5" x14ac:dyDescent="0.3">
      <c r="A58" s="659"/>
      <c r="B58" s="1055">
        <v>6.21</v>
      </c>
      <c r="C58" s="658" t="s">
        <v>252</v>
      </c>
      <c r="D58" s="724" t="s">
        <v>1225</v>
      </c>
      <c r="E58" s="724">
        <v>200</v>
      </c>
      <c r="F58" s="725">
        <v>1</v>
      </c>
      <c r="G58" s="724">
        <f>E58*F58</f>
        <v>200</v>
      </c>
      <c r="H58" s="724">
        <f>G58*1.13</f>
        <v>225.99999999999997</v>
      </c>
      <c r="I58" s="724">
        <f>'[1]Frozen Pivot'!B136</f>
        <v>0</v>
      </c>
      <c r="J58" s="693"/>
    </row>
    <row r="59" spans="1:10" ht="16.5" x14ac:dyDescent="0.3">
      <c r="A59" s="659"/>
      <c r="B59" s="1056"/>
      <c r="C59" s="663"/>
      <c r="D59" s="701"/>
      <c r="E59" s="701"/>
      <c r="F59" s="702"/>
      <c r="G59" s="701"/>
      <c r="H59" s="701"/>
      <c r="I59" s="701"/>
      <c r="J59" s="700"/>
    </row>
    <row r="60" spans="1:10" ht="16.5" x14ac:dyDescent="0.3">
      <c r="A60" s="659"/>
      <c r="B60" s="685" t="s">
        <v>1224</v>
      </c>
      <c r="C60" s="733"/>
      <c r="D60" s="680"/>
      <c r="E60" s="680"/>
      <c r="F60" s="716"/>
      <c r="G60" s="680"/>
      <c r="H60" s="680">
        <f>SUM(H57:H58)</f>
        <v>508.5</v>
      </c>
      <c r="I60" s="680">
        <f>SUM(I57:I58)</f>
        <v>0</v>
      </c>
      <c r="J60" s="679">
        <v>0</v>
      </c>
    </row>
    <row r="61" spans="1:10" ht="16.5" x14ac:dyDescent="0.3">
      <c r="A61" s="659"/>
      <c r="B61" s="1055"/>
      <c r="C61" s="658"/>
      <c r="D61" s="724"/>
      <c r="E61" s="724"/>
      <c r="F61" s="725"/>
      <c r="G61" s="724"/>
      <c r="H61" s="724"/>
      <c r="I61" s="724"/>
      <c r="J61" s="693"/>
    </row>
    <row r="62" spans="1:10" ht="16.5" x14ac:dyDescent="0.3">
      <c r="A62" s="686"/>
      <c r="B62" s="685" t="s">
        <v>1223</v>
      </c>
      <c r="C62" s="733"/>
      <c r="D62" s="680"/>
      <c r="E62" s="680"/>
      <c r="F62" s="716"/>
      <c r="G62" s="680"/>
      <c r="H62" s="680">
        <f>H60+H54+H48</f>
        <v>1412.5</v>
      </c>
      <c r="I62" s="680">
        <f>I60+I54+I48</f>
        <v>149.65</v>
      </c>
      <c r="J62" s="679">
        <f>J60+J48+J41+J35+J29</f>
        <v>299.3</v>
      </c>
    </row>
    <row r="63" spans="1:10" ht="16.5" x14ac:dyDescent="0.3">
      <c r="A63" s="686"/>
      <c r="B63" s="742"/>
      <c r="C63" s="742"/>
      <c r="D63" s="655"/>
      <c r="E63" s="655"/>
      <c r="F63" s="728"/>
      <c r="G63" s="655"/>
      <c r="H63" s="655"/>
      <c r="I63" s="655"/>
      <c r="J63" s="654"/>
    </row>
    <row r="64" spans="1:10" ht="16.5" x14ac:dyDescent="0.3">
      <c r="A64" s="659" t="s">
        <v>1222</v>
      </c>
      <c r="B64" s="742"/>
      <c r="C64" s="658"/>
      <c r="D64" s="724"/>
      <c r="E64" s="724"/>
      <c r="F64" s="725"/>
      <c r="G64" s="724"/>
      <c r="H64" s="724"/>
      <c r="I64" s="724"/>
      <c r="J64" s="693"/>
    </row>
    <row r="65" spans="1:11" ht="16.5" x14ac:dyDescent="0.3">
      <c r="A65" s="741" t="s">
        <v>1221</v>
      </c>
      <c r="B65" s="742"/>
      <c r="C65" s="658"/>
      <c r="D65" s="724"/>
      <c r="E65" s="724"/>
      <c r="F65" s="725"/>
      <c r="G65" s="724"/>
      <c r="H65" s="724"/>
      <c r="I65" s="724"/>
      <c r="J65" s="693"/>
    </row>
    <row r="66" spans="1:11" ht="16.5" x14ac:dyDescent="0.3">
      <c r="A66" s="659"/>
      <c r="B66" s="722">
        <v>6.22</v>
      </c>
      <c r="C66" s="663" t="s">
        <v>1187</v>
      </c>
      <c r="D66" s="701" t="s">
        <v>1220</v>
      </c>
      <c r="E66" s="701">
        <v>200</v>
      </c>
      <c r="F66" s="702">
        <v>2</v>
      </c>
      <c r="G66" s="701">
        <f>E66*F66</f>
        <v>400</v>
      </c>
      <c r="H66" s="701">
        <f>G66*1.13</f>
        <v>451.99999999999994</v>
      </c>
      <c r="I66" s="701">
        <f>'[1]Frozen Pivot'!B137</f>
        <v>187.25</v>
      </c>
      <c r="J66" s="700">
        <v>187.25</v>
      </c>
    </row>
    <row r="67" spans="1:11" ht="16.5" x14ac:dyDescent="0.3">
      <c r="A67" s="659"/>
      <c r="B67" s="727">
        <v>6.23</v>
      </c>
      <c r="C67" s="658" t="s">
        <v>1219</v>
      </c>
      <c r="D67" s="724" t="s">
        <v>1218</v>
      </c>
      <c r="E67" s="724">
        <v>500</v>
      </c>
      <c r="F67" s="725">
        <v>1</v>
      </c>
      <c r="G67" s="724">
        <f>E67*F67</f>
        <v>500</v>
      </c>
      <c r="H67" s="724">
        <f>G67*1.13</f>
        <v>565</v>
      </c>
      <c r="I67" s="724">
        <f>'[1]Frozen Pivot'!B138</f>
        <v>0</v>
      </c>
      <c r="J67" s="693">
        <v>500</v>
      </c>
    </row>
    <row r="68" spans="1:11" ht="16.5" x14ac:dyDescent="0.3">
      <c r="A68" s="659"/>
      <c r="B68" s="722">
        <v>6.24</v>
      </c>
      <c r="C68" s="663" t="s">
        <v>1217</v>
      </c>
      <c r="D68" s="701" t="s">
        <v>1216</v>
      </c>
      <c r="E68" s="701">
        <v>280</v>
      </c>
      <c r="F68" s="702">
        <v>1</v>
      </c>
      <c r="G68" s="701">
        <f>E68*F68</f>
        <v>280</v>
      </c>
      <c r="H68" s="701">
        <f>G68*1.13</f>
        <v>316.39999999999998</v>
      </c>
      <c r="I68" s="701">
        <f>'[1]Frozen Pivot'!B139</f>
        <v>0</v>
      </c>
      <c r="J68" s="700">
        <v>0</v>
      </c>
      <c r="K68" s="432" t="s">
        <v>92</v>
      </c>
    </row>
    <row r="69" spans="1:11" ht="16.5" x14ac:dyDescent="0.3">
      <c r="A69" s="659"/>
      <c r="B69" s="727">
        <v>6.25</v>
      </c>
      <c r="C69" s="658" t="s">
        <v>1215</v>
      </c>
      <c r="D69" s="724" t="s">
        <v>1214</v>
      </c>
      <c r="E69" s="724">
        <v>285</v>
      </c>
      <c r="F69" s="725">
        <v>2</v>
      </c>
      <c r="G69" s="724">
        <f>E69*F69</f>
        <v>570</v>
      </c>
      <c r="H69" s="724">
        <f>G69*1.13</f>
        <v>644.09999999999991</v>
      </c>
      <c r="I69" s="724">
        <f>'[1]Frozen Pivot'!B140</f>
        <v>0</v>
      </c>
      <c r="J69" s="693">
        <v>0</v>
      </c>
    </row>
    <row r="70" spans="1:11" ht="16.5" x14ac:dyDescent="0.3">
      <c r="A70" s="659"/>
      <c r="B70" s="722">
        <v>6.26</v>
      </c>
      <c r="C70" s="663" t="s">
        <v>252</v>
      </c>
      <c r="D70" s="701" t="s">
        <v>1213</v>
      </c>
      <c r="E70" s="701">
        <v>100</v>
      </c>
      <c r="F70" s="702">
        <v>1</v>
      </c>
      <c r="G70" s="701">
        <f>E70*F70</f>
        <v>100</v>
      </c>
      <c r="H70" s="701">
        <f>G70*1.13</f>
        <v>112.99999999999999</v>
      </c>
      <c r="I70" s="701">
        <f>'[1]Frozen Pivot'!B142</f>
        <v>0</v>
      </c>
      <c r="J70" s="693">
        <v>0</v>
      </c>
    </row>
    <row r="71" spans="1:11" ht="16.5" x14ac:dyDescent="0.3">
      <c r="A71" s="659"/>
      <c r="B71" s="727">
        <v>6.27</v>
      </c>
      <c r="C71" s="658" t="s">
        <v>1212</v>
      </c>
      <c r="D71" s="724" t="s">
        <v>1211</v>
      </c>
      <c r="E71" s="724">
        <v>60</v>
      </c>
      <c r="F71" s="725">
        <v>1</v>
      </c>
      <c r="G71" s="724">
        <f>E71*F71</f>
        <v>60</v>
      </c>
      <c r="H71" s="724">
        <f>G71*1.13</f>
        <v>67.8</v>
      </c>
      <c r="I71" s="724">
        <f>'[1]Frozen Pivot'!B143</f>
        <v>54.92</v>
      </c>
      <c r="J71" s="693">
        <v>54.92</v>
      </c>
    </row>
    <row r="72" spans="1:11" ht="16.5" x14ac:dyDescent="0.3">
      <c r="A72" s="659"/>
      <c r="B72" s="727"/>
      <c r="C72" s="658"/>
      <c r="D72" s="724"/>
      <c r="E72" s="724"/>
      <c r="F72" s="725"/>
      <c r="G72" s="724"/>
      <c r="H72" s="724"/>
      <c r="I72" s="724"/>
      <c r="J72" s="693"/>
    </row>
    <row r="73" spans="1:11" ht="16.5" x14ac:dyDescent="0.3">
      <c r="A73" s="686"/>
      <c r="B73" s="685" t="s">
        <v>1210</v>
      </c>
      <c r="C73" s="733"/>
      <c r="D73" s="680"/>
      <c r="E73" s="680"/>
      <c r="F73" s="716"/>
      <c r="G73" s="680"/>
      <c r="H73" s="680">
        <f>SUM(H66:H71)</f>
        <v>2158.3000000000002</v>
      </c>
      <c r="I73" s="680">
        <f>SUM(I67:I71)</f>
        <v>54.92</v>
      </c>
      <c r="J73" s="679">
        <f>SUM(J66:J71)</f>
        <v>742.17</v>
      </c>
    </row>
    <row r="74" spans="1:11" ht="16.5" x14ac:dyDescent="0.3">
      <c r="A74" s="686"/>
      <c r="B74" s="742"/>
      <c r="C74" s="742"/>
      <c r="D74" s="655"/>
      <c r="E74" s="655"/>
      <c r="F74" s="728"/>
      <c r="G74" s="655"/>
      <c r="H74" s="655"/>
      <c r="I74" s="655"/>
      <c r="J74" s="654"/>
    </row>
    <row r="75" spans="1:11" ht="16.5" x14ac:dyDescent="0.3">
      <c r="A75" s="741" t="s">
        <v>1209</v>
      </c>
      <c r="B75" s="742"/>
      <c r="C75" s="742"/>
      <c r="D75" s="655"/>
      <c r="E75" s="655"/>
      <c r="F75" s="728"/>
      <c r="G75" s="655"/>
      <c r="H75" s="655"/>
      <c r="I75" s="655"/>
      <c r="J75" s="654"/>
    </row>
    <row r="76" spans="1:11" ht="16.5" x14ac:dyDescent="0.3">
      <c r="A76" s="743"/>
      <c r="B76" s="1056">
        <v>6.28</v>
      </c>
      <c r="C76" s="663" t="s">
        <v>1208</v>
      </c>
      <c r="D76" s="701" t="s">
        <v>1207</v>
      </c>
      <c r="E76" s="701">
        <v>200</v>
      </c>
      <c r="F76" s="702">
        <v>1</v>
      </c>
      <c r="G76" s="701">
        <f>E76*F76</f>
        <v>200</v>
      </c>
      <c r="H76" s="701">
        <f>G76*1.13</f>
        <v>225.99999999999997</v>
      </c>
      <c r="I76" s="701">
        <f>'[1]Frozen Pivot'!B145</f>
        <v>206.14</v>
      </c>
      <c r="J76" s="700">
        <v>155.25</v>
      </c>
    </row>
    <row r="77" spans="1:11" ht="16.5" x14ac:dyDescent="0.3">
      <c r="A77" s="659"/>
      <c r="B77" s="1055">
        <v>6.29</v>
      </c>
      <c r="C77" s="658" t="s">
        <v>1206</v>
      </c>
      <c r="D77" s="724" t="s">
        <v>1205</v>
      </c>
      <c r="E77" s="724">
        <v>50</v>
      </c>
      <c r="F77" s="725">
        <v>1</v>
      </c>
      <c r="G77" s="724">
        <f>E77*F77</f>
        <v>50</v>
      </c>
      <c r="H77" s="724">
        <f>G77*1.13</f>
        <v>56.499999999999993</v>
      </c>
      <c r="I77" s="701">
        <f>'[1]Frozen Pivot'!B146</f>
        <v>0</v>
      </c>
      <c r="J77" s="693">
        <v>0</v>
      </c>
    </row>
    <row r="78" spans="1:11" ht="16.5" x14ac:dyDescent="0.3">
      <c r="A78" s="659"/>
      <c r="B78" s="1056">
        <v>6.3</v>
      </c>
      <c r="C78" s="663" t="s">
        <v>1204</v>
      </c>
      <c r="D78" s="701" t="s">
        <v>1203</v>
      </c>
      <c r="E78" s="701">
        <v>55</v>
      </c>
      <c r="F78" s="702">
        <v>1</v>
      </c>
      <c r="G78" s="701">
        <f>E78*F78</f>
        <v>55</v>
      </c>
      <c r="H78" s="701">
        <f>G78*1.13</f>
        <v>62.149999999999991</v>
      </c>
      <c r="I78" s="701">
        <f>'[1]Frozen Pivot'!B147</f>
        <v>72.66</v>
      </c>
      <c r="J78" s="700">
        <v>72.66</v>
      </c>
    </row>
    <row r="79" spans="1:11" ht="16.5" x14ac:dyDescent="0.3">
      <c r="A79" s="659"/>
      <c r="B79" s="1055">
        <v>6.31</v>
      </c>
      <c r="C79" s="658" t="s">
        <v>270</v>
      </c>
      <c r="D79" s="724" t="s">
        <v>1202</v>
      </c>
      <c r="E79" s="724">
        <v>20</v>
      </c>
      <c r="F79" s="725">
        <v>1</v>
      </c>
      <c r="G79" s="724">
        <f>E79*F79</f>
        <v>20</v>
      </c>
      <c r="H79" s="724">
        <f>G79*1.13</f>
        <v>22.599999999999998</v>
      </c>
      <c r="I79" s="701">
        <f>'[1]Frozen Pivot'!B148</f>
        <v>20</v>
      </c>
      <c r="J79" s="693">
        <v>20</v>
      </c>
    </row>
    <row r="80" spans="1:11" ht="16.5" x14ac:dyDescent="0.3">
      <c r="A80" s="659"/>
      <c r="B80" s="1056">
        <v>6.32</v>
      </c>
      <c r="C80" s="663" t="s">
        <v>252</v>
      </c>
      <c r="D80" s="701" t="s">
        <v>1201</v>
      </c>
      <c r="E80" s="701">
        <v>200</v>
      </c>
      <c r="F80" s="702">
        <v>1</v>
      </c>
      <c r="G80" s="701">
        <f>E80*F80</f>
        <v>200</v>
      </c>
      <c r="H80" s="701">
        <f>G80*1.13</f>
        <v>225.99999999999997</v>
      </c>
      <c r="I80" s="701">
        <f>'[1]Frozen Pivot'!B149</f>
        <v>107.42999999999999</v>
      </c>
      <c r="J80" s="700">
        <v>107.42999999999999</v>
      </c>
    </row>
    <row r="81" spans="1:10" ht="16.5" x14ac:dyDescent="0.3">
      <c r="A81" s="659"/>
      <c r="B81" s="1055">
        <v>6.33</v>
      </c>
      <c r="C81" s="658" t="s">
        <v>904</v>
      </c>
      <c r="D81" s="724" t="s">
        <v>1200</v>
      </c>
      <c r="E81" s="724">
        <v>120</v>
      </c>
      <c r="F81" s="725">
        <v>1</v>
      </c>
      <c r="G81" s="724">
        <f>E81*F81</f>
        <v>120</v>
      </c>
      <c r="H81" s="724">
        <f>G81*1.13</f>
        <v>135.6</v>
      </c>
      <c r="I81" s="701">
        <f>'[1]Frozen Pivot'!B150</f>
        <v>137.36000000000001</v>
      </c>
      <c r="J81" s="693">
        <v>137.36000000000001</v>
      </c>
    </row>
    <row r="82" spans="1:10" ht="16.5" x14ac:dyDescent="0.3">
      <c r="A82" s="659"/>
      <c r="B82" s="1056">
        <v>6.34</v>
      </c>
      <c r="C82" s="663" t="s">
        <v>1199</v>
      </c>
      <c r="D82" s="701" t="s">
        <v>1198</v>
      </c>
      <c r="E82" s="701">
        <v>100</v>
      </c>
      <c r="F82" s="702">
        <v>1</v>
      </c>
      <c r="G82" s="701">
        <f>E82*F82</f>
        <v>100</v>
      </c>
      <c r="H82" s="701">
        <f>G82*1.13</f>
        <v>112.99999999999999</v>
      </c>
      <c r="I82" s="701">
        <f>'[1]Frozen Pivot'!B151</f>
        <v>110</v>
      </c>
      <c r="J82" s="700">
        <v>110</v>
      </c>
    </row>
    <row r="83" spans="1:10" ht="16.5" x14ac:dyDescent="0.3">
      <c r="A83" s="659"/>
      <c r="B83" s="1055"/>
      <c r="C83" s="658"/>
      <c r="D83" s="724"/>
      <c r="E83" s="724"/>
      <c r="F83" s="725"/>
      <c r="G83" s="724"/>
      <c r="H83" s="724"/>
      <c r="I83" s="724"/>
      <c r="J83" s="693"/>
    </row>
    <row r="84" spans="1:10" ht="16.5" x14ac:dyDescent="0.3">
      <c r="A84" s="686"/>
      <c r="B84" s="685" t="s">
        <v>1197</v>
      </c>
      <c r="C84" s="733"/>
      <c r="D84" s="680"/>
      <c r="E84" s="680"/>
      <c r="F84" s="716"/>
      <c r="G84" s="680"/>
      <c r="H84" s="680">
        <f>SUM(H76:H82)</f>
        <v>841.84999999999991</v>
      </c>
      <c r="I84" s="680">
        <f>SUM(I77:I81)</f>
        <v>337.45</v>
      </c>
      <c r="J84" s="679">
        <f>SUM(J76:J82)</f>
        <v>602.70000000000005</v>
      </c>
    </row>
    <row r="85" spans="1:10" ht="16.5" x14ac:dyDescent="0.3">
      <c r="A85" s="686"/>
      <c r="B85" s="742"/>
      <c r="C85" s="742"/>
      <c r="D85" s="655"/>
      <c r="E85" s="655"/>
      <c r="F85" s="728"/>
      <c r="G85" s="655"/>
      <c r="H85" s="655"/>
      <c r="I85" s="655"/>
      <c r="J85" s="654"/>
    </row>
    <row r="86" spans="1:10" ht="16.5" x14ac:dyDescent="0.3">
      <c r="A86" s="741" t="s">
        <v>1196</v>
      </c>
      <c r="B86" s="742"/>
      <c r="C86" s="742"/>
      <c r="D86" s="655"/>
      <c r="E86" s="655"/>
      <c r="F86" s="728"/>
      <c r="G86" s="655"/>
      <c r="H86" s="655"/>
      <c r="I86" s="655"/>
      <c r="J86" s="654"/>
    </row>
    <row r="87" spans="1:10" ht="16.5" x14ac:dyDescent="0.3">
      <c r="A87" s="743"/>
      <c r="B87" s="722">
        <v>6.35</v>
      </c>
      <c r="C87" s="663" t="s">
        <v>352</v>
      </c>
      <c r="D87" s="701" t="s">
        <v>1195</v>
      </c>
      <c r="E87" s="701">
        <v>8</v>
      </c>
      <c r="F87" s="702">
        <v>45</v>
      </c>
      <c r="G87" s="701">
        <f>E87*F87</f>
        <v>360</v>
      </c>
      <c r="H87" s="701">
        <f>G87*1.13</f>
        <v>406.79999999999995</v>
      </c>
      <c r="I87" s="701">
        <f>'[1]Frozen Pivot'!B152</f>
        <v>0</v>
      </c>
      <c r="J87" s="700">
        <v>0</v>
      </c>
    </row>
    <row r="88" spans="1:10" ht="16.5" x14ac:dyDescent="0.3">
      <c r="A88" s="743"/>
      <c r="B88" s="727">
        <v>6.36</v>
      </c>
      <c r="C88" s="658" t="s">
        <v>1194</v>
      </c>
      <c r="D88" s="724" t="s">
        <v>1193</v>
      </c>
      <c r="E88" s="724">
        <v>34</v>
      </c>
      <c r="F88" s="725">
        <v>1</v>
      </c>
      <c r="G88" s="724">
        <f>F88*E88</f>
        <v>34</v>
      </c>
      <c r="H88" s="724">
        <f>G88*1.13</f>
        <v>38.419999999999995</v>
      </c>
      <c r="I88" s="724">
        <f>'[1]Frozen Pivot'!B153</f>
        <v>0</v>
      </c>
      <c r="J88" s="693">
        <v>0</v>
      </c>
    </row>
    <row r="89" spans="1:10" ht="16.5" x14ac:dyDescent="0.3">
      <c r="A89" s="743"/>
      <c r="B89" s="722"/>
      <c r="C89" s="663"/>
      <c r="D89" s="701"/>
      <c r="E89" s="701"/>
      <c r="F89" s="702"/>
      <c r="G89" s="701"/>
      <c r="H89" s="701"/>
      <c r="I89" s="701"/>
      <c r="J89" s="700"/>
    </row>
    <row r="90" spans="1:10" ht="16.5" x14ac:dyDescent="0.3">
      <c r="A90" s="686"/>
      <c r="B90" s="685" t="s">
        <v>1192</v>
      </c>
      <c r="C90" s="733"/>
      <c r="D90" s="680"/>
      <c r="E90" s="680"/>
      <c r="F90" s="716"/>
      <c r="G90" s="680"/>
      <c r="H90" s="680">
        <f>SUM(H87:H88)</f>
        <v>445.21999999999997</v>
      </c>
      <c r="I90" s="680">
        <f>SUM(I80:I86)</f>
        <v>692.24</v>
      </c>
      <c r="J90" s="679">
        <f>SUM(J87:J88)</f>
        <v>0</v>
      </c>
    </row>
    <row r="91" spans="1:10" ht="16.5" x14ac:dyDescent="0.3">
      <c r="A91" s="686"/>
      <c r="B91" s="742"/>
      <c r="C91" s="742"/>
      <c r="D91" s="655"/>
      <c r="E91" s="655"/>
      <c r="F91" s="728"/>
      <c r="G91" s="655"/>
      <c r="H91" s="655"/>
      <c r="I91" s="655"/>
      <c r="J91" s="654"/>
    </row>
    <row r="92" spans="1:10" ht="16.5" x14ac:dyDescent="0.3">
      <c r="A92" s="741" t="s">
        <v>1191</v>
      </c>
      <c r="B92" s="742"/>
      <c r="C92" s="658"/>
      <c r="D92" s="724"/>
      <c r="E92" s="724"/>
      <c r="F92" s="725"/>
      <c r="G92" s="724"/>
      <c r="H92" s="724"/>
      <c r="I92" s="724"/>
      <c r="J92" s="693"/>
    </row>
    <row r="93" spans="1:10" ht="16.5" x14ac:dyDescent="0.3">
      <c r="A93" s="659"/>
      <c r="B93" s="1056">
        <v>6.37</v>
      </c>
      <c r="C93" s="663" t="s">
        <v>1190</v>
      </c>
      <c r="D93" s="701" t="s">
        <v>1189</v>
      </c>
      <c r="E93" s="701">
        <v>10</v>
      </c>
      <c r="F93" s="702">
        <v>30</v>
      </c>
      <c r="G93" s="701">
        <f>E93*F93</f>
        <v>300</v>
      </c>
      <c r="H93" s="701">
        <f>G93*1.13</f>
        <v>338.99999999999994</v>
      </c>
      <c r="I93" s="724">
        <f>'[1]Frozen Pivot'!B152</f>
        <v>0</v>
      </c>
      <c r="J93" s="700">
        <v>0</v>
      </c>
    </row>
    <row r="94" spans="1:10" ht="16.5" x14ac:dyDescent="0.3">
      <c r="A94" s="659"/>
      <c r="B94" s="1055">
        <v>6.38</v>
      </c>
      <c r="C94" s="658" t="s">
        <v>904</v>
      </c>
      <c r="D94" s="724" t="s">
        <v>1188</v>
      </c>
      <c r="E94" s="724">
        <v>750</v>
      </c>
      <c r="F94" s="725">
        <v>1</v>
      </c>
      <c r="G94" s="724">
        <f>E94*F94</f>
        <v>750</v>
      </c>
      <c r="H94" s="724">
        <f>G94*1.13</f>
        <v>847.49999999999989</v>
      </c>
      <c r="I94" s="724">
        <f>'[1]Frozen Pivot'!B153</f>
        <v>0</v>
      </c>
      <c r="J94" s="693">
        <v>0</v>
      </c>
    </row>
    <row r="95" spans="1:10" ht="16.5" x14ac:dyDescent="0.3">
      <c r="A95" s="659"/>
      <c r="B95" s="1056">
        <v>6.39</v>
      </c>
      <c r="C95" s="663" t="s">
        <v>1187</v>
      </c>
      <c r="D95" s="701" t="s">
        <v>1186</v>
      </c>
      <c r="E95" s="701">
        <v>300</v>
      </c>
      <c r="F95" s="702">
        <v>1</v>
      </c>
      <c r="G95" s="701">
        <f>E95*F95</f>
        <v>300</v>
      </c>
      <c r="H95" s="701">
        <f>G95*1.13</f>
        <v>338.99999999999994</v>
      </c>
      <c r="I95" s="724">
        <f>'[1]Frozen Pivot'!B154</f>
        <v>0</v>
      </c>
      <c r="J95" s="700">
        <v>0</v>
      </c>
    </row>
    <row r="96" spans="1:10" ht="16.5" x14ac:dyDescent="0.3">
      <c r="A96" s="659"/>
      <c r="B96" s="1055">
        <v>6.4</v>
      </c>
      <c r="C96" s="658" t="s">
        <v>1185</v>
      </c>
      <c r="D96" s="724" t="s">
        <v>1184</v>
      </c>
      <c r="E96" s="724">
        <v>30</v>
      </c>
      <c r="F96" s="725">
        <v>2</v>
      </c>
      <c r="G96" s="724">
        <f>E96*F96</f>
        <v>60</v>
      </c>
      <c r="H96" s="724">
        <f>G96*1.13</f>
        <v>67.8</v>
      </c>
      <c r="I96" s="724">
        <f>'[1]Frozen Pivot'!B155</f>
        <v>0</v>
      </c>
      <c r="J96" s="693">
        <v>0</v>
      </c>
    </row>
    <row r="97" spans="1:10" ht="16.5" x14ac:dyDescent="0.3">
      <c r="A97" s="659"/>
      <c r="B97" s="1056"/>
      <c r="C97" s="663"/>
      <c r="D97" s="701"/>
      <c r="E97" s="701"/>
      <c r="F97" s="702"/>
      <c r="G97" s="701"/>
      <c r="H97" s="701"/>
      <c r="I97" s="701"/>
      <c r="J97" s="700"/>
    </row>
    <row r="98" spans="1:10" ht="16.5" x14ac:dyDescent="0.3">
      <c r="A98" s="686"/>
      <c r="B98" s="685" t="s">
        <v>1183</v>
      </c>
      <c r="C98" s="733"/>
      <c r="D98" s="680"/>
      <c r="E98" s="680"/>
      <c r="F98" s="716"/>
      <c r="G98" s="680"/>
      <c r="H98" s="680">
        <f>SUM(H93:H96)</f>
        <v>1593.2999999999997</v>
      </c>
      <c r="I98" s="680">
        <f>SUM(I94:I96)</f>
        <v>0</v>
      </c>
      <c r="J98" s="679">
        <f>SUM(J94:J96)</f>
        <v>0</v>
      </c>
    </row>
    <row r="99" spans="1:10" ht="16.5" x14ac:dyDescent="0.3">
      <c r="A99" s="686"/>
      <c r="B99" s="742"/>
      <c r="C99" s="742"/>
      <c r="D99" s="655"/>
      <c r="E99" s="655"/>
      <c r="F99" s="728"/>
      <c r="G99" s="655"/>
      <c r="H99" s="655"/>
      <c r="I99" s="655"/>
      <c r="J99" s="654"/>
    </row>
    <row r="100" spans="1:10" ht="16.5" x14ac:dyDescent="0.3">
      <c r="A100" s="741" t="s">
        <v>1159</v>
      </c>
      <c r="B100" s="658"/>
      <c r="C100" s="658"/>
      <c r="D100" s="724"/>
      <c r="E100" s="724"/>
      <c r="F100" s="725"/>
      <c r="G100" s="724"/>
      <c r="H100" s="724"/>
      <c r="I100" s="724"/>
      <c r="J100" s="693"/>
    </row>
    <row r="101" spans="1:10" ht="16.5" x14ac:dyDescent="0.3">
      <c r="A101" s="659"/>
      <c r="B101" s="722">
        <v>6.41</v>
      </c>
      <c r="C101" s="663" t="s">
        <v>1182</v>
      </c>
      <c r="D101" s="701" t="s">
        <v>1181</v>
      </c>
      <c r="E101" s="701">
        <v>40</v>
      </c>
      <c r="F101" s="702">
        <v>1</v>
      </c>
      <c r="G101" s="701">
        <f>E101*F101</f>
        <v>40</v>
      </c>
      <c r="H101" s="701">
        <f>G101*1.13</f>
        <v>45.199999999999996</v>
      </c>
      <c r="I101" s="701">
        <f>'[1]Frozen Pivot'!B156</f>
        <v>0</v>
      </c>
      <c r="J101" s="700">
        <v>0</v>
      </c>
    </row>
    <row r="102" spans="1:10" ht="16.5" x14ac:dyDescent="0.3">
      <c r="A102" s="742"/>
      <c r="B102" s="727">
        <v>6.42</v>
      </c>
      <c r="C102" s="658" t="s">
        <v>352</v>
      </c>
      <c r="D102" s="724" t="s">
        <v>1180</v>
      </c>
      <c r="E102" s="724">
        <v>8</v>
      </c>
      <c r="F102" s="725">
        <v>7</v>
      </c>
      <c r="G102" s="724">
        <f>E102*F102</f>
        <v>56</v>
      </c>
      <c r="H102" s="724">
        <f>G102*1.13</f>
        <v>63.279999999999994</v>
      </c>
      <c r="I102" s="701">
        <f>'[1]Frozen Pivot'!B157</f>
        <v>0</v>
      </c>
      <c r="J102" s="693">
        <v>0</v>
      </c>
    </row>
    <row r="103" spans="1:10" ht="16.5" x14ac:dyDescent="0.3">
      <c r="A103" s="742"/>
      <c r="B103" s="722">
        <v>6.43</v>
      </c>
      <c r="C103" s="663" t="s">
        <v>1179</v>
      </c>
      <c r="D103" s="701" t="s">
        <v>1178</v>
      </c>
      <c r="E103" s="701">
        <v>30</v>
      </c>
      <c r="F103" s="702">
        <v>7</v>
      </c>
      <c r="G103" s="701">
        <f>E103*F103</f>
        <v>210</v>
      </c>
      <c r="H103" s="701">
        <f>G103*1.13</f>
        <v>237.29999999999998</v>
      </c>
      <c r="I103" s="701">
        <f>'[1]Frozen Pivot'!B158</f>
        <v>0</v>
      </c>
      <c r="J103" s="700">
        <v>0</v>
      </c>
    </row>
    <row r="104" spans="1:10" s="674" customFormat="1" ht="16.5" x14ac:dyDescent="0.3">
      <c r="A104" s="742"/>
      <c r="B104" s="727"/>
      <c r="C104" s="658"/>
      <c r="D104" s="724"/>
      <c r="E104" s="724"/>
      <c r="F104" s="725"/>
      <c r="G104" s="724"/>
      <c r="H104" s="724"/>
      <c r="I104" s="724"/>
      <c r="J104" s="693"/>
    </row>
    <row r="105" spans="1:10" ht="16.5" x14ac:dyDescent="0.3">
      <c r="A105" s="686"/>
      <c r="B105" s="685" t="s">
        <v>1154</v>
      </c>
      <c r="C105" s="733"/>
      <c r="D105" s="680"/>
      <c r="E105" s="680"/>
      <c r="F105" s="716"/>
      <c r="G105" s="680"/>
      <c r="H105" s="680">
        <f>SUM(H101:H103)</f>
        <v>345.78</v>
      </c>
      <c r="I105" s="680">
        <f>SUM(I101:I103)</f>
        <v>0</v>
      </c>
      <c r="J105" s="679">
        <f>SUM(J101:J103)</f>
        <v>0</v>
      </c>
    </row>
    <row r="106" spans="1:10" ht="16.5" x14ac:dyDescent="0.3">
      <c r="A106" s="686"/>
      <c r="B106" s="742"/>
      <c r="C106" s="742"/>
      <c r="D106" s="655"/>
      <c r="E106" s="655"/>
      <c r="F106" s="728"/>
      <c r="G106" s="655"/>
      <c r="H106" s="655"/>
      <c r="I106" s="655"/>
      <c r="J106" s="654"/>
    </row>
    <row r="107" spans="1:10" ht="16.5" x14ac:dyDescent="0.3">
      <c r="A107" s="686"/>
      <c r="B107" s="685" t="s">
        <v>1177</v>
      </c>
      <c r="C107" s="733"/>
      <c r="D107" s="680"/>
      <c r="E107" s="680"/>
      <c r="F107" s="716"/>
      <c r="G107" s="680"/>
      <c r="H107" s="680">
        <f>H105+H98+H90+H84+H73</f>
        <v>5384.45</v>
      </c>
      <c r="I107" s="680">
        <f>SUM(I103:I105)</f>
        <v>0</v>
      </c>
      <c r="J107" s="679">
        <f>J105+J98+J84+J73</f>
        <v>1344.87</v>
      </c>
    </row>
    <row r="108" spans="1:10" ht="16.5" x14ac:dyDescent="0.3">
      <c r="A108" s="686"/>
      <c r="B108" s="742"/>
      <c r="C108" s="742"/>
      <c r="D108" s="655"/>
      <c r="E108" s="655"/>
      <c r="F108" s="728"/>
      <c r="G108" s="655"/>
      <c r="H108" s="655"/>
      <c r="I108" s="655"/>
      <c r="J108" s="654"/>
    </row>
    <row r="109" spans="1:10" ht="16.5" x14ac:dyDescent="0.3">
      <c r="A109" s="659" t="s">
        <v>1176</v>
      </c>
      <c r="B109" s="742"/>
      <c r="C109" s="658"/>
      <c r="D109" s="724"/>
      <c r="E109" s="724"/>
      <c r="F109" s="725"/>
      <c r="G109" s="724"/>
      <c r="H109" s="724"/>
      <c r="I109" s="724"/>
      <c r="J109" s="693"/>
    </row>
    <row r="110" spans="1:10" ht="16.5" x14ac:dyDescent="0.3">
      <c r="A110" s="741" t="s">
        <v>1175</v>
      </c>
      <c r="B110" s="742"/>
      <c r="C110" s="658"/>
      <c r="D110" s="724"/>
      <c r="E110" s="724"/>
      <c r="F110" s="725"/>
      <c r="G110" s="724"/>
      <c r="H110" s="724"/>
      <c r="I110" s="724"/>
      <c r="J110" s="693"/>
    </row>
    <row r="111" spans="1:10" ht="16.5" x14ac:dyDescent="0.3">
      <c r="A111" s="659"/>
      <c r="B111" s="1056">
        <v>6.44</v>
      </c>
      <c r="C111" s="663" t="s">
        <v>1172</v>
      </c>
      <c r="D111" s="701" t="s">
        <v>1171</v>
      </c>
      <c r="E111" s="701">
        <v>100</v>
      </c>
      <c r="F111" s="702">
        <v>1</v>
      </c>
      <c r="G111" s="701">
        <f>E111*F111</f>
        <v>100</v>
      </c>
      <c r="H111" s="701">
        <f>G111*1.13</f>
        <v>112.99999999999999</v>
      </c>
      <c r="I111" s="701">
        <f>'[1]Frozen Pivot'!B160</f>
        <v>0</v>
      </c>
      <c r="J111" s="700">
        <v>0</v>
      </c>
    </row>
    <row r="112" spans="1:10" ht="16.5" x14ac:dyDescent="0.3">
      <c r="A112" s="659"/>
      <c r="B112" s="1055">
        <v>6.45</v>
      </c>
      <c r="C112" s="658" t="s">
        <v>270</v>
      </c>
      <c r="D112" s="724" t="s">
        <v>1170</v>
      </c>
      <c r="E112" s="724">
        <v>60</v>
      </c>
      <c r="F112" s="725">
        <v>1</v>
      </c>
      <c r="G112" s="724">
        <f>E112*F112</f>
        <v>60</v>
      </c>
      <c r="H112" s="724">
        <f>G112*1.13</f>
        <v>67.8</v>
      </c>
      <c r="I112" s="701">
        <f>'[1]Frozen Pivot'!B161</f>
        <v>0</v>
      </c>
      <c r="J112" s="693">
        <v>73.62</v>
      </c>
    </row>
    <row r="113" spans="1:10" ht="16.5" x14ac:dyDescent="0.3">
      <c r="A113" s="659"/>
      <c r="B113" s="1056">
        <v>6.46</v>
      </c>
      <c r="C113" s="663" t="s">
        <v>1169</v>
      </c>
      <c r="D113" s="701" t="s">
        <v>1168</v>
      </c>
      <c r="E113" s="701">
        <v>100</v>
      </c>
      <c r="F113" s="702">
        <v>1</v>
      </c>
      <c r="G113" s="701">
        <f>E113*F113</f>
        <v>100</v>
      </c>
      <c r="H113" s="701">
        <f>G113*1.13</f>
        <v>112.99999999999999</v>
      </c>
      <c r="I113" s="701">
        <f>'[1]Frozen Pivot'!B163</f>
        <v>0</v>
      </c>
      <c r="J113" s="700">
        <v>0</v>
      </c>
    </row>
    <row r="114" spans="1:10" ht="16.5" x14ac:dyDescent="0.3">
      <c r="A114" s="659"/>
      <c r="B114" s="1055">
        <v>6.47</v>
      </c>
      <c r="C114" s="658" t="s">
        <v>1167</v>
      </c>
      <c r="D114" s="724" t="s">
        <v>1166</v>
      </c>
      <c r="E114" s="724">
        <v>50</v>
      </c>
      <c r="F114" s="725">
        <v>1</v>
      </c>
      <c r="G114" s="724">
        <f>E114*F114</f>
        <v>50</v>
      </c>
      <c r="H114" s="724">
        <f>G114*1.13</f>
        <v>56.499999999999993</v>
      </c>
      <c r="I114" s="701">
        <f>'[1]Frozen Pivot'!B164</f>
        <v>0</v>
      </c>
      <c r="J114" s="693">
        <v>0</v>
      </c>
    </row>
    <row r="115" spans="1:10" ht="16.5" x14ac:dyDescent="0.3">
      <c r="A115" s="659"/>
      <c r="B115" s="1056">
        <v>6.48</v>
      </c>
      <c r="C115" s="663" t="s">
        <v>426</v>
      </c>
      <c r="D115" s="701" t="s">
        <v>1165</v>
      </c>
      <c r="E115" s="701">
        <v>50</v>
      </c>
      <c r="F115" s="702">
        <v>2</v>
      </c>
      <c r="G115" s="701">
        <f>E115*F115</f>
        <v>100</v>
      </c>
      <c r="H115" s="701">
        <f>G115*1.13</f>
        <v>112.99999999999999</v>
      </c>
      <c r="I115" s="701">
        <f>'[1]Frozen Pivot'!B164</f>
        <v>0</v>
      </c>
      <c r="J115" s="700">
        <v>0</v>
      </c>
    </row>
    <row r="116" spans="1:10" ht="16.5" x14ac:dyDescent="0.3">
      <c r="A116" s="659"/>
      <c r="B116" s="1055">
        <v>6.49</v>
      </c>
      <c r="C116" s="658" t="s">
        <v>616</v>
      </c>
      <c r="D116" s="724" t="s">
        <v>1164</v>
      </c>
      <c r="E116" s="724">
        <v>200</v>
      </c>
      <c r="F116" s="725">
        <v>1</v>
      </c>
      <c r="G116" s="724">
        <f>E116*F116</f>
        <v>200</v>
      </c>
      <c r="H116" s="724">
        <f>G116*1.13</f>
        <v>225.99999999999997</v>
      </c>
      <c r="I116" s="701">
        <f>'[1]Frozen Pivot'!B165</f>
        <v>0</v>
      </c>
      <c r="J116" s="693">
        <v>294</v>
      </c>
    </row>
    <row r="117" spans="1:10" ht="16.5" x14ac:dyDescent="0.3">
      <c r="A117" s="659"/>
      <c r="B117" s="1056">
        <v>6.5</v>
      </c>
      <c r="C117" s="663" t="s">
        <v>260</v>
      </c>
      <c r="D117" s="701" t="s">
        <v>1163</v>
      </c>
      <c r="E117" s="701">
        <v>60</v>
      </c>
      <c r="F117" s="702">
        <v>1</v>
      </c>
      <c r="G117" s="701">
        <f>E117*F117</f>
        <v>60</v>
      </c>
      <c r="H117" s="701">
        <f>G117*1.13</f>
        <v>67.8</v>
      </c>
      <c r="I117" s="701">
        <f>'[1]Frozen Pivot'!B166</f>
        <v>294</v>
      </c>
      <c r="J117" s="700">
        <v>69.05</v>
      </c>
    </row>
    <row r="118" spans="1:10" ht="16.5" x14ac:dyDescent="0.3">
      <c r="A118" s="659"/>
      <c r="B118" s="1055">
        <v>6.51</v>
      </c>
      <c r="C118" s="658" t="s">
        <v>1162</v>
      </c>
      <c r="D118" s="724" t="s">
        <v>1161</v>
      </c>
      <c r="E118" s="724">
        <v>65</v>
      </c>
      <c r="F118" s="725">
        <v>2</v>
      </c>
      <c r="G118" s="724">
        <f>E118*F118</f>
        <v>130</v>
      </c>
      <c r="H118" s="724">
        <f>G118*1.13</f>
        <v>146.89999999999998</v>
      </c>
      <c r="I118" s="701">
        <f>'[1]Frozen Pivot'!B167</f>
        <v>69.05</v>
      </c>
      <c r="J118" s="693">
        <v>0</v>
      </c>
    </row>
    <row r="119" spans="1:10" ht="16.5" x14ac:dyDescent="0.3">
      <c r="A119" s="659"/>
      <c r="B119" s="1056"/>
      <c r="C119" s="663"/>
      <c r="D119" s="701"/>
      <c r="E119" s="701"/>
      <c r="F119" s="702"/>
      <c r="G119" s="701"/>
      <c r="H119" s="701"/>
      <c r="I119" s="701"/>
      <c r="J119" s="700"/>
    </row>
    <row r="120" spans="1:10" ht="16.5" x14ac:dyDescent="0.3">
      <c r="A120" s="686"/>
      <c r="B120" s="685" t="s">
        <v>1174</v>
      </c>
      <c r="C120" s="733"/>
      <c r="D120" s="680"/>
      <c r="E120" s="680"/>
      <c r="F120" s="716"/>
      <c r="G120" s="680"/>
      <c r="H120" s="680">
        <f>SUM(H111:H118)</f>
        <v>903.99999999999989</v>
      </c>
      <c r="I120" s="680">
        <f>SUM(I111:I118)</f>
        <v>363.05</v>
      </c>
      <c r="J120" s="679">
        <f>SUM(J111:J118)</f>
        <v>436.67</v>
      </c>
    </row>
    <row r="121" spans="1:10" ht="16.5" x14ac:dyDescent="0.3">
      <c r="A121" s="686"/>
      <c r="B121" s="742"/>
      <c r="C121" s="742"/>
      <c r="D121" s="655"/>
      <c r="E121" s="655"/>
      <c r="F121" s="728"/>
      <c r="G121" s="655"/>
      <c r="H121" s="655"/>
      <c r="I121" s="655"/>
      <c r="J121" s="654"/>
    </row>
    <row r="122" spans="1:10" ht="16.5" x14ac:dyDescent="0.3">
      <c r="A122" s="741" t="s">
        <v>1173</v>
      </c>
      <c r="B122" s="742"/>
      <c r="C122" s="658"/>
      <c r="D122" s="724"/>
      <c r="E122" s="724"/>
      <c r="F122" s="725"/>
      <c r="G122" s="724"/>
      <c r="H122" s="724"/>
      <c r="I122" s="724"/>
      <c r="J122" s="693"/>
    </row>
    <row r="123" spans="1:10" ht="16.5" x14ac:dyDescent="0.3">
      <c r="A123" s="659"/>
      <c r="B123" s="1056">
        <v>6.52</v>
      </c>
      <c r="C123" s="663" t="s">
        <v>1172</v>
      </c>
      <c r="D123" s="701" t="s">
        <v>1171</v>
      </c>
      <c r="E123" s="701">
        <v>100</v>
      </c>
      <c r="F123" s="702">
        <v>1</v>
      </c>
      <c r="G123" s="701">
        <f>E123*F123</f>
        <v>100</v>
      </c>
      <c r="H123" s="701">
        <f>G123*1.13</f>
        <v>112.99999999999999</v>
      </c>
      <c r="I123" s="701">
        <f>'[1]Frozen Pivot'!B171</f>
        <v>36.83</v>
      </c>
      <c r="J123" s="700">
        <v>36.83</v>
      </c>
    </row>
    <row r="124" spans="1:10" ht="16.5" x14ac:dyDescent="0.3">
      <c r="A124" s="659"/>
      <c r="B124" s="1055">
        <v>6.53</v>
      </c>
      <c r="C124" s="658" t="s">
        <v>270</v>
      </c>
      <c r="D124" s="724" t="s">
        <v>1170</v>
      </c>
      <c r="E124" s="724">
        <v>60</v>
      </c>
      <c r="F124" s="725">
        <v>1</v>
      </c>
      <c r="G124" s="724">
        <f>E124*F124</f>
        <v>60</v>
      </c>
      <c r="H124" s="724">
        <f>G124*1.13</f>
        <v>67.8</v>
      </c>
      <c r="I124" s="701">
        <f>'[1]Frozen Pivot'!B172</f>
        <v>0</v>
      </c>
      <c r="J124" s="693">
        <v>0</v>
      </c>
    </row>
    <row r="125" spans="1:10" ht="16.5" x14ac:dyDescent="0.3">
      <c r="A125" s="659"/>
      <c r="B125" s="1056">
        <v>6.54</v>
      </c>
      <c r="C125" s="663" t="s">
        <v>1169</v>
      </c>
      <c r="D125" s="701" t="s">
        <v>1168</v>
      </c>
      <c r="E125" s="701">
        <v>100</v>
      </c>
      <c r="F125" s="702">
        <v>1</v>
      </c>
      <c r="G125" s="701">
        <f>E125*F125</f>
        <v>100</v>
      </c>
      <c r="H125" s="701">
        <f>G125*1.13</f>
        <v>112.99999999999999</v>
      </c>
      <c r="I125" s="701">
        <f>'[1]Frozen Pivot'!B173</f>
        <v>0</v>
      </c>
      <c r="J125" s="700">
        <v>0</v>
      </c>
    </row>
    <row r="126" spans="1:10" ht="16.5" x14ac:dyDescent="0.3">
      <c r="A126" s="659"/>
      <c r="B126" s="1055">
        <v>6.55</v>
      </c>
      <c r="C126" s="658" t="s">
        <v>1167</v>
      </c>
      <c r="D126" s="724" t="s">
        <v>1166</v>
      </c>
      <c r="E126" s="724">
        <v>50</v>
      </c>
      <c r="F126" s="725">
        <v>1</v>
      </c>
      <c r="G126" s="724">
        <f>E126*F126</f>
        <v>50</v>
      </c>
      <c r="H126" s="724">
        <f>G126*1.13</f>
        <v>56.499999999999993</v>
      </c>
      <c r="I126" s="701">
        <f>'[1]Frozen Pivot'!B174</f>
        <v>0</v>
      </c>
      <c r="J126" s="693">
        <v>0</v>
      </c>
    </row>
    <row r="127" spans="1:10" ht="16.5" x14ac:dyDescent="0.3">
      <c r="A127" s="659"/>
      <c r="B127" s="1056">
        <v>6.56</v>
      </c>
      <c r="C127" s="663" t="s">
        <v>426</v>
      </c>
      <c r="D127" s="701" t="s">
        <v>1165</v>
      </c>
      <c r="E127" s="701">
        <v>50</v>
      </c>
      <c r="F127" s="702">
        <v>2</v>
      </c>
      <c r="G127" s="701">
        <f>E127*F127</f>
        <v>100</v>
      </c>
      <c r="H127" s="701">
        <f>G127*1.13</f>
        <v>112.99999999999999</v>
      </c>
      <c r="I127" s="701">
        <f>'[1]Frozen Pivot'!B175</f>
        <v>0</v>
      </c>
      <c r="J127" s="700">
        <v>0</v>
      </c>
    </row>
    <row r="128" spans="1:10" ht="16.5" x14ac:dyDescent="0.3">
      <c r="A128" s="659"/>
      <c r="B128" s="1055">
        <v>6.57</v>
      </c>
      <c r="C128" s="658" t="s">
        <v>616</v>
      </c>
      <c r="D128" s="724" t="s">
        <v>1164</v>
      </c>
      <c r="E128" s="724">
        <v>200</v>
      </c>
      <c r="F128" s="725">
        <v>1</v>
      </c>
      <c r="G128" s="724">
        <f>E128*F128</f>
        <v>200</v>
      </c>
      <c r="H128" s="724">
        <f>G128*1.13</f>
        <v>225.99999999999997</v>
      </c>
      <c r="I128" s="701">
        <f>'[1]Frozen Pivot'!B176</f>
        <v>180.69</v>
      </c>
      <c r="J128" s="693">
        <v>180.69</v>
      </c>
    </row>
    <row r="129" spans="1:10" ht="16.5" x14ac:dyDescent="0.3">
      <c r="A129" s="659"/>
      <c r="B129" s="1056">
        <v>6.58</v>
      </c>
      <c r="C129" s="663" t="s">
        <v>260</v>
      </c>
      <c r="D129" s="701" t="s">
        <v>1163</v>
      </c>
      <c r="E129" s="701">
        <v>60</v>
      </c>
      <c r="F129" s="702">
        <v>1</v>
      </c>
      <c r="G129" s="701">
        <f>E129*F129</f>
        <v>60</v>
      </c>
      <c r="H129" s="701">
        <f>G129*1.13</f>
        <v>67.8</v>
      </c>
      <c r="I129" s="701">
        <f>'[1]Frozen Pivot'!B177</f>
        <v>0</v>
      </c>
      <c r="J129" s="700">
        <v>0</v>
      </c>
    </row>
    <row r="130" spans="1:10" ht="16.5" x14ac:dyDescent="0.3">
      <c r="A130" s="659"/>
      <c r="B130" s="1055">
        <v>6.59</v>
      </c>
      <c r="C130" s="658" t="s">
        <v>1162</v>
      </c>
      <c r="D130" s="724" t="s">
        <v>1161</v>
      </c>
      <c r="E130" s="724">
        <v>65</v>
      </c>
      <c r="F130" s="725">
        <v>2</v>
      </c>
      <c r="G130" s="724">
        <f>E130*F130</f>
        <v>130</v>
      </c>
      <c r="H130" s="724">
        <f>G130*1.13</f>
        <v>146.89999999999998</v>
      </c>
      <c r="I130" s="701">
        <f>'[1]Frozen Pivot'!B178</f>
        <v>0</v>
      </c>
      <c r="J130" s="693">
        <v>0</v>
      </c>
    </row>
    <row r="131" spans="1:10" ht="16.5" x14ac:dyDescent="0.3">
      <c r="A131" s="659"/>
      <c r="B131" s="1056"/>
      <c r="C131" s="663"/>
      <c r="D131" s="701"/>
      <c r="E131" s="701"/>
      <c r="F131" s="702"/>
      <c r="G131" s="701"/>
      <c r="H131" s="701"/>
      <c r="I131" s="701"/>
      <c r="J131" s="700"/>
    </row>
    <row r="132" spans="1:10" ht="16.5" x14ac:dyDescent="0.3">
      <c r="A132" s="686"/>
      <c r="B132" s="685" t="s">
        <v>1160</v>
      </c>
      <c r="C132" s="733"/>
      <c r="D132" s="680"/>
      <c r="E132" s="680"/>
      <c r="F132" s="716"/>
      <c r="G132" s="680"/>
      <c r="H132" s="680">
        <f>SUM(H123:H130)</f>
        <v>903.99999999999989</v>
      </c>
      <c r="I132" s="680">
        <f>SUM(I123:I130)</f>
        <v>217.51999999999998</v>
      </c>
      <c r="J132" s="679">
        <f>SUM(J123:J130)</f>
        <v>217.51999999999998</v>
      </c>
    </row>
    <row r="133" spans="1:10" ht="16.5" x14ac:dyDescent="0.3">
      <c r="A133" s="686"/>
      <c r="B133" s="742"/>
      <c r="C133" s="742"/>
      <c r="D133" s="655"/>
      <c r="E133" s="655"/>
      <c r="F133" s="728"/>
      <c r="G133" s="655"/>
      <c r="H133" s="655"/>
      <c r="I133" s="655"/>
      <c r="J133" s="654"/>
    </row>
    <row r="134" spans="1:10" ht="16.5" x14ac:dyDescent="0.3">
      <c r="A134" s="741" t="s">
        <v>1159</v>
      </c>
      <c r="B134" s="742"/>
      <c r="C134" s="658"/>
      <c r="D134" s="724"/>
      <c r="E134" s="724"/>
      <c r="F134" s="725"/>
      <c r="G134" s="724"/>
      <c r="H134" s="724"/>
      <c r="I134" s="724"/>
      <c r="J134" s="693"/>
    </row>
    <row r="135" spans="1:10" ht="16.5" x14ac:dyDescent="0.3">
      <c r="A135" s="659"/>
      <c r="B135" s="1056">
        <v>6.6</v>
      </c>
      <c r="C135" s="663" t="s">
        <v>1158</v>
      </c>
      <c r="D135" s="701" t="s">
        <v>1157</v>
      </c>
      <c r="E135" s="701">
        <v>200</v>
      </c>
      <c r="F135" s="702">
        <v>2</v>
      </c>
      <c r="G135" s="701">
        <f>E135*F135</f>
        <v>400</v>
      </c>
      <c r="H135" s="701">
        <f>G135*1.13</f>
        <v>451.99999999999994</v>
      </c>
      <c r="I135" s="701">
        <f>'[1]Frozen Pivot'!B175</f>
        <v>0</v>
      </c>
      <c r="J135" s="700">
        <v>110.85</v>
      </c>
    </row>
    <row r="136" spans="1:10" ht="16.5" x14ac:dyDescent="0.3">
      <c r="A136" s="659"/>
      <c r="B136" s="1055">
        <v>6.61</v>
      </c>
      <c r="C136" s="658" t="s">
        <v>1156</v>
      </c>
      <c r="D136" s="724" t="s">
        <v>1155</v>
      </c>
      <c r="E136" s="724"/>
      <c r="F136" s="725"/>
      <c r="G136" s="724"/>
      <c r="H136" s="724"/>
      <c r="I136" s="724"/>
      <c r="J136" s="693">
        <v>431.94</v>
      </c>
    </row>
    <row r="137" spans="1:10" ht="16.5" x14ac:dyDescent="0.3">
      <c r="A137" s="659"/>
      <c r="B137" s="1055"/>
      <c r="C137" s="658"/>
      <c r="D137" s="724"/>
      <c r="E137" s="724"/>
      <c r="F137" s="725"/>
      <c r="G137" s="724"/>
      <c r="H137" s="724"/>
      <c r="I137" s="724"/>
      <c r="J137" s="693"/>
    </row>
    <row r="138" spans="1:10" ht="16.5" x14ac:dyDescent="0.3">
      <c r="A138" s="686"/>
      <c r="B138" s="685" t="s">
        <v>1154</v>
      </c>
      <c r="C138" s="733"/>
      <c r="D138" s="680"/>
      <c r="E138" s="680"/>
      <c r="F138" s="716"/>
      <c r="G138" s="680"/>
      <c r="H138" s="680">
        <f>SUM(H135)</f>
        <v>451.99999999999994</v>
      </c>
      <c r="I138" s="680">
        <f>SUM(I127:I132)</f>
        <v>398.21</v>
      </c>
      <c r="J138" s="679">
        <f>SUM(J135:J136)</f>
        <v>542.79</v>
      </c>
    </row>
    <row r="139" spans="1:10" ht="16.5" x14ac:dyDescent="0.3">
      <c r="A139" s="686"/>
      <c r="B139" s="742"/>
      <c r="C139" s="742"/>
      <c r="D139" s="655"/>
      <c r="E139" s="655"/>
      <c r="F139" s="728"/>
      <c r="G139" s="655"/>
      <c r="H139" s="655"/>
      <c r="I139" s="655"/>
      <c r="J139" s="654"/>
    </row>
    <row r="140" spans="1:10" ht="16.5" x14ac:dyDescent="0.3">
      <c r="A140" s="686"/>
      <c r="B140" s="685" t="s">
        <v>1153</v>
      </c>
      <c r="C140" s="733"/>
      <c r="D140" s="680"/>
      <c r="E140" s="680"/>
      <c r="F140" s="716"/>
      <c r="G140" s="680"/>
      <c r="H140" s="680">
        <f>H138+H132+H120</f>
        <v>2259.9999999999995</v>
      </c>
      <c r="I140" s="680">
        <f>I138+I132+I120</f>
        <v>978.78</v>
      </c>
      <c r="J140" s="679">
        <f>J138+J132+J120</f>
        <v>1196.98</v>
      </c>
    </row>
    <row r="141" spans="1:10" ht="16.5" x14ac:dyDescent="0.3">
      <c r="A141" s="686"/>
      <c r="B141" s="742"/>
      <c r="C141" s="742"/>
      <c r="D141" s="655"/>
      <c r="E141" s="655"/>
      <c r="F141" s="728"/>
      <c r="G141" s="655"/>
      <c r="H141" s="655"/>
      <c r="I141" s="655"/>
      <c r="J141" s="654"/>
    </row>
    <row r="142" spans="1:10" ht="16.5" x14ac:dyDescent="0.3">
      <c r="A142" s="686"/>
      <c r="B142" s="658"/>
      <c r="C142" s="742" t="s">
        <v>4</v>
      </c>
      <c r="D142" s="655"/>
      <c r="E142" s="655"/>
      <c r="F142" s="728"/>
      <c r="G142" s="655"/>
      <c r="H142" s="655">
        <f>H140+H107+H62+H41+H35+H29</f>
        <v>10073.949999999999</v>
      </c>
      <c r="I142" s="655">
        <f>I140+I107+I62+I41+I35+I29</f>
        <v>1128.43</v>
      </c>
      <c r="J142" s="654">
        <f>J140+J107+J62+J41</f>
        <v>2990.8</v>
      </c>
    </row>
    <row r="143" spans="1:10" ht="16.5" x14ac:dyDescent="0.3">
      <c r="A143" s="686"/>
      <c r="B143" s="658"/>
      <c r="C143" s="742"/>
      <c r="D143" s="655"/>
      <c r="E143" s="655"/>
      <c r="F143" s="728"/>
      <c r="G143" s="655"/>
      <c r="H143" s="655"/>
      <c r="I143" s="655"/>
      <c r="J143" s="654"/>
    </row>
    <row r="144" spans="1:10" ht="16.5" x14ac:dyDescent="0.3">
      <c r="A144" s="960" t="s">
        <v>3</v>
      </c>
      <c r="B144" s="993"/>
      <c r="C144" s="993"/>
      <c r="D144" s="665"/>
      <c r="E144" s="665"/>
      <c r="F144" s="666"/>
      <c r="G144" s="665"/>
      <c r="H144" s="665"/>
      <c r="I144" s="665"/>
      <c r="J144" s="664"/>
    </row>
    <row r="145" spans="1:10" ht="16.5" x14ac:dyDescent="0.3">
      <c r="A145" s="659"/>
      <c r="B145" s="978" t="s">
        <v>2</v>
      </c>
      <c r="C145" s="978"/>
      <c r="D145" s="660"/>
      <c r="E145" s="660"/>
      <c r="F145" s="660"/>
      <c r="G145" s="660"/>
      <c r="H145" s="660">
        <f>H23</f>
        <v>225.99999999999997</v>
      </c>
      <c r="I145" s="660">
        <f>I23</f>
        <v>0</v>
      </c>
      <c r="J145" s="1054">
        <f>J23</f>
        <v>641.20000000000005</v>
      </c>
    </row>
    <row r="146" spans="1:10" ht="16.5" x14ac:dyDescent="0.3">
      <c r="A146" s="659"/>
      <c r="B146" s="742" t="s">
        <v>1</v>
      </c>
      <c r="C146" s="742"/>
      <c r="D146" s="655"/>
      <c r="E146" s="655"/>
      <c r="F146" s="655"/>
      <c r="G146" s="655"/>
      <c r="H146" s="655">
        <f>H142</f>
        <v>10073.949999999999</v>
      </c>
      <c r="I146" s="655">
        <v>0</v>
      </c>
      <c r="J146" s="654">
        <f>J142</f>
        <v>2990.8</v>
      </c>
    </row>
    <row r="147" spans="1:10" ht="16.5" x14ac:dyDescent="0.3">
      <c r="A147" s="653"/>
      <c r="B147" s="977" t="s">
        <v>0</v>
      </c>
      <c r="C147" s="977"/>
      <c r="D147" s="649"/>
      <c r="E147" s="649"/>
      <c r="F147" s="649"/>
      <c r="G147" s="649"/>
      <c r="H147" s="649">
        <f>H145-H146</f>
        <v>-9847.9499999999989</v>
      </c>
      <c r="I147" s="649">
        <f>I145-I146</f>
        <v>0</v>
      </c>
      <c r="J147" s="976">
        <f>J145-J146</f>
        <v>-2349.6000000000004</v>
      </c>
    </row>
  </sheetData>
  <mergeCells count="4">
    <mergeCell ref="A1:J1"/>
    <mergeCell ref="A4:C4"/>
    <mergeCell ref="A25:C25"/>
    <mergeCell ref="A144:C144"/>
  </mergeCells>
  <pageMargins left="0.75" right="0.75" top="1" bottom="1" header="0.3" footer="0.3"/>
  <pageSetup orientation="portrait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6CBE1-F293-4F13-A617-3E0DAFA6EB4E}">
  <sheetPr codeName="Sheet9"/>
  <dimension ref="A1:L73"/>
  <sheetViews>
    <sheetView topLeftCell="A26" zoomScale="94" zoomScaleNormal="80" zoomScalePageLayoutView="80" workbookViewId="0">
      <selection activeCell="L51" sqref="L51"/>
    </sheetView>
  </sheetViews>
  <sheetFormatPr defaultColWidth="14.28515625" defaultRowHeight="15.75" x14ac:dyDescent="0.25"/>
  <cols>
    <col min="1" max="1" width="33.85546875" style="432" customWidth="1"/>
    <col min="2" max="2" width="27.28515625" style="432" customWidth="1"/>
    <col min="3" max="3" width="34.28515625" style="432" customWidth="1"/>
    <col min="4" max="4" width="48.140625" style="432" customWidth="1"/>
    <col min="5" max="5" width="10.7109375" style="432" customWidth="1"/>
    <col min="6" max="6" width="9.7109375" style="432" customWidth="1"/>
    <col min="7" max="7" width="13.28515625" style="432" customWidth="1"/>
    <col min="8" max="8" width="17.7109375" style="432" customWidth="1"/>
    <col min="9" max="9" width="11" style="432" hidden="1" customWidth="1"/>
    <col min="10" max="10" width="12.28515625" style="432" bestFit="1" customWidth="1"/>
    <col min="11" max="16384" width="14.28515625" style="432"/>
  </cols>
  <sheetData>
    <row r="1" spans="1:10" ht="26.25" x14ac:dyDescent="0.25">
      <c r="A1" s="1053" t="s">
        <v>1152</v>
      </c>
      <c r="B1" s="1053"/>
      <c r="C1" s="1053"/>
      <c r="D1" s="1053"/>
      <c r="E1" s="1053"/>
      <c r="F1" s="1053"/>
      <c r="G1" s="1053"/>
      <c r="H1" s="1053"/>
      <c r="I1" s="1053"/>
      <c r="J1" s="1053"/>
    </row>
    <row r="2" spans="1:10" ht="16.5" x14ac:dyDescent="0.3">
      <c r="A2" s="1052"/>
      <c r="B2" s="1051" t="s">
        <v>213</v>
      </c>
      <c r="C2" s="1050" t="s">
        <v>212</v>
      </c>
      <c r="D2" s="1049" t="s">
        <v>211</v>
      </c>
      <c r="E2" s="1049" t="s">
        <v>210</v>
      </c>
      <c r="F2" s="1048" t="s">
        <v>209</v>
      </c>
      <c r="G2" s="1047" t="s">
        <v>208</v>
      </c>
      <c r="H2" s="1047" t="s">
        <v>207</v>
      </c>
      <c r="I2" s="1047" t="s">
        <v>232</v>
      </c>
      <c r="J2" s="1046" t="s">
        <v>206</v>
      </c>
    </row>
    <row r="3" spans="1:10" ht="16.5" x14ac:dyDescent="0.3">
      <c r="A3" s="966"/>
      <c r="B3" s="994"/>
      <c r="C3" s="994"/>
      <c r="D3" s="1002"/>
      <c r="E3" s="1002"/>
      <c r="F3" s="1011"/>
      <c r="G3" s="1002"/>
      <c r="H3" s="1002"/>
      <c r="I3" s="1002"/>
      <c r="J3" s="1001"/>
    </row>
    <row r="4" spans="1:10" ht="16.5" x14ac:dyDescent="0.3">
      <c r="A4" s="1010" t="s">
        <v>81</v>
      </c>
      <c r="B4" s="1009"/>
      <c r="C4" s="1009"/>
      <c r="D4" s="991"/>
      <c r="E4" s="991"/>
      <c r="F4" s="992"/>
      <c r="G4" s="991"/>
      <c r="H4" s="991"/>
      <c r="I4" s="991"/>
      <c r="J4" s="1008"/>
    </row>
    <row r="5" spans="1:10" ht="16.5" x14ac:dyDescent="0.3">
      <c r="A5" s="1004"/>
      <c r="B5" s="1003"/>
      <c r="C5" s="1003"/>
      <c r="D5" s="1002"/>
      <c r="E5" s="1002"/>
      <c r="F5" s="1011"/>
      <c r="G5" s="1002"/>
      <c r="H5" s="1002"/>
      <c r="I5" s="1002"/>
      <c r="J5" s="1001"/>
    </row>
    <row r="6" spans="1:10" ht="16.5" x14ac:dyDescent="0.3">
      <c r="A6" s="1004" t="s">
        <v>1151</v>
      </c>
      <c r="B6" s="1003"/>
      <c r="C6" s="1003"/>
      <c r="D6" s="1002"/>
      <c r="E6" s="1002"/>
      <c r="F6" s="1011"/>
      <c r="G6" s="1002"/>
      <c r="H6" s="1002"/>
      <c r="I6" s="1002"/>
      <c r="J6" s="1001"/>
    </row>
    <row r="7" spans="1:10" ht="16.5" x14ac:dyDescent="0.3">
      <c r="A7" s="1004"/>
      <c r="B7" s="1035" t="s">
        <v>1150</v>
      </c>
      <c r="C7" s="1030" t="s">
        <v>1125</v>
      </c>
      <c r="D7" s="873" t="s">
        <v>1122</v>
      </c>
      <c r="E7" s="873">
        <v>250</v>
      </c>
      <c r="F7" s="1029">
        <v>16</v>
      </c>
      <c r="G7" s="873">
        <f>E7*F7</f>
        <v>4000</v>
      </c>
      <c r="H7" s="873">
        <f>G7</f>
        <v>4000</v>
      </c>
      <c r="I7" s="873">
        <f>'[1]Frozen Pivot'!B179</f>
        <v>30.85</v>
      </c>
      <c r="J7" s="1028"/>
    </row>
    <row r="8" spans="1:10" ht="16.5" x14ac:dyDescent="0.3">
      <c r="A8" s="1004"/>
      <c r="B8" s="1032" t="s">
        <v>1149</v>
      </c>
      <c r="C8" s="1012" t="s">
        <v>1125</v>
      </c>
      <c r="D8" s="1025" t="s">
        <v>1124</v>
      </c>
      <c r="E8" s="1025">
        <v>60</v>
      </c>
      <c r="F8" s="1026">
        <v>16</v>
      </c>
      <c r="G8" s="872">
        <f>E8*F8</f>
        <v>960</v>
      </c>
      <c r="H8" s="1025">
        <f>G8*1.13</f>
        <v>1084.8</v>
      </c>
      <c r="I8" s="873">
        <f>'[1]Frozen Pivot'!B180</f>
        <v>0</v>
      </c>
      <c r="J8" s="1024"/>
    </row>
    <row r="9" spans="1:10" ht="16.5" x14ac:dyDescent="0.3">
      <c r="A9" s="1004"/>
      <c r="B9" s="1035" t="s">
        <v>1148</v>
      </c>
      <c r="C9" s="1030" t="s">
        <v>1120</v>
      </c>
      <c r="D9" s="873" t="s">
        <v>1122</v>
      </c>
      <c r="E9" s="873">
        <v>250</v>
      </c>
      <c r="F9" s="1029">
        <v>4</v>
      </c>
      <c r="G9" s="873">
        <f>E9*F9</f>
        <v>1000</v>
      </c>
      <c r="H9" s="873">
        <f>G9</f>
        <v>1000</v>
      </c>
      <c r="I9" s="873">
        <f>'[1]Frozen Pivot'!B181</f>
        <v>0</v>
      </c>
      <c r="J9" s="1028"/>
    </row>
    <row r="10" spans="1:10" ht="16.5" x14ac:dyDescent="0.3">
      <c r="A10" s="1004"/>
      <c r="B10" s="1032" t="s">
        <v>1147</v>
      </c>
      <c r="C10" s="1012" t="s">
        <v>1120</v>
      </c>
      <c r="D10" s="1025" t="s">
        <v>1119</v>
      </c>
      <c r="E10" s="1025">
        <v>350</v>
      </c>
      <c r="F10" s="1026">
        <v>4</v>
      </c>
      <c r="G10" s="872">
        <f>E10*F10</f>
        <v>1400</v>
      </c>
      <c r="H10" s="1025">
        <f>G10*1.13</f>
        <v>1581.9999999999998</v>
      </c>
      <c r="I10" s="873">
        <f>'[1]Frozen Pivot'!B182</f>
        <v>0</v>
      </c>
      <c r="J10" s="1024"/>
    </row>
    <row r="11" spans="1:10" ht="16.5" x14ac:dyDescent="0.3">
      <c r="A11" s="1004"/>
      <c r="B11" s="1031"/>
      <c r="C11" s="1031"/>
      <c r="D11" s="1044"/>
      <c r="E11" s="1044"/>
      <c r="F11" s="1045"/>
      <c r="G11" s="1044"/>
      <c r="H11" s="1044"/>
      <c r="I11" s="1044"/>
      <c r="J11" s="1043"/>
    </row>
    <row r="12" spans="1:10" ht="16.5" x14ac:dyDescent="0.3">
      <c r="A12" s="1004"/>
      <c r="B12" s="1018" t="s">
        <v>1146</v>
      </c>
      <c r="C12" s="1017"/>
      <c r="D12" s="1015"/>
      <c r="E12" s="1015"/>
      <c r="F12" s="1016"/>
      <c r="G12" s="1015"/>
      <c r="H12" s="1015">
        <f>SUM(H7:H10)</f>
        <v>7666.8</v>
      </c>
      <c r="I12" s="1015">
        <v>0</v>
      </c>
      <c r="J12" s="1014">
        <v>0</v>
      </c>
    </row>
    <row r="13" spans="1:10" ht="16.5" x14ac:dyDescent="0.3">
      <c r="A13" s="1004"/>
      <c r="B13" s="1003"/>
      <c r="C13" s="1003"/>
      <c r="D13" s="1002"/>
      <c r="E13" s="1002"/>
      <c r="F13" s="1011"/>
      <c r="G13" s="1002"/>
      <c r="H13" s="1002"/>
      <c r="I13" s="1002"/>
      <c r="J13" s="1001"/>
    </row>
    <row r="14" spans="1:10" ht="16.5" x14ac:dyDescent="0.3">
      <c r="A14" s="1004"/>
      <c r="B14" s="1003"/>
      <c r="C14" s="1003"/>
      <c r="D14" s="1002"/>
      <c r="E14" s="1002"/>
      <c r="F14" s="1011"/>
      <c r="G14" s="1002"/>
      <c r="H14" s="1002"/>
      <c r="I14" s="1002"/>
      <c r="J14" s="1001"/>
    </row>
    <row r="15" spans="1:10" ht="16.5" x14ac:dyDescent="0.3">
      <c r="A15" s="1004"/>
      <c r="B15" s="1003"/>
      <c r="C15" s="1003" t="s">
        <v>59</v>
      </c>
      <c r="D15" s="1002"/>
      <c r="E15" s="1002"/>
      <c r="F15" s="1011"/>
      <c r="G15" s="1002"/>
      <c r="H15" s="1002">
        <f>SUM(H12)</f>
        <v>7666.8</v>
      </c>
      <c r="I15" s="1002">
        <v>0</v>
      </c>
      <c r="J15" s="1001">
        <v>0</v>
      </c>
    </row>
    <row r="16" spans="1:10" ht="16.5" x14ac:dyDescent="0.3">
      <c r="A16" s="1004"/>
      <c r="B16" s="1003"/>
      <c r="C16" s="1003"/>
      <c r="D16" s="1002"/>
      <c r="E16" s="1002"/>
      <c r="F16" s="1011"/>
      <c r="G16" s="1002"/>
      <c r="H16" s="1002"/>
      <c r="I16" s="1002"/>
      <c r="J16" s="1001"/>
    </row>
    <row r="17" spans="1:10" ht="16.5" x14ac:dyDescent="0.3">
      <c r="A17" s="1010" t="s">
        <v>58</v>
      </c>
      <c r="B17" s="1009"/>
      <c r="C17" s="1009"/>
      <c r="D17" s="991"/>
      <c r="E17" s="991"/>
      <c r="F17" s="992"/>
      <c r="G17" s="991"/>
      <c r="H17" s="991"/>
      <c r="I17" s="991"/>
      <c r="J17" s="1008"/>
    </row>
    <row r="18" spans="1:10" ht="16.5" x14ac:dyDescent="0.3">
      <c r="A18" s="1004" t="s">
        <v>1145</v>
      </c>
      <c r="B18" s="1003"/>
      <c r="C18" s="1012"/>
      <c r="D18" s="1025"/>
      <c r="E18" s="1025"/>
      <c r="F18" s="1026"/>
      <c r="G18" s="1025"/>
      <c r="H18" s="1025"/>
      <c r="I18" s="1025"/>
      <c r="J18" s="1024"/>
    </row>
    <row r="19" spans="1:10" ht="16.5" x14ac:dyDescent="0.3">
      <c r="A19" s="1013"/>
      <c r="B19" s="1035" t="s">
        <v>1144</v>
      </c>
      <c r="C19" s="1042" t="s">
        <v>1143</v>
      </c>
      <c r="D19" s="873" t="s">
        <v>1142</v>
      </c>
      <c r="E19" s="873">
        <v>450</v>
      </c>
      <c r="F19" s="1029">
        <v>2</v>
      </c>
      <c r="G19" s="873">
        <f>E19*F19</f>
        <v>900</v>
      </c>
      <c r="H19" s="873">
        <f>G19</f>
        <v>900</v>
      </c>
      <c r="I19" s="873">
        <f>'[1]Frozen Pivot'!B183</f>
        <v>0</v>
      </c>
      <c r="J19" s="1028">
        <v>900</v>
      </c>
    </row>
    <row r="20" spans="1:10" ht="16.5" x14ac:dyDescent="0.3">
      <c r="A20" s="1013"/>
      <c r="B20" s="1032" t="s">
        <v>1141</v>
      </c>
      <c r="C20" s="965" t="s">
        <v>1105</v>
      </c>
      <c r="D20" s="1025" t="s">
        <v>1133</v>
      </c>
      <c r="E20" s="1025">
        <v>30</v>
      </c>
      <c r="F20" s="1026">
        <v>1</v>
      </c>
      <c r="G20" s="1025">
        <f>E20*F20</f>
        <v>30</v>
      </c>
      <c r="H20" s="1025">
        <f>G20</f>
        <v>30</v>
      </c>
      <c r="I20" s="873">
        <f>'[1]Frozen Pivot'!B184</f>
        <v>900</v>
      </c>
      <c r="J20" s="1024">
        <v>0</v>
      </c>
    </row>
    <row r="21" spans="1:10" ht="16.5" x14ac:dyDescent="0.3">
      <c r="A21" s="1013"/>
      <c r="B21" s="1023" t="s">
        <v>1140</v>
      </c>
      <c r="C21" s="1041" t="s">
        <v>1115</v>
      </c>
      <c r="D21" s="1020" t="s">
        <v>1133</v>
      </c>
      <c r="E21" s="1020">
        <v>150</v>
      </c>
      <c r="F21" s="1021">
        <v>2</v>
      </c>
      <c r="G21" s="873">
        <f>E21*F21</f>
        <v>300</v>
      </c>
      <c r="H21" s="873">
        <f>G21</f>
        <v>300</v>
      </c>
      <c r="I21" s="873">
        <f>'[1]Frozen Pivot'!B185</f>
        <v>0</v>
      </c>
      <c r="J21" s="1019">
        <v>0</v>
      </c>
    </row>
    <row r="22" spans="1:10" ht="16.5" x14ac:dyDescent="0.3">
      <c r="A22" s="1013"/>
      <c r="B22" s="1032" t="s">
        <v>1139</v>
      </c>
      <c r="C22" s="965" t="s">
        <v>1111</v>
      </c>
      <c r="D22" s="1025" t="s">
        <v>1133</v>
      </c>
      <c r="E22" s="1025">
        <v>80</v>
      </c>
      <c r="F22" s="1026">
        <v>1</v>
      </c>
      <c r="G22" s="1025">
        <f>E22*F22</f>
        <v>80</v>
      </c>
      <c r="H22" s="1025">
        <f>G22</f>
        <v>80</v>
      </c>
      <c r="I22" s="873">
        <f>'[1]Frozen Pivot'!B186</f>
        <v>0</v>
      </c>
      <c r="J22" s="1024">
        <v>200</v>
      </c>
    </row>
    <row r="23" spans="1:10" ht="16.5" x14ac:dyDescent="0.3">
      <c r="A23" s="1013"/>
      <c r="B23" s="1023" t="s">
        <v>1138</v>
      </c>
      <c r="C23" s="1022" t="s">
        <v>1113</v>
      </c>
      <c r="D23" s="1020" t="s">
        <v>1133</v>
      </c>
      <c r="E23" s="1020">
        <v>150</v>
      </c>
      <c r="F23" s="1021">
        <v>2</v>
      </c>
      <c r="G23" s="873">
        <f>E23*F23</f>
        <v>300</v>
      </c>
      <c r="H23" s="873">
        <f>G23</f>
        <v>300</v>
      </c>
      <c r="I23" s="873">
        <f>'[1]Frozen Pivot'!B187</f>
        <v>200</v>
      </c>
      <c r="J23" s="1019">
        <v>360</v>
      </c>
    </row>
    <row r="24" spans="1:10" ht="16.5" x14ac:dyDescent="0.3">
      <c r="A24" s="1013"/>
      <c r="B24" s="1032" t="s">
        <v>1137</v>
      </c>
      <c r="C24" s="965" t="s">
        <v>1109</v>
      </c>
      <c r="D24" s="1025" t="s">
        <v>1133</v>
      </c>
      <c r="E24" s="1025">
        <v>100</v>
      </c>
      <c r="F24" s="1026">
        <v>1</v>
      </c>
      <c r="G24" s="1025">
        <f>E24*F24</f>
        <v>100</v>
      </c>
      <c r="H24" s="1025">
        <f>G24</f>
        <v>100</v>
      </c>
      <c r="I24" s="873">
        <f>'[1]Frozen Pivot'!B188</f>
        <v>360</v>
      </c>
      <c r="J24" s="1024">
        <v>160</v>
      </c>
    </row>
    <row r="25" spans="1:10" ht="16.5" x14ac:dyDescent="0.3">
      <c r="A25" s="1013"/>
      <c r="B25" s="1023" t="s">
        <v>1136</v>
      </c>
      <c r="C25" s="1022" t="s">
        <v>1103</v>
      </c>
      <c r="D25" s="1020" t="s">
        <v>1133</v>
      </c>
      <c r="E25" s="1020">
        <v>100</v>
      </c>
      <c r="F25" s="1021">
        <v>1</v>
      </c>
      <c r="G25" s="873">
        <f>E25*F25</f>
        <v>100</v>
      </c>
      <c r="H25" s="873">
        <f>G25</f>
        <v>100</v>
      </c>
      <c r="I25" s="873">
        <f>'[1]Frozen Pivot'!B189</f>
        <v>160</v>
      </c>
      <c r="J25" s="1019">
        <v>160</v>
      </c>
    </row>
    <row r="26" spans="1:10" ht="16.5" x14ac:dyDescent="0.3">
      <c r="A26" s="1013"/>
      <c r="B26" s="1039" t="s">
        <v>1135</v>
      </c>
      <c r="C26" s="1038" t="s">
        <v>1107</v>
      </c>
      <c r="D26" s="872" t="s">
        <v>1133</v>
      </c>
      <c r="E26" s="872">
        <v>5</v>
      </c>
      <c r="F26" s="1037">
        <v>2</v>
      </c>
      <c r="G26" s="872">
        <v>5</v>
      </c>
      <c r="H26" s="1025">
        <f>G26</f>
        <v>5</v>
      </c>
      <c r="I26" s="873">
        <f>'[1]Frozen Pivot'!B190</f>
        <v>160</v>
      </c>
      <c r="J26" s="1036">
        <v>0</v>
      </c>
    </row>
    <row r="27" spans="1:10" ht="16.5" x14ac:dyDescent="0.3">
      <c r="A27" s="1013"/>
      <c r="B27" s="1035" t="s">
        <v>1134</v>
      </c>
      <c r="C27" s="1034" t="s">
        <v>1101</v>
      </c>
      <c r="D27" s="873" t="s">
        <v>1133</v>
      </c>
      <c r="E27" s="873">
        <v>150</v>
      </c>
      <c r="F27" s="1029">
        <v>2</v>
      </c>
      <c r="G27" s="873">
        <f>E27*F27</f>
        <v>300</v>
      </c>
      <c r="H27" s="873">
        <f>G27</f>
        <v>300</v>
      </c>
      <c r="I27" s="873">
        <f>'[1]Frozen Pivot'!B191</f>
        <v>0</v>
      </c>
      <c r="J27" s="1028">
        <v>0</v>
      </c>
    </row>
    <row r="28" spans="1:10" ht="16.5" x14ac:dyDescent="0.3">
      <c r="A28" s="1013"/>
      <c r="B28" s="1039" t="s">
        <v>1132</v>
      </c>
      <c r="C28" s="1038" t="s">
        <v>1131</v>
      </c>
      <c r="D28" s="872" t="s">
        <v>1130</v>
      </c>
      <c r="E28" s="872">
        <v>20</v>
      </c>
      <c r="F28" s="1037">
        <v>13</v>
      </c>
      <c r="G28" s="872">
        <f>E28*F28</f>
        <v>260</v>
      </c>
      <c r="H28" s="872">
        <f>G28</f>
        <v>260</v>
      </c>
      <c r="I28" s="873">
        <f>'[1]Frozen Pivot'!B192</f>
        <v>0</v>
      </c>
      <c r="J28" s="1036">
        <v>0</v>
      </c>
    </row>
    <row r="29" spans="1:10" ht="16.5" x14ac:dyDescent="0.3">
      <c r="A29" s="1013"/>
      <c r="B29" s="1030"/>
      <c r="C29" s="1040"/>
      <c r="D29" s="873"/>
      <c r="E29" s="873"/>
      <c r="F29" s="1029"/>
      <c r="G29" s="873"/>
      <c r="H29" s="873"/>
      <c r="I29" s="873"/>
      <c r="J29" s="1028"/>
    </row>
    <row r="30" spans="1:10" ht="16.5" x14ac:dyDescent="0.3">
      <c r="A30" s="1013"/>
      <c r="B30" s="1018" t="s">
        <v>1129</v>
      </c>
      <c r="C30" s="1017"/>
      <c r="D30" s="1015"/>
      <c r="E30" s="1015"/>
      <c r="F30" s="1016"/>
      <c r="G30" s="1015"/>
      <c r="H30" s="1015">
        <f>SUM(H19:H28)</f>
        <v>2375</v>
      </c>
      <c r="I30" s="1015">
        <v>0</v>
      </c>
      <c r="J30" s="1014">
        <f>SUM(J19:J28)</f>
        <v>1780</v>
      </c>
    </row>
    <row r="31" spans="1:10" ht="16.5" x14ac:dyDescent="0.3">
      <c r="A31" s="1013"/>
      <c r="B31" s="1003"/>
      <c r="C31" s="1003"/>
      <c r="D31" s="1002"/>
      <c r="E31" s="1002"/>
      <c r="F31" s="1011"/>
      <c r="G31" s="1002"/>
      <c r="H31" s="1002"/>
      <c r="I31" s="1002"/>
      <c r="J31" s="1001"/>
    </row>
    <row r="32" spans="1:10" ht="16.5" x14ac:dyDescent="0.3">
      <c r="A32" s="1004" t="s">
        <v>1128</v>
      </c>
      <c r="B32" s="1003"/>
      <c r="C32" s="1003"/>
      <c r="D32" s="1002"/>
      <c r="E32" s="1002"/>
      <c r="F32" s="1011"/>
      <c r="G32" s="1002"/>
      <c r="H32" s="1002"/>
      <c r="I32" s="1002"/>
      <c r="J32" s="1001"/>
    </row>
    <row r="33" spans="1:10" ht="16.5" x14ac:dyDescent="0.3">
      <c r="A33" s="1013"/>
      <c r="B33" s="1035" t="s">
        <v>1127</v>
      </c>
      <c r="C33" s="1030" t="s">
        <v>1125</v>
      </c>
      <c r="D33" s="873" t="s">
        <v>1122</v>
      </c>
      <c r="E33" s="873">
        <v>250</v>
      </c>
      <c r="F33" s="1029">
        <v>16</v>
      </c>
      <c r="G33" s="873">
        <f>E33*F33</f>
        <v>4000</v>
      </c>
      <c r="H33" s="873">
        <f>G33*1</f>
        <v>4000</v>
      </c>
      <c r="I33" s="873">
        <f>'[1]Frozen Pivot'!B193</f>
        <v>0</v>
      </c>
      <c r="J33" s="1028">
        <v>0</v>
      </c>
    </row>
    <row r="34" spans="1:10" ht="16.5" x14ac:dyDescent="0.3">
      <c r="A34" s="1013"/>
      <c r="B34" s="1032" t="s">
        <v>1126</v>
      </c>
      <c r="C34" s="1012" t="s">
        <v>1125</v>
      </c>
      <c r="D34" s="1025" t="s">
        <v>1124</v>
      </c>
      <c r="E34" s="1025">
        <v>60</v>
      </c>
      <c r="F34" s="1026">
        <v>16</v>
      </c>
      <c r="G34" s="1025">
        <f>E34*F34</f>
        <v>960</v>
      </c>
      <c r="H34" s="1025">
        <f>G34*1.13</f>
        <v>1084.8</v>
      </c>
      <c r="I34" s="873">
        <f>'[1]Frozen Pivot'!B194</f>
        <v>0</v>
      </c>
      <c r="J34" s="1024">
        <v>55.88</v>
      </c>
    </row>
    <row r="35" spans="1:10" ht="16.5" x14ac:dyDescent="0.3">
      <c r="A35" s="1013"/>
      <c r="B35" s="1035" t="s">
        <v>1123</v>
      </c>
      <c r="C35" s="1030" t="s">
        <v>1120</v>
      </c>
      <c r="D35" s="873" t="s">
        <v>1122</v>
      </c>
      <c r="E35" s="873">
        <v>250</v>
      </c>
      <c r="F35" s="1029">
        <v>4</v>
      </c>
      <c r="G35" s="873">
        <f>E35*F35</f>
        <v>1000</v>
      </c>
      <c r="H35" s="873">
        <f>G35*1</f>
        <v>1000</v>
      </c>
      <c r="I35" s="873">
        <f>'[1]Frozen Pivot'!B195</f>
        <v>55.88</v>
      </c>
      <c r="J35" s="1028">
        <v>0</v>
      </c>
    </row>
    <row r="36" spans="1:10" ht="16.5" x14ac:dyDescent="0.3">
      <c r="A36" s="1013"/>
      <c r="B36" s="1032" t="s">
        <v>1121</v>
      </c>
      <c r="C36" s="1012" t="s">
        <v>1120</v>
      </c>
      <c r="D36" s="1025" t="s">
        <v>1119</v>
      </c>
      <c r="E36" s="1025">
        <v>350</v>
      </c>
      <c r="F36" s="1026">
        <v>4</v>
      </c>
      <c r="G36" s="1025">
        <f>E36*F36</f>
        <v>1400</v>
      </c>
      <c r="H36" s="1025">
        <f>G36*1.13</f>
        <v>1581.9999999999998</v>
      </c>
      <c r="I36" s="873">
        <f>'[1]Frozen Pivot'!B196</f>
        <v>0</v>
      </c>
      <c r="J36" s="1024">
        <v>0</v>
      </c>
    </row>
    <row r="37" spans="1:10" ht="16.5" x14ac:dyDescent="0.3">
      <c r="A37" s="1013"/>
      <c r="B37" s="1030"/>
      <c r="C37" s="1030"/>
      <c r="D37" s="873"/>
      <c r="E37" s="873"/>
      <c r="F37" s="1029"/>
      <c r="G37" s="873"/>
      <c r="H37" s="873"/>
      <c r="I37" s="873"/>
      <c r="J37" s="1028"/>
    </row>
    <row r="38" spans="1:10" ht="16.5" x14ac:dyDescent="0.3">
      <c r="A38" s="1013"/>
      <c r="B38" s="1018" t="s">
        <v>1118</v>
      </c>
      <c r="C38" s="1017"/>
      <c r="D38" s="1015"/>
      <c r="E38" s="1015"/>
      <c r="F38" s="1016"/>
      <c r="G38" s="1015"/>
      <c r="H38" s="1015">
        <f>SUM(H33:H36)</f>
        <v>7666.8</v>
      </c>
      <c r="I38" s="1015">
        <v>0</v>
      </c>
      <c r="J38" s="1014">
        <f>SUM(J33:J36)</f>
        <v>55.88</v>
      </c>
    </row>
    <row r="39" spans="1:10" ht="16.5" x14ac:dyDescent="0.3">
      <c r="A39" s="1013"/>
      <c r="B39" s="1012"/>
      <c r="C39" s="1012"/>
      <c r="D39" s="1025"/>
      <c r="E39" s="1025"/>
      <c r="F39" s="1026"/>
      <c r="G39" s="1025"/>
      <c r="H39" s="1025"/>
      <c r="I39" s="1025"/>
      <c r="J39" s="1024"/>
    </row>
    <row r="40" spans="1:10" ht="16.5" x14ac:dyDescent="0.3">
      <c r="A40" s="1004" t="s">
        <v>1117</v>
      </c>
      <c r="B40" s="1003"/>
      <c r="C40" s="1003"/>
      <c r="D40" s="1025"/>
      <c r="E40" s="1025"/>
      <c r="F40" s="1026"/>
      <c r="G40" s="1025"/>
      <c r="H40" s="1025"/>
      <c r="I40" s="1025"/>
      <c r="J40" s="1024"/>
    </row>
    <row r="41" spans="1:10" ht="16.5" x14ac:dyDescent="0.3">
      <c r="A41" s="1013"/>
      <c r="B41" s="1023" t="s">
        <v>1116</v>
      </c>
      <c r="C41" s="1022" t="s">
        <v>1099</v>
      </c>
      <c r="D41" s="1020" t="s">
        <v>1115</v>
      </c>
      <c r="E41" s="1020">
        <v>75</v>
      </c>
      <c r="F41" s="1021">
        <v>2</v>
      </c>
      <c r="G41" s="873">
        <f>E41*F41</f>
        <v>150</v>
      </c>
      <c r="H41" s="873">
        <f>G41</f>
        <v>150</v>
      </c>
      <c r="I41" s="873">
        <f>'[1]Frozen Pivot'!B197</f>
        <v>0</v>
      </c>
      <c r="J41" s="1019">
        <v>0</v>
      </c>
    </row>
    <row r="42" spans="1:10" ht="16.5" x14ac:dyDescent="0.3">
      <c r="A42" s="1013"/>
      <c r="B42" s="1032" t="s">
        <v>1114</v>
      </c>
      <c r="C42" s="965" t="s">
        <v>1099</v>
      </c>
      <c r="D42" s="1025" t="s">
        <v>1113</v>
      </c>
      <c r="E42" s="1025">
        <v>75</v>
      </c>
      <c r="F42" s="1026">
        <v>2</v>
      </c>
      <c r="G42" s="1025">
        <f>E42*F42</f>
        <v>150</v>
      </c>
      <c r="H42" s="1025">
        <f>G42</f>
        <v>150</v>
      </c>
      <c r="I42" s="873">
        <f>'[1]Frozen Pivot'!B198</f>
        <v>0</v>
      </c>
      <c r="J42" s="1024">
        <v>240</v>
      </c>
    </row>
    <row r="43" spans="1:10" ht="16.5" x14ac:dyDescent="0.3">
      <c r="A43" s="1013"/>
      <c r="B43" s="1035" t="s">
        <v>1112</v>
      </c>
      <c r="C43" s="1034" t="s">
        <v>1099</v>
      </c>
      <c r="D43" s="873" t="s">
        <v>1111</v>
      </c>
      <c r="E43" s="873">
        <v>75</v>
      </c>
      <c r="F43" s="1029">
        <v>2</v>
      </c>
      <c r="G43" s="873">
        <f>E43*F43</f>
        <v>150</v>
      </c>
      <c r="H43" s="873">
        <f>G43</f>
        <v>150</v>
      </c>
      <c r="I43" s="873">
        <f>'[1]Frozen Pivot'!B199</f>
        <v>240</v>
      </c>
      <c r="J43" s="1028">
        <v>50</v>
      </c>
    </row>
    <row r="44" spans="1:10" ht="16.5" x14ac:dyDescent="0.3">
      <c r="A44" s="1013"/>
      <c r="B44" s="1032" t="s">
        <v>1110</v>
      </c>
      <c r="C44" s="965" t="s">
        <v>1099</v>
      </c>
      <c r="D44" s="1025" t="s">
        <v>1109</v>
      </c>
      <c r="E44" s="1025">
        <v>75</v>
      </c>
      <c r="F44" s="1026">
        <v>2</v>
      </c>
      <c r="G44" s="1025">
        <f>E44*F44</f>
        <v>150</v>
      </c>
      <c r="H44" s="1025">
        <f>G44</f>
        <v>150</v>
      </c>
      <c r="I44" s="873">
        <f>'[1]Frozen Pivot'!B200</f>
        <v>50</v>
      </c>
      <c r="J44" s="1024">
        <v>80</v>
      </c>
    </row>
    <row r="45" spans="1:10" ht="16.5" x14ac:dyDescent="0.3">
      <c r="A45" s="1013"/>
      <c r="B45" s="1023" t="s">
        <v>1108</v>
      </c>
      <c r="C45" s="1022" t="s">
        <v>1099</v>
      </c>
      <c r="D45" s="1020" t="s">
        <v>1107</v>
      </c>
      <c r="E45" s="1020">
        <v>5</v>
      </c>
      <c r="F45" s="1021">
        <v>4</v>
      </c>
      <c r="G45" s="873">
        <f>E45*F45</f>
        <v>20</v>
      </c>
      <c r="H45" s="873">
        <f>G45</f>
        <v>20</v>
      </c>
      <c r="I45" s="873">
        <f>'[1]Frozen Pivot'!B201</f>
        <v>80</v>
      </c>
      <c r="J45" s="1019">
        <v>0</v>
      </c>
    </row>
    <row r="46" spans="1:10" ht="16.5" x14ac:dyDescent="0.3">
      <c r="A46" s="1013"/>
      <c r="B46" s="1032" t="s">
        <v>1106</v>
      </c>
      <c r="C46" s="965" t="s">
        <v>1099</v>
      </c>
      <c r="D46" s="1025" t="s">
        <v>1105</v>
      </c>
      <c r="E46" s="1025">
        <v>15</v>
      </c>
      <c r="F46" s="1026">
        <v>4</v>
      </c>
      <c r="G46" s="1025">
        <f>E46*F46</f>
        <v>60</v>
      </c>
      <c r="H46" s="1025">
        <f>G46</f>
        <v>60</v>
      </c>
      <c r="I46" s="873">
        <f>'[1]Frozen Pivot'!B202</f>
        <v>0</v>
      </c>
      <c r="J46" s="1024">
        <v>0</v>
      </c>
    </row>
    <row r="47" spans="1:10" ht="16.5" x14ac:dyDescent="0.3">
      <c r="A47" s="1013"/>
      <c r="B47" s="1023" t="s">
        <v>1104</v>
      </c>
      <c r="C47" s="1022" t="s">
        <v>1099</v>
      </c>
      <c r="D47" s="1020" t="s">
        <v>1103</v>
      </c>
      <c r="E47" s="1020">
        <v>75</v>
      </c>
      <c r="F47" s="1021">
        <v>2</v>
      </c>
      <c r="G47" s="873">
        <f>E47*F47</f>
        <v>150</v>
      </c>
      <c r="H47" s="873">
        <f>G47</f>
        <v>150</v>
      </c>
      <c r="I47" s="873">
        <f>'[1]Frozen Pivot'!B203</f>
        <v>0</v>
      </c>
      <c r="J47" s="1019">
        <v>0</v>
      </c>
    </row>
    <row r="48" spans="1:10" ht="16.5" x14ac:dyDescent="0.3">
      <c r="A48" s="1013"/>
      <c r="B48" s="1039" t="s">
        <v>1102</v>
      </c>
      <c r="C48" s="1038" t="s">
        <v>1099</v>
      </c>
      <c r="D48" s="872" t="s">
        <v>1101</v>
      </c>
      <c r="E48" s="872">
        <v>75</v>
      </c>
      <c r="F48" s="1037">
        <v>2</v>
      </c>
      <c r="G48" s="872">
        <f>E48*F48</f>
        <v>150</v>
      </c>
      <c r="H48" s="872">
        <f>G48</f>
        <v>150</v>
      </c>
      <c r="I48" s="873">
        <f>'[1]Frozen Pivot'!B204</f>
        <v>0</v>
      </c>
      <c r="J48" s="1036">
        <v>0</v>
      </c>
    </row>
    <row r="49" spans="1:12" ht="16.5" x14ac:dyDescent="0.3">
      <c r="A49" s="1013"/>
      <c r="B49" s="1035" t="s">
        <v>1100</v>
      </c>
      <c r="C49" s="1034" t="s">
        <v>1099</v>
      </c>
      <c r="D49" s="873" t="s">
        <v>1098</v>
      </c>
      <c r="E49" s="873">
        <v>75</v>
      </c>
      <c r="F49" s="1029">
        <v>10</v>
      </c>
      <c r="G49" s="873">
        <f>E49*F49</f>
        <v>750</v>
      </c>
      <c r="H49" s="873">
        <f>G49</f>
        <v>750</v>
      </c>
      <c r="I49" s="873">
        <f>'[1]Frozen Pivot'!B205</f>
        <v>0</v>
      </c>
      <c r="J49" s="1028">
        <v>0</v>
      </c>
    </row>
    <row r="50" spans="1:12" ht="17.25" x14ac:dyDescent="0.3">
      <c r="A50" s="1013"/>
      <c r="B50" s="1012"/>
      <c r="C50" s="1033"/>
      <c r="D50" s="1033"/>
      <c r="E50" s="1033"/>
      <c r="F50" s="1033"/>
      <c r="G50" s="1025"/>
      <c r="H50" s="1025"/>
      <c r="I50" s="1025"/>
      <c r="J50" s="1024"/>
    </row>
    <row r="51" spans="1:12" ht="16.5" x14ac:dyDescent="0.3">
      <c r="A51" s="1013"/>
      <c r="B51" s="1018" t="s">
        <v>1097</v>
      </c>
      <c r="C51" s="1017"/>
      <c r="D51" s="1015"/>
      <c r="E51" s="1015"/>
      <c r="F51" s="1016"/>
      <c r="G51" s="1015"/>
      <c r="H51" s="1015">
        <f>SUM(H41:H49)</f>
        <v>1730</v>
      </c>
      <c r="I51" s="1015">
        <v>0</v>
      </c>
      <c r="J51" s="1014">
        <f>SUM(J41:J49)</f>
        <v>370</v>
      </c>
      <c r="L51" s="793">
        <f>H51-J51</f>
        <v>1360</v>
      </c>
    </row>
    <row r="52" spans="1:12" ht="16.5" x14ac:dyDescent="0.3">
      <c r="A52" s="1013"/>
      <c r="B52" s="1012"/>
      <c r="C52" s="1012"/>
      <c r="D52" s="1025"/>
      <c r="E52" s="1025"/>
      <c r="F52" s="1026"/>
      <c r="G52" s="1025"/>
      <c r="H52" s="1025"/>
      <c r="I52" s="1025"/>
      <c r="J52" s="1024"/>
    </row>
    <row r="53" spans="1:12" ht="16.5" x14ac:dyDescent="0.3">
      <c r="A53" s="1004" t="s">
        <v>1096</v>
      </c>
      <c r="B53" s="1003"/>
      <c r="C53" s="1003"/>
      <c r="D53" s="1025"/>
      <c r="E53" s="1025"/>
      <c r="F53" s="1026"/>
      <c r="G53" s="1025"/>
      <c r="H53" s="1025"/>
      <c r="I53" s="1025"/>
      <c r="J53" s="1024"/>
    </row>
    <row r="54" spans="1:12" ht="16.5" x14ac:dyDescent="0.3">
      <c r="A54" s="1004"/>
      <c r="B54" s="1023" t="s">
        <v>1095</v>
      </c>
      <c r="C54" s="1022" t="s">
        <v>1094</v>
      </c>
      <c r="D54" s="1020" t="s">
        <v>1093</v>
      </c>
      <c r="E54" s="1020">
        <v>12</v>
      </c>
      <c r="F54" s="1021">
        <v>8</v>
      </c>
      <c r="G54" s="873">
        <f>E54*F54</f>
        <v>96</v>
      </c>
      <c r="H54" s="1020">
        <f>G54*1.13</f>
        <v>108.47999999999999</v>
      </c>
      <c r="I54" s="1020">
        <f>'[1]Frozen Pivot'!B206</f>
        <v>0</v>
      </c>
      <c r="J54" s="1019">
        <v>0</v>
      </c>
    </row>
    <row r="55" spans="1:12" ht="16.5" x14ac:dyDescent="0.3">
      <c r="A55" s="1004"/>
      <c r="B55" s="1012"/>
      <c r="C55" s="965"/>
      <c r="D55" s="1025"/>
      <c r="E55" s="1025"/>
      <c r="F55" s="1026"/>
      <c r="G55" s="1025"/>
      <c r="H55" s="1025"/>
      <c r="I55" s="1025"/>
      <c r="J55" s="1024"/>
    </row>
    <row r="56" spans="1:12" ht="16.5" x14ac:dyDescent="0.3">
      <c r="A56" s="1013"/>
      <c r="B56" s="1018" t="s">
        <v>1092</v>
      </c>
      <c r="C56" s="1017"/>
      <c r="D56" s="1015"/>
      <c r="E56" s="1015"/>
      <c r="F56" s="1016"/>
      <c r="G56" s="1015"/>
      <c r="H56" s="1015">
        <f>SUM(H54:H55)</f>
        <v>108.47999999999999</v>
      </c>
      <c r="I56" s="1015">
        <v>0</v>
      </c>
      <c r="J56" s="1014">
        <v>0</v>
      </c>
    </row>
    <row r="57" spans="1:12" ht="16.5" x14ac:dyDescent="0.3">
      <c r="A57" s="1013"/>
      <c r="B57" s="1012"/>
      <c r="C57" s="1003"/>
      <c r="D57" s="1002"/>
      <c r="E57" s="1002"/>
      <c r="F57" s="1011"/>
      <c r="G57" s="1002"/>
      <c r="H57" s="1002"/>
      <c r="I57" s="1002"/>
      <c r="J57" s="1001"/>
    </row>
    <row r="58" spans="1:12" ht="16.5" x14ac:dyDescent="0.3">
      <c r="A58" s="1004" t="s">
        <v>1091</v>
      </c>
      <c r="B58" s="1027"/>
      <c r="C58" s="1012"/>
      <c r="D58" s="1025"/>
      <c r="E58" s="1025"/>
      <c r="F58" s="1026"/>
      <c r="G58" s="1025"/>
      <c r="H58" s="1025"/>
      <c r="I58" s="1025"/>
      <c r="J58" s="1024"/>
    </row>
    <row r="59" spans="1:12" ht="16.5" x14ac:dyDescent="0.3">
      <c r="A59" s="1004"/>
      <c r="B59" s="1023" t="s">
        <v>1090</v>
      </c>
      <c r="C59" s="1022" t="s">
        <v>1089</v>
      </c>
      <c r="D59" s="1020" t="s">
        <v>1088</v>
      </c>
      <c r="E59" s="1020">
        <v>50</v>
      </c>
      <c r="F59" s="1021">
        <v>4</v>
      </c>
      <c r="G59" s="873">
        <f>E59*F59</f>
        <v>200</v>
      </c>
      <c r="H59" s="1020">
        <f>G59</f>
        <v>200</v>
      </c>
      <c r="I59" s="1020">
        <f>'[1]Frozen Pivot'!B207</f>
        <v>0</v>
      </c>
      <c r="J59" s="1019">
        <v>80</v>
      </c>
    </row>
    <row r="60" spans="1:12" ht="16.5" x14ac:dyDescent="0.3">
      <c r="A60" s="1004"/>
      <c r="B60" s="1032" t="s">
        <v>1087</v>
      </c>
      <c r="C60" s="965" t="s">
        <v>1086</v>
      </c>
      <c r="D60" s="1025" t="s">
        <v>1085</v>
      </c>
      <c r="E60" s="1025">
        <v>50</v>
      </c>
      <c r="F60" s="1026">
        <v>2</v>
      </c>
      <c r="G60" s="1025">
        <f>E60*F60</f>
        <v>100</v>
      </c>
      <c r="H60" s="1025">
        <v>113</v>
      </c>
      <c r="I60" s="1025">
        <f>'[1]Frozen Pivot'!B208</f>
        <v>80</v>
      </c>
      <c r="J60" s="1024">
        <v>0</v>
      </c>
    </row>
    <row r="61" spans="1:12" ht="16.5" x14ac:dyDescent="0.3">
      <c r="A61" s="1004"/>
      <c r="B61" s="1031"/>
      <c r="C61" s="1030"/>
      <c r="D61" s="873"/>
      <c r="E61" s="873"/>
      <c r="F61" s="1029"/>
      <c r="G61" s="873"/>
      <c r="H61" s="873"/>
      <c r="I61" s="873"/>
      <c r="J61" s="1028"/>
    </row>
    <row r="62" spans="1:12" ht="16.5" x14ac:dyDescent="0.3">
      <c r="A62" s="1013"/>
      <c r="B62" s="1018" t="s">
        <v>1084</v>
      </c>
      <c r="C62" s="1017"/>
      <c r="D62" s="1015"/>
      <c r="E62" s="1015"/>
      <c r="F62" s="1016"/>
      <c r="G62" s="1015"/>
      <c r="H62" s="1015">
        <f>SUM(H59:H60)</f>
        <v>313</v>
      </c>
      <c r="I62" s="1015">
        <v>0</v>
      </c>
      <c r="J62" s="1014">
        <f>SUM(J59:J60)</f>
        <v>80</v>
      </c>
    </row>
    <row r="63" spans="1:12" ht="16.5" x14ac:dyDescent="0.3">
      <c r="A63" s="1013"/>
      <c r="B63" s="1003"/>
      <c r="C63" s="1003"/>
      <c r="D63" s="1002"/>
      <c r="E63" s="1002"/>
      <c r="F63" s="1011"/>
      <c r="G63" s="1002"/>
      <c r="H63" s="1002"/>
      <c r="I63" s="1002"/>
      <c r="J63" s="1001"/>
    </row>
    <row r="64" spans="1:12" ht="16.5" x14ac:dyDescent="0.3">
      <c r="A64" s="1004" t="s">
        <v>311</v>
      </c>
      <c r="B64" s="1027"/>
      <c r="C64" s="1012"/>
      <c r="D64" s="1025"/>
      <c r="E64" s="1025"/>
      <c r="F64" s="1026"/>
      <c r="G64" s="1025"/>
      <c r="H64" s="1025"/>
      <c r="I64" s="1025"/>
      <c r="J64" s="1024"/>
    </row>
    <row r="65" spans="1:10" ht="16.5" x14ac:dyDescent="0.3">
      <c r="A65" s="1004"/>
      <c r="B65" s="1023" t="s">
        <v>1083</v>
      </c>
      <c r="C65" s="1022" t="s">
        <v>1082</v>
      </c>
      <c r="D65" s="1020" t="s">
        <v>1081</v>
      </c>
      <c r="E65" s="1020"/>
      <c r="F65" s="1021"/>
      <c r="G65" s="873"/>
      <c r="H65" s="1020">
        <f>G65</f>
        <v>0</v>
      </c>
      <c r="I65" s="1020">
        <v>113.71</v>
      </c>
      <c r="J65" s="1019">
        <f>I65</f>
        <v>113.71</v>
      </c>
    </row>
    <row r="66" spans="1:10" ht="16.5" x14ac:dyDescent="0.3">
      <c r="A66" s="1013"/>
      <c r="B66" s="1018" t="s">
        <v>371</v>
      </c>
      <c r="C66" s="1017"/>
      <c r="D66" s="1015"/>
      <c r="E66" s="1015"/>
      <c r="F66" s="1016"/>
      <c r="G66" s="1015"/>
      <c r="H66" s="1015">
        <f>SUM(H63:H64)</f>
        <v>0</v>
      </c>
      <c r="I66" s="1015">
        <v>0</v>
      </c>
      <c r="J66" s="1014">
        <f>J65</f>
        <v>113.71</v>
      </c>
    </row>
    <row r="67" spans="1:10" ht="16.5" x14ac:dyDescent="0.3">
      <c r="A67" s="1013"/>
      <c r="B67" s="1003"/>
      <c r="C67" s="1003"/>
      <c r="D67" s="1002"/>
      <c r="E67" s="1002"/>
      <c r="F67" s="1011"/>
      <c r="G67" s="1002"/>
      <c r="H67" s="1002"/>
      <c r="I67" s="1002"/>
      <c r="J67" s="1001"/>
    </row>
    <row r="68" spans="1:10" ht="16.5" x14ac:dyDescent="0.3">
      <c r="A68" s="1013"/>
      <c r="B68" s="1012"/>
      <c r="C68" s="1003" t="s">
        <v>4</v>
      </c>
      <c r="D68" s="1002"/>
      <c r="E68" s="1002"/>
      <c r="F68" s="1011"/>
      <c r="G68" s="1002"/>
      <c r="H68" s="1002">
        <f>SUM(H30,H51,H56,H38,H62,)</f>
        <v>12193.279999999999</v>
      </c>
      <c r="I68" s="1002">
        <v>0</v>
      </c>
      <c r="J68" s="1001">
        <f>J62+J56+J51+J38+J30+J66</f>
        <v>2399.59</v>
      </c>
    </row>
    <row r="69" spans="1:10" ht="16.5" x14ac:dyDescent="0.3">
      <c r="A69" s="1013"/>
      <c r="B69" s="1012"/>
      <c r="C69" s="1003"/>
      <c r="D69" s="1002"/>
      <c r="E69" s="1002"/>
      <c r="F69" s="1011"/>
      <c r="G69" s="1002"/>
      <c r="H69" s="1002"/>
      <c r="I69" s="1002"/>
      <c r="J69" s="1001"/>
    </row>
    <row r="70" spans="1:10" ht="16.5" x14ac:dyDescent="0.3">
      <c r="A70" s="1010" t="s">
        <v>3</v>
      </c>
      <c r="B70" s="1009"/>
      <c r="C70" s="1009"/>
      <c r="D70" s="991"/>
      <c r="E70" s="991"/>
      <c r="F70" s="992"/>
      <c r="G70" s="991"/>
      <c r="H70" s="991"/>
      <c r="I70" s="991"/>
      <c r="J70" s="1008"/>
    </row>
    <row r="71" spans="1:10" ht="16.5" x14ac:dyDescent="0.3">
      <c r="A71" s="1004"/>
      <c r="B71" s="1007" t="s">
        <v>2</v>
      </c>
      <c r="C71" s="1007"/>
      <c r="D71" s="1006"/>
      <c r="E71" s="1006"/>
      <c r="F71" s="1006"/>
      <c r="G71" s="1006"/>
      <c r="H71" s="1006">
        <f>H15</f>
        <v>7666.8</v>
      </c>
      <c r="I71" s="1006">
        <v>0</v>
      </c>
      <c r="J71" s="1005">
        <v>0</v>
      </c>
    </row>
    <row r="72" spans="1:10" ht="16.5" x14ac:dyDescent="0.3">
      <c r="A72" s="1004"/>
      <c r="B72" s="1003" t="s">
        <v>1</v>
      </c>
      <c r="C72" s="1003"/>
      <c r="D72" s="1002"/>
      <c r="E72" s="1002"/>
      <c r="F72" s="1002"/>
      <c r="G72" s="1002"/>
      <c r="H72" s="1002">
        <f>H68</f>
        <v>12193.279999999999</v>
      </c>
      <c r="I72" s="1002">
        <v>0</v>
      </c>
      <c r="J72" s="1001">
        <f>J68</f>
        <v>2399.59</v>
      </c>
    </row>
    <row r="73" spans="1:10" ht="16.5" x14ac:dyDescent="0.3">
      <c r="A73" s="1000"/>
      <c r="B73" s="999" t="s">
        <v>0</v>
      </c>
      <c r="C73" s="999"/>
      <c r="D73" s="998"/>
      <c r="E73" s="998"/>
      <c r="F73" s="998"/>
      <c r="G73" s="998"/>
      <c r="H73" s="998">
        <f>H71-H72</f>
        <v>-4526.4799999999987</v>
      </c>
      <c r="I73" s="998">
        <v>0</v>
      </c>
      <c r="J73" s="997">
        <f>J71-J72</f>
        <v>-2399.59</v>
      </c>
    </row>
  </sheetData>
  <mergeCells count="4">
    <mergeCell ref="A1:J1"/>
    <mergeCell ref="A4:C4"/>
    <mergeCell ref="A17:C17"/>
    <mergeCell ref="A70:C70"/>
  </mergeCells>
  <pageMargins left="0.75" right="0.75" top="1" bottom="1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Summary</vt:lpstr>
      <vt:lpstr>General</vt:lpstr>
      <vt:lpstr>President</vt:lpstr>
      <vt:lpstr>Vice President Operations</vt:lpstr>
      <vt:lpstr>Vice President Student Affairs</vt:lpstr>
      <vt:lpstr>Academics</vt:lpstr>
      <vt:lpstr>Comm </vt:lpstr>
      <vt:lpstr>Community Outreach</vt:lpstr>
      <vt:lpstr>Conferences</vt:lpstr>
      <vt:lpstr>Design</vt:lpstr>
      <vt:lpstr>Events</vt:lpstr>
      <vt:lpstr>Finance</vt:lpstr>
      <vt:lpstr>First Year</vt:lpstr>
      <vt:lpstr>HR</vt:lpstr>
      <vt:lpstr>IA</vt:lpstr>
      <vt:lpstr>IT</vt:lpstr>
      <vt:lpstr>PD</vt:lpstr>
      <vt:lpstr>Services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Zarichny</dc:creator>
  <cp:lastModifiedBy>Jillian Reid</cp:lastModifiedBy>
  <dcterms:created xsi:type="dcterms:W3CDTF">2015-06-05T18:17:20Z</dcterms:created>
  <dcterms:modified xsi:type="dcterms:W3CDTF">2021-03-16T14:54:39Z</dcterms:modified>
</cp:coreProperties>
</file>