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22"/>
  <workbookPr defaultThemeVersion="124226"/>
  <xr:revisionPtr revIDLastSave="0" documentId="8_{84B13A90-1D81-404E-9863-2BA01A490A01}" xr6:coauthVersionLast="46" xr6:coauthVersionMax="46" xr10:uidLastSave="{00000000-0000-0000-0000-000000000000}"/>
  <bookViews>
    <workbookView xWindow="12000" yWindow="105" windowWidth="8310" windowHeight="7755" xr2:uid="{00000000-000D-0000-FFFF-FFFF00000000}"/>
  </bookViews>
  <sheets>
    <sheet name="SUMMARY" sheetId="18" r:id="rId1"/>
    <sheet name="REVENUE" sheetId="16" r:id="rId2"/>
    <sheet name="President" sheetId="1" r:id="rId3"/>
    <sheet name="Academics" sheetId="2" r:id="rId4"/>
    <sheet name="Operations" sheetId="3" r:id="rId5"/>
    <sheet name="Society Affairs" sheetId="4" r:id="rId6"/>
    <sheet name="Student Development" sheetId="5" r:id="rId7"/>
    <sheet name="External Communications" sheetId="6" r:id="rId8"/>
    <sheet name="Events" sheetId="7" r:id="rId9"/>
    <sheet name="Finance" sheetId="8" r:id="rId10"/>
    <sheet name="First Year" sheetId="9" r:id="rId11"/>
    <sheet name="Information Technology" sheetId="10" r:id="rId12"/>
    <sheet name="Internal Affairs" sheetId="13" r:id="rId13"/>
    <sheet name="Professional Development" sheetId="14" r:id="rId14"/>
    <sheet name="Services" sheetId="15" r:id="rId15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6" l="1"/>
  <c r="H8" i="16"/>
  <c r="G11" i="13"/>
  <c r="K43" i="3" l="1"/>
  <c r="H12" i="16" l="1"/>
  <c r="J12" i="16" s="1"/>
  <c r="H11" i="16" s="1"/>
  <c r="H36" i="16"/>
  <c r="J36" i="16" s="1"/>
  <c r="H35" i="16"/>
  <c r="J35" i="16" s="1"/>
  <c r="J31" i="16"/>
  <c r="H30" i="16"/>
  <c r="I30" i="16" s="1"/>
  <c r="H26" i="16"/>
  <c r="I27" i="16" s="1"/>
  <c r="J27" i="16" s="1"/>
  <c r="H25" i="16"/>
  <c r="J25" i="16" s="1"/>
  <c r="H24" i="16"/>
  <c r="J24" i="16" s="1"/>
  <c r="H23" i="16"/>
  <c r="J23" i="16" s="1"/>
  <c r="H22" i="16"/>
  <c r="J22" i="16" s="1"/>
  <c r="H19" i="16"/>
  <c r="J19" i="16" s="1"/>
  <c r="H18" i="16"/>
  <c r="J18" i="16" s="1"/>
  <c r="H17" i="16"/>
  <c r="J17" i="16" s="1"/>
  <c r="H16" i="16"/>
  <c r="J16" i="16" s="1"/>
  <c r="H15" i="16"/>
  <c r="J15" i="16" s="1"/>
  <c r="J9" i="16"/>
  <c r="J8" i="16"/>
  <c r="G24" i="15"/>
  <c r="F24" i="15"/>
  <c r="F23" i="15"/>
  <c r="H23" i="15" s="1"/>
  <c r="F22" i="15"/>
  <c r="H22" i="15" s="1"/>
  <c r="F19" i="15"/>
  <c r="H19" i="15" s="1"/>
  <c r="I19" i="15" s="1"/>
  <c r="F18" i="15"/>
  <c r="H18" i="15" s="1"/>
  <c r="I18" i="15" s="1"/>
  <c r="G15" i="15"/>
  <c r="F15" i="15"/>
  <c r="G14" i="15"/>
  <c r="F14" i="15"/>
  <c r="G10" i="15"/>
  <c r="F10" i="15"/>
  <c r="G9" i="15"/>
  <c r="F9" i="15"/>
  <c r="H9" i="14"/>
  <c r="J9" i="14" s="1"/>
  <c r="H10" i="14"/>
  <c r="J10" i="14" s="1"/>
  <c r="H11" i="14"/>
  <c r="J11" i="14" s="1"/>
  <c r="H14" i="14"/>
  <c r="I14" i="14" s="1"/>
  <c r="J14" i="14" s="1"/>
  <c r="H15" i="14"/>
  <c r="J15" i="14" s="1"/>
  <c r="H16" i="14"/>
  <c r="J16" i="14" s="1"/>
  <c r="H17" i="14"/>
  <c r="J17" i="14" s="1"/>
  <c r="H20" i="14"/>
  <c r="I20" i="14" s="1"/>
  <c r="J20" i="14" s="1"/>
  <c r="H21" i="14"/>
  <c r="I21" i="14" s="1"/>
  <c r="J21" i="14" s="1"/>
  <c r="H58" i="13"/>
  <c r="J58" i="13" s="1"/>
  <c r="H57" i="13"/>
  <c r="I57" i="13" s="1"/>
  <c r="H54" i="13"/>
  <c r="J54" i="13" s="1"/>
  <c r="H53" i="13"/>
  <c r="I53" i="13" s="1"/>
  <c r="H50" i="13"/>
  <c r="J50" i="13" s="1"/>
  <c r="H49" i="13"/>
  <c r="I49" i="13" s="1"/>
  <c r="H48" i="13"/>
  <c r="H45" i="13"/>
  <c r="I45" i="13" s="1"/>
  <c r="H42" i="13"/>
  <c r="H41" i="13"/>
  <c r="I41" i="13" s="1"/>
  <c r="H40" i="13"/>
  <c r="H39" i="13"/>
  <c r="I39" i="13" s="1"/>
  <c r="H38" i="13"/>
  <c r="H37" i="13"/>
  <c r="J37" i="13" s="1"/>
  <c r="F36" i="13"/>
  <c r="H36" i="13" s="1"/>
  <c r="I36" i="13" s="1"/>
  <c r="H33" i="13"/>
  <c r="H32" i="13"/>
  <c r="I32" i="13" s="1"/>
  <c r="H31" i="13"/>
  <c r="H30" i="13"/>
  <c r="I30" i="13" s="1"/>
  <c r="H29" i="13"/>
  <c r="H28" i="13"/>
  <c r="I28" i="13" s="1"/>
  <c r="H27" i="13"/>
  <c r="H26" i="13"/>
  <c r="I26" i="13" s="1"/>
  <c r="H25" i="13"/>
  <c r="H24" i="13"/>
  <c r="I24" i="13" s="1"/>
  <c r="H23" i="13"/>
  <c r="J23" i="13" s="1"/>
  <c r="H20" i="13"/>
  <c r="J20" i="13" s="1"/>
  <c r="H19" i="13"/>
  <c r="J19" i="13" s="1"/>
  <c r="H18" i="13"/>
  <c r="J18" i="13" s="1"/>
  <c r="H17" i="13"/>
  <c r="J17" i="13" s="1"/>
  <c r="H16" i="13"/>
  <c r="J16" i="13" s="1"/>
  <c r="H15" i="13"/>
  <c r="J15" i="13" s="1"/>
  <c r="H14" i="13"/>
  <c r="J14" i="13" s="1"/>
  <c r="H13" i="13"/>
  <c r="I13" i="13" s="1"/>
  <c r="H12" i="13"/>
  <c r="J12" i="13" s="1"/>
  <c r="H11" i="13"/>
  <c r="J11" i="13" s="1"/>
  <c r="H10" i="13"/>
  <c r="J10" i="13" s="1"/>
  <c r="H9" i="13"/>
  <c r="H29" i="10"/>
  <c r="I29" i="10" s="1"/>
  <c r="H28" i="10"/>
  <c r="I28" i="10" s="1"/>
  <c r="F27" i="10"/>
  <c r="H27" i="10" s="1"/>
  <c r="J27" i="10" s="1"/>
  <c r="H26" i="10"/>
  <c r="J26" i="10" s="1"/>
  <c r="H23" i="10"/>
  <c r="I23" i="10" s="1"/>
  <c r="H22" i="10"/>
  <c r="J22" i="10" s="1"/>
  <c r="H21" i="10"/>
  <c r="J21" i="10" s="1"/>
  <c r="H20" i="10"/>
  <c r="J20" i="10" s="1"/>
  <c r="H19" i="10"/>
  <c r="H18" i="10"/>
  <c r="I18" i="10" s="1"/>
  <c r="H15" i="10"/>
  <c r="J15" i="10" s="1"/>
  <c r="H14" i="10"/>
  <c r="I14" i="10" s="1"/>
  <c r="H11" i="10"/>
  <c r="I11" i="10" s="1"/>
  <c r="F10" i="10"/>
  <c r="H10" i="10" s="1"/>
  <c r="H9" i="10"/>
  <c r="H16" i="9"/>
  <c r="H15" i="9"/>
  <c r="H14" i="9"/>
  <c r="I14" i="9" s="1"/>
  <c r="H11" i="9"/>
  <c r="I11" i="9" s="1"/>
  <c r="H10" i="9"/>
  <c r="I10" i="9" s="1"/>
  <c r="H9" i="9"/>
  <c r="H13" i="8"/>
  <c r="H10" i="8"/>
  <c r="I10" i="8" s="1"/>
  <c r="H9" i="8"/>
  <c r="I9" i="8" s="1"/>
  <c r="H106" i="7"/>
  <c r="J106" i="7" s="1"/>
  <c r="F73" i="7"/>
  <c r="H127" i="7"/>
  <c r="J127" i="7" s="1"/>
  <c r="H126" i="7"/>
  <c r="I126" i="7" s="1"/>
  <c r="H125" i="7"/>
  <c r="I125" i="7" s="1"/>
  <c r="H124" i="7"/>
  <c r="I124" i="7" s="1"/>
  <c r="H123" i="7"/>
  <c r="I123" i="7" s="1"/>
  <c r="H122" i="7"/>
  <c r="H121" i="7"/>
  <c r="I121" i="7" s="1"/>
  <c r="H120" i="7"/>
  <c r="I120" i="7" s="1"/>
  <c r="H119" i="7"/>
  <c r="J119" i="7" s="1"/>
  <c r="H118" i="7"/>
  <c r="J118" i="7" s="1"/>
  <c r="H117" i="7"/>
  <c r="H114" i="7"/>
  <c r="I114" i="7" s="1"/>
  <c r="H113" i="7"/>
  <c r="I113" i="7" s="1"/>
  <c r="H112" i="7"/>
  <c r="J112" i="7" s="1"/>
  <c r="H111" i="7"/>
  <c r="J111" i="7" s="1"/>
  <c r="H110" i="7"/>
  <c r="J110" i="7" s="1"/>
  <c r="H109" i="7"/>
  <c r="J109" i="7" s="1"/>
  <c r="H105" i="7"/>
  <c r="J105" i="7" s="1"/>
  <c r="H104" i="7"/>
  <c r="J104" i="7" s="1"/>
  <c r="H103" i="7"/>
  <c r="J103" i="7" s="1"/>
  <c r="H102" i="7"/>
  <c r="J102" i="7" s="1"/>
  <c r="H101" i="7"/>
  <c r="J101" i="7" s="1"/>
  <c r="H100" i="7"/>
  <c r="J100" i="7" s="1"/>
  <c r="H99" i="7"/>
  <c r="J99" i="7" s="1"/>
  <c r="H98" i="7"/>
  <c r="I98" i="7" s="1"/>
  <c r="H97" i="7"/>
  <c r="I97" i="7" s="1"/>
  <c r="J97" i="7" s="1"/>
  <c r="H94" i="7"/>
  <c r="J94" i="7" s="1"/>
  <c r="H93" i="7"/>
  <c r="H92" i="7"/>
  <c r="H91" i="7"/>
  <c r="H90" i="7"/>
  <c r="J90" i="7" s="1"/>
  <c r="H89" i="7"/>
  <c r="I89" i="7" s="1"/>
  <c r="H88" i="7"/>
  <c r="I88" i="7" s="1"/>
  <c r="H87" i="7"/>
  <c r="J87" i="7" s="1"/>
  <c r="H86" i="7"/>
  <c r="I86" i="7" s="1"/>
  <c r="H85" i="7"/>
  <c r="I85" i="7" s="1"/>
  <c r="H84" i="7"/>
  <c r="I84" i="7" s="1"/>
  <c r="H83" i="7"/>
  <c r="J83" i="7" s="1"/>
  <c r="H82" i="7"/>
  <c r="J82" i="7" s="1"/>
  <c r="H81" i="7"/>
  <c r="I81" i="7" s="1"/>
  <c r="H80" i="7"/>
  <c r="I80" i="7" s="1"/>
  <c r="H79" i="7"/>
  <c r="I79" i="7" s="1"/>
  <c r="H78" i="7"/>
  <c r="J78" i="7" s="1"/>
  <c r="H77" i="7"/>
  <c r="J77" i="7" s="1"/>
  <c r="H76" i="7"/>
  <c r="J76" i="7" s="1"/>
  <c r="H73" i="7"/>
  <c r="J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4" i="7"/>
  <c r="J64" i="7" s="1"/>
  <c r="H63" i="7"/>
  <c r="J63" i="7" s="1"/>
  <c r="H62" i="7"/>
  <c r="J62" i="7" s="1"/>
  <c r="H61" i="7"/>
  <c r="H60" i="7"/>
  <c r="I60" i="7" s="1"/>
  <c r="H59" i="7"/>
  <c r="I59" i="7" s="1"/>
  <c r="H58" i="7"/>
  <c r="I58" i="7" s="1"/>
  <c r="H57" i="7"/>
  <c r="H54" i="7"/>
  <c r="I54" i="7" s="1"/>
  <c r="H53" i="7"/>
  <c r="J53" i="7" s="1"/>
  <c r="H52" i="7"/>
  <c r="I52" i="7" s="1"/>
  <c r="H51" i="7"/>
  <c r="I51" i="7" s="1"/>
  <c r="H50" i="7"/>
  <c r="I50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H40" i="7"/>
  <c r="I40" i="7" s="1"/>
  <c r="H39" i="7"/>
  <c r="I39" i="7" s="1"/>
  <c r="H38" i="7"/>
  <c r="H37" i="7"/>
  <c r="I37" i="7" s="1"/>
  <c r="H36" i="7"/>
  <c r="I36" i="7" s="1"/>
  <c r="H35" i="7"/>
  <c r="I35" i="7" s="1"/>
  <c r="H29" i="7"/>
  <c r="J29" i="7" s="1"/>
  <c r="H28" i="7"/>
  <c r="I28" i="7" s="1"/>
  <c r="H27" i="7"/>
  <c r="I27" i="7" s="1"/>
  <c r="H26" i="7"/>
  <c r="I26" i="7" s="1"/>
  <c r="H25" i="7"/>
  <c r="H24" i="7"/>
  <c r="J24" i="7" s="1"/>
  <c r="H23" i="7"/>
  <c r="J23" i="7" s="1"/>
  <c r="H22" i="7"/>
  <c r="J22" i="7" s="1"/>
  <c r="H21" i="7"/>
  <c r="I21" i="7" s="1"/>
  <c r="H20" i="7"/>
  <c r="I20" i="7" s="1"/>
  <c r="H19" i="7"/>
  <c r="I19" i="7" s="1"/>
  <c r="H18" i="7"/>
  <c r="J18" i="7" s="1"/>
  <c r="H17" i="7"/>
  <c r="H16" i="7"/>
  <c r="J16" i="7" s="1"/>
  <c r="H15" i="7"/>
  <c r="I15" i="7" s="1"/>
  <c r="H14" i="7"/>
  <c r="I14" i="7" s="1"/>
  <c r="H13" i="7"/>
  <c r="I13" i="7" s="1"/>
  <c r="H12" i="7"/>
  <c r="H11" i="7"/>
  <c r="J11" i="7" s="1"/>
  <c r="H10" i="7"/>
  <c r="I10" i="7" s="1"/>
  <c r="H9" i="7"/>
  <c r="I9" i="7" s="1"/>
  <c r="H46" i="6"/>
  <c r="J46" i="6" s="1"/>
  <c r="H45" i="6" s="1"/>
  <c r="H43" i="6"/>
  <c r="J43" i="6" s="1"/>
  <c r="H42" i="6"/>
  <c r="J42" i="6" s="1"/>
  <c r="H41" i="6" s="1"/>
  <c r="H39" i="6"/>
  <c r="J39" i="6" s="1"/>
  <c r="H38" i="6"/>
  <c r="J38" i="6" s="1"/>
  <c r="H37" i="6"/>
  <c r="J37" i="6" s="1"/>
  <c r="H36" i="6"/>
  <c r="H35" i="6"/>
  <c r="H34" i="6"/>
  <c r="J34" i="6" s="1"/>
  <c r="H33" i="6"/>
  <c r="J33" i="6" s="1"/>
  <c r="H32" i="6" s="1"/>
  <c r="H30" i="6"/>
  <c r="J30" i="6" s="1"/>
  <c r="H29" i="6"/>
  <c r="J29" i="6" s="1"/>
  <c r="H28" i="6"/>
  <c r="I28" i="6" s="1"/>
  <c r="H27" i="6"/>
  <c r="J27" i="6" s="1"/>
  <c r="H26" i="6"/>
  <c r="J26" i="6" s="1"/>
  <c r="H25" i="6"/>
  <c r="I25" i="6" s="1"/>
  <c r="H24" i="6"/>
  <c r="J24" i="6" s="1"/>
  <c r="H23" i="6"/>
  <c r="J23" i="6" s="1"/>
  <c r="H22" i="6"/>
  <c r="H21" i="6"/>
  <c r="J21" i="6" s="1"/>
  <c r="H20" i="6"/>
  <c r="J20" i="6" s="1"/>
  <c r="H17" i="6"/>
  <c r="J17" i="6" s="1"/>
  <c r="H16" i="6"/>
  <c r="J16" i="6" s="1"/>
  <c r="H15" i="6"/>
  <c r="H14" i="6"/>
  <c r="J14" i="6" s="1"/>
  <c r="H13" i="6"/>
  <c r="J13" i="6" s="1"/>
  <c r="H12" i="6"/>
  <c r="J12" i="6" s="1"/>
  <c r="H11" i="6"/>
  <c r="J11" i="6" s="1"/>
  <c r="H10" i="6"/>
  <c r="J10" i="6" s="1"/>
  <c r="H9" i="6"/>
  <c r="I9" i="6" s="1"/>
  <c r="H26" i="5"/>
  <c r="J26" i="5" s="1"/>
  <c r="H25" i="5" s="1"/>
  <c r="H23" i="5"/>
  <c r="J23" i="5" s="1"/>
  <c r="H22" i="5" s="1"/>
  <c r="H20" i="5"/>
  <c r="J20" i="5" s="1"/>
  <c r="H19" i="5"/>
  <c r="H16" i="5"/>
  <c r="J16" i="5" s="1"/>
  <c r="H15" i="5"/>
  <c r="J15" i="5" s="1"/>
  <c r="H14" i="5"/>
  <c r="J14" i="5" s="1"/>
  <c r="H13" i="5"/>
  <c r="J13" i="5" s="1"/>
  <c r="H12" i="5" s="1"/>
  <c r="H10" i="5"/>
  <c r="J10" i="5" s="1"/>
  <c r="H9" i="5"/>
  <c r="J9" i="5" s="1"/>
  <c r="H8" i="5" s="1"/>
  <c r="H15" i="4"/>
  <c r="I15" i="4" s="1"/>
  <c r="J15" i="4" s="1"/>
  <c r="H16" i="4"/>
  <c r="H12" i="4"/>
  <c r="I12" i="4" s="1"/>
  <c r="H11" i="4"/>
  <c r="H8" i="4"/>
  <c r="J8" i="4" s="1"/>
  <c r="H7" i="4" s="1"/>
  <c r="I9" i="13" l="1"/>
  <c r="J9" i="13" s="1"/>
  <c r="I25" i="13"/>
  <c r="J25" i="13" s="1"/>
  <c r="I27" i="13"/>
  <c r="J27" i="13" s="1"/>
  <c r="I29" i="13"/>
  <c r="J29" i="13" s="1"/>
  <c r="I31" i="13"/>
  <c r="J31" i="13" s="1"/>
  <c r="I33" i="13"/>
  <c r="J33" i="13" s="1"/>
  <c r="I38" i="13"/>
  <c r="J38" i="13" s="1"/>
  <c r="I40" i="13"/>
  <c r="J40" i="13"/>
  <c r="I42" i="13"/>
  <c r="J42" i="13" s="1"/>
  <c r="I48" i="13"/>
  <c r="J48" i="13" s="1"/>
  <c r="H19" i="14"/>
  <c r="H13" i="14"/>
  <c r="H8" i="14"/>
  <c r="I1" i="14" s="1"/>
  <c r="H7" i="16"/>
  <c r="H14" i="16"/>
  <c r="H34" i="16"/>
  <c r="J45" i="13"/>
  <c r="H44" i="13" s="1"/>
  <c r="J26" i="16"/>
  <c r="H21" i="16" s="1"/>
  <c r="J30" i="16"/>
  <c r="H29" i="16" s="1"/>
  <c r="H9" i="15"/>
  <c r="H10" i="15"/>
  <c r="H13" i="15"/>
  <c r="J13" i="15" s="1"/>
  <c r="H14" i="15"/>
  <c r="J14" i="15" s="1"/>
  <c r="H15" i="15"/>
  <c r="J15" i="15" s="1"/>
  <c r="H24" i="15"/>
  <c r="I9" i="15"/>
  <c r="J9" i="15" s="1"/>
  <c r="I10" i="15"/>
  <c r="J10" i="15" s="1"/>
  <c r="I22" i="15"/>
  <c r="J22" i="15" s="1"/>
  <c r="I24" i="15"/>
  <c r="J24" i="15" s="1"/>
  <c r="I23" i="15"/>
  <c r="J23" i="15" s="1"/>
  <c r="J18" i="15"/>
  <c r="J19" i="15"/>
  <c r="F20" i="18"/>
  <c r="J13" i="13"/>
  <c r="J24" i="13"/>
  <c r="J26" i="13"/>
  <c r="J28" i="13"/>
  <c r="J30" i="13"/>
  <c r="J32" i="13"/>
  <c r="J36" i="13"/>
  <c r="J39" i="13"/>
  <c r="J41" i="13"/>
  <c r="J49" i="13"/>
  <c r="J53" i="13"/>
  <c r="H52" i="13" s="1"/>
  <c r="J57" i="13"/>
  <c r="H56" i="13" s="1"/>
  <c r="J29" i="10"/>
  <c r="J9" i="10"/>
  <c r="I19" i="10"/>
  <c r="J19" i="10" s="1"/>
  <c r="I10" i="10"/>
  <c r="J10" i="10" s="1"/>
  <c r="J11" i="10"/>
  <c r="J14" i="10"/>
  <c r="H13" i="10" s="1"/>
  <c r="J18" i="10"/>
  <c r="J23" i="10"/>
  <c r="J28" i="10"/>
  <c r="H25" i="10" s="1"/>
  <c r="J10" i="9"/>
  <c r="J11" i="9"/>
  <c r="J14" i="9"/>
  <c r="I9" i="9"/>
  <c r="J9" i="9" s="1"/>
  <c r="I15" i="9"/>
  <c r="J15" i="9" s="1"/>
  <c r="I16" i="9"/>
  <c r="J16" i="9" s="1"/>
  <c r="J10" i="8"/>
  <c r="J9" i="8"/>
  <c r="H8" i="8" s="1"/>
  <c r="I13" i="8"/>
  <c r="J13" i="8" s="1"/>
  <c r="H12" i="8" s="1"/>
  <c r="J19" i="7"/>
  <c r="J68" i="7"/>
  <c r="J70" i="7"/>
  <c r="J72" i="7"/>
  <c r="J85" i="7"/>
  <c r="J91" i="7"/>
  <c r="J114" i="7"/>
  <c r="J117" i="7"/>
  <c r="J121" i="7"/>
  <c r="J123" i="7"/>
  <c r="J125" i="7"/>
  <c r="J9" i="7"/>
  <c r="I12" i="7"/>
  <c r="J12" i="7" s="1"/>
  <c r="J14" i="7"/>
  <c r="I17" i="7"/>
  <c r="J17" i="7" s="1"/>
  <c r="J21" i="7"/>
  <c r="I25" i="7"/>
  <c r="J25" i="7" s="1"/>
  <c r="J27" i="7"/>
  <c r="J36" i="7"/>
  <c r="I38" i="7"/>
  <c r="J38" i="7" s="1"/>
  <c r="J40" i="7"/>
  <c r="I41" i="7"/>
  <c r="J41" i="7" s="1"/>
  <c r="J43" i="7"/>
  <c r="J45" i="7"/>
  <c r="J47" i="7"/>
  <c r="J50" i="7"/>
  <c r="J52" i="7"/>
  <c r="J57" i="7"/>
  <c r="J59" i="7"/>
  <c r="I61" i="7"/>
  <c r="J61" i="7" s="1"/>
  <c r="J81" i="7"/>
  <c r="J93" i="7"/>
  <c r="J10" i="7"/>
  <c r="J13" i="7"/>
  <c r="J15" i="7"/>
  <c r="J20" i="7"/>
  <c r="J26" i="7"/>
  <c r="J28" i="7"/>
  <c r="J35" i="7"/>
  <c r="J37" i="7"/>
  <c r="J39" i="7"/>
  <c r="J42" i="7"/>
  <c r="J44" i="7"/>
  <c r="J46" i="7"/>
  <c r="J51" i="7"/>
  <c r="J54" i="7"/>
  <c r="J58" i="7"/>
  <c r="J60" i="7"/>
  <c r="J67" i="7"/>
  <c r="J69" i="7"/>
  <c r="J71" i="7"/>
  <c r="J79" i="7"/>
  <c r="J80" i="7"/>
  <c r="J84" i="7"/>
  <c r="J86" i="7"/>
  <c r="J88" i="7"/>
  <c r="J89" i="7"/>
  <c r="J92" i="7"/>
  <c r="J98" i="7"/>
  <c r="H96" i="7" s="1"/>
  <c r="J113" i="7"/>
  <c r="H108" i="7" s="1"/>
  <c r="J120" i="7"/>
  <c r="J122" i="7"/>
  <c r="J124" i="7"/>
  <c r="J126" i="7"/>
  <c r="J9" i="6"/>
  <c r="I15" i="6"/>
  <c r="J15" i="6" s="1"/>
  <c r="I22" i="6"/>
  <c r="J22" i="6" s="1"/>
  <c r="J28" i="6"/>
  <c r="J25" i="6"/>
  <c r="I19" i="5"/>
  <c r="J19" i="5" s="1"/>
  <c r="H18" i="5" s="1"/>
  <c r="I1" i="5" s="1"/>
  <c r="I11" i="4"/>
  <c r="J11" i="4" s="1"/>
  <c r="J12" i="4"/>
  <c r="I16" i="4"/>
  <c r="J16" i="4" s="1"/>
  <c r="H14" i="4" s="1"/>
  <c r="H10" i="4" l="1"/>
  <c r="I1" i="4" s="1"/>
  <c r="H19" i="6"/>
  <c r="H8" i="6"/>
  <c r="I1" i="6" s="1"/>
  <c r="F14" i="18" s="1"/>
  <c r="H75" i="7"/>
  <c r="H66" i="7"/>
  <c r="H34" i="7"/>
  <c r="H56" i="7"/>
  <c r="H49" i="7"/>
  <c r="H8" i="7"/>
  <c r="H116" i="7"/>
  <c r="I1" i="8"/>
  <c r="H13" i="9"/>
  <c r="H17" i="10"/>
  <c r="H8" i="10"/>
  <c r="I1" i="10" s="1"/>
  <c r="H35" i="13"/>
  <c r="H22" i="13"/>
  <c r="H17" i="15"/>
  <c r="H21" i="15"/>
  <c r="H8" i="15"/>
  <c r="H12" i="15"/>
  <c r="I1" i="16"/>
  <c r="F5" i="18" s="1"/>
  <c r="F6" i="18" s="1"/>
  <c r="H47" i="13"/>
  <c r="H8" i="13"/>
  <c r="I1" i="13" s="1"/>
  <c r="F13" i="18"/>
  <c r="F19" i="18"/>
  <c r="F18" i="18"/>
  <c r="H8" i="9"/>
  <c r="I1" i="9" s="1"/>
  <c r="F17" i="18" s="1"/>
  <c r="F16" i="18"/>
  <c r="F12" i="18"/>
  <c r="I1" i="15" l="1"/>
  <c r="I1" i="7"/>
  <c r="F21" i="18"/>
  <c r="F15" i="18"/>
  <c r="H8" i="3"/>
  <c r="I8" i="3" s="1"/>
  <c r="J8" i="3" s="1"/>
  <c r="H9" i="3"/>
  <c r="I9" i="3" s="1"/>
  <c r="J9" i="3" s="1"/>
  <c r="H12" i="3"/>
  <c r="J12" i="3" s="1"/>
  <c r="H11" i="3" s="1"/>
  <c r="H15" i="3"/>
  <c r="I15" i="3" s="1"/>
  <c r="J15" i="3" s="1"/>
  <c r="H16" i="3"/>
  <c r="I16" i="3" s="1"/>
  <c r="J16" i="3" s="1"/>
  <c r="H17" i="3"/>
  <c r="I17" i="3" s="1"/>
  <c r="J17" i="3" s="1"/>
  <c r="H18" i="3"/>
  <c r="I18" i="3" s="1"/>
  <c r="J18" i="3" s="1"/>
  <c r="H19" i="3"/>
  <c r="J19" i="3" s="1"/>
  <c r="H20" i="3"/>
  <c r="J20" i="3" s="1"/>
  <c r="H21" i="3"/>
  <c r="J21" i="3" s="1"/>
  <c r="H22" i="3"/>
  <c r="I22" i="3" s="1"/>
  <c r="J22" i="3" s="1"/>
  <c r="H23" i="3"/>
  <c r="J23" i="3" s="1"/>
  <c r="H24" i="3"/>
  <c r="J24" i="3" s="1"/>
  <c r="G25" i="3"/>
  <c r="H25" i="3" s="1"/>
  <c r="F26" i="3"/>
  <c r="H26" i="3" s="1"/>
  <c r="I26" i="3" s="1"/>
  <c r="J26" i="3" s="1"/>
  <c r="H29" i="3"/>
  <c r="J29" i="3" s="1"/>
  <c r="H30" i="3"/>
  <c r="I30" i="3" s="1"/>
  <c r="J30" i="3" s="1"/>
  <c r="F31" i="3"/>
  <c r="H31" i="3" s="1"/>
  <c r="J31" i="3" s="1"/>
  <c r="H32" i="3"/>
  <c r="J32" i="3" s="1"/>
  <c r="H33" i="3"/>
  <c r="J33" i="3" s="1"/>
  <c r="H34" i="3"/>
  <c r="I34" i="3" s="1"/>
  <c r="J34" i="3" s="1"/>
  <c r="H37" i="3"/>
  <c r="I37" i="3" s="1"/>
  <c r="J37" i="3" s="1"/>
  <c r="H38" i="3"/>
  <c r="I38" i="3" s="1"/>
  <c r="H39" i="3"/>
  <c r="I39" i="3" s="1"/>
  <c r="J39" i="3" s="1"/>
  <c r="H40" i="3"/>
  <c r="I40" i="3" s="1"/>
  <c r="J40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J51" i="3" s="1"/>
  <c r="H52" i="3"/>
  <c r="J52" i="3" s="1"/>
  <c r="H53" i="3"/>
  <c r="J53" i="3" s="1"/>
  <c r="H54" i="3"/>
  <c r="J54" i="3" s="1"/>
  <c r="H55" i="3"/>
  <c r="J55" i="3" s="1"/>
  <c r="H58" i="3"/>
  <c r="J58" i="3" s="1"/>
  <c r="K58" i="3"/>
  <c r="H59" i="3"/>
  <c r="I59" i="3" s="1"/>
  <c r="J59" i="3" s="1"/>
  <c r="H60" i="3"/>
  <c r="I60" i="3" s="1"/>
  <c r="J60" i="3" s="1"/>
  <c r="F61" i="3"/>
  <c r="H61" i="3" s="1"/>
  <c r="I61" i="3"/>
  <c r="H64" i="3"/>
  <c r="J64" i="3" s="1"/>
  <c r="F65" i="3"/>
  <c r="H65" i="3" s="1"/>
  <c r="J65" i="3" s="1"/>
  <c r="F66" i="3"/>
  <c r="H66" i="3" s="1"/>
  <c r="H69" i="3"/>
  <c r="J69" i="3" s="1"/>
  <c r="H70" i="3"/>
  <c r="J70" i="3" s="1"/>
  <c r="H73" i="3"/>
  <c r="I73" i="3" s="1"/>
  <c r="J73" i="3" s="1"/>
  <c r="H74" i="3"/>
  <c r="I74" i="3" s="1"/>
  <c r="J74" i="3" s="1"/>
  <c r="H77" i="3"/>
  <c r="H78" i="3"/>
  <c r="J78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9" i="3"/>
  <c r="J89" i="3" s="1"/>
  <c r="H90" i="3"/>
  <c r="J90" i="3" s="1"/>
  <c r="H91" i="3"/>
  <c r="J91" i="3" s="1"/>
  <c r="H92" i="3"/>
  <c r="J92" i="3" s="1"/>
  <c r="H93" i="3"/>
  <c r="J93" i="3" s="1"/>
  <c r="H25" i="2"/>
  <c r="J25" i="2" s="1"/>
  <c r="H24" i="2" s="1"/>
  <c r="H22" i="2"/>
  <c r="H21" i="2"/>
  <c r="I21" i="2" s="1"/>
  <c r="H20" i="2"/>
  <c r="H17" i="2"/>
  <c r="H16" i="2"/>
  <c r="I16" i="2" s="1"/>
  <c r="H13" i="2"/>
  <c r="I13" i="2" s="1"/>
  <c r="H12" i="2"/>
  <c r="I12" i="2" s="1"/>
  <c r="H9" i="2"/>
  <c r="I9" i="2" s="1"/>
  <c r="H8" i="2"/>
  <c r="I8" i="2" s="1"/>
  <c r="H42" i="1"/>
  <c r="J42" i="1" s="1"/>
  <c r="H41" i="1" s="1"/>
  <c r="H39" i="1"/>
  <c r="J39" i="1" s="1"/>
  <c r="H38" i="1"/>
  <c r="J38" i="1" s="1"/>
  <c r="H35" i="1"/>
  <c r="J35" i="1" s="1"/>
  <c r="H34" i="1" s="1"/>
  <c r="H30" i="1"/>
  <c r="H29" i="1"/>
  <c r="H28" i="1"/>
  <c r="H25" i="1"/>
  <c r="H24" i="1"/>
  <c r="I24" i="1" s="1"/>
  <c r="H23" i="1"/>
  <c r="H20" i="1"/>
  <c r="J20" i="1" s="1"/>
  <c r="H19" i="1"/>
  <c r="J19" i="1" s="1"/>
  <c r="H18" i="1"/>
  <c r="I18" i="1" s="1"/>
  <c r="H17" i="1"/>
  <c r="H16" i="1"/>
  <c r="I16" i="1" s="1"/>
  <c r="H13" i="1"/>
  <c r="H12" i="1"/>
  <c r="J12" i="1" s="1"/>
  <c r="H9" i="1"/>
  <c r="J9" i="1" s="1"/>
  <c r="H8" i="1"/>
  <c r="J8" i="1" s="1"/>
  <c r="H7" i="1" s="1"/>
  <c r="H7" i="3" l="1"/>
  <c r="H72" i="3"/>
  <c r="H68" i="3"/>
  <c r="H88" i="3"/>
  <c r="H80" i="3"/>
  <c r="H63" i="3"/>
  <c r="J61" i="3"/>
  <c r="H14" i="3"/>
  <c r="H57" i="3"/>
  <c r="H42" i="3"/>
  <c r="J38" i="3"/>
  <c r="H36" i="3" s="1"/>
  <c r="H28" i="3"/>
  <c r="H37" i="1"/>
  <c r="J77" i="3"/>
  <c r="H76" i="3" s="1"/>
  <c r="I13" i="1"/>
  <c r="J13" i="1" s="1"/>
  <c r="H11" i="1" s="1"/>
  <c r="J8" i="2"/>
  <c r="J13" i="2"/>
  <c r="I17" i="2"/>
  <c r="J17" i="2" s="1"/>
  <c r="I20" i="2"/>
  <c r="J20" i="2" s="1"/>
  <c r="J9" i="2"/>
  <c r="J12" i="2"/>
  <c r="H11" i="2" s="1"/>
  <c r="J16" i="2"/>
  <c r="J21" i="2"/>
  <c r="I22" i="2"/>
  <c r="J22" i="2" s="1"/>
  <c r="J16" i="1"/>
  <c r="I17" i="1"/>
  <c r="J17" i="1" s="1"/>
  <c r="J18" i="1"/>
  <c r="I23" i="1"/>
  <c r="J23" i="1" s="1"/>
  <c r="J24" i="1"/>
  <c r="I25" i="1"/>
  <c r="J25" i="1" s="1"/>
  <c r="J28" i="1"/>
  <c r="J29" i="1"/>
  <c r="I30" i="1"/>
  <c r="J30" i="1" s="1"/>
  <c r="H22" i="1" l="1"/>
  <c r="I1" i="3"/>
  <c r="F11" i="18" s="1"/>
  <c r="H19" i="2"/>
  <c r="H7" i="2"/>
  <c r="H27" i="1"/>
  <c r="H15" i="1"/>
  <c r="I1" i="1" s="1"/>
  <c r="H15" i="2"/>
  <c r="I1" i="2" s="1"/>
  <c r="F10" i="18"/>
  <c r="F9" i="18" l="1"/>
  <c r="F22" i="18" l="1"/>
  <c r="F25" i="18" s="1"/>
  <c r="F27" i="18"/>
  <c r="F3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Currie</author>
  </authors>
  <commentList>
    <comment ref="C13" authorId="0" shapeId="0" xr:uid="{00000000-0006-0000-0700-000001000000}">
      <text>
        <r>
          <rPr>
            <b/>
            <sz val="9"/>
            <color indexed="81"/>
            <rFont val="Verdana"/>
            <family val="2"/>
          </rPr>
          <t>Rachel Currie:</t>
        </r>
        <r>
          <rPr>
            <sz val="9"/>
            <color indexed="81"/>
            <rFont val="Verdana"/>
            <family val="2"/>
          </rPr>
          <t xml:space="preserve">
Researched different airlines - Air Canada was definitely cheaper and better</t>
        </r>
      </text>
    </comment>
    <comment ref="D13" authorId="0" shapeId="0" xr:uid="{00000000-0006-0000-0700-000002000000}">
      <text>
        <r>
          <rPr>
            <b/>
            <sz val="9"/>
            <color indexed="81"/>
            <rFont val="Verdana"/>
            <family val="2"/>
          </rPr>
          <t>Rachel Currie:</t>
        </r>
        <r>
          <rPr>
            <sz val="9"/>
            <color indexed="81"/>
            <rFont val="Verdana"/>
            <family val="2"/>
          </rPr>
          <t xml:space="preserve">
Assuming 4 delegates from Ottawa or Toronto areas, and 2 from the Calgary area</t>
        </r>
      </text>
    </comment>
    <comment ref="F13" authorId="0" shapeId="0" xr:uid="{00000000-0006-0000-0700-000003000000}">
      <text>
        <r>
          <rPr>
            <b/>
            <sz val="9"/>
            <color indexed="81"/>
            <rFont val="Verdana"/>
            <family val="2"/>
          </rPr>
          <t>Rachel Currie:</t>
        </r>
        <r>
          <rPr>
            <sz val="9"/>
            <color indexed="81"/>
            <rFont val="Verdana"/>
            <family val="2"/>
          </rPr>
          <t xml:space="preserve">
4 flights from Ontario to St. John's: $1510.24
2 flights from Calgary to St. John's: $1091.44
6 flights from St. John's to Kingston: $3702.72</t>
        </r>
      </text>
    </comment>
  </commentList>
</comments>
</file>

<file path=xl/sharedStrings.xml><?xml version="1.0" encoding="utf-8"?>
<sst xmlns="http://schemas.openxmlformats.org/spreadsheetml/2006/main" count="848" uniqueCount="585">
  <si>
    <t>OPERATIONAL BUDGET 2010 - 2011</t>
  </si>
  <si>
    <t>The Engineering Society of Queen's University</t>
  </si>
  <si>
    <t>REVENUE</t>
  </si>
  <si>
    <t>ACTUALS</t>
  </si>
  <si>
    <t>OPERATIONS</t>
  </si>
  <si>
    <t>TOTAL REVENUE</t>
  </si>
  <si>
    <t>EXPENSES</t>
  </si>
  <si>
    <t>PRESIDENT</t>
  </si>
  <si>
    <t>ACADEMICS</t>
  </si>
  <si>
    <t>SOCIETY AFFAIRS</t>
  </si>
  <si>
    <t>STUDENT DEVELOPMENT</t>
  </si>
  <si>
    <t>EXTERNAL COMMUNICATIONS</t>
  </si>
  <si>
    <t>EVENTS</t>
  </si>
  <si>
    <t>FINANCE</t>
  </si>
  <si>
    <t>FIRST YEAR</t>
  </si>
  <si>
    <t>INFORMATION TECHNOLOGY</t>
  </si>
  <si>
    <t>INTERNAL AFFAIRS</t>
  </si>
  <si>
    <t>PROFESSIONAL DEVELOPMENT</t>
  </si>
  <si>
    <t>SERVICES</t>
  </si>
  <si>
    <t>TOTAL EXPENSES</t>
  </si>
  <si>
    <t>CONTINGENCY</t>
  </si>
  <si>
    <t>10% of Total Expenses</t>
  </si>
  <si>
    <t>TOTAL EXPENSE with CONTINGENCY</t>
  </si>
  <si>
    <t>NET INCOME</t>
  </si>
  <si>
    <t>EXPECTED REVENUE</t>
  </si>
  <si>
    <t>TOTAL INCOME</t>
  </si>
  <si>
    <t>Particulars</t>
  </si>
  <si>
    <t>Operational Budgeting 2010-2011</t>
  </si>
  <si>
    <t>Specifics</t>
  </si>
  <si>
    <r>
      <rPr>
        <b/>
        <sz val="8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 xml:space="preserve">
Unit Price</t>
    </r>
  </si>
  <si>
    <r>
      <rPr>
        <b/>
        <sz val="8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 xml:space="preserve">
Quantity</t>
    </r>
  </si>
  <si>
    <t>Budget
Subtotal</t>
  </si>
  <si>
    <r>
      <t xml:space="preserve">
</t>
    </r>
    <r>
      <rPr>
        <b/>
        <sz val="9"/>
        <color theme="1"/>
        <rFont val="Calibri"/>
        <family val="2"/>
        <scheme val="minor"/>
      </rPr>
      <t>Tax</t>
    </r>
  </si>
  <si>
    <r>
      <t xml:space="preserve">2010/2011
</t>
    </r>
    <r>
      <rPr>
        <b/>
        <sz val="8.5"/>
        <color theme="1"/>
        <rFont val="Calibri"/>
        <family val="2"/>
        <scheme val="minor"/>
      </rPr>
      <t>Budget Total</t>
    </r>
  </si>
  <si>
    <t>ADVERTISING REVENUE</t>
  </si>
  <si>
    <t>Yearbook</t>
  </si>
  <si>
    <t>from CU ads</t>
  </si>
  <si>
    <t>Engenda</t>
  </si>
  <si>
    <t>from CU ads, and AMS</t>
  </si>
  <si>
    <t>ENGENDA SALES</t>
  </si>
  <si>
    <t>ENGENDAS</t>
  </si>
  <si>
    <t xml:space="preserve"> Sold by the Campus Bookstore</t>
  </si>
  <si>
    <t>ENG SERVE</t>
  </si>
  <si>
    <t>Rent</t>
  </si>
  <si>
    <t>Insurance</t>
  </si>
  <si>
    <t>Admin</t>
  </si>
  <si>
    <t>Phone</t>
  </si>
  <si>
    <t>Banking</t>
  </si>
  <si>
    <t>MISCELLANEOUS INCOME</t>
  </si>
  <si>
    <t>Summer BBQ revenue</t>
  </si>
  <si>
    <t>Photocopier revenue</t>
  </si>
  <si>
    <t>Council donations for foster child</t>
  </si>
  <si>
    <t>CUT</t>
  </si>
  <si>
    <t>Moneris service charges</t>
  </si>
  <si>
    <t>Imaginus poster sale</t>
  </si>
  <si>
    <t>less HST</t>
  </si>
  <si>
    <t>QUESSI</t>
  </si>
  <si>
    <t>Management fees</t>
  </si>
  <si>
    <t>STUDENT FEES</t>
  </si>
  <si>
    <t>First installment</t>
  </si>
  <si>
    <t>Second installment</t>
  </si>
  <si>
    <t>PRESIDENT,  Victoria Pleavin</t>
  </si>
  <si>
    <t>POSITION TOTAL</t>
  </si>
  <si>
    <t>Expense</t>
  </si>
  <si>
    <t>APPRECIATION</t>
  </si>
  <si>
    <t>Clark Hall Tab Night</t>
  </si>
  <si>
    <t>For involved volunteers</t>
  </si>
  <si>
    <t>Clark Rental</t>
  </si>
  <si>
    <t>Deposit: Booking for a Clark Event</t>
  </si>
  <si>
    <t>Deposit: Get back</t>
  </si>
  <si>
    <t>EXECUTIVE / DIRECTOR</t>
  </si>
  <si>
    <t>Marketing</t>
  </si>
  <si>
    <t>Business Cards</t>
  </si>
  <si>
    <t>Ruggers</t>
  </si>
  <si>
    <t>Purchased from CEO</t>
  </si>
  <si>
    <t>Tax (12%) = GST (5%), Royalties (7%)</t>
  </si>
  <si>
    <t>Should we pay for all of them?</t>
  </si>
  <si>
    <t>JOHN ORR</t>
  </si>
  <si>
    <t>Rooms</t>
  </si>
  <si>
    <t>4 rooms for 1 night at the Windsor</t>
  </si>
  <si>
    <t>Cars</t>
  </si>
  <si>
    <t>Three Cars for Three Days</t>
  </si>
  <si>
    <t>Gas</t>
  </si>
  <si>
    <t>Refill cars</t>
  </si>
  <si>
    <t>Parking</t>
  </si>
  <si>
    <t>Tickets</t>
  </si>
  <si>
    <t>Executive, Directors, Senators</t>
  </si>
  <si>
    <t>LEGAL FEES</t>
  </si>
  <si>
    <t>Trademark</t>
  </si>
  <si>
    <t>Agent Fees</t>
  </si>
  <si>
    <t>Application Submission</t>
  </si>
  <si>
    <t>Certificate of Success</t>
  </si>
  <si>
    <t>MEETINGS</t>
  </si>
  <si>
    <t>University Council</t>
  </si>
  <si>
    <t>Delegate Fee</t>
  </si>
  <si>
    <t>Spring Reunion</t>
  </si>
  <si>
    <t>Tricolour Guard Dinner</t>
  </si>
  <si>
    <t>Summer Retreat</t>
  </si>
  <si>
    <t>Pizza, Classic Large</t>
  </si>
  <si>
    <t>PRESIDENT SUBSIDY</t>
  </si>
  <si>
    <t>Tuition - Greg Ellis</t>
  </si>
  <si>
    <t>One semester Tution for a 5th Year</t>
  </si>
  <si>
    <t>TRANSITION NIGHT</t>
  </si>
  <si>
    <t>Exec Dinner</t>
  </si>
  <si>
    <t>Dinner (1 ea.) for incoming/outgoing</t>
  </si>
  <si>
    <t>Director Dinner</t>
  </si>
  <si>
    <t>WINTER DINNER FOR E/D</t>
  </si>
  <si>
    <t>Dinner</t>
  </si>
  <si>
    <t>Money Moved from Transition Dinner</t>
  </si>
  <si>
    <t>ACADEMICS,  Adam Bunn</t>
  </si>
  <si>
    <t>BED FUND</t>
  </si>
  <si>
    <t>Pizza, for 2 BED meetings</t>
  </si>
  <si>
    <t>For 2 BED meetings</t>
  </si>
  <si>
    <t>Pop</t>
  </si>
  <si>
    <t>12 pack for 2 meetings</t>
  </si>
  <si>
    <t>ENGLINKS</t>
  </si>
  <si>
    <t>Pizza</t>
  </si>
  <si>
    <t>For End of Year Meeting</t>
  </si>
  <si>
    <t>24 Packs For End of Year Meeting</t>
  </si>
  <si>
    <t>INTERNAL ACADEMIC CAUCUS</t>
  </si>
  <si>
    <t>24 pack for 2 meetings</t>
  </si>
  <si>
    <t>SEED</t>
  </si>
  <si>
    <r>
      <t xml:space="preserve">2 for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SEED meetings</t>
    </r>
  </si>
  <si>
    <t>12 pack for 4 meetings</t>
  </si>
  <si>
    <t>Food for 2 open forums</t>
  </si>
  <si>
    <t>Banquet</t>
  </si>
  <si>
    <t>Banquet Tickets</t>
  </si>
  <si>
    <t>For SEED, BED, and Englinks</t>
  </si>
  <si>
    <t>OPERATIONS, Emily Fay</t>
  </si>
  <si>
    <t>Bookkeeping</t>
  </si>
  <si>
    <t>this includes summer portion</t>
  </si>
  <si>
    <t>Financial Review</t>
  </si>
  <si>
    <t>might be a late fee of $2500</t>
  </si>
  <si>
    <t>ACCOUNTING COURSE</t>
  </si>
  <si>
    <t xml:space="preserve">VP(OPS) </t>
  </si>
  <si>
    <t>Course Registration &amp; Textbook</t>
  </si>
  <si>
    <t>ADMINISTRATION</t>
  </si>
  <si>
    <t>Photocopier rental</t>
  </si>
  <si>
    <t>Photocopier supplies</t>
  </si>
  <si>
    <t>Paper</t>
  </si>
  <si>
    <t>Price per case, Staples</t>
  </si>
  <si>
    <t>Freight</t>
  </si>
  <si>
    <t>From the AMS</t>
  </si>
  <si>
    <t>From ITS, includes services</t>
  </si>
  <si>
    <t>Long distance</t>
  </si>
  <si>
    <t>Office supplies</t>
  </si>
  <si>
    <t>Paid to Queen's Financial Services</t>
  </si>
  <si>
    <t>Keys</t>
  </si>
  <si>
    <t>PPS makes replacement keys</t>
  </si>
  <si>
    <t>Security system</t>
  </si>
  <si>
    <t>To be installed in Clark</t>
  </si>
  <si>
    <t>Lounge Improvements</t>
  </si>
  <si>
    <t>BANKING</t>
  </si>
  <si>
    <t>Account fees</t>
  </si>
  <si>
    <t>G4S weekly pickup</t>
  </si>
  <si>
    <t>Secure deposit to BMO</t>
  </si>
  <si>
    <t>Moneris rental &amp; service pack</t>
  </si>
  <si>
    <t>Debit/Credit Machine</t>
  </si>
  <si>
    <t>Credit card annual fees</t>
  </si>
  <si>
    <t>Charged per card, once a year</t>
  </si>
  <si>
    <t>Moneris transaction fees, credit</t>
  </si>
  <si>
    <t>1.79% on cards</t>
  </si>
  <si>
    <t>Moneris transaction fees, debit</t>
  </si>
  <si>
    <t>9 cents per debit transaction</t>
  </si>
  <si>
    <t>BOARD OF DIRECTORS</t>
  </si>
  <si>
    <t>Food</t>
  </si>
  <si>
    <t>$8 per board member per meeting</t>
  </si>
  <si>
    <t>Travel subsidies</t>
  </si>
  <si>
    <t>For alumni members, out of town</t>
  </si>
  <si>
    <t xml:space="preserve"> </t>
  </si>
  <si>
    <t>Transition dinner</t>
  </si>
  <si>
    <t>Assumes all of new and old attend</t>
  </si>
  <si>
    <t>Gifts</t>
  </si>
  <si>
    <t>For Alumni &amp; Faculty Members</t>
  </si>
  <si>
    <t>DISCIPLINE CLUBS &amp; YEAR EXECUTIVE DISTRIBUTION</t>
  </si>
  <si>
    <t>Sci 14</t>
  </si>
  <si>
    <t>$1000 starter money</t>
  </si>
  <si>
    <t>Sci 13</t>
  </si>
  <si>
    <t>$0.75 per student</t>
  </si>
  <si>
    <t>changed from 1 -&gt; 0.75</t>
  </si>
  <si>
    <t>Sci 12</t>
  </si>
  <si>
    <t>Sci 11</t>
  </si>
  <si>
    <t>Geological</t>
  </si>
  <si>
    <t>Chem Eng</t>
  </si>
  <si>
    <t>Eng Chem</t>
  </si>
  <si>
    <t>ECE</t>
  </si>
  <si>
    <t>EngPhys</t>
  </si>
  <si>
    <t>Apple Math</t>
  </si>
  <si>
    <t>Mining</t>
  </si>
  <si>
    <t>Mechanical</t>
  </si>
  <si>
    <t>Civil</t>
  </si>
  <si>
    <t>ESARCK</t>
  </si>
  <si>
    <t>Property taxes</t>
  </si>
  <si>
    <t>Paid to the City of Kingston</t>
  </si>
  <si>
    <t>Insurance on land</t>
  </si>
  <si>
    <t>Through Hub International</t>
  </si>
  <si>
    <t>Signage</t>
  </si>
  <si>
    <t>"No trespassing" signs</t>
  </si>
  <si>
    <t>REVENUE:</t>
  </si>
  <si>
    <t>Frosh Week Payment</t>
  </si>
  <si>
    <t>GENERAL MANAGER EXPENSES</t>
  </si>
  <si>
    <t>Salary</t>
  </si>
  <si>
    <t>Taken from Student Fees</t>
  </si>
  <si>
    <t>Deductions</t>
  </si>
  <si>
    <t>on campus spot, all year</t>
  </si>
  <si>
    <t>IMAGINUS POSTER SALE</t>
  </si>
  <si>
    <t>Space Booking</t>
  </si>
  <si>
    <t>Assumes 3 sales, booking JDUC</t>
  </si>
  <si>
    <t>*this is mostly paid by Imaginus, recheck contract</t>
  </si>
  <si>
    <t>Less Repayment of Fees</t>
  </si>
  <si>
    <t>PRINTING</t>
  </si>
  <si>
    <t>Yearbook Printing</t>
  </si>
  <si>
    <t>From Jostens</t>
  </si>
  <si>
    <t>Engenda Printing</t>
  </si>
  <si>
    <t>MILEAGE</t>
  </si>
  <si>
    <t>Trips to Bookkeeper</t>
  </si>
  <si>
    <t>$0.50 / km driven in own vehicle</t>
  </si>
  <si>
    <t>Jay showed me his milage, we needed to actually up this</t>
  </si>
  <si>
    <t>misc errands</t>
  </si>
  <si>
    <t>SUMMER SALARIES</t>
  </si>
  <si>
    <t>President</t>
  </si>
  <si>
    <t>Salary - Approved by Council</t>
  </si>
  <si>
    <t>VP Operations</t>
  </si>
  <si>
    <t>VP Society Affairs</t>
  </si>
  <si>
    <t>Director of IT</t>
  </si>
  <si>
    <t>VP Academic</t>
  </si>
  <si>
    <t>Insurance (EI) &amp; Pension Plan</t>
  </si>
  <si>
    <t>SUMMER HONORARIA</t>
  </si>
  <si>
    <t>One Week's Pay - Council Approved</t>
  </si>
  <si>
    <t>SOCIETY AFFAIRS,  Derrick Dodgson</t>
  </si>
  <si>
    <t>Officer Appreciation</t>
  </si>
  <si>
    <t>HIRING FAIRS (FALL &amp; SPRING)</t>
  </si>
  <si>
    <t>Party size pizzas, ~$150 per Fair</t>
  </si>
  <si>
    <t>Drinks</t>
  </si>
  <si>
    <t>1 Coke, 1 Mixed, (Costco) each Fair</t>
  </si>
  <si>
    <t>OFFICER TRAINING</t>
  </si>
  <si>
    <t>Party size pizzas</t>
  </si>
  <si>
    <t>1 Coke and 2 Mixed (Costco)</t>
  </si>
  <si>
    <t>Student Development, Douglas Haney</t>
  </si>
  <si>
    <t>COMMITTEES</t>
  </si>
  <si>
    <t>EDC Advertising</t>
  </si>
  <si>
    <t>General Advertising/ media</t>
  </si>
  <si>
    <t>EDC Projects</t>
  </si>
  <si>
    <t>Committee to give me proposal</t>
  </si>
  <si>
    <t>CONFERENCES</t>
  </si>
  <si>
    <t>CEEC Tickets</t>
  </si>
  <si>
    <t>VPSD, Elect, FYPCO</t>
  </si>
  <si>
    <t>CIRQUE Tickets</t>
  </si>
  <si>
    <t>OEC Fees</t>
  </si>
  <si>
    <t>For delegates</t>
  </si>
  <si>
    <t>OEC Transport subsidy</t>
  </si>
  <si>
    <t>Train or Bus</t>
  </si>
  <si>
    <t>DESIGN TEAMS</t>
  </si>
  <si>
    <t>For Round Table Meetings</t>
  </si>
  <si>
    <t>PizzaPizza, Double Large - 1 Top</t>
  </si>
  <si>
    <t>Team Space</t>
  </si>
  <si>
    <t>Supplies, upkeep</t>
  </si>
  <si>
    <t>GENERAL/OTHER</t>
  </si>
  <si>
    <t>Volunteer Appreciation</t>
  </si>
  <si>
    <t>VENUE BOOKING</t>
  </si>
  <si>
    <t>Venues</t>
  </si>
  <si>
    <t>Waste for Life event</t>
  </si>
  <si>
    <t>EXTERNAL COMMUNICATIONS, Rachel Currie</t>
  </si>
  <si>
    <t>CFES</t>
  </si>
  <si>
    <t xml:space="preserve">PM Montreal
</t>
  </si>
  <si>
    <t>Train</t>
    <phoneticPr fontId="0" type="noConversion"/>
  </si>
  <si>
    <t>Kingston to Montreal, and return</t>
  </si>
  <si>
    <t>Delegate Fees</t>
    <phoneticPr fontId="0" type="noConversion"/>
  </si>
  <si>
    <t>Taxi fare</t>
    <phoneticPr fontId="0" type="noConversion"/>
  </si>
  <si>
    <t>Congress
St. John's</t>
  </si>
  <si>
    <t>Flights</t>
    <phoneticPr fontId="0" type="noConversion"/>
  </si>
  <si>
    <t>4 delegates</t>
  </si>
  <si>
    <t>Hospitality Fee</t>
    <phoneticPr fontId="0" type="noConversion"/>
  </si>
  <si>
    <t>NCWIE
Ottawa</t>
  </si>
  <si>
    <t>Car Rental</t>
    <phoneticPr fontId="0" type="noConversion"/>
  </si>
  <si>
    <t>Enterprise - Full size</t>
    <phoneticPr fontId="0" type="noConversion"/>
  </si>
  <si>
    <t>Gas</t>
    <phoneticPr fontId="0" type="noConversion"/>
  </si>
  <si>
    <t>ESSCO CONFERENCES</t>
  </si>
  <si>
    <t>AGM Ottawa</t>
  </si>
  <si>
    <t>Delegate Travel</t>
  </si>
  <si>
    <t>Car Rental, Gas</t>
  </si>
  <si>
    <t>Delegate Fees</t>
  </si>
  <si>
    <t>PM York</t>
  </si>
  <si>
    <t>Enterprise - Economy/Compact</t>
    <phoneticPr fontId="0" type="noConversion"/>
  </si>
  <si>
    <t>PEO-SC Toronto</t>
  </si>
  <si>
    <t>FYIC Guelph</t>
  </si>
  <si>
    <t>Enterprise - Full Size</t>
  </si>
  <si>
    <t>EXTERNAL RELATIONS COMMITTEE</t>
  </si>
  <si>
    <t>Is there any Sponsorship for ERC</t>
  </si>
  <si>
    <t>Supplies</t>
    <phoneticPr fontId="0" type="noConversion"/>
  </si>
  <si>
    <t>details?</t>
  </si>
  <si>
    <t>Volunteer t-shirts</t>
    <phoneticPr fontId="0" type="noConversion"/>
  </si>
  <si>
    <t>Drinks/Pizza</t>
    <phoneticPr fontId="0" type="noConversion"/>
  </si>
  <si>
    <t>=H37+I37</t>
  </si>
  <si>
    <t>What's this for ??</t>
  </si>
  <si>
    <t>Bus Rental</t>
    <phoneticPr fontId="0" type="noConversion"/>
  </si>
  <si>
    <t>=H38+I38</t>
  </si>
  <si>
    <t>Speaker Gifts</t>
    <phoneticPr fontId="0" type="noConversion"/>
  </si>
  <si>
    <t xml:space="preserve">FEB-FEST
</t>
  </si>
  <si>
    <t>Refreshments</t>
    <phoneticPr fontId="0" type="noConversion"/>
  </si>
  <si>
    <t>Hot chocolate, etc</t>
    <phoneticPr fontId="0" type="noConversion"/>
  </si>
  <si>
    <t>Chainsaw Rental</t>
    <phoneticPr fontId="0" type="noConversion"/>
  </si>
  <si>
    <t>Home Depot</t>
    <phoneticPr fontId="0" type="noConversion"/>
  </si>
  <si>
    <t>MEMBERSHIP FEES</t>
  </si>
  <si>
    <t>ESSCO</t>
    <phoneticPr fontId="0" type="noConversion"/>
  </si>
  <si>
    <t>CFES</t>
    <phoneticPr fontId="0" type="noConversion"/>
  </si>
  <si>
    <t>MERCHANDISE EXCHANGE, AT CONFERENCES</t>
  </si>
  <si>
    <t>Queen's Merchandise (CEO)</t>
  </si>
  <si>
    <t>Queen's Stickers, pens, papers</t>
  </si>
  <si>
    <t>EVENTS, Jessica Steeves</t>
  </si>
  <si>
    <t>BUDDY PROGRAM</t>
  </si>
  <si>
    <t>Buddy
Boat Cruise</t>
  </si>
  <si>
    <t>For Ticket Printing</t>
  </si>
  <si>
    <t>Boat Rental</t>
  </si>
  <si>
    <t>Donation to QFA</t>
  </si>
  <si>
    <t>Buses</t>
  </si>
  <si>
    <t>StuCons</t>
  </si>
  <si>
    <t>Food for StuCons</t>
  </si>
  <si>
    <t>3 XL Large Pizzas from PizzaPizza</t>
  </si>
  <si>
    <t>DJ</t>
  </si>
  <si>
    <t>SOCAN Fee</t>
  </si>
  <si>
    <t>Damage Deposit</t>
  </si>
  <si>
    <t>Ticket Sales Revenue</t>
  </si>
  <si>
    <t>Buddy Ski Trip</t>
  </si>
  <si>
    <t>Lift Tickets</t>
  </si>
  <si>
    <t>Charter Bus</t>
  </si>
  <si>
    <t>Participant Fees</t>
  </si>
  <si>
    <t>Buddy Smoker</t>
  </si>
  <si>
    <t>AleHouse Rental</t>
  </si>
  <si>
    <t>Wasn't returned by Ale (sales)</t>
  </si>
  <si>
    <t>Buddy
Ultimate Frisbee
Tournament</t>
  </si>
  <si>
    <t>Field Rental</t>
  </si>
  <si>
    <t>Tindall Field costs $100/hour for Prime Time and $48/hour for Non Prime</t>
  </si>
  <si>
    <t>Prizes</t>
  </si>
  <si>
    <t>PizzaPizza Gift certificates for members of the winning team</t>
  </si>
  <si>
    <t>Cases of Water</t>
  </si>
  <si>
    <t>35 bottles for $3.59, Costco</t>
  </si>
  <si>
    <t>Napkins</t>
  </si>
  <si>
    <t>$10.79 for 1000 napkins, Costco</t>
  </si>
  <si>
    <t>Timbits</t>
  </si>
  <si>
    <t>Boxes of 40</t>
  </si>
  <si>
    <t>CAROL SERVICE</t>
  </si>
  <si>
    <t>Grant Hall Rental</t>
  </si>
  <si>
    <t>Fruit and Vegetable Trays</t>
  </si>
  <si>
    <t>Baked Goods</t>
  </si>
  <si>
    <t>Napkins and Utensils</t>
  </si>
  <si>
    <t>Posters</t>
  </si>
  <si>
    <t>Invitations</t>
  </si>
  <si>
    <t>Thank-you Cards/Gifts</t>
  </si>
  <si>
    <t>Organist</t>
  </si>
  <si>
    <t>Paid for by Chaplain</t>
  </si>
  <si>
    <t>Postage</t>
  </si>
  <si>
    <t>IT Equipment</t>
  </si>
  <si>
    <t>Projector, Screen, Mics, etc.</t>
  </si>
  <si>
    <t>Additional Decorations</t>
  </si>
  <si>
    <t>DECEMBER 6TH MEMORIAL SERVICE</t>
  </si>
  <si>
    <t>Posters/Flyers</t>
  </si>
  <si>
    <t>Rose Ceremony + Vigil</t>
  </si>
  <si>
    <t>Candles + Labels</t>
  </si>
  <si>
    <t>Roses</t>
  </si>
  <si>
    <t>Food Serving Fee</t>
  </si>
  <si>
    <t>Fee to Serve Food in Wallace Hall</t>
  </si>
  <si>
    <t>Hot Chocolate</t>
  </si>
  <si>
    <t>ENG RUBGY</t>
  </si>
  <si>
    <t>events will contribute $1500</t>
  </si>
  <si>
    <t>Transportation Expenses</t>
  </si>
  <si>
    <t>Field Time</t>
  </si>
  <si>
    <t>6 Hours of Home Field Time</t>
  </si>
  <si>
    <t>BBQ Expenses</t>
  </si>
  <si>
    <t>Jerseys</t>
  </si>
  <si>
    <t>8 New Jerseys, Only 9 Left</t>
  </si>
  <si>
    <t>Referees</t>
  </si>
  <si>
    <t>Mouthguards</t>
  </si>
  <si>
    <t>Mouth Guard Payments</t>
  </si>
  <si>
    <t>Registration Fees</t>
  </si>
  <si>
    <t>FIX N CLEAN</t>
  </si>
  <si>
    <t>Advertising</t>
  </si>
  <si>
    <t>Radio/Newspaper add, Posters</t>
  </si>
  <si>
    <t>Cleaning Supplies</t>
  </si>
  <si>
    <t>Brushes, sponges, gloves, etc</t>
  </si>
  <si>
    <t>Senior Appreciation</t>
  </si>
  <si>
    <t>Tea/Coffee, Tim Hortan Timbits</t>
  </si>
  <si>
    <t>Volunteer Apreciation</t>
  </si>
  <si>
    <t>T-shirts, Lunch, Drinks &amp; Snacks</t>
  </si>
  <si>
    <t>Sponsor Apreciation</t>
  </si>
  <si>
    <t>Thank-you Cards</t>
  </si>
  <si>
    <t>Transportation</t>
  </si>
  <si>
    <t>Sponsorship</t>
  </si>
  <si>
    <t>FUNGINEERING</t>
  </si>
  <si>
    <t>All Ages Rock Band Tourny</t>
  </si>
  <si>
    <t>Clark Hall Pub</t>
  </si>
  <si>
    <t>Game Consoles</t>
  </si>
  <si>
    <t>To be borrowed from someone</t>
  </si>
  <si>
    <t>Ticket Sales</t>
  </si>
  <si>
    <t>ILC Lock In</t>
  </si>
  <si>
    <t>From PizzaPizza for participants</t>
  </si>
  <si>
    <t>From Metro for participants</t>
  </si>
  <si>
    <t>Chips</t>
  </si>
  <si>
    <t>Karaoke
Night</t>
  </si>
  <si>
    <t xml:space="preserve">Clark Hall Pub </t>
  </si>
  <si>
    <t>Returned if CHP makes $500 in sales</t>
  </si>
  <si>
    <t>Karaoke Machine</t>
  </si>
  <si>
    <r>
      <t xml:space="preserve">Rental rate from </t>
    </r>
    <r>
      <rPr>
        <sz val="9"/>
        <rFont val="Verdana"/>
        <family val="2"/>
      </rPr>
      <t xml:space="preserve">karaokecloset.com </t>
    </r>
  </si>
  <si>
    <t>Delivery</t>
  </si>
  <si>
    <r>
      <t xml:space="preserve">Shipping cost from </t>
    </r>
    <r>
      <rPr>
        <sz val="8"/>
        <rFont val="Verdana"/>
        <family val="2"/>
      </rPr>
      <t xml:space="preserve">karaokecloset.com </t>
    </r>
  </si>
  <si>
    <t>Return</t>
  </si>
  <si>
    <r>
      <t>S</t>
    </r>
    <r>
      <rPr>
        <b/>
        <sz val="10"/>
        <color theme="1"/>
        <rFont val="Calibri"/>
        <family val="2"/>
        <scheme val="minor"/>
      </rPr>
      <t>uperSmash</t>
    </r>
    <r>
      <rPr>
        <b/>
        <sz val="11"/>
        <color theme="1"/>
        <rFont val="Calibri"/>
        <family val="2"/>
        <scheme val="minor"/>
      </rPr>
      <t xml:space="preserve"> Bros
Tournament</t>
    </r>
  </si>
  <si>
    <t>2 Large from PizzaPizza</t>
  </si>
  <si>
    <t>From Metro</t>
  </si>
  <si>
    <t>Tri-Pub Crawl</t>
  </si>
  <si>
    <t>Go during ritual (2-6)</t>
  </si>
  <si>
    <t>Queen's Pub</t>
  </si>
  <si>
    <t>Go after ritual (6-9)</t>
  </si>
  <si>
    <t>Alfies</t>
  </si>
  <si>
    <t>Go at night (9-midnight)</t>
  </si>
  <si>
    <t>MOVEMBER</t>
  </si>
  <si>
    <t>Moustaches For Selling @ Ritual</t>
  </si>
  <si>
    <t>Tattoo and Rub On</t>
  </si>
  <si>
    <t>Facepaint For Moustaches</t>
  </si>
  <si>
    <t>Black Facepaint from Dollar Store</t>
  </si>
  <si>
    <t>Advertising for band @ Clark Night</t>
  </si>
  <si>
    <t>Barber</t>
  </si>
  <si>
    <t>To Shave Moustaches in November</t>
  </si>
  <si>
    <t>Small Posters</t>
  </si>
  <si>
    <t>General Advertising</t>
  </si>
  <si>
    <t>Large Posters</t>
  </si>
  <si>
    <t>Revenue from Moustaches</t>
  </si>
  <si>
    <t xml:space="preserve">Donations from Beard Shaving </t>
  </si>
  <si>
    <t>Revenue from Band Night</t>
  </si>
  <si>
    <t>DONATION</t>
  </si>
  <si>
    <t>After Expenses</t>
  </si>
  <si>
    <t>TERRY FOX RUN</t>
  </si>
  <si>
    <t>Advertising in Frosh Primer</t>
  </si>
  <si>
    <t>Quarter Page</t>
  </si>
  <si>
    <t>Frosh Bags</t>
  </si>
  <si>
    <t>Sidewalk Sale Booth</t>
  </si>
  <si>
    <t>$100 cost, $50 deposit</t>
  </si>
  <si>
    <t>Queen's in the Park Booth</t>
  </si>
  <si>
    <t>Miscellaneous Advertising</t>
  </si>
  <si>
    <t>Chalk, Bristol Board, Paint, Markers, Printing Posters, Ads in Journal/GW</t>
  </si>
  <si>
    <t>Stereo Equipment</t>
  </si>
  <si>
    <t>Estimate for Renting</t>
  </si>
  <si>
    <t>WINE &amp; CHEESE WITH THE DEAN</t>
  </si>
  <si>
    <t xml:space="preserve">Wine </t>
  </si>
  <si>
    <t>Provided by Colio Winery</t>
  </si>
  <si>
    <t>Jazz Ensemble</t>
  </si>
  <si>
    <t>Queen's Bands Jazz Ensemble</t>
  </si>
  <si>
    <t>Juice for Punch</t>
  </si>
  <si>
    <t>Decorations</t>
  </si>
  <si>
    <t>Table Clothes and Christmas Lights</t>
  </si>
  <si>
    <t>Bag of Ice</t>
  </si>
  <si>
    <t>For Punch Bowl</t>
  </si>
  <si>
    <t>Faculty Invites</t>
  </si>
  <si>
    <t>Cracker Platters</t>
  </si>
  <si>
    <t>From Sobeys 12 inch serves 8-12</t>
  </si>
  <si>
    <t>Cheese Nibbler Platters</t>
  </si>
  <si>
    <t>From Sobeys 14 inch serves 10-15</t>
  </si>
  <si>
    <t>Fruit and Cheese Platters</t>
  </si>
  <si>
    <t>Fancy Napkins</t>
  </si>
  <si>
    <t>From Party Packagers</t>
  </si>
  <si>
    <t>Dean's Contribution</t>
  </si>
  <si>
    <t>FINANCE, LOGAN REID</t>
  </si>
  <si>
    <t>GENERAL SUPPLIES</t>
  </si>
  <si>
    <t>Cheques</t>
  </si>
  <si>
    <t>EngSoc Cheques, Services Cheques</t>
  </si>
  <si>
    <t>Coin Rolls</t>
  </si>
  <si>
    <t>Sorted Packs on coin rolls</t>
  </si>
  <si>
    <t>FINANCIAL ADVISORY COMMITTEE</t>
  </si>
  <si>
    <t xml:space="preserve">1 XL PizzaPizza, 2 main meetings, </t>
  </si>
  <si>
    <t>FIRST YEAR, MATT LLOYD</t>
  </si>
  <si>
    <t>ALL-DISCIPLINES NIGHT</t>
  </si>
  <si>
    <t>Pizza - Cheese</t>
  </si>
  <si>
    <t>241 - Twin Extra large pizza (12 sl x 2)</t>
  </si>
  <si>
    <t>Pizza - Pepperoni</t>
  </si>
  <si>
    <t>Case of 12 for refreshment</t>
  </si>
  <si>
    <t>RESUME &amp; INTERVIEW WORKSHOPS (THREE TO BE HELD THROUGHOUT YEAR)</t>
  </si>
  <si>
    <t>INFORMATION TECHNOLOGY, Torrencio Vigilante</t>
  </si>
  <si>
    <t>TECHNOLOGY UPDATES</t>
  </si>
  <si>
    <t>UPS System</t>
  </si>
  <si>
    <t>To the AMS</t>
  </si>
  <si>
    <t>Electrician &amp; Breaker Panel</t>
  </si>
  <si>
    <t>Locking CPU Holder</t>
  </si>
  <si>
    <t>All-nighter</t>
  </si>
  <si>
    <t>HARDWARE, SOFTWARE, &amp; SUPPLIES</t>
  </si>
  <si>
    <t>1 TB Hardrives</t>
  </si>
  <si>
    <t>File Server &amp; Backup Server</t>
  </si>
  <si>
    <t>External Drive</t>
  </si>
  <si>
    <t>Adobe CS5 Master Collection</t>
  </si>
  <si>
    <t>Computer Supplies</t>
  </si>
  <si>
    <t>Microsoft Office 2007, Licenses</t>
  </si>
  <si>
    <t>Deep Freeze Program</t>
  </si>
  <si>
    <t>SERVER UPDATES</t>
  </si>
  <si>
    <t>Air Conditionor</t>
  </si>
  <si>
    <t>For Server Room</t>
  </si>
  <si>
    <t>Raid 5 Upgrade</t>
  </si>
  <si>
    <t>For Back-up Server</t>
  </si>
  <si>
    <t>Server Rack</t>
  </si>
  <si>
    <t>Sever Rail</t>
  </si>
  <si>
    <t>INTERNAL AFFAIRS, Max Howarth</t>
  </si>
  <si>
    <t>BANQUET</t>
  </si>
  <si>
    <t>Wine</t>
  </si>
  <si>
    <t>Sword</t>
  </si>
  <si>
    <t>Engraving the names</t>
  </si>
  <si>
    <t>Mugs</t>
  </si>
  <si>
    <t>For appreciation, have to buy this year</t>
  </si>
  <si>
    <t>Trophies &amp; Plaques</t>
  </si>
  <si>
    <t>Engravings</t>
  </si>
  <si>
    <t>Ticket for Exec</t>
  </si>
  <si>
    <t>Ticket for Directors</t>
  </si>
  <si>
    <t>Ticket for Senators</t>
  </si>
  <si>
    <t>Program</t>
  </si>
  <si>
    <t>Ticket Printing</t>
  </si>
  <si>
    <t>Dunning Printing, may get for free</t>
  </si>
  <si>
    <t>COUNCIL EXPENSES</t>
  </si>
  <si>
    <t>Secretary</t>
  </si>
  <si>
    <t>Does minutes for council.</t>
  </si>
  <si>
    <t>BAF Council</t>
  </si>
  <si>
    <t>Pop (case of 24) costco</t>
  </si>
  <si>
    <t>Potluck Council</t>
  </si>
  <si>
    <t>Plates and Cutlery</t>
  </si>
  <si>
    <t>AGM</t>
  </si>
  <si>
    <t>Pizza (80 people, 7 XL Pizzas)</t>
  </si>
  <si>
    <t>Halloween</t>
  </si>
  <si>
    <t>Christmas</t>
  </si>
  <si>
    <t>CRO</t>
  </si>
  <si>
    <t>Candidate Refunds</t>
  </si>
  <si>
    <t>Each Candidate gets $30 to spend</t>
  </si>
  <si>
    <t xml:space="preserve">Advertising </t>
  </si>
  <si>
    <t>Posters for debates</t>
  </si>
  <si>
    <t>For Debates</t>
  </si>
  <si>
    <t>AMS Election Fees</t>
  </si>
  <si>
    <t>Room Bookings</t>
  </si>
  <si>
    <t>IE. Clark For Elections</t>
  </si>
  <si>
    <t>Referendum Add</t>
  </si>
  <si>
    <t>Security</t>
  </si>
  <si>
    <t>StuCons For Elections</t>
  </si>
  <si>
    <t>JACKET BUSARY &amp; THANK-YOU FUND</t>
  </si>
  <si>
    <t>Candy</t>
  </si>
  <si>
    <t>For the donation pot passed around</t>
  </si>
  <si>
    <t>Food for Award Coordinators</t>
  </si>
  <si>
    <t>Drinks for Award Coordinators</t>
  </si>
  <si>
    <t>Tickets for Power Officers</t>
  </si>
  <si>
    <t>INTERNAL RECORDS</t>
  </si>
  <si>
    <t>Poster &amp; Advertising Supplies</t>
  </si>
  <si>
    <t>construction paper, glue, markers</t>
  </si>
  <si>
    <t>For AWS polls</t>
  </si>
  <si>
    <t>REVIEW BOARD</t>
  </si>
  <si>
    <t>Transition Dinner</t>
  </si>
  <si>
    <t>PROFESSIONAL DEVELOPMENT, Megan Fell</t>
  </si>
  <si>
    <t>AUTO CAD WORKSHOP</t>
  </si>
  <si>
    <t>Manuals</t>
    <phoneticPr fontId="0" type="noConversion"/>
  </si>
  <si>
    <t>Printing and binding</t>
    <phoneticPr fontId="0" type="noConversion"/>
  </si>
  <si>
    <t>Room Booking</t>
    <phoneticPr fontId="0" type="noConversion"/>
  </si>
  <si>
    <t>Computer Reservation</t>
    <phoneticPr fontId="0" type="noConversion"/>
  </si>
  <si>
    <t>Student Fees</t>
    <phoneticPr fontId="0" type="noConversion"/>
  </si>
  <si>
    <t>(revenue)</t>
  </si>
  <si>
    <t>Thank you Cards</t>
    <phoneticPr fontId="0" type="noConversion"/>
  </si>
  <si>
    <t xml:space="preserve">Santa Claus Parade </t>
    <phoneticPr fontId="0" type="noConversion"/>
  </si>
  <si>
    <t>Building Materials</t>
    <phoneticPr fontId="0" type="noConversion"/>
  </si>
  <si>
    <t>*get materials from SciFormal deconstruction</t>
  </si>
  <si>
    <t>was 400</t>
  </si>
  <si>
    <t>Fall Dinner</t>
  </si>
  <si>
    <t>Volunteer Apprecation Fall Motivation</t>
  </si>
  <si>
    <t>EngSoc Banquet</t>
  </si>
  <si>
    <t>Volunteer Apprecation</t>
  </si>
  <si>
    <t>MOCK INTERVIEWS</t>
  </si>
  <si>
    <t>Swiss Chalet Dinners</t>
    <phoneticPr fontId="0" type="noConversion"/>
  </si>
  <si>
    <t>Promotional Material</t>
  </si>
  <si>
    <t>Printing Posters</t>
    <phoneticPr fontId="0" type="noConversion"/>
  </si>
  <si>
    <t>SERVICES, Erik Giles</t>
  </si>
  <si>
    <t>ADVERTISING</t>
  </si>
  <si>
    <t>GW hiring add</t>
  </si>
  <si>
    <t>1/4 page add</t>
  </si>
  <si>
    <t>Did you find that e-mail with the increase? -Logan</t>
  </si>
  <si>
    <t>AMS Journal Hiring Add</t>
  </si>
  <si>
    <t>1/2 page add</t>
  </si>
  <si>
    <t>Fall Term Social</t>
  </si>
  <si>
    <t>iCon Social</t>
  </si>
  <si>
    <t>ILC lasertag</t>
  </si>
  <si>
    <t>CLERICAL</t>
  </si>
  <si>
    <t>Staff/Management Dossier</t>
  </si>
  <si>
    <t>Folders</t>
  </si>
  <si>
    <t>Labels</t>
  </si>
  <si>
    <t>MANAGER TRAINING</t>
  </si>
  <si>
    <t>Soft Drinks (18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</si>
</sst>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_-&quot;$&quot;* #,##0.00_-;\-&quot;$&quot;* #,##0.00_-;_-&quot;$&quot;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name val="Verdana"/>
      <family val="2"/>
    </font>
    <font>
      <i/>
      <sz val="10"/>
      <name val="Verdana"/>
      <family val="2"/>
    </font>
    <font>
      <b/>
      <sz val="11"/>
      <name val="Calibri"/>
      <family val="2"/>
      <scheme val="minor"/>
    </font>
    <font>
      <sz val="11"/>
      <color indexed="0"/>
      <name val="Lucida Grande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Verdana"/>
      <family val="2"/>
    </font>
    <font>
      <b/>
      <sz val="10"/>
      <name val="Verdana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1"/>
      <name val="Calibri"/>
      <family val="2"/>
      <scheme val="minor"/>
    </font>
    <font>
      <sz val="8"/>
      <name val="Verdana"/>
      <family val="2"/>
    </font>
    <font>
      <sz val="10"/>
      <color indexed="0"/>
      <name val="Helvetica Neue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5"/>
      <color theme="1"/>
      <name val="AR "/>
    </font>
    <font>
      <b/>
      <sz val="20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NumberFormat="0" applyFill="0" applyBorder="0" applyProtection="0"/>
    <xf numFmtId="165" fontId="1" fillId="0" borderId="0" applyFont="0" applyFill="0" applyBorder="0" applyAlignment="0" applyProtection="0"/>
  </cellStyleXfs>
  <cellXfs count="431">
    <xf numFmtId="0" fontId="0" fillId="0" borderId="0" xfId="0"/>
    <xf numFmtId="4" fontId="8" fillId="0" borderId="1" xfId="1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>
      <alignment horizontal="right"/>
    </xf>
    <xf numFmtId="164" fontId="0" fillId="0" borderId="9" xfId="0" applyNumberFormat="1" applyBorder="1"/>
    <xf numFmtId="4" fontId="0" fillId="0" borderId="9" xfId="0" applyNumberFormat="1" applyBorder="1"/>
    <xf numFmtId="4" fontId="8" fillId="0" borderId="5" xfId="1" applyNumberFormat="1" applyFont="1" applyFill="1" applyBorder="1" applyAlignment="1">
      <alignment horizontal="right"/>
    </xf>
    <xf numFmtId="0" fontId="9" fillId="0" borderId="7" xfId="1" applyNumberFormat="1" applyFont="1" applyFill="1" applyBorder="1" applyAlignment="1">
      <alignment horizontal="right"/>
    </xf>
    <xf numFmtId="164" fontId="0" fillId="0" borderId="11" xfId="0" applyNumberFormat="1" applyBorder="1"/>
    <xf numFmtId="4" fontId="0" fillId="0" borderId="11" xfId="0" applyNumberFormat="1" applyBorder="1"/>
    <xf numFmtId="4" fontId="8" fillId="2" borderId="1" xfId="1" applyNumberFormat="1" applyFont="1" applyFill="1" applyBorder="1" applyAlignment="1">
      <alignment horizontal="right"/>
    </xf>
    <xf numFmtId="0" fontId="9" fillId="2" borderId="3" xfId="1" applyNumberFormat="1" applyFont="1" applyFill="1" applyBorder="1" applyAlignment="1">
      <alignment horizontal="right"/>
    </xf>
    <xf numFmtId="164" fontId="0" fillId="2" borderId="9" xfId="0" applyNumberFormat="1" applyFill="1" applyBorder="1"/>
    <xf numFmtId="4" fontId="0" fillId="2" borderId="9" xfId="0" applyNumberFormat="1" applyFill="1" applyBorder="1"/>
    <xf numFmtId="0" fontId="9" fillId="2" borderId="6" xfId="1" applyNumberFormat="1" applyFont="1" applyFill="1" applyBorder="1" applyAlignment="1">
      <alignment horizontal="right"/>
    </xf>
    <xf numFmtId="0" fontId="0" fillId="0" borderId="0" xfId="0" applyBorder="1"/>
    <xf numFmtId="0" fontId="9" fillId="0" borderId="3" xfId="1" applyNumberFormat="1" applyFont="1" applyFill="1" applyBorder="1" applyAlignment="1">
      <alignment horizontal="right"/>
    </xf>
    <xf numFmtId="4" fontId="8" fillId="0" borderId="4" xfId="1" applyNumberFormat="1" applyFont="1" applyFill="1" applyBorder="1" applyAlignment="1">
      <alignment horizontal="right"/>
    </xf>
    <xf numFmtId="0" fontId="9" fillId="0" borderId="12" xfId="1" applyNumberFormat="1" applyFont="1" applyFill="1" applyBorder="1" applyAlignment="1">
      <alignment horizontal="right"/>
    </xf>
    <xf numFmtId="164" fontId="0" fillId="0" borderId="10" xfId="0" applyNumberFormat="1" applyBorder="1"/>
    <xf numFmtId="4" fontId="0" fillId="0" borderId="10" xfId="0" applyNumberFormat="1" applyBorder="1"/>
    <xf numFmtId="0" fontId="9" fillId="0" borderId="6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164" fontId="0" fillId="0" borderId="9" xfId="0" applyNumberFormat="1" applyFill="1" applyBorder="1"/>
    <xf numFmtId="4" fontId="0" fillId="0" borderId="9" xfId="0" applyNumberFormat="1" applyFill="1" applyBorder="1"/>
    <xf numFmtId="4" fontId="8" fillId="2" borderId="4" xfId="1" applyNumberFormat="1" applyFont="1" applyFill="1" applyBorder="1" applyAlignment="1">
      <alignment horizontal="right"/>
    </xf>
    <xf numFmtId="164" fontId="0" fillId="0" borderId="10" xfId="0" applyNumberFormat="1" applyFill="1" applyBorder="1"/>
    <xf numFmtId="4" fontId="0" fillId="0" borderId="10" xfId="0" applyNumberFormat="1" applyFill="1" applyBorder="1"/>
    <xf numFmtId="164" fontId="0" fillId="0" borderId="11" xfId="0" applyNumberFormat="1" applyFill="1" applyBorder="1"/>
    <xf numFmtId="4" fontId="0" fillId="0" borderId="11" xfId="0" applyNumberFormat="1" applyFill="1" applyBorder="1"/>
    <xf numFmtId="0" fontId="0" fillId="0" borderId="0" xfId="0" applyFill="1" applyBorder="1"/>
    <xf numFmtId="164" fontId="0" fillId="0" borderId="8" xfId="0" applyNumberFormat="1" applyBorder="1"/>
    <xf numFmtId="4" fontId="0" fillId="0" borderId="8" xfId="0" applyNumberFormat="1" applyBorder="1"/>
    <xf numFmtId="4" fontId="8" fillId="0" borderId="13" xfId="1" applyNumberFormat="1" applyFont="1" applyFill="1" applyBorder="1" applyAlignment="1">
      <alignment horizontal="right"/>
    </xf>
    <xf numFmtId="0" fontId="9" fillId="0" borderId="15" xfId="1" applyNumberFormat="1" applyFont="1" applyFill="1" applyBorder="1" applyAlignment="1">
      <alignment horizontal="right"/>
    </xf>
    <xf numFmtId="4" fontId="8" fillId="0" borderId="2" xfId="1" applyNumberFormat="1" applyFont="1" applyFill="1" applyBorder="1" applyAlignment="1">
      <alignment horizontal="right"/>
    </xf>
    <xf numFmtId="4" fontId="8" fillId="0" borderId="0" xfId="1" applyNumberFormat="1" applyFont="1" applyFill="1" applyBorder="1" applyAlignment="1">
      <alignment horizontal="right"/>
    </xf>
    <xf numFmtId="4" fontId="8" fillId="0" borderId="7" xfId="1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wrapText="1"/>
    </xf>
    <xf numFmtId="4" fontId="0" fillId="0" borderId="1" xfId="0" applyNumberFormat="1" applyFill="1" applyBorder="1"/>
    <xf numFmtId="0" fontId="0" fillId="0" borderId="3" xfId="0" applyFill="1" applyBorder="1"/>
    <xf numFmtId="164" fontId="0" fillId="0" borderId="3" xfId="0" applyNumberFormat="1" applyBorder="1"/>
    <xf numFmtId="4" fontId="0" fillId="0" borderId="4" xfId="0" applyNumberFormat="1" applyFill="1" applyBorder="1"/>
    <xf numFmtId="0" fontId="0" fillId="0" borderId="12" xfId="0" applyFill="1" applyBorder="1"/>
    <xf numFmtId="164" fontId="0" fillId="0" borderId="12" xfId="0" applyNumberFormat="1" applyBorder="1"/>
    <xf numFmtId="4" fontId="0" fillId="0" borderId="5" xfId="0" applyNumberFormat="1" applyFill="1" applyBorder="1"/>
    <xf numFmtId="0" fontId="0" fillId="0" borderId="6" xfId="0" applyFill="1" applyBorder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4" fontId="0" fillId="0" borderId="13" xfId="0" applyNumberFormat="1" applyFill="1" applyBorder="1"/>
    <xf numFmtId="0" fontId="0" fillId="0" borderId="15" xfId="0" applyFill="1" applyBorder="1"/>
    <xf numFmtId="164" fontId="0" fillId="0" borderId="6" xfId="0" applyNumberFormat="1" applyBorder="1"/>
    <xf numFmtId="164" fontId="8" fillId="0" borderId="5" xfId="1" applyNumberFormat="1" applyFont="1" applyFill="1" applyBorder="1" applyAlignment="1">
      <alignment horizontal="right"/>
    </xf>
    <xf numFmtId="164" fontId="8" fillId="0" borderId="4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/>
    </xf>
    <xf numFmtId="164" fontId="0" fillId="0" borderId="9" xfId="0" applyNumberFormat="1" applyFont="1" applyBorder="1"/>
    <xf numFmtId="4" fontId="0" fillId="0" borderId="9" xfId="0" applyNumberFormat="1" applyFont="1" applyBorder="1"/>
    <xf numFmtId="4" fontId="0" fillId="0" borderId="5" xfId="0" applyNumberFormat="1" applyBorder="1"/>
    <xf numFmtId="4" fontId="0" fillId="0" borderId="1" xfId="0" applyNumberFormat="1" applyBorder="1"/>
    <xf numFmtId="7" fontId="0" fillId="0" borderId="10" xfId="0" applyNumberFormat="1" applyFill="1" applyBorder="1"/>
    <xf numFmtId="39" fontId="0" fillId="0" borderId="10" xfId="0" applyNumberFormat="1" applyBorder="1"/>
    <xf numFmtId="7" fontId="14" fillId="0" borderId="4" xfId="1" applyNumberFormat="1" applyFont="1" applyFill="1" applyBorder="1" applyAlignment="1">
      <alignment horizontal="right"/>
    </xf>
    <xf numFmtId="0" fontId="9" fillId="0" borderId="6" xfId="1" applyFont="1" applyFill="1" applyBorder="1" applyAlignment="1">
      <alignment horizontal="right"/>
    </xf>
    <xf numFmtId="0" fontId="9" fillId="0" borderId="12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right"/>
    </xf>
    <xf numFmtId="164" fontId="0" fillId="2" borderId="10" xfId="0" applyNumberFormat="1" applyFill="1" applyBorder="1"/>
    <xf numFmtId="4" fontId="0" fillId="2" borderId="10" xfId="0" applyNumberFormat="1" applyFill="1" applyBorder="1"/>
    <xf numFmtId="0" fontId="9" fillId="2" borderId="12" xfId="1" applyNumberFormat="1" applyFont="1" applyFill="1" applyBorder="1" applyAlignment="1">
      <alignment horizontal="right"/>
    </xf>
    <xf numFmtId="164" fontId="12" fillId="0" borderId="8" xfId="0" applyNumberFormat="1" applyFont="1" applyBorder="1"/>
    <xf numFmtId="164" fontId="0" fillId="0" borderId="8" xfId="0" applyNumberFormat="1" applyFont="1" applyBorder="1"/>
    <xf numFmtId="164" fontId="8" fillId="0" borderId="14" xfId="1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8" xfId="0" applyNumberFormat="1" applyFont="1" applyFill="1" applyBorder="1" applyAlignment="1">
      <alignment horizontal="center" wrapText="1"/>
    </xf>
    <xf numFmtId="0" fontId="16" fillId="0" borderId="3" xfId="0" applyFont="1" applyFill="1" applyBorder="1"/>
    <xf numFmtId="0" fontId="16" fillId="0" borderId="6" xfId="0" applyFont="1" applyBorder="1"/>
    <xf numFmtId="4" fontId="8" fillId="0" borderId="14" xfId="1" applyNumberFormat="1" applyFont="1" applyFill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0" fontId="9" fillId="0" borderId="3" xfId="1" applyNumberFormat="1" applyFont="1" applyBorder="1" applyAlignment="1">
      <alignment horizontal="right"/>
    </xf>
    <xf numFmtId="4" fontId="8" fillId="0" borderId="4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0" fillId="0" borderId="12" xfId="0" applyNumberFormat="1" applyFill="1" applyBorder="1"/>
    <xf numFmtId="4" fontId="8" fillId="0" borderId="5" xfId="1" applyNumberFormat="1" applyFont="1" applyBorder="1" applyAlignment="1">
      <alignment horizontal="right"/>
    </xf>
    <xf numFmtId="0" fontId="9" fillId="0" borderId="6" xfId="1" applyNumberFormat="1" applyFont="1" applyBorder="1" applyAlignment="1">
      <alignment horizontal="right"/>
    </xf>
    <xf numFmtId="4" fontId="0" fillId="0" borderId="4" xfId="0" applyNumberFormat="1" applyBorder="1"/>
    <xf numFmtId="164" fontId="0" fillId="0" borderId="10" xfId="0" quotePrefix="1" applyNumberFormat="1" applyBorder="1"/>
    <xf numFmtId="164" fontId="0" fillId="2" borderId="4" xfId="0" applyNumberFormat="1" applyFill="1" applyBorder="1"/>
    <xf numFmtId="164" fontId="0" fillId="2" borderId="10" xfId="0" quotePrefix="1" applyNumberFormat="1" applyFill="1" applyBorder="1"/>
    <xf numFmtId="4" fontId="8" fillId="0" borderId="13" xfId="1" applyNumberFormat="1" applyFont="1" applyBorder="1" applyAlignment="1">
      <alignment horizontal="right"/>
    </xf>
    <xf numFmtId="164" fontId="0" fillId="0" borderId="15" xfId="0" applyNumberFormat="1" applyBorder="1"/>
    <xf numFmtId="7" fontId="0" fillId="0" borderId="0" xfId="0" applyNumberFormat="1"/>
    <xf numFmtId="7" fontId="0" fillId="0" borderId="8" xfId="0" applyNumberFormat="1" applyBorder="1"/>
    <xf numFmtId="7" fontId="0" fillId="0" borderId="11" xfId="0" applyNumberFormat="1" applyBorder="1"/>
    <xf numFmtId="164" fontId="0" fillId="0" borderId="10" xfId="0" quotePrefix="1" applyNumberFormat="1" applyFill="1" applyBorder="1"/>
    <xf numFmtId="7" fontId="0" fillId="0" borderId="11" xfId="0" applyNumberFormat="1" applyFill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 applyFill="1" applyBorder="1"/>
    <xf numFmtId="7" fontId="0" fillId="0" borderId="9" xfId="0" applyNumberFormat="1" applyBorder="1"/>
    <xf numFmtId="7" fontId="0" fillId="0" borderId="10" xfId="0" applyNumberFormat="1" applyBorder="1"/>
    <xf numFmtId="164" fontId="0" fillId="0" borderId="3" xfId="0" applyNumberFormat="1" applyFill="1" applyBorder="1"/>
    <xf numFmtId="164" fontId="0" fillId="0" borderId="6" xfId="0" applyNumberFormat="1" applyFill="1" applyBorder="1"/>
    <xf numFmtId="164" fontId="8" fillId="0" borderId="13" xfId="1" applyNumberFormat="1" applyFont="1" applyBorder="1" applyAlignment="1">
      <alignment horizontal="right"/>
    </xf>
    <xf numFmtId="0" fontId="9" fillId="0" borderId="15" xfId="1" applyNumberFormat="1" applyFont="1" applyBorder="1" applyAlignment="1">
      <alignment horizontal="right"/>
    </xf>
    <xf numFmtId="164" fontId="0" fillId="0" borderId="8" xfId="0" applyNumberFormat="1" applyFill="1" applyBorder="1"/>
    <xf numFmtId="4" fontId="0" fillId="0" borderId="2" xfId="0" applyNumberFormat="1" applyFill="1" applyBorder="1"/>
    <xf numFmtId="4" fontId="0" fillId="0" borderId="0" xfId="0" applyNumberFormat="1" applyFill="1" applyBorder="1"/>
    <xf numFmtId="4" fontId="0" fillId="0" borderId="7" xfId="0" applyNumberFormat="1" applyFill="1" applyBorder="1"/>
    <xf numFmtId="4" fontId="19" fillId="0" borderId="1" xfId="1" applyNumberFormat="1" applyFont="1" applyFill="1" applyBorder="1" applyAlignment="1">
      <alignment horizontal="right"/>
    </xf>
    <xf numFmtId="4" fontId="0" fillId="0" borderId="0" xfId="0" applyNumberFormat="1"/>
    <xf numFmtId="0" fontId="21" fillId="0" borderId="6" xfId="8" applyNumberFormat="1" applyFont="1" applyFill="1" applyBorder="1" applyAlignment="1"/>
    <xf numFmtId="0" fontId="21" fillId="0" borderId="15" xfId="8" applyNumberFormat="1" applyFont="1" applyFill="1" applyBorder="1" applyAlignment="1"/>
    <xf numFmtId="0" fontId="21" fillId="0" borderId="12" xfId="8" applyNumberFormat="1" applyFont="1" applyFill="1" applyBorder="1" applyAlignment="1"/>
    <xf numFmtId="0" fontId="21" fillId="0" borderId="3" xfId="8" applyNumberFormat="1" applyFont="1" applyFill="1" applyBorder="1" applyAlignment="1"/>
    <xf numFmtId="0" fontId="21" fillId="0" borderId="7" xfId="8" applyNumberFormat="1" applyFont="1" applyFill="1" applyBorder="1" applyAlignment="1"/>
    <xf numFmtId="0" fontId="21" fillId="0" borderId="2" xfId="8" applyNumberFormat="1" applyFont="1" applyFill="1" applyBorder="1" applyAlignment="1"/>
    <xf numFmtId="0" fontId="21" fillId="0" borderId="0" xfId="8" applyNumberFormat="1" applyFont="1" applyFill="1" applyBorder="1" applyAlignment="1"/>
    <xf numFmtId="4" fontId="0" fillId="0" borderId="5" xfId="9" applyNumberFormat="1" applyFont="1" applyFill="1" applyBorder="1"/>
    <xf numFmtId="4" fontId="0" fillId="0" borderId="1" xfId="9" applyNumberFormat="1" applyFont="1" applyFill="1" applyBorder="1"/>
    <xf numFmtId="4" fontId="0" fillId="0" borderId="4" xfId="9" applyNumberFormat="1" applyFont="1" applyFill="1" applyBorder="1"/>
    <xf numFmtId="4" fontId="22" fillId="0" borderId="5" xfId="9" applyNumberFormat="1" applyFont="1" applyFill="1" applyBorder="1" applyAlignment="1"/>
    <xf numFmtId="4" fontId="23" fillId="0" borderId="4" xfId="9" applyNumberFormat="1" applyFont="1" applyFill="1" applyBorder="1" applyAlignment="1"/>
    <xf numFmtId="4" fontId="23" fillId="0" borderId="1" xfId="9" applyNumberFormat="1" applyFont="1" applyFill="1" applyBorder="1" applyAlignment="1"/>
    <xf numFmtId="4" fontId="0" fillId="0" borderId="8" xfId="0" applyNumberForma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39" fontId="8" fillId="0" borderId="1" xfId="1" applyNumberFormat="1" applyFont="1" applyFill="1" applyBorder="1" applyAlignment="1">
      <alignment horizontal="right"/>
    </xf>
    <xf numFmtId="39" fontId="8" fillId="0" borderId="4" xfId="1" applyNumberFormat="1" applyFont="1" applyFill="1" applyBorder="1" applyAlignment="1">
      <alignment horizontal="right"/>
    </xf>
    <xf numFmtId="39" fontId="8" fillId="0" borderId="13" xfId="1" applyNumberFormat="1" applyFont="1" applyFill="1" applyBorder="1" applyAlignment="1">
      <alignment horizontal="right"/>
    </xf>
    <xf numFmtId="39" fontId="8" fillId="0" borderId="5" xfId="1" applyNumberFormat="1" applyFont="1" applyFill="1" applyBorder="1" applyAlignment="1">
      <alignment horizontal="right"/>
    </xf>
    <xf numFmtId="39" fontId="0" fillId="0" borderId="9" xfId="0" applyNumberFormat="1" applyBorder="1"/>
    <xf numFmtId="39" fontId="0" fillId="0" borderId="8" xfId="0" applyNumberFormat="1" applyBorder="1"/>
    <xf numFmtId="39" fontId="0" fillId="0" borderId="11" xfId="0" applyNumberFormat="1" applyBorder="1"/>
    <xf numFmtId="39" fontId="0" fillId="0" borderId="10" xfId="0" applyNumberFormat="1" applyFill="1" applyBorder="1"/>
    <xf numFmtId="39" fontId="8" fillId="2" borderId="4" xfId="1" applyNumberFormat="1" applyFont="1" applyFill="1" applyBorder="1" applyAlignment="1">
      <alignment horizontal="right"/>
    </xf>
    <xf numFmtId="39" fontId="0" fillId="0" borderId="11" xfId="0" applyNumberFormat="1" applyFill="1" applyBorder="1"/>
    <xf numFmtId="39" fontId="8" fillId="0" borderId="1" xfId="1" applyNumberFormat="1" applyFont="1" applyBorder="1" applyAlignment="1">
      <alignment horizontal="right"/>
    </xf>
    <xf numFmtId="39" fontId="8" fillId="0" borderId="4" xfId="1" applyNumberFormat="1" applyFont="1" applyBorder="1" applyAlignment="1">
      <alignment horizontal="right"/>
    </xf>
    <xf numFmtId="39" fontId="19" fillId="0" borderId="2" xfId="1" applyNumberFormat="1" applyFont="1" applyFill="1" applyBorder="1" applyAlignment="1">
      <alignment horizontal="right"/>
    </xf>
    <xf numFmtId="39" fontId="0" fillId="0" borderId="9" xfId="0" applyNumberFormat="1" applyFill="1" applyBorder="1"/>
    <xf numFmtId="39" fontId="8" fillId="0" borderId="2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39" fontId="8" fillId="0" borderId="7" xfId="1" applyNumberFormat="1" applyFont="1" applyFill="1" applyBorder="1" applyAlignment="1">
      <alignment horizontal="right"/>
    </xf>
    <xf numFmtId="39" fontId="8" fillId="0" borderId="13" xfId="1" applyNumberFormat="1" applyFont="1" applyBorder="1" applyAlignment="1">
      <alignment horizontal="right"/>
    </xf>
    <xf numFmtId="39" fontId="8" fillId="0" borderId="2" xfId="1" applyNumberFormat="1" applyFont="1" applyBorder="1" applyAlignment="1">
      <alignment horizontal="right"/>
    </xf>
    <xf numFmtId="39" fontId="8" fillId="0" borderId="0" xfId="1" applyNumberFormat="1" applyFont="1" applyBorder="1" applyAlignment="1">
      <alignment horizontal="right"/>
    </xf>
    <xf numFmtId="39" fontId="8" fillId="0" borderId="7" xfId="1" applyNumberFormat="1" applyFont="1" applyBorder="1" applyAlignment="1">
      <alignment horizontal="right"/>
    </xf>
    <xf numFmtId="39" fontId="8" fillId="0" borderId="14" xfId="1" applyNumberFormat="1" applyFont="1" applyFill="1" applyBorder="1" applyAlignment="1">
      <alignment horizontal="right"/>
    </xf>
    <xf numFmtId="4" fontId="21" fillId="0" borderId="1" xfId="8" applyNumberFormat="1" applyFont="1" applyFill="1" applyBorder="1" applyAlignment="1"/>
    <xf numFmtId="4" fontId="21" fillId="0" borderId="4" xfId="8" applyNumberFormat="1" applyFont="1" applyFill="1" applyBorder="1" applyAlignment="1"/>
    <xf numFmtId="4" fontId="21" fillId="0" borderId="5" xfId="8" applyNumberFormat="1" applyFont="1" applyFill="1" applyBorder="1" applyAlignment="1"/>
    <xf numFmtId="4" fontId="21" fillId="0" borderId="2" xfId="8" applyNumberFormat="1" applyFont="1" applyFill="1" applyBorder="1" applyAlignment="1"/>
    <xf numFmtId="4" fontId="21" fillId="0" borderId="7" xfId="8" applyNumberFormat="1" applyFont="1" applyFill="1" applyBorder="1" applyAlignment="1"/>
    <xf numFmtId="0" fontId="0" fillId="0" borderId="0" xfId="0"/>
    <xf numFmtId="4" fontId="0" fillId="2" borderId="4" xfId="9" applyNumberFormat="1" applyFont="1" applyFill="1" applyBorder="1"/>
    <xf numFmtId="0" fontId="9" fillId="2" borderId="15" xfId="1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12" fillId="0" borderId="1" xfId="0" applyNumberFormat="1" applyFont="1" applyBorder="1"/>
    <xf numFmtId="164" fontId="0" fillId="0" borderId="11" xfId="0" applyNumberFormat="1" applyFont="1" applyBorder="1"/>
    <xf numFmtId="4" fontId="0" fillId="2" borderId="4" xfId="0" applyNumberFormat="1" applyFill="1" applyBorder="1"/>
    <xf numFmtId="164" fontId="0" fillId="0" borderId="11" xfId="0" quotePrefix="1" applyNumberFormat="1" applyFill="1" applyBorder="1"/>
    <xf numFmtId="0" fontId="0" fillId="0" borderId="1" xfId="0" applyBorder="1"/>
    <xf numFmtId="0" fontId="0" fillId="0" borderId="4" xfId="0" applyBorder="1"/>
    <xf numFmtId="0" fontId="0" fillId="0" borderId="13" xfId="0" applyBorder="1"/>
    <xf numFmtId="0" fontId="0" fillId="2" borderId="0" xfId="0" applyFill="1"/>
    <xf numFmtId="4" fontId="21" fillId="2" borderId="1" xfId="8" applyNumberFormat="1" applyFont="1" applyFill="1" applyBorder="1" applyAlignment="1"/>
    <xf numFmtId="0" fontId="21" fillId="2" borderId="3" xfId="8" applyNumberFormat="1" applyFont="1" applyFill="1" applyBorder="1" applyAlignment="1"/>
    <xf numFmtId="4" fontId="21" fillId="2" borderId="4" xfId="8" applyNumberFormat="1" applyFont="1" applyFill="1" applyBorder="1" applyAlignment="1"/>
    <xf numFmtId="0" fontId="21" fillId="2" borderId="12" xfId="8" applyNumberFormat="1" applyFont="1" applyFill="1" applyBorder="1" applyAlignment="1"/>
    <xf numFmtId="164" fontId="0" fillId="0" borderId="5" xfId="0" applyNumberFormat="1" applyBorder="1"/>
    <xf numFmtId="0" fontId="0" fillId="0" borderId="6" xfId="0" applyBorder="1"/>
    <xf numFmtId="164" fontId="0" fillId="0" borderId="14" xfId="0" applyNumberFormat="1" applyBorder="1"/>
    <xf numFmtId="0" fontId="0" fillId="0" borderId="14" xfId="0" applyBorder="1"/>
    <xf numFmtId="0" fontId="0" fillId="0" borderId="15" xfId="0" applyBorder="1"/>
    <xf numFmtId="164" fontId="0" fillId="0" borderId="4" xfId="0" applyNumberFormat="1" applyBorder="1"/>
    <xf numFmtId="0" fontId="0" fillId="0" borderId="0" xfId="0" applyBorder="1"/>
    <xf numFmtId="0" fontId="0" fillId="0" borderId="12" xfId="0" applyBorder="1"/>
    <xf numFmtId="164" fontId="0" fillId="0" borderId="1" xfId="0" applyNumberFormat="1" applyBorder="1"/>
    <xf numFmtId="0" fontId="0" fillId="0" borderId="3" xfId="0" applyBorder="1"/>
    <xf numFmtId="164" fontId="0" fillId="0" borderId="13" xfId="0" applyNumberFormat="1" applyBorder="1"/>
    <xf numFmtId="0" fontId="8" fillId="0" borderId="5" xfId="1" applyFon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8" fillId="0" borderId="4" xfId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8" fillId="0" borderId="5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8" fillId="0" borderId="13" xfId="1" applyFont="1" applyFill="1" applyBorder="1" applyAlignment="1">
      <alignment horizontal="right"/>
    </xf>
    <xf numFmtId="0" fontId="8" fillId="0" borderId="4" xfId="1" applyFont="1" applyFill="1" applyBorder="1" applyAlignment="1">
      <alignment horizontal="right"/>
    </xf>
    <xf numFmtId="0" fontId="15" fillId="0" borderId="13" xfId="1" applyFont="1" applyFill="1" applyBorder="1" applyAlignment="1">
      <alignment horizontal="right"/>
    </xf>
    <xf numFmtId="0" fontId="15" fillId="0" borderId="5" xfId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4" fontId="28" fillId="0" borderId="14" xfId="0" applyNumberFormat="1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164" fontId="2" fillId="0" borderId="14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3" borderId="13" xfId="0" applyFont="1" applyFill="1" applyBorder="1" applyAlignment="1"/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Border="1" applyAlignment="1">
      <alignment horizontal="left"/>
    </xf>
    <xf numFmtId="164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0" borderId="4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8" fillId="0" borderId="3" xfId="1" applyFont="1" applyBorder="1" applyAlignment="1">
      <alignment horizontal="right"/>
    </xf>
    <xf numFmtId="0" fontId="8" fillId="0" borderId="5" xfId="1" applyFont="1" applyBorder="1" applyAlignment="1">
      <alignment horizontal="right"/>
    </xf>
    <xf numFmtId="0" fontId="8" fillId="0" borderId="7" xfId="1" applyFont="1" applyBorder="1" applyAlignment="1">
      <alignment horizontal="right"/>
    </xf>
    <xf numFmtId="0" fontId="8" fillId="0" borderId="6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4" fontId="2" fillId="3" borderId="13" xfId="0" applyNumberFormat="1" applyFont="1" applyFill="1" applyBorder="1" applyAlignment="1">
      <alignment horizontal="right"/>
    </xf>
    <xf numFmtId="164" fontId="2" fillId="3" borderId="14" xfId="0" applyNumberFormat="1" applyFont="1" applyFill="1" applyBorder="1" applyAlignment="1">
      <alignment horizontal="right"/>
    </xf>
    <xf numFmtId="164" fontId="2" fillId="3" borderId="15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/>
    </xf>
    <xf numFmtId="9" fontId="8" fillId="0" borderId="7" xfId="1" applyNumberFormat="1" applyFont="1" applyBorder="1" applyAlignment="1">
      <alignment horizontal="right"/>
    </xf>
    <xf numFmtId="9" fontId="8" fillId="0" borderId="6" xfId="1" applyNumberFormat="1" applyFont="1" applyBorder="1" applyAlignment="1">
      <alignment horizontal="right"/>
    </xf>
    <xf numFmtId="0" fontId="8" fillId="0" borderId="13" xfId="1" applyFont="1" applyBorder="1" applyAlignment="1">
      <alignment horizontal="right"/>
    </xf>
    <xf numFmtId="0" fontId="8" fillId="0" borderId="14" xfId="1" applyFont="1" applyBorder="1" applyAlignment="1">
      <alignment horizontal="right"/>
    </xf>
    <xf numFmtId="9" fontId="8" fillId="0" borderId="14" xfId="1" applyNumberFormat="1" applyFont="1" applyBorder="1" applyAlignment="1">
      <alignment horizontal="right"/>
    </xf>
    <xf numFmtId="9" fontId="8" fillId="0" borderId="15" xfId="1" applyNumberFormat="1" applyFont="1" applyBorder="1" applyAlignment="1">
      <alignment horizontal="right"/>
    </xf>
    <xf numFmtId="9" fontId="8" fillId="0" borderId="2" xfId="1" applyNumberFormat="1" applyFont="1" applyBorder="1" applyAlignment="1">
      <alignment horizontal="right"/>
    </xf>
    <xf numFmtId="9" fontId="8" fillId="0" borderId="3" xfId="1" applyNumberFormat="1" applyFont="1" applyBorder="1" applyAlignment="1">
      <alignment horizontal="right"/>
    </xf>
    <xf numFmtId="0" fontId="8" fillId="2" borderId="4" xfId="1" applyFont="1" applyFill="1" applyBorder="1" applyAlignment="1">
      <alignment horizontal="right"/>
    </xf>
    <xf numFmtId="0" fontId="8" fillId="2" borderId="0" xfId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2" fillId="3" borderId="15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  <xf numFmtId="0" fontId="0" fillId="0" borderId="0" xfId="0" applyBorder="1" applyAlignment="1">
      <alignment horizontal="center"/>
    </xf>
    <xf numFmtId="0" fontId="8" fillId="0" borderId="4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8" fillId="0" borderId="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0" fontId="8" fillId="0" borderId="7" xfId="1" applyFont="1" applyFill="1" applyBorder="1" applyAlignment="1">
      <alignment horizontal="right"/>
    </xf>
    <xf numFmtId="0" fontId="8" fillId="0" borderId="6" xfId="1" applyFont="1" applyFill="1" applyBorder="1" applyAlignment="1">
      <alignment horizontal="right"/>
    </xf>
    <xf numFmtId="0" fontId="8" fillId="0" borderId="5" xfId="1" applyFont="1" applyFill="1" applyBorder="1" applyAlignment="1">
      <alignment horizontal="right"/>
    </xf>
    <xf numFmtId="0" fontId="8" fillId="0" borderId="3" xfId="1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3" xfId="1" applyFont="1" applyFill="1" applyBorder="1" applyAlignment="1">
      <alignment horizontal="right"/>
    </xf>
    <xf numFmtId="0" fontId="8" fillId="0" borderId="14" xfId="1" applyFon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64" fontId="10" fillId="3" borderId="14" xfId="0" applyNumberFormat="1" applyFont="1" applyFill="1" applyBorder="1" applyAlignment="1">
      <alignment horizontal="right"/>
    </xf>
    <xf numFmtId="164" fontId="10" fillId="3" borderId="15" xfId="0" applyNumberFormat="1" applyFont="1" applyFill="1" applyBorder="1" applyAlignment="1">
      <alignment horizontal="right"/>
    </xf>
    <xf numFmtId="0" fontId="10" fillId="3" borderId="13" xfId="0" applyFont="1" applyFill="1" applyBorder="1" applyAlignment="1"/>
    <xf numFmtId="0" fontId="10" fillId="3" borderId="14" xfId="0" applyFont="1" applyFill="1" applyBorder="1" applyAlignment="1"/>
    <xf numFmtId="0" fontId="10" fillId="3" borderId="15" xfId="0" applyFont="1" applyFill="1" applyBorder="1" applyAlignment="1"/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4" xfId="0" quotePrefix="1" applyFill="1" applyBorder="1" applyAlignment="1">
      <alignment horizontal="right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164" fontId="2" fillId="0" borderId="1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6" fillId="0" borderId="1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164" fontId="27" fillId="0" borderId="1" xfId="0" applyNumberFormat="1" applyFont="1" applyFill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6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5" xfId="1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right" wrapText="1"/>
    </xf>
    <xf numFmtId="0" fontId="8" fillId="0" borderId="6" xfId="1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12" xfId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8" fillId="2" borderId="12" xfId="1" applyFont="1" applyFill="1" applyBorder="1" applyAlignment="1">
      <alignment horizontal="right"/>
    </xf>
    <xf numFmtId="0" fontId="15" fillId="0" borderId="1" xfId="1" applyFont="1" applyFill="1" applyBorder="1" applyAlignment="1">
      <alignment horizontal="right"/>
    </xf>
    <xf numFmtId="0" fontId="15" fillId="0" borderId="2" xfId="1" applyFont="1" applyFill="1" applyBorder="1" applyAlignment="1">
      <alignment horizontal="right"/>
    </xf>
    <xf numFmtId="0" fontId="15" fillId="0" borderId="5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/>
    </xf>
    <xf numFmtId="0" fontId="15" fillId="0" borderId="13" xfId="1" applyFont="1" applyFill="1" applyBorder="1" applyAlignment="1">
      <alignment horizontal="right"/>
    </xf>
    <xf numFmtId="0" fontId="15" fillId="0" borderId="14" xfId="1" applyFont="1" applyFill="1" applyBorder="1" applyAlignment="1">
      <alignment horizontal="right"/>
    </xf>
    <xf numFmtId="0" fontId="8" fillId="0" borderId="15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0" fontId="21" fillId="0" borderId="1" xfId="8" applyNumberFormat="1" applyFont="1" applyFill="1" applyBorder="1" applyAlignment="1">
      <alignment horizontal="right"/>
    </xf>
    <xf numFmtId="0" fontId="21" fillId="0" borderId="2" xfId="8" applyNumberFormat="1" applyFont="1" applyFill="1" applyBorder="1" applyAlignment="1">
      <alignment horizontal="right"/>
    </xf>
    <xf numFmtId="0" fontId="21" fillId="0" borderId="3" xfId="8" applyNumberFormat="1" applyFont="1" applyFill="1" applyBorder="1" applyAlignment="1">
      <alignment horizontal="right"/>
    </xf>
    <xf numFmtId="0" fontId="21" fillId="0" borderId="4" xfId="8" applyNumberFormat="1" applyFont="1" applyFill="1" applyBorder="1" applyAlignment="1">
      <alignment horizontal="right"/>
    </xf>
    <xf numFmtId="0" fontId="21" fillId="0" borderId="0" xfId="8" applyNumberFormat="1" applyFont="1" applyFill="1" applyBorder="1" applyAlignment="1">
      <alignment horizontal="right"/>
    </xf>
    <xf numFmtId="0" fontId="21" fillId="0" borderId="12" xfId="8" applyNumberFormat="1" applyFont="1" applyFill="1" applyBorder="1" applyAlignment="1">
      <alignment horizontal="right"/>
    </xf>
    <xf numFmtId="0" fontId="21" fillId="0" borderId="5" xfId="8" applyNumberFormat="1" applyFont="1" applyFill="1" applyBorder="1" applyAlignment="1">
      <alignment horizontal="right"/>
    </xf>
    <xf numFmtId="0" fontId="21" fillId="0" borderId="7" xfId="8" applyNumberFormat="1" applyFont="1" applyFill="1" applyBorder="1" applyAlignment="1">
      <alignment horizontal="right"/>
    </xf>
    <xf numFmtId="0" fontId="21" fillId="0" borderId="6" xfId="8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21" fillId="2" borderId="1" xfId="8" applyNumberFormat="1" applyFont="1" applyFill="1" applyBorder="1" applyAlignment="1">
      <alignment horizontal="right"/>
    </xf>
    <xf numFmtId="0" fontId="21" fillId="2" borderId="2" xfId="8" applyNumberFormat="1" applyFont="1" applyFill="1" applyBorder="1" applyAlignment="1">
      <alignment horizontal="right"/>
    </xf>
    <xf numFmtId="0" fontId="21" fillId="0" borderId="13" xfId="8" applyNumberFormat="1" applyFont="1" applyFill="1" applyBorder="1" applyAlignment="1">
      <alignment horizontal="right"/>
    </xf>
    <xf numFmtId="0" fontId="21" fillId="0" borderId="14" xfId="8" applyNumberFormat="1" applyFont="1" applyFill="1" applyBorder="1" applyAlignment="1">
      <alignment horizontal="right"/>
    </xf>
    <xf numFmtId="0" fontId="21" fillId="0" borderId="15" xfId="8" applyNumberFormat="1" applyFont="1" applyFill="1" applyBorder="1" applyAlignment="1">
      <alignment horizontal="right"/>
    </xf>
    <xf numFmtId="0" fontId="21" fillId="2" borderId="4" xfId="8" applyNumberFormat="1" applyFont="1" applyFill="1" applyBorder="1" applyAlignment="1">
      <alignment horizontal="right"/>
    </xf>
    <xf numFmtId="0" fontId="21" fillId="2" borderId="0" xfId="8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0" fontId="24" fillId="0" borderId="2" xfId="0" applyFont="1" applyFill="1" applyBorder="1" applyAlignment="1">
      <alignment horizontal="right"/>
    </xf>
    <xf numFmtId="0" fontId="24" fillId="0" borderId="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64" fontId="4" fillId="0" borderId="2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164" fontId="0" fillId="0" borderId="1" xfId="0" applyNumberFormat="1" applyBorder="1" applyAlignment="1"/>
    <xf numFmtId="0" fontId="0" fillId="0" borderId="2" xfId="0" applyBorder="1" applyAlignment="1"/>
    <xf numFmtId="0" fontId="0" fillId="0" borderId="3" xfId="0" applyBorder="1" applyAlignment="1"/>
    <xf numFmtId="164" fontId="0" fillId="0" borderId="13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164" fontId="0" fillId="0" borderId="4" xfId="0" applyNumberFormat="1" applyBorder="1" applyAlignment="1"/>
    <xf numFmtId="0" fontId="0" fillId="0" borderId="0" xfId="0" applyBorder="1" applyAlignment="1"/>
    <xf numFmtId="0" fontId="0" fillId="0" borderId="12" xfId="0" applyBorder="1" applyAlignment="1"/>
    <xf numFmtId="164" fontId="0" fillId="0" borderId="5" xfId="0" applyNumberFormat="1" applyBorder="1" applyAlignment="1"/>
    <xf numFmtId="0" fontId="0" fillId="0" borderId="6" xfId="0" applyBorder="1" applyAlignment="1"/>
    <xf numFmtId="164" fontId="0" fillId="0" borderId="14" xfId="0" applyNumberFormat="1" applyBorder="1" applyAlignment="1"/>
    <xf numFmtId="0" fontId="28" fillId="3" borderId="13" xfId="0" applyFont="1" applyFill="1" applyBorder="1" applyAlignment="1"/>
    <xf numFmtId="0" fontId="28" fillId="3" borderId="14" xfId="0" applyFont="1" applyFill="1" applyBorder="1" applyAlignment="1"/>
    <xf numFmtId="0" fontId="28" fillId="3" borderId="15" xfId="0" applyFont="1" applyFill="1" applyBorder="1" applyAlignment="1"/>
    <xf numFmtId="0" fontId="8" fillId="0" borderId="1" xfId="1" applyFont="1" applyFill="1" applyBorder="1" applyAlignment="1"/>
    <xf numFmtId="0" fontId="8" fillId="0" borderId="2" xfId="1" applyFont="1" applyFill="1" applyBorder="1" applyAlignment="1"/>
    <xf numFmtId="0" fontId="8" fillId="0" borderId="3" xfId="1" applyFont="1" applyFill="1" applyBorder="1" applyAlignment="1"/>
    <xf numFmtId="0" fontId="8" fillId="0" borderId="5" xfId="1" applyFont="1" applyFill="1" applyBorder="1" applyAlignment="1"/>
    <xf numFmtId="0" fontId="8" fillId="0" borderId="7" xfId="1" applyFont="1" applyFill="1" applyBorder="1" applyAlignment="1"/>
    <xf numFmtId="0" fontId="8" fillId="0" borderId="6" xfId="1" applyFont="1" applyFill="1" applyBorder="1" applyAlignment="1"/>
    <xf numFmtId="0" fontId="0" fillId="0" borderId="22" xfId="0" applyBorder="1" applyAlignment="1"/>
    <xf numFmtId="0" fontId="0" fillId="0" borderId="16" xfId="0" applyBorder="1" applyAlignment="1"/>
    <xf numFmtId="0" fontId="0" fillId="0" borderId="18" xfId="0" applyBorder="1" applyAlignment="1"/>
  </cellXfs>
  <cellStyles count="10">
    <cellStyle name="Currency 2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  <cellStyle name="Normal 2 2_President" xfId="4" xr:uid="{00000000-0005-0000-0000-000005000000}"/>
    <cellStyle name="Normal 3" xfId="5" xr:uid="{00000000-0005-0000-0000-000006000000}"/>
    <cellStyle name="Normal 3 2" xfId="6" xr:uid="{00000000-0005-0000-0000-000007000000}"/>
    <cellStyle name="Normal 3_President" xfId="7" xr:uid="{00000000-0005-0000-0000-000008000000}"/>
    <cellStyle name="Normal 4" xfId="8" xr:uid="{00000000-0005-0000-0000-000009000000}"/>
  </cellStyles>
  <dxfs count="0"/>
  <tableStyles count="0" defaultTableStyle="TableStyleMedium2" defaultPivotStyle="PivotStyleLight16"/>
  <colors>
    <mruColors>
      <color rgb="FFFFFFD9"/>
      <color rgb="FFFFFFB3"/>
      <color rgb="FFAEF094"/>
      <color rgb="FFFBF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topLeftCell="A13" zoomScale="145" zoomScaleNormal="145" workbookViewId="0">
      <selection activeCell="C21" sqref="C21:E21"/>
    </sheetView>
  </sheetViews>
  <sheetFormatPr defaultRowHeight="15"/>
  <cols>
    <col min="1" max="1" width="6.42578125" style="152" customWidth="1"/>
  </cols>
  <sheetData>
    <row r="1" spans="1:10" ht="19.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5"/>
    </row>
    <row r="2" spans="1:10">
      <c r="A2" s="216" t="s">
        <v>1</v>
      </c>
      <c r="B2" s="217"/>
      <c r="C2" s="217"/>
      <c r="D2" s="217"/>
      <c r="E2" s="217"/>
      <c r="F2" s="217"/>
      <c r="G2" s="217"/>
      <c r="H2" s="217"/>
      <c r="I2" s="217"/>
      <c r="J2" s="218"/>
    </row>
    <row r="4" spans="1:10">
      <c r="B4" s="210" t="s">
        <v>2</v>
      </c>
      <c r="C4" s="211"/>
      <c r="D4" s="211"/>
      <c r="E4" s="211"/>
      <c r="F4" s="211"/>
      <c r="G4" s="212"/>
      <c r="H4" s="201" t="s">
        <v>3</v>
      </c>
      <c r="I4" s="202"/>
      <c r="J4" s="203"/>
    </row>
    <row r="5" spans="1:10">
      <c r="B5" s="160"/>
      <c r="C5" s="192" t="s">
        <v>4</v>
      </c>
      <c r="D5" s="192"/>
      <c r="E5" s="192"/>
      <c r="F5" s="193">
        <f>REVENUE!I1</f>
        <v>291627.43599999999</v>
      </c>
      <c r="G5" s="194"/>
      <c r="H5" s="407"/>
      <c r="I5" s="408"/>
      <c r="J5" s="409"/>
    </row>
    <row r="6" spans="1:10">
      <c r="B6" s="162"/>
      <c r="C6" s="195" t="s">
        <v>5</v>
      </c>
      <c r="D6" s="195"/>
      <c r="E6" s="195"/>
      <c r="F6" s="196">
        <f>SUM(F5)</f>
        <v>291627.43599999999</v>
      </c>
      <c r="G6" s="197"/>
      <c r="H6" s="410"/>
      <c r="I6" s="411"/>
      <c r="J6" s="412"/>
    </row>
    <row r="7" spans="1:10">
      <c r="B7" s="198"/>
      <c r="C7" s="198"/>
      <c r="D7" s="198"/>
      <c r="E7" s="198"/>
      <c r="F7" s="198"/>
      <c r="G7" s="198"/>
      <c r="H7" s="198"/>
      <c r="I7" s="198"/>
      <c r="J7" s="198"/>
    </row>
    <row r="8" spans="1:10">
      <c r="A8" s="29"/>
      <c r="B8" s="199" t="s">
        <v>6</v>
      </c>
      <c r="C8" s="200"/>
      <c r="D8" s="200"/>
      <c r="E8" s="200"/>
      <c r="F8" s="200"/>
      <c r="G8" s="200"/>
      <c r="H8" s="201" t="s">
        <v>3</v>
      </c>
      <c r="I8" s="202"/>
      <c r="J8" s="203"/>
    </row>
    <row r="9" spans="1:10">
      <c r="A9" s="29"/>
      <c r="B9" s="160"/>
      <c r="C9" s="192" t="s">
        <v>7</v>
      </c>
      <c r="D9" s="192"/>
      <c r="E9" s="192"/>
      <c r="F9" s="193">
        <f>President!I1</f>
        <v>16265.5322</v>
      </c>
      <c r="G9" s="194"/>
      <c r="H9" s="407"/>
      <c r="I9" s="408"/>
      <c r="J9" s="409"/>
    </row>
    <row r="10" spans="1:10">
      <c r="A10" s="29"/>
      <c r="B10" s="161"/>
      <c r="C10" s="189" t="s">
        <v>8</v>
      </c>
      <c r="D10" s="189"/>
      <c r="E10" s="189"/>
      <c r="F10" s="190">
        <f>Academics!I1</f>
        <v>448.92830000000004</v>
      </c>
      <c r="G10" s="191"/>
      <c r="H10" s="413"/>
      <c r="I10" s="414"/>
      <c r="J10" s="415"/>
    </row>
    <row r="11" spans="1:10">
      <c r="A11" s="29"/>
      <c r="B11" s="161"/>
      <c r="C11" s="189" t="s">
        <v>4</v>
      </c>
      <c r="D11" s="189"/>
      <c r="E11" s="189"/>
      <c r="F11" s="190">
        <f>Operations!I1</f>
        <v>201897.47999999998</v>
      </c>
      <c r="G11" s="191"/>
      <c r="H11" s="413"/>
      <c r="I11" s="414"/>
      <c r="J11" s="415"/>
    </row>
    <row r="12" spans="1:10">
      <c r="A12" s="29"/>
      <c r="B12" s="161"/>
      <c r="C12" s="189" t="s">
        <v>9</v>
      </c>
      <c r="D12" s="189"/>
      <c r="E12" s="189"/>
      <c r="F12" s="190">
        <f>'Society Affairs'!I1</f>
        <v>554.8909000000001</v>
      </c>
      <c r="G12" s="191"/>
      <c r="H12" s="413"/>
      <c r="I12" s="414"/>
      <c r="J12" s="415"/>
    </row>
    <row r="13" spans="1:10">
      <c r="A13" s="29"/>
      <c r="B13" s="161"/>
      <c r="C13" s="189" t="s">
        <v>10</v>
      </c>
      <c r="D13" s="189"/>
      <c r="E13" s="189"/>
      <c r="F13" s="190">
        <f>'Student Development'!I1</f>
        <v>5296.19</v>
      </c>
      <c r="G13" s="191"/>
      <c r="H13" s="413"/>
      <c r="I13" s="414"/>
      <c r="J13" s="415"/>
    </row>
    <row r="14" spans="1:10">
      <c r="A14" s="29"/>
      <c r="B14" s="161"/>
      <c r="C14" s="189" t="s">
        <v>11</v>
      </c>
      <c r="D14" s="189"/>
      <c r="E14" s="189"/>
      <c r="F14" s="190">
        <f>'External Communications'!I1</f>
        <v>11358.362999999999</v>
      </c>
      <c r="G14" s="191"/>
      <c r="H14" s="413"/>
      <c r="I14" s="414"/>
      <c r="J14" s="415"/>
    </row>
    <row r="15" spans="1:10">
      <c r="B15" s="161"/>
      <c r="C15" s="189" t="s">
        <v>12</v>
      </c>
      <c r="D15" s="189"/>
      <c r="E15" s="189"/>
      <c r="F15" s="190">
        <f>Events!I1</f>
        <v>7171.8223000000016</v>
      </c>
      <c r="G15" s="191"/>
      <c r="H15" s="413"/>
      <c r="I15" s="414"/>
      <c r="J15" s="415"/>
    </row>
    <row r="16" spans="1:10">
      <c r="B16" s="161"/>
      <c r="C16" s="189" t="s">
        <v>13</v>
      </c>
      <c r="D16" s="189"/>
      <c r="E16" s="189"/>
      <c r="F16" s="190">
        <f>Finance!I1</f>
        <v>403.95240000000001</v>
      </c>
      <c r="G16" s="191"/>
      <c r="H16" s="413"/>
      <c r="I16" s="414"/>
      <c r="J16" s="415"/>
    </row>
    <row r="17" spans="2:10">
      <c r="B17" s="161"/>
      <c r="C17" s="189" t="s">
        <v>14</v>
      </c>
      <c r="D17" s="189"/>
      <c r="E17" s="189"/>
      <c r="F17" s="190">
        <f>'First Year'!I1</f>
        <v>620.78809999999999</v>
      </c>
      <c r="G17" s="191"/>
      <c r="H17" s="413"/>
      <c r="I17" s="414"/>
      <c r="J17" s="415"/>
    </row>
    <row r="18" spans="2:10">
      <c r="B18" s="161"/>
      <c r="C18" s="189" t="s">
        <v>15</v>
      </c>
      <c r="D18" s="189"/>
      <c r="E18" s="189"/>
      <c r="F18" s="190">
        <f>'Information Technology'!I1</f>
        <v>13387.390000000001</v>
      </c>
      <c r="G18" s="191"/>
      <c r="H18" s="413"/>
      <c r="I18" s="414"/>
      <c r="J18" s="415"/>
    </row>
    <row r="19" spans="2:10">
      <c r="B19" s="161"/>
      <c r="C19" s="189" t="s">
        <v>16</v>
      </c>
      <c r="D19" s="189"/>
      <c r="E19" s="189"/>
      <c r="F19" s="190">
        <f>'Internal Affairs'!I1</f>
        <v>11440.7428</v>
      </c>
      <c r="G19" s="191"/>
      <c r="H19" s="413"/>
      <c r="I19" s="414"/>
      <c r="J19" s="415"/>
    </row>
    <row r="20" spans="2:10">
      <c r="B20" s="161"/>
      <c r="C20" s="189" t="s">
        <v>17</v>
      </c>
      <c r="D20" s="189"/>
      <c r="E20" s="189"/>
      <c r="F20" s="190">
        <f>'Professional Development'!I1</f>
        <v>675.38679999999999</v>
      </c>
      <c r="G20" s="191"/>
      <c r="H20" s="413"/>
      <c r="I20" s="414"/>
      <c r="J20" s="415"/>
    </row>
    <row r="21" spans="2:10">
      <c r="B21" s="161"/>
      <c r="C21" s="189" t="s">
        <v>18</v>
      </c>
      <c r="D21" s="189"/>
      <c r="E21" s="189"/>
      <c r="F21" s="190">
        <f>Services!I1</f>
        <v>2614.2269999999999</v>
      </c>
      <c r="G21" s="191"/>
      <c r="H21" s="416"/>
      <c r="I21" s="266"/>
      <c r="J21" s="417"/>
    </row>
    <row r="22" spans="2:10">
      <c r="B22" s="162"/>
      <c r="C22" s="195" t="s">
        <v>19</v>
      </c>
      <c r="D22" s="195"/>
      <c r="E22" s="195"/>
      <c r="F22" s="196">
        <f>SUM(F9:G21)</f>
        <v>272135.69380000001</v>
      </c>
      <c r="G22" s="206"/>
      <c r="H22" s="418"/>
      <c r="I22" s="411"/>
      <c r="J22" s="412"/>
    </row>
    <row r="23" spans="2:10">
      <c r="B23" s="198"/>
      <c r="C23" s="198"/>
      <c r="D23" s="198"/>
      <c r="E23" s="198"/>
      <c r="F23" s="198"/>
      <c r="G23" s="198"/>
      <c r="H23" s="198"/>
      <c r="I23" s="198"/>
      <c r="J23" s="198"/>
    </row>
    <row r="24" spans="2:10">
      <c r="B24" s="210" t="s">
        <v>20</v>
      </c>
      <c r="C24" s="211"/>
      <c r="D24" s="211"/>
      <c r="E24" s="211"/>
      <c r="F24" s="211"/>
      <c r="G24" s="211"/>
      <c r="H24" s="211"/>
      <c r="I24" s="211"/>
      <c r="J24" s="212"/>
    </row>
    <row r="25" spans="2:10">
      <c r="B25" s="162"/>
      <c r="C25" s="207" t="s">
        <v>21</v>
      </c>
      <c r="D25" s="207"/>
      <c r="E25" s="207"/>
      <c r="F25" s="208">
        <f>F22*0.1</f>
        <v>27213.569380000001</v>
      </c>
      <c r="G25" s="209"/>
      <c r="H25" s="171"/>
      <c r="I25" s="171"/>
      <c r="J25" s="172"/>
    </row>
    <row r="26" spans="2:10" ht="17.25">
      <c r="B26" s="419" t="s">
        <v>22</v>
      </c>
      <c r="C26" s="420"/>
      <c r="D26" s="420"/>
      <c r="E26" s="420"/>
      <c r="F26" s="420"/>
      <c r="G26" s="420"/>
      <c r="H26" s="420"/>
      <c r="I26" s="420"/>
      <c r="J26" s="421"/>
    </row>
    <row r="27" spans="2:10" ht="19.5">
      <c r="B27" s="162"/>
      <c r="C27" s="219"/>
      <c r="D27" s="219"/>
      <c r="E27" s="219"/>
      <c r="F27" s="220">
        <f>F22+F25</f>
        <v>299349.26318000001</v>
      </c>
      <c r="G27" s="221"/>
      <c r="H27" s="171"/>
      <c r="I27" s="171"/>
      <c r="J27" s="172"/>
    </row>
    <row r="28" spans="2:10">
      <c r="B28" s="198"/>
      <c r="C28" s="198"/>
      <c r="D28" s="198"/>
      <c r="E28" s="198"/>
      <c r="F28" s="198"/>
      <c r="G28" s="198"/>
      <c r="H28" s="198"/>
      <c r="I28" s="198"/>
      <c r="J28" s="198"/>
    </row>
    <row r="29" spans="2:10">
      <c r="B29" s="210" t="s">
        <v>23</v>
      </c>
      <c r="C29" s="211"/>
      <c r="D29" s="211"/>
      <c r="E29" s="211"/>
      <c r="F29" s="211"/>
      <c r="G29" s="211"/>
      <c r="H29" s="211"/>
      <c r="I29" s="211"/>
      <c r="J29" s="212"/>
    </row>
    <row r="30" spans="2:10" ht="17.25">
      <c r="B30" s="162"/>
      <c r="C30" s="171"/>
      <c r="D30" s="171"/>
      <c r="E30" s="171"/>
      <c r="F30" s="204">
        <f>F6-F27</f>
        <v>-7721.8271800000221</v>
      </c>
      <c r="G30" s="205"/>
      <c r="H30" s="171"/>
      <c r="I30" s="171"/>
      <c r="J30" s="172"/>
    </row>
  </sheetData>
  <mergeCells count="65">
    <mergeCell ref="B4:G4"/>
    <mergeCell ref="A1:J1"/>
    <mergeCell ref="A2:J2"/>
    <mergeCell ref="H4:J4"/>
    <mergeCell ref="C27:E27"/>
    <mergeCell ref="F27:G27"/>
    <mergeCell ref="C19:E19"/>
    <mergeCell ref="F19:G19"/>
    <mergeCell ref="H19:J19"/>
    <mergeCell ref="C20:E20"/>
    <mergeCell ref="F20:G20"/>
    <mergeCell ref="H20:J20"/>
    <mergeCell ref="C17:E17"/>
    <mergeCell ref="F17:G17"/>
    <mergeCell ref="H17:J17"/>
    <mergeCell ref="C18:E18"/>
    <mergeCell ref="B28:J28"/>
    <mergeCell ref="B29:J29"/>
    <mergeCell ref="F30:G30"/>
    <mergeCell ref="B26:J26"/>
    <mergeCell ref="C21:E21"/>
    <mergeCell ref="F21:G21"/>
    <mergeCell ref="H21:J21"/>
    <mergeCell ref="C22:E22"/>
    <mergeCell ref="F22:G22"/>
    <mergeCell ref="B23:J23"/>
    <mergeCell ref="B24:J24"/>
    <mergeCell ref="C25:E25"/>
    <mergeCell ref="F25:G25"/>
    <mergeCell ref="H22:J22"/>
    <mergeCell ref="F18:G18"/>
    <mergeCell ref="H18:J18"/>
    <mergeCell ref="C15:E15"/>
    <mergeCell ref="F15:G15"/>
    <mergeCell ref="H15:J15"/>
    <mergeCell ref="C16:E16"/>
    <mergeCell ref="F16:G16"/>
    <mergeCell ref="H16:J16"/>
    <mergeCell ref="C13:E13"/>
    <mergeCell ref="F13:G13"/>
    <mergeCell ref="H13:J13"/>
    <mergeCell ref="C14:E14"/>
    <mergeCell ref="F14:G14"/>
    <mergeCell ref="H14:J14"/>
    <mergeCell ref="C11:E11"/>
    <mergeCell ref="F11:G11"/>
    <mergeCell ref="H11:J11"/>
    <mergeCell ref="C12:E12"/>
    <mergeCell ref="F12:G12"/>
    <mergeCell ref="H12:J12"/>
    <mergeCell ref="C10:E10"/>
    <mergeCell ref="F10:G10"/>
    <mergeCell ref="H10:J10"/>
    <mergeCell ref="C5:E5"/>
    <mergeCell ref="F5:G5"/>
    <mergeCell ref="C6:E6"/>
    <mergeCell ref="F6:G6"/>
    <mergeCell ref="B7:J7"/>
    <mergeCell ref="C9:E9"/>
    <mergeCell ref="F9:G9"/>
    <mergeCell ref="H9:J9"/>
    <mergeCell ref="B8:G8"/>
    <mergeCell ref="H8:J8"/>
    <mergeCell ref="H5:J5"/>
    <mergeCell ref="H6:J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workbookViewId="0">
      <selection activeCell="G13" sqref="G13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7109375" customWidth="1"/>
    <col min="9" max="9" width="9.5703125" customWidth="1"/>
    <col min="10" max="10" width="11.7109375" customWidth="1"/>
  </cols>
  <sheetData>
    <row r="1" spans="1:10">
      <c r="A1" s="198"/>
      <c r="B1" s="225" t="s">
        <v>461</v>
      </c>
      <c r="C1" s="226"/>
      <c r="D1" s="226"/>
      <c r="E1" s="226"/>
      <c r="F1" s="226"/>
      <c r="G1" s="226"/>
      <c r="H1" s="226"/>
      <c r="I1" s="229">
        <f>SUM(H8,H12)</f>
        <v>403.95240000000001</v>
      </c>
      <c r="J1" s="409"/>
    </row>
    <row r="2" spans="1:10">
      <c r="A2" s="198"/>
      <c r="B2" s="227"/>
      <c r="C2" s="228"/>
      <c r="D2" s="228"/>
      <c r="E2" s="228"/>
      <c r="F2" s="228"/>
      <c r="G2" s="228"/>
      <c r="H2" s="228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237"/>
      <c r="C4" s="237"/>
      <c r="D4" s="237"/>
      <c r="E4" s="237"/>
      <c r="F4" s="237"/>
      <c r="G4" s="237"/>
      <c r="H4" s="237"/>
      <c r="I4" s="237"/>
      <c r="J4" s="237"/>
    </row>
    <row r="5" spans="1:10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336"/>
      <c r="C7" s="336"/>
      <c r="D7" s="336"/>
      <c r="E7" s="336"/>
      <c r="F7" s="336"/>
      <c r="G7" s="336"/>
      <c r="H7" s="336"/>
      <c r="I7" s="336"/>
      <c r="J7" s="336"/>
    </row>
    <row r="8" spans="1:10">
      <c r="A8" s="152"/>
      <c r="B8" s="210" t="s">
        <v>462</v>
      </c>
      <c r="C8" s="211"/>
      <c r="D8" s="211"/>
      <c r="E8" s="211"/>
      <c r="F8" s="211"/>
      <c r="G8" s="212"/>
      <c r="H8" s="246">
        <f>SUM(J9:J10)</f>
        <v>379.5444</v>
      </c>
      <c r="I8" s="247"/>
      <c r="J8" s="248"/>
    </row>
    <row r="9" spans="1:10" s="46" customFormat="1">
      <c r="B9" s="302" t="s">
        <v>463</v>
      </c>
      <c r="C9" s="270"/>
      <c r="D9" s="270" t="s">
        <v>464</v>
      </c>
      <c r="E9" s="303"/>
      <c r="F9" s="158">
        <v>150</v>
      </c>
      <c r="G9" s="42">
        <v>2</v>
      </c>
      <c r="H9" s="25">
        <f>F9*G9</f>
        <v>300</v>
      </c>
      <c r="I9" s="26">
        <f>H9*0.13</f>
        <v>39</v>
      </c>
      <c r="J9" s="25">
        <f>H9+I9</f>
        <v>339</v>
      </c>
    </row>
    <row r="10" spans="1:10">
      <c r="A10" s="152"/>
      <c r="B10" s="358" t="s">
        <v>465</v>
      </c>
      <c r="C10" s="249"/>
      <c r="D10" s="249" t="s">
        <v>466</v>
      </c>
      <c r="E10" s="250"/>
      <c r="F10" s="57">
        <v>2.99</v>
      </c>
      <c r="G10" s="169">
        <v>12</v>
      </c>
      <c r="H10" s="27">
        <f>F10*G10</f>
        <v>35.880000000000003</v>
      </c>
      <c r="I10" s="28">
        <f>H10*0.13</f>
        <v>4.6644000000000005</v>
      </c>
      <c r="J10" s="27">
        <f>H10+I10</f>
        <v>40.544400000000003</v>
      </c>
    </row>
    <row r="11" spans="1:10">
      <c r="A11" s="152"/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0">
      <c r="A12" s="152"/>
      <c r="B12" s="210" t="s">
        <v>467</v>
      </c>
      <c r="C12" s="211"/>
      <c r="D12" s="211"/>
      <c r="E12" s="211"/>
      <c r="F12" s="211"/>
      <c r="G12" s="212"/>
      <c r="H12" s="246">
        <f>SUM(J13)</f>
        <v>24.408000000000001</v>
      </c>
      <c r="I12" s="247"/>
      <c r="J12" s="248"/>
    </row>
    <row r="13" spans="1:10">
      <c r="A13" s="152"/>
      <c r="B13" s="359" t="s">
        <v>116</v>
      </c>
      <c r="C13" s="244"/>
      <c r="D13" s="244" t="s">
        <v>468</v>
      </c>
      <c r="E13" s="245"/>
      <c r="F13" s="38">
        <v>10.8</v>
      </c>
      <c r="G13" s="39">
        <v>2</v>
      </c>
      <c r="H13" s="22">
        <f>F13*G13</f>
        <v>21.6</v>
      </c>
      <c r="I13" s="23">
        <f>H13*0.13</f>
        <v>2.8080000000000003</v>
      </c>
      <c r="J13" s="22">
        <f>H13+I13</f>
        <v>24.408000000000001</v>
      </c>
    </row>
    <row r="14" spans="1:10">
      <c r="A14" s="152"/>
      <c r="B14" s="336"/>
      <c r="C14" s="336"/>
      <c r="D14" s="336"/>
      <c r="E14" s="336"/>
      <c r="F14" s="336"/>
      <c r="G14" s="336"/>
      <c r="H14" s="336"/>
      <c r="I14" s="336"/>
      <c r="J14" s="336"/>
    </row>
  </sheetData>
  <mergeCells count="23">
    <mergeCell ref="A1:A3"/>
    <mergeCell ref="B4:J4"/>
    <mergeCell ref="B7:J7"/>
    <mergeCell ref="B9:C9"/>
    <mergeCell ref="D9:E9"/>
    <mergeCell ref="B8:G8"/>
    <mergeCell ref="B6:C6"/>
    <mergeCell ref="D6:E6"/>
    <mergeCell ref="B1:H2"/>
    <mergeCell ref="I1:J2"/>
    <mergeCell ref="I3:J3"/>
    <mergeCell ref="B5:E5"/>
    <mergeCell ref="F5:J5"/>
    <mergeCell ref="B3:H3"/>
    <mergeCell ref="H8:J8"/>
    <mergeCell ref="B14:J14"/>
    <mergeCell ref="B10:C10"/>
    <mergeCell ref="D10:E10"/>
    <mergeCell ref="B11:J11"/>
    <mergeCell ref="B13:C13"/>
    <mergeCell ref="D13:E13"/>
    <mergeCell ref="B12:G12"/>
    <mergeCell ref="H12:J12"/>
  </mergeCell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H24" sqref="H24:H25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225" t="s">
        <v>469</v>
      </c>
      <c r="C1" s="226"/>
      <c r="D1" s="226"/>
      <c r="E1" s="226"/>
      <c r="F1" s="226"/>
      <c r="G1" s="226"/>
      <c r="H1" s="226"/>
      <c r="I1" s="229">
        <f>SUM(H8,H13)</f>
        <v>620.78809999999999</v>
      </c>
      <c r="J1" s="409"/>
    </row>
    <row r="2" spans="1:10">
      <c r="A2" s="198"/>
      <c r="B2" s="227"/>
      <c r="C2" s="228"/>
      <c r="D2" s="228"/>
      <c r="E2" s="228"/>
      <c r="F2" s="228"/>
      <c r="G2" s="228"/>
      <c r="H2" s="228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237"/>
      <c r="C4" s="237"/>
      <c r="D4" s="237"/>
      <c r="E4" s="237"/>
      <c r="F4" s="237"/>
      <c r="G4" s="237"/>
      <c r="H4" s="237"/>
      <c r="I4" s="237"/>
      <c r="J4" s="237"/>
    </row>
    <row r="5" spans="1:10">
      <c r="A5" s="152"/>
      <c r="B5" s="360" t="s">
        <v>26</v>
      </c>
      <c r="C5" s="360"/>
      <c r="D5" s="360"/>
      <c r="E5" s="360"/>
      <c r="F5" s="361" t="s">
        <v>27</v>
      </c>
      <c r="G5" s="361"/>
      <c r="H5" s="361"/>
      <c r="I5" s="361"/>
      <c r="J5" s="361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237"/>
      <c r="C7" s="237"/>
      <c r="D7" s="237"/>
      <c r="E7" s="237"/>
      <c r="F7" s="237"/>
      <c r="G7" s="237"/>
      <c r="H7" s="237"/>
      <c r="I7" s="237"/>
      <c r="J7" s="237"/>
    </row>
    <row r="8" spans="1:10">
      <c r="A8" s="152"/>
      <c r="B8" s="210" t="s">
        <v>470</v>
      </c>
      <c r="C8" s="211"/>
      <c r="D8" s="211"/>
      <c r="E8" s="211"/>
      <c r="F8" s="211"/>
      <c r="G8" s="211"/>
      <c r="H8" s="246">
        <f>SUM(J9:J11)</f>
        <v>333.48560000000003</v>
      </c>
      <c r="I8" s="247"/>
      <c r="J8" s="248"/>
    </row>
    <row r="9" spans="1:10">
      <c r="A9" s="152"/>
      <c r="B9" s="299" t="s">
        <v>471</v>
      </c>
      <c r="C9" s="300"/>
      <c r="D9" s="300" t="s">
        <v>472</v>
      </c>
      <c r="E9" s="301"/>
      <c r="F9" s="104">
        <v>18.989999999999998</v>
      </c>
      <c r="G9" s="39">
        <v>6</v>
      </c>
      <c r="H9" s="22">
        <f>F9*G9</f>
        <v>113.94</v>
      </c>
      <c r="I9" s="23">
        <f>H9*0.13</f>
        <v>14.812200000000001</v>
      </c>
      <c r="J9" s="22">
        <f>H9+I9</f>
        <v>128.75219999999999</v>
      </c>
    </row>
    <row r="10" spans="1:10">
      <c r="A10" s="152"/>
      <c r="B10" s="302" t="s">
        <v>473</v>
      </c>
      <c r="C10" s="270"/>
      <c r="D10" s="270" t="s">
        <v>472</v>
      </c>
      <c r="E10" s="303"/>
      <c r="F10" s="105">
        <v>21.88</v>
      </c>
      <c r="G10" s="42">
        <v>6</v>
      </c>
      <c r="H10" s="25">
        <f>F10*G10</f>
        <v>131.28</v>
      </c>
      <c r="I10" s="26">
        <f>H10*0.13</f>
        <v>17.066400000000002</v>
      </c>
      <c r="J10" s="25">
        <f>H10+I10</f>
        <v>148.34640000000002</v>
      </c>
    </row>
    <row r="11" spans="1:10">
      <c r="A11" s="152"/>
      <c r="B11" s="288" t="s">
        <v>113</v>
      </c>
      <c r="C11" s="289"/>
      <c r="D11" s="289" t="s">
        <v>474</v>
      </c>
      <c r="E11" s="304"/>
      <c r="F11" s="106">
        <v>4.99</v>
      </c>
      <c r="G11" s="45">
        <v>10</v>
      </c>
      <c r="H11" s="27">
        <f>F11*G11</f>
        <v>49.900000000000006</v>
      </c>
      <c r="I11" s="28">
        <f>H11*0.13</f>
        <v>6.487000000000001</v>
      </c>
      <c r="J11" s="27">
        <f>H11+I11</f>
        <v>56.387000000000008</v>
      </c>
    </row>
    <row r="12" spans="1:10">
      <c r="A12" s="152"/>
      <c r="B12" s="237"/>
      <c r="C12" s="237"/>
      <c r="D12" s="237"/>
      <c r="E12" s="237"/>
      <c r="F12" s="237"/>
      <c r="G12" s="237"/>
      <c r="H12" s="237"/>
      <c r="I12" s="237"/>
      <c r="J12" s="237"/>
    </row>
    <row r="13" spans="1:10">
      <c r="A13" s="152"/>
      <c r="B13" s="210" t="s">
        <v>475</v>
      </c>
      <c r="C13" s="211"/>
      <c r="D13" s="211"/>
      <c r="E13" s="211"/>
      <c r="F13" s="211"/>
      <c r="G13" s="212"/>
      <c r="H13" s="246">
        <f>SUM(J14:J16)</f>
        <v>287.30250000000001</v>
      </c>
      <c r="I13" s="247"/>
      <c r="J13" s="248"/>
    </row>
    <row r="14" spans="1:10">
      <c r="A14" s="152"/>
      <c r="B14" s="299" t="s">
        <v>471</v>
      </c>
      <c r="C14" s="300"/>
      <c r="D14" s="300" t="s">
        <v>472</v>
      </c>
      <c r="E14" s="301"/>
      <c r="F14" s="104">
        <v>18.989999999999998</v>
      </c>
      <c r="G14" s="39">
        <v>5</v>
      </c>
      <c r="H14" s="22">
        <f>F14*G14</f>
        <v>94.949999999999989</v>
      </c>
      <c r="I14" s="23">
        <f>H14*0.13</f>
        <v>12.343499999999999</v>
      </c>
      <c r="J14" s="22">
        <f>H14+I14</f>
        <v>107.29349999999999</v>
      </c>
    </row>
    <row r="15" spans="1:10">
      <c r="A15" s="152"/>
      <c r="B15" s="302" t="s">
        <v>473</v>
      </c>
      <c r="C15" s="270"/>
      <c r="D15" s="270" t="s">
        <v>472</v>
      </c>
      <c r="E15" s="303"/>
      <c r="F15" s="105">
        <v>21.88</v>
      </c>
      <c r="G15" s="42">
        <v>5</v>
      </c>
      <c r="H15" s="25">
        <f>F15*G15</f>
        <v>109.39999999999999</v>
      </c>
      <c r="I15" s="26">
        <f>H15*0.13</f>
        <v>14.222</v>
      </c>
      <c r="J15" s="25">
        <f>H15+I15</f>
        <v>123.62199999999999</v>
      </c>
    </row>
    <row r="16" spans="1:10">
      <c r="A16" s="152"/>
      <c r="B16" s="288" t="s">
        <v>113</v>
      </c>
      <c r="C16" s="289"/>
      <c r="D16" s="289" t="s">
        <v>474</v>
      </c>
      <c r="E16" s="304"/>
      <c r="F16" s="106">
        <v>4.99</v>
      </c>
      <c r="G16" s="45">
        <v>10</v>
      </c>
      <c r="H16" s="27">
        <f>F16*G16</f>
        <v>49.900000000000006</v>
      </c>
      <c r="I16" s="28">
        <f>H16*0.13</f>
        <v>6.487000000000001</v>
      </c>
      <c r="J16" s="27">
        <f>H16+I16</f>
        <v>56.387000000000008</v>
      </c>
    </row>
    <row r="17" spans="2:10">
      <c r="B17" s="237"/>
      <c r="C17" s="237"/>
      <c r="D17" s="237"/>
      <c r="E17" s="237"/>
      <c r="F17" s="237"/>
      <c r="G17" s="237"/>
      <c r="H17" s="237"/>
      <c r="I17" s="237"/>
      <c r="J17" s="237"/>
    </row>
  </sheetData>
  <mergeCells count="29">
    <mergeCell ref="B5:E5"/>
    <mergeCell ref="F5:J5"/>
    <mergeCell ref="B6:C6"/>
    <mergeCell ref="D6:E6"/>
    <mergeCell ref="B3:H3"/>
    <mergeCell ref="A1:A3"/>
    <mergeCell ref="B4:J4"/>
    <mergeCell ref="B1:H2"/>
    <mergeCell ref="I1:J2"/>
    <mergeCell ref="I3:J3"/>
    <mergeCell ref="B11:C11"/>
    <mergeCell ref="D11:E11"/>
    <mergeCell ref="B7:J7"/>
    <mergeCell ref="B9:C9"/>
    <mergeCell ref="D9:E9"/>
    <mergeCell ref="B10:C10"/>
    <mergeCell ref="D10:E10"/>
    <mergeCell ref="H8:J8"/>
    <mergeCell ref="B8:G8"/>
    <mergeCell ref="B17:J17"/>
    <mergeCell ref="B12:J12"/>
    <mergeCell ref="B14:C14"/>
    <mergeCell ref="D14:E14"/>
    <mergeCell ref="B15:C15"/>
    <mergeCell ref="D15:E15"/>
    <mergeCell ref="B16:C16"/>
    <mergeCell ref="D16:E16"/>
    <mergeCell ref="B13:G13"/>
    <mergeCell ref="H13:J13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topLeftCell="A7" workbookViewId="0">
      <selection activeCell="A30" sqref="A30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362" t="s">
        <v>476</v>
      </c>
      <c r="C1" s="363"/>
      <c r="D1" s="363"/>
      <c r="E1" s="363"/>
      <c r="F1" s="363"/>
      <c r="G1" s="363"/>
      <c r="H1" s="363"/>
      <c r="I1" s="229">
        <f>SUM(H8,H13,H17,H25)</f>
        <v>13387.390000000001</v>
      </c>
      <c r="J1" s="409"/>
    </row>
    <row r="2" spans="1:10">
      <c r="A2" s="198"/>
      <c r="B2" s="364"/>
      <c r="C2" s="365"/>
      <c r="D2" s="365"/>
      <c r="E2" s="365"/>
      <c r="F2" s="365"/>
      <c r="G2" s="365"/>
      <c r="H2" s="365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5" spans="1:10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336"/>
      <c r="C7" s="336"/>
      <c r="D7" s="336"/>
      <c r="E7" s="336"/>
      <c r="F7" s="336"/>
      <c r="G7" s="336"/>
      <c r="H7" s="336"/>
      <c r="I7" s="336"/>
      <c r="J7" s="336"/>
    </row>
    <row r="8" spans="1:10">
      <c r="A8" s="152"/>
      <c r="B8" s="210" t="s">
        <v>477</v>
      </c>
      <c r="C8" s="211"/>
      <c r="D8" s="211"/>
      <c r="E8" s="211"/>
      <c r="F8" s="211"/>
      <c r="G8" s="211"/>
      <c r="H8" s="246">
        <f>SUM(J9:J11)</f>
        <v>1423.76</v>
      </c>
      <c r="I8" s="247"/>
      <c r="J8" s="248"/>
    </row>
    <row r="9" spans="1:10">
      <c r="A9" s="152"/>
      <c r="B9" s="272" t="s">
        <v>478</v>
      </c>
      <c r="C9" s="273"/>
      <c r="D9" s="273" t="s">
        <v>479</v>
      </c>
      <c r="E9" s="277"/>
      <c r="F9" s="1">
        <v>200</v>
      </c>
      <c r="G9" s="15">
        <v>1</v>
      </c>
      <c r="H9" s="3">
        <f>F9*G9</f>
        <v>200</v>
      </c>
      <c r="I9" s="4"/>
      <c r="J9" s="3">
        <f>H9+I9</f>
        <v>200</v>
      </c>
    </row>
    <row r="10" spans="1:10">
      <c r="A10" s="152"/>
      <c r="B10" s="268" t="s">
        <v>480</v>
      </c>
      <c r="C10" s="269"/>
      <c r="D10" s="269"/>
      <c r="E10" s="278"/>
      <c r="F10" s="16">
        <f>600/1.13</f>
        <v>530.97345132743362</v>
      </c>
      <c r="G10" s="17">
        <v>1</v>
      </c>
      <c r="H10" s="18">
        <f>F10*G10</f>
        <v>530.97345132743362</v>
      </c>
      <c r="I10" s="19">
        <f>H10*0.13</f>
        <v>69.026548672566378</v>
      </c>
      <c r="J10" s="18">
        <f>H10+I10</f>
        <v>600</v>
      </c>
    </row>
    <row r="11" spans="1:10">
      <c r="A11" s="152"/>
      <c r="B11" s="276" t="s">
        <v>481</v>
      </c>
      <c r="C11" s="274"/>
      <c r="D11" s="274"/>
      <c r="E11" s="275"/>
      <c r="F11" s="5">
        <v>138</v>
      </c>
      <c r="G11" s="20">
        <v>4</v>
      </c>
      <c r="H11" s="7">
        <f>F11*G11</f>
        <v>552</v>
      </c>
      <c r="I11" s="8">
        <f>H11*0.13</f>
        <v>71.760000000000005</v>
      </c>
      <c r="J11" s="7">
        <f>H11+I11</f>
        <v>623.76</v>
      </c>
    </row>
    <row r="12" spans="1:10">
      <c r="A12" s="152"/>
      <c r="B12" s="336"/>
      <c r="C12" s="336"/>
      <c r="D12" s="336"/>
      <c r="E12" s="336"/>
      <c r="F12" s="336"/>
      <c r="G12" s="336"/>
      <c r="H12" s="336"/>
      <c r="I12" s="336"/>
      <c r="J12" s="336"/>
    </row>
    <row r="13" spans="1:10">
      <c r="A13" s="152"/>
      <c r="B13" s="210" t="s">
        <v>64</v>
      </c>
      <c r="C13" s="211"/>
      <c r="D13" s="211"/>
      <c r="E13" s="211"/>
      <c r="F13" s="211"/>
      <c r="G13" s="212"/>
      <c r="H13" s="246">
        <f>SUM(J14:J15)</f>
        <v>401.7</v>
      </c>
      <c r="I13" s="247"/>
      <c r="J13" s="248"/>
    </row>
    <row r="14" spans="1:10">
      <c r="A14" s="152"/>
      <c r="B14" s="268" t="s">
        <v>116</v>
      </c>
      <c r="C14" s="269"/>
      <c r="D14" s="269" t="s">
        <v>482</v>
      </c>
      <c r="E14" s="278"/>
      <c r="F14" s="16">
        <v>15</v>
      </c>
      <c r="G14" s="21">
        <v>6</v>
      </c>
      <c r="H14" s="18">
        <f>F14*G14</f>
        <v>90</v>
      </c>
      <c r="I14" s="18">
        <f>H14*0.13</f>
        <v>11.700000000000001</v>
      </c>
      <c r="J14" s="18">
        <f>H14+I14</f>
        <v>101.7</v>
      </c>
    </row>
    <row r="15" spans="1:10">
      <c r="A15" s="152"/>
      <c r="B15" s="276" t="s">
        <v>126</v>
      </c>
      <c r="C15" s="274"/>
      <c r="D15" s="274"/>
      <c r="E15" s="275"/>
      <c r="F15" s="5">
        <v>25</v>
      </c>
      <c r="G15" s="6">
        <v>12</v>
      </c>
      <c r="H15" s="7">
        <f>F15*G15</f>
        <v>300</v>
      </c>
      <c r="I15" s="7"/>
      <c r="J15" s="7">
        <f>H15+I15</f>
        <v>300</v>
      </c>
    </row>
    <row r="16" spans="1:10">
      <c r="A16" s="152"/>
      <c r="B16" s="267"/>
      <c r="C16" s="267"/>
      <c r="D16" s="267"/>
      <c r="E16" s="267"/>
      <c r="F16" s="267"/>
      <c r="G16" s="267"/>
      <c r="H16" s="267"/>
      <c r="I16" s="267"/>
      <c r="J16" s="267"/>
    </row>
    <row r="17" spans="2:10">
      <c r="B17" s="210" t="s">
        <v>483</v>
      </c>
      <c r="C17" s="211"/>
      <c r="D17" s="211"/>
      <c r="E17" s="211"/>
      <c r="F17" s="211"/>
      <c r="G17" s="212"/>
      <c r="H17" s="246">
        <f>SUM(J18:J23)</f>
        <v>2212.12</v>
      </c>
      <c r="I17" s="247"/>
      <c r="J17" s="248"/>
    </row>
    <row r="18" spans="2:10">
      <c r="B18" s="272" t="s">
        <v>484</v>
      </c>
      <c r="C18" s="273"/>
      <c r="D18" s="273" t="s">
        <v>485</v>
      </c>
      <c r="E18" s="277"/>
      <c r="F18" s="1">
        <v>100</v>
      </c>
      <c r="G18" s="2">
        <v>3</v>
      </c>
      <c r="H18" s="3">
        <f t="shared" ref="H18:H19" si="0">F18*G18</f>
        <v>300</v>
      </c>
      <c r="I18" s="4">
        <f>H18*0.13</f>
        <v>39</v>
      </c>
      <c r="J18" s="3">
        <f t="shared" ref="J18:J23" si="1">H18+I18</f>
        <v>339</v>
      </c>
    </row>
    <row r="19" spans="2:10">
      <c r="B19" s="268" t="s">
        <v>486</v>
      </c>
      <c r="C19" s="269"/>
      <c r="D19" s="269"/>
      <c r="E19" s="278"/>
      <c r="F19" s="16">
        <v>200</v>
      </c>
      <c r="G19" s="21">
        <v>1</v>
      </c>
      <c r="H19" s="18">
        <f t="shared" si="0"/>
        <v>200</v>
      </c>
      <c r="I19" s="19">
        <f>H19*0.13</f>
        <v>26</v>
      </c>
      <c r="J19" s="18">
        <f t="shared" si="1"/>
        <v>226</v>
      </c>
    </row>
    <row r="20" spans="2:10">
      <c r="B20" s="268" t="s">
        <v>487</v>
      </c>
      <c r="C20" s="269"/>
      <c r="D20" s="269"/>
      <c r="E20" s="278"/>
      <c r="F20" s="16">
        <v>552.12</v>
      </c>
      <c r="G20" s="21">
        <v>1</v>
      </c>
      <c r="H20" s="18">
        <f>F20*G20</f>
        <v>552.12</v>
      </c>
      <c r="I20" s="19"/>
      <c r="J20" s="18">
        <f t="shared" si="1"/>
        <v>552.12</v>
      </c>
    </row>
    <row r="21" spans="2:10">
      <c r="B21" s="268" t="s">
        <v>488</v>
      </c>
      <c r="C21" s="269"/>
      <c r="D21" s="269"/>
      <c r="E21" s="278"/>
      <c r="F21" s="16">
        <v>200</v>
      </c>
      <c r="G21" s="21">
        <v>1</v>
      </c>
      <c r="H21" s="18">
        <f>F21*G21</f>
        <v>200</v>
      </c>
      <c r="I21" s="19"/>
      <c r="J21" s="18">
        <f t="shared" si="1"/>
        <v>200</v>
      </c>
    </row>
    <row r="22" spans="2:10">
      <c r="B22" s="268" t="s">
        <v>489</v>
      </c>
      <c r="C22" s="269"/>
      <c r="D22" s="269"/>
      <c r="E22" s="278"/>
      <c r="F22" s="16">
        <v>110</v>
      </c>
      <c r="G22" s="21">
        <v>3</v>
      </c>
      <c r="H22" s="18">
        <f>F22*G22</f>
        <v>330</v>
      </c>
      <c r="I22" s="19"/>
      <c r="J22" s="18">
        <f t="shared" si="1"/>
        <v>330</v>
      </c>
    </row>
    <row r="23" spans="2:10">
      <c r="B23" s="268" t="s">
        <v>490</v>
      </c>
      <c r="C23" s="269"/>
      <c r="D23" s="269"/>
      <c r="E23" s="278"/>
      <c r="F23" s="16">
        <v>50</v>
      </c>
      <c r="G23" s="17">
        <v>10</v>
      </c>
      <c r="H23" s="7">
        <f>F23*G23</f>
        <v>500</v>
      </c>
      <c r="I23" s="8">
        <f>H23*0.13</f>
        <v>65</v>
      </c>
      <c r="J23" s="7">
        <f t="shared" si="1"/>
        <v>565</v>
      </c>
    </row>
    <row r="24" spans="2:10">
      <c r="B24" s="336"/>
      <c r="C24" s="336"/>
      <c r="D24" s="336"/>
      <c r="E24" s="336"/>
      <c r="F24" s="336"/>
      <c r="G24" s="336"/>
      <c r="H24" s="267"/>
      <c r="I24" s="267"/>
      <c r="J24" s="267"/>
    </row>
    <row r="25" spans="2:10">
      <c r="B25" s="210" t="s">
        <v>491</v>
      </c>
      <c r="C25" s="211"/>
      <c r="D25" s="211"/>
      <c r="E25" s="211"/>
      <c r="F25" s="211"/>
      <c r="G25" s="212"/>
      <c r="H25" s="246">
        <f>SUM(J26:J29)</f>
        <v>9349.8100000000013</v>
      </c>
      <c r="I25" s="247"/>
      <c r="J25" s="248"/>
    </row>
    <row r="26" spans="2:10">
      <c r="B26" s="272" t="s">
        <v>492</v>
      </c>
      <c r="C26" s="273"/>
      <c r="D26" s="273" t="s">
        <v>493</v>
      </c>
      <c r="E26" s="277"/>
      <c r="F26" s="107">
        <v>5000</v>
      </c>
      <c r="G26" s="15">
        <v>1</v>
      </c>
      <c r="H26" s="3">
        <f>F26*G26</f>
        <v>5000</v>
      </c>
      <c r="I26" s="4"/>
      <c r="J26" s="3">
        <f>H26+I26</f>
        <v>5000</v>
      </c>
    </row>
    <row r="27" spans="2:10">
      <c r="B27" s="268" t="s">
        <v>494</v>
      </c>
      <c r="C27" s="269"/>
      <c r="D27" s="269" t="s">
        <v>495</v>
      </c>
      <c r="E27" s="278"/>
      <c r="F27" s="16">
        <f>426.45/2</f>
        <v>213.22499999999999</v>
      </c>
      <c r="G27" s="17">
        <v>2</v>
      </c>
      <c r="H27" s="18">
        <f>F27*G27</f>
        <v>426.45</v>
      </c>
      <c r="I27" s="19"/>
      <c r="J27" s="18">
        <f>H27+I27</f>
        <v>426.45</v>
      </c>
    </row>
    <row r="28" spans="2:10">
      <c r="B28" s="268" t="s">
        <v>496</v>
      </c>
      <c r="C28" s="269"/>
      <c r="D28" s="269"/>
      <c r="E28" s="278"/>
      <c r="F28" s="16">
        <v>3000</v>
      </c>
      <c r="G28" s="17">
        <v>1</v>
      </c>
      <c r="H28" s="18">
        <f>F28*G28</f>
        <v>3000</v>
      </c>
      <c r="I28" s="19">
        <f>H28*0.13</f>
        <v>390</v>
      </c>
      <c r="J28" s="18">
        <f>H28+I28</f>
        <v>3390</v>
      </c>
    </row>
    <row r="29" spans="2:10">
      <c r="B29" s="276" t="s">
        <v>497</v>
      </c>
      <c r="C29" s="274"/>
      <c r="D29" s="274"/>
      <c r="E29" s="275"/>
      <c r="F29" s="5">
        <v>118</v>
      </c>
      <c r="G29" s="20">
        <v>4</v>
      </c>
      <c r="H29" s="7">
        <f>F29*G29</f>
        <v>472</v>
      </c>
      <c r="I29" s="8">
        <f>H29*0.13</f>
        <v>61.36</v>
      </c>
      <c r="J29" s="7">
        <f>H29+I29</f>
        <v>533.36</v>
      </c>
    </row>
    <row r="30" spans="2:10">
      <c r="B30" s="152"/>
      <c r="C30" s="152"/>
      <c r="D30" s="152"/>
      <c r="E30" s="152"/>
      <c r="F30" s="152"/>
      <c r="G30" s="152"/>
      <c r="H30" s="152"/>
      <c r="I30" s="108"/>
      <c r="J30" s="152"/>
    </row>
  </sheetData>
  <mergeCells count="51">
    <mergeCell ref="B19:C19"/>
    <mergeCell ref="D19:E19"/>
    <mergeCell ref="B14:C14"/>
    <mergeCell ref="D14:E14"/>
    <mergeCell ref="B15:C15"/>
    <mergeCell ref="D15:E15"/>
    <mergeCell ref="B16:J16"/>
    <mergeCell ref="B18:C18"/>
    <mergeCell ref="D18:E18"/>
    <mergeCell ref="B25:G25"/>
    <mergeCell ref="H25:J25"/>
    <mergeCell ref="D21:E21"/>
    <mergeCell ref="B22:C22"/>
    <mergeCell ref="D22:E22"/>
    <mergeCell ref="B29:C29"/>
    <mergeCell ref="D29:E29"/>
    <mergeCell ref="B3:H3"/>
    <mergeCell ref="A1:A3"/>
    <mergeCell ref="B26:C26"/>
    <mergeCell ref="D26:E26"/>
    <mergeCell ref="B27:C27"/>
    <mergeCell ref="D27:E27"/>
    <mergeCell ref="B28:C28"/>
    <mergeCell ref="D28:E28"/>
    <mergeCell ref="B23:C23"/>
    <mergeCell ref="D23:E23"/>
    <mergeCell ref="B24:J24"/>
    <mergeCell ref="B20:C20"/>
    <mergeCell ref="D20:E20"/>
    <mergeCell ref="B21:C21"/>
    <mergeCell ref="B13:G13"/>
    <mergeCell ref="H13:J13"/>
    <mergeCell ref="B17:G17"/>
    <mergeCell ref="H17:J17"/>
    <mergeCell ref="B6:C6"/>
    <mergeCell ref="D6:E6"/>
    <mergeCell ref="B11:C11"/>
    <mergeCell ref="D11:E11"/>
    <mergeCell ref="B12:J12"/>
    <mergeCell ref="B8:G8"/>
    <mergeCell ref="H8:J8"/>
    <mergeCell ref="B7:J7"/>
    <mergeCell ref="B9:C9"/>
    <mergeCell ref="D9:E9"/>
    <mergeCell ref="B10:C10"/>
    <mergeCell ref="D10:E10"/>
    <mergeCell ref="B1:H2"/>
    <mergeCell ref="I1:J2"/>
    <mergeCell ref="I3:J3"/>
    <mergeCell ref="B5:E5"/>
    <mergeCell ref="F5:J5"/>
  </mergeCells>
  <pageMargins left="0.25" right="0.2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8"/>
  <sheetViews>
    <sheetView topLeftCell="A32" workbookViewId="0">
      <selection activeCell="B35" sqref="B35:G35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366" t="s">
        <v>498</v>
      </c>
      <c r="C1" s="367"/>
      <c r="D1" s="367"/>
      <c r="E1" s="367"/>
      <c r="F1" s="367"/>
      <c r="G1" s="367"/>
      <c r="H1" s="367"/>
      <c r="I1" s="229">
        <f>SUM(H8,H22,H35,H44,H47,H52,H56)</f>
        <v>11440.7428</v>
      </c>
      <c r="J1" s="409"/>
    </row>
    <row r="2" spans="1:10">
      <c r="A2" s="198"/>
      <c r="B2" s="368"/>
      <c r="C2" s="369"/>
      <c r="D2" s="369"/>
      <c r="E2" s="369"/>
      <c r="F2" s="369"/>
      <c r="G2" s="369"/>
      <c r="H2" s="369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336"/>
      <c r="C4" s="336"/>
      <c r="D4" s="336"/>
      <c r="E4" s="336"/>
      <c r="F4" s="336"/>
      <c r="G4" s="336"/>
      <c r="H4" s="336"/>
      <c r="I4" s="336"/>
      <c r="J4" s="336"/>
    </row>
    <row r="5" spans="1:10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336"/>
      <c r="C7" s="336"/>
      <c r="D7" s="336"/>
      <c r="E7" s="336"/>
      <c r="F7" s="336"/>
      <c r="G7" s="336"/>
      <c r="H7" s="336"/>
      <c r="I7" s="336"/>
      <c r="J7" s="336"/>
    </row>
    <row r="8" spans="1:10">
      <c r="A8" s="152"/>
      <c r="B8" s="210" t="s">
        <v>499</v>
      </c>
      <c r="C8" s="211"/>
      <c r="D8" s="211"/>
      <c r="E8" s="211"/>
      <c r="F8" s="211"/>
      <c r="G8" s="211"/>
      <c r="H8" s="246">
        <f>SUM(J9:J20)</f>
        <v>8372.5</v>
      </c>
      <c r="I8" s="247"/>
      <c r="J8" s="248"/>
    </row>
    <row r="9" spans="1:10">
      <c r="A9" s="152"/>
      <c r="B9" s="370" t="s">
        <v>107</v>
      </c>
      <c r="C9" s="371"/>
      <c r="D9" s="371"/>
      <c r="E9" s="372"/>
      <c r="F9" s="147">
        <v>5000</v>
      </c>
      <c r="G9" s="112">
        <v>1</v>
      </c>
      <c r="H9" s="22">
        <f t="shared" ref="H9:H20" si="0">F9*G9</f>
        <v>5000</v>
      </c>
      <c r="I9" s="23">
        <f>H9*0.13</f>
        <v>650</v>
      </c>
      <c r="J9" s="22">
        <f t="shared" ref="J9:J20" si="1">H9+I9</f>
        <v>5650</v>
      </c>
    </row>
    <row r="10" spans="1:10">
      <c r="A10" s="152"/>
      <c r="B10" s="373" t="s">
        <v>500</v>
      </c>
      <c r="C10" s="374"/>
      <c r="D10" s="374"/>
      <c r="E10" s="375"/>
      <c r="F10" s="148">
        <v>800</v>
      </c>
      <c r="G10" s="111">
        <v>1</v>
      </c>
      <c r="H10" s="25">
        <f t="shared" si="0"/>
        <v>800</v>
      </c>
      <c r="I10" s="26"/>
      <c r="J10" s="25">
        <f t="shared" si="1"/>
        <v>800</v>
      </c>
    </row>
    <row r="11" spans="1:10">
      <c r="A11" s="152"/>
      <c r="B11" s="373" t="s">
        <v>393</v>
      </c>
      <c r="C11" s="374"/>
      <c r="D11" s="374"/>
      <c r="E11" s="375"/>
      <c r="F11" s="148">
        <v>-25</v>
      </c>
      <c r="G11" s="111">
        <f>120-85</f>
        <v>35</v>
      </c>
      <c r="H11" s="25">
        <f t="shared" si="0"/>
        <v>-875</v>
      </c>
      <c r="I11" s="26"/>
      <c r="J11" s="25">
        <f t="shared" si="1"/>
        <v>-875</v>
      </c>
    </row>
    <row r="12" spans="1:10">
      <c r="A12" s="152"/>
      <c r="B12" s="373" t="s">
        <v>501</v>
      </c>
      <c r="C12" s="374"/>
      <c r="D12" s="374" t="s">
        <v>502</v>
      </c>
      <c r="E12" s="375"/>
      <c r="F12" s="148">
        <v>35</v>
      </c>
      <c r="G12" s="111">
        <v>1</v>
      </c>
      <c r="H12" s="25">
        <f t="shared" si="0"/>
        <v>35</v>
      </c>
      <c r="I12" s="26"/>
      <c r="J12" s="25">
        <f t="shared" si="1"/>
        <v>35</v>
      </c>
    </row>
    <row r="13" spans="1:10">
      <c r="A13" s="152"/>
      <c r="B13" s="373" t="s">
        <v>503</v>
      </c>
      <c r="C13" s="374"/>
      <c r="D13" s="374" t="s">
        <v>504</v>
      </c>
      <c r="E13" s="375"/>
      <c r="F13" s="148">
        <v>35</v>
      </c>
      <c r="G13" s="111">
        <v>50</v>
      </c>
      <c r="H13" s="25">
        <f t="shared" si="0"/>
        <v>1750</v>
      </c>
      <c r="I13" s="26">
        <f>H13*0.13</f>
        <v>227.5</v>
      </c>
      <c r="J13" s="25">
        <f t="shared" si="1"/>
        <v>1977.5</v>
      </c>
    </row>
    <row r="14" spans="1:10">
      <c r="A14" s="152"/>
      <c r="B14" s="373" t="s">
        <v>505</v>
      </c>
      <c r="C14" s="374"/>
      <c r="D14" s="374" t="s">
        <v>506</v>
      </c>
      <c r="E14" s="375"/>
      <c r="F14" s="148">
        <v>300</v>
      </c>
      <c r="G14" s="111">
        <v>1</v>
      </c>
      <c r="H14" s="25">
        <f t="shared" si="0"/>
        <v>300</v>
      </c>
      <c r="I14" s="26"/>
      <c r="J14" s="25">
        <f t="shared" si="1"/>
        <v>300</v>
      </c>
    </row>
    <row r="15" spans="1:10" s="46" customFormat="1">
      <c r="B15" s="373" t="s">
        <v>507</v>
      </c>
      <c r="C15" s="374"/>
      <c r="D15" s="374"/>
      <c r="E15" s="375"/>
      <c r="F15" s="148">
        <v>25</v>
      </c>
      <c r="G15" s="111">
        <v>5</v>
      </c>
      <c r="H15" s="25">
        <f t="shared" si="0"/>
        <v>125</v>
      </c>
      <c r="I15" s="26"/>
      <c r="J15" s="92">
        <f t="shared" si="1"/>
        <v>125</v>
      </c>
    </row>
    <row r="16" spans="1:10" s="46" customFormat="1">
      <c r="B16" s="373" t="s">
        <v>508</v>
      </c>
      <c r="C16" s="374"/>
      <c r="D16" s="374"/>
      <c r="E16" s="375"/>
      <c r="F16" s="148">
        <v>25</v>
      </c>
      <c r="G16" s="111">
        <v>8</v>
      </c>
      <c r="H16" s="25">
        <f t="shared" si="0"/>
        <v>200</v>
      </c>
      <c r="I16" s="26"/>
      <c r="J16" s="92">
        <f t="shared" si="1"/>
        <v>200</v>
      </c>
    </row>
    <row r="17" spans="2:10" s="46" customFormat="1">
      <c r="B17" s="373" t="s">
        <v>509</v>
      </c>
      <c r="C17" s="374"/>
      <c r="D17" s="374"/>
      <c r="E17" s="375"/>
      <c r="F17" s="148">
        <v>25</v>
      </c>
      <c r="G17" s="111">
        <v>2</v>
      </c>
      <c r="H17" s="25">
        <f t="shared" si="0"/>
        <v>50</v>
      </c>
      <c r="I17" s="26"/>
      <c r="J17" s="92">
        <f t="shared" si="1"/>
        <v>50</v>
      </c>
    </row>
    <row r="18" spans="2:10">
      <c r="B18" s="373" t="s">
        <v>448</v>
      </c>
      <c r="C18" s="374"/>
      <c r="D18" s="374"/>
      <c r="E18" s="375"/>
      <c r="F18" s="148">
        <v>50</v>
      </c>
      <c r="G18" s="111">
        <v>1</v>
      </c>
      <c r="H18" s="25">
        <f t="shared" si="0"/>
        <v>50</v>
      </c>
      <c r="I18" s="26"/>
      <c r="J18" s="25">
        <f t="shared" si="1"/>
        <v>50</v>
      </c>
    </row>
    <row r="19" spans="2:10">
      <c r="B19" s="373" t="s">
        <v>510</v>
      </c>
      <c r="C19" s="374"/>
      <c r="D19" s="374"/>
      <c r="E19" s="375"/>
      <c r="F19" s="148">
        <v>30</v>
      </c>
      <c r="G19" s="111">
        <v>1</v>
      </c>
      <c r="H19" s="25">
        <f t="shared" si="0"/>
        <v>30</v>
      </c>
      <c r="I19" s="26"/>
      <c r="J19" s="25">
        <f t="shared" si="1"/>
        <v>30</v>
      </c>
    </row>
    <row r="20" spans="2:10">
      <c r="B20" s="376" t="s">
        <v>511</v>
      </c>
      <c r="C20" s="377"/>
      <c r="D20" s="377" t="s">
        <v>512</v>
      </c>
      <c r="E20" s="378"/>
      <c r="F20" s="149">
        <v>30</v>
      </c>
      <c r="G20" s="109">
        <v>1</v>
      </c>
      <c r="H20" s="27">
        <f t="shared" si="0"/>
        <v>30</v>
      </c>
      <c r="I20" s="28"/>
      <c r="J20" s="27">
        <f t="shared" si="1"/>
        <v>30</v>
      </c>
    </row>
    <row r="21" spans="2:10">
      <c r="B21" s="336"/>
      <c r="C21" s="336"/>
      <c r="D21" s="336"/>
      <c r="E21" s="336"/>
      <c r="F21" s="336"/>
      <c r="G21" s="336"/>
      <c r="H21" s="336"/>
      <c r="I21" s="336"/>
      <c r="J21" s="336"/>
    </row>
    <row r="22" spans="2:10">
      <c r="B22" s="210" t="s">
        <v>513</v>
      </c>
      <c r="C22" s="211"/>
      <c r="D22" s="211"/>
      <c r="E22" s="211"/>
      <c r="F22" s="211"/>
      <c r="G22" s="212"/>
      <c r="H22" s="246">
        <f>SUM(J23:J33)</f>
        <v>1103.4940999999999</v>
      </c>
      <c r="I22" s="247"/>
      <c r="J22" s="248"/>
    </row>
    <row r="23" spans="2:10">
      <c r="B23" s="376" t="s">
        <v>514</v>
      </c>
      <c r="C23" s="377"/>
      <c r="D23" s="377" t="s">
        <v>515</v>
      </c>
      <c r="E23" s="378"/>
      <c r="F23" s="149">
        <v>50</v>
      </c>
      <c r="G23" s="113">
        <v>12</v>
      </c>
      <c r="H23" s="27">
        <f t="shared" ref="H23:H33" si="2">F23*G23</f>
        <v>600</v>
      </c>
      <c r="I23" s="28">
        <v>0</v>
      </c>
      <c r="J23" s="27">
        <f t="shared" ref="J23:J33" si="3">H23+I23</f>
        <v>600</v>
      </c>
    </row>
    <row r="24" spans="2:10">
      <c r="B24" s="370" t="s">
        <v>516</v>
      </c>
      <c r="C24" s="371"/>
      <c r="D24" s="371" t="s">
        <v>116</v>
      </c>
      <c r="E24" s="372"/>
      <c r="F24" s="147">
        <v>9.99</v>
      </c>
      <c r="G24" s="114">
        <v>7</v>
      </c>
      <c r="H24" s="22">
        <f t="shared" si="2"/>
        <v>69.930000000000007</v>
      </c>
      <c r="I24" s="23">
        <f t="shared" ref="I24:I33" si="4">H24*0.13</f>
        <v>9.0909000000000013</v>
      </c>
      <c r="J24" s="22">
        <f t="shared" si="3"/>
        <v>79.020900000000012</v>
      </c>
    </row>
    <row r="25" spans="2:10">
      <c r="B25" s="358"/>
      <c r="C25" s="249"/>
      <c r="D25" s="377" t="s">
        <v>517</v>
      </c>
      <c r="E25" s="378"/>
      <c r="F25" s="149">
        <v>6.99</v>
      </c>
      <c r="G25" s="113">
        <v>3</v>
      </c>
      <c r="H25" s="27">
        <f t="shared" si="2"/>
        <v>20.97</v>
      </c>
      <c r="I25" s="28">
        <f t="shared" si="4"/>
        <v>2.7260999999999997</v>
      </c>
      <c r="J25" s="27">
        <f t="shared" si="3"/>
        <v>23.696099999999998</v>
      </c>
    </row>
    <row r="26" spans="2:10">
      <c r="B26" s="358" t="s">
        <v>518</v>
      </c>
      <c r="C26" s="249"/>
      <c r="D26" s="377" t="s">
        <v>519</v>
      </c>
      <c r="E26" s="378"/>
      <c r="F26" s="149">
        <v>40</v>
      </c>
      <c r="G26" s="113">
        <v>1</v>
      </c>
      <c r="H26" s="27">
        <f t="shared" si="2"/>
        <v>40</v>
      </c>
      <c r="I26" s="28">
        <f t="shared" si="4"/>
        <v>5.2</v>
      </c>
      <c r="J26" s="27">
        <f t="shared" si="3"/>
        <v>45.2</v>
      </c>
    </row>
    <row r="27" spans="2:10">
      <c r="B27" s="370" t="s">
        <v>520</v>
      </c>
      <c r="C27" s="371"/>
      <c r="D27" s="371" t="s">
        <v>521</v>
      </c>
      <c r="E27" s="372"/>
      <c r="F27" s="147">
        <v>9.99</v>
      </c>
      <c r="G27" s="114">
        <v>9</v>
      </c>
      <c r="H27" s="22">
        <f t="shared" si="2"/>
        <v>89.91</v>
      </c>
      <c r="I27" s="23">
        <f t="shared" si="4"/>
        <v>11.6883</v>
      </c>
      <c r="J27" s="22">
        <f t="shared" si="3"/>
        <v>101.59829999999999</v>
      </c>
    </row>
    <row r="28" spans="2:10">
      <c r="B28" s="358"/>
      <c r="C28" s="249"/>
      <c r="D28" s="377" t="s">
        <v>113</v>
      </c>
      <c r="E28" s="378"/>
      <c r="F28" s="149">
        <v>6.99</v>
      </c>
      <c r="G28" s="113">
        <v>4</v>
      </c>
      <c r="H28" s="27">
        <f t="shared" si="2"/>
        <v>27.96</v>
      </c>
      <c r="I28" s="28">
        <f t="shared" si="4"/>
        <v>3.6348000000000003</v>
      </c>
      <c r="J28" s="27">
        <f t="shared" si="3"/>
        <v>31.594799999999999</v>
      </c>
    </row>
    <row r="29" spans="2:10">
      <c r="B29" s="370" t="s">
        <v>522</v>
      </c>
      <c r="C29" s="371"/>
      <c r="D29" s="371" t="s">
        <v>116</v>
      </c>
      <c r="E29" s="372"/>
      <c r="F29" s="147">
        <v>9.99</v>
      </c>
      <c r="G29" s="114">
        <v>7</v>
      </c>
      <c r="H29" s="22">
        <f t="shared" si="2"/>
        <v>69.930000000000007</v>
      </c>
      <c r="I29" s="23">
        <f t="shared" si="4"/>
        <v>9.0909000000000013</v>
      </c>
      <c r="J29" s="22">
        <f t="shared" si="3"/>
        <v>79.020900000000012</v>
      </c>
    </row>
    <row r="30" spans="2:10">
      <c r="B30" s="379"/>
      <c r="C30" s="235"/>
      <c r="D30" s="374" t="s">
        <v>113</v>
      </c>
      <c r="E30" s="375"/>
      <c r="F30" s="148">
        <v>6.99</v>
      </c>
      <c r="G30" s="115">
        <v>3</v>
      </c>
      <c r="H30" s="25">
        <f t="shared" si="2"/>
        <v>20.97</v>
      </c>
      <c r="I30" s="26">
        <f t="shared" si="4"/>
        <v>2.7260999999999997</v>
      </c>
      <c r="J30" s="25">
        <f t="shared" si="3"/>
        <v>23.696099999999998</v>
      </c>
    </row>
    <row r="31" spans="2:10">
      <c r="B31" s="358"/>
      <c r="C31" s="249"/>
      <c r="D31" s="377" t="s">
        <v>448</v>
      </c>
      <c r="E31" s="378"/>
      <c r="F31" s="149">
        <v>15</v>
      </c>
      <c r="G31" s="113">
        <v>1</v>
      </c>
      <c r="H31" s="27">
        <f t="shared" si="2"/>
        <v>15</v>
      </c>
      <c r="I31" s="28">
        <f t="shared" si="4"/>
        <v>1.9500000000000002</v>
      </c>
      <c r="J31" s="27">
        <f t="shared" si="3"/>
        <v>16.95</v>
      </c>
    </row>
    <row r="32" spans="2:10">
      <c r="B32" s="370" t="s">
        <v>523</v>
      </c>
      <c r="C32" s="371"/>
      <c r="D32" s="371" t="s">
        <v>116</v>
      </c>
      <c r="E32" s="372"/>
      <c r="F32" s="147">
        <v>9.99</v>
      </c>
      <c r="G32" s="114">
        <v>7</v>
      </c>
      <c r="H32" s="22">
        <f t="shared" si="2"/>
        <v>69.930000000000007</v>
      </c>
      <c r="I32" s="23">
        <f t="shared" si="4"/>
        <v>9.0909000000000013</v>
      </c>
      <c r="J32" s="22">
        <f t="shared" si="3"/>
        <v>79.020900000000012</v>
      </c>
    </row>
    <row r="33" spans="2:10">
      <c r="B33" s="358"/>
      <c r="C33" s="249"/>
      <c r="D33" s="377" t="s">
        <v>113</v>
      </c>
      <c r="E33" s="378"/>
      <c r="F33" s="149">
        <v>6.99</v>
      </c>
      <c r="G33" s="113">
        <v>3</v>
      </c>
      <c r="H33" s="27">
        <f t="shared" si="2"/>
        <v>20.97</v>
      </c>
      <c r="I33" s="28">
        <f t="shared" si="4"/>
        <v>2.7260999999999997</v>
      </c>
      <c r="J33" s="27">
        <f t="shared" si="3"/>
        <v>23.696099999999998</v>
      </c>
    </row>
    <row r="34" spans="2:10">
      <c r="B34" s="336"/>
      <c r="C34" s="336"/>
      <c r="D34" s="336"/>
      <c r="E34" s="336"/>
      <c r="F34" s="336"/>
      <c r="G34" s="336"/>
      <c r="H34" s="336"/>
      <c r="I34" s="336"/>
      <c r="J34" s="336"/>
    </row>
    <row r="35" spans="2:10">
      <c r="B35" s="210" t="s">
        <v>524</v>
      </c>
      <c r="C35" s="211"/>
      <c r="D35" s="211"/>
      <c r="E35" s="211"/>
      <c r="F35" s="211"/>
      <c r="G35" s="212"/>
      <c r="H35" s="246">
        <f>SUM(J36:J42)</f>
        <v>829.30960000000005</v>
      </c>
      <c r="I35" s="247"/>
      <c r="J35" s="248"/>
    </row>
    <row r="36" spans="2:10" s="163" customFormat="1">
      <c r="B36" s="380" t="s">
        <v>525</v>
      </c>
      <c r="C36" s="381"/>
      <c r="D36" s="381" t="s">
        <v>526</v>
      </c>
      <c r="E36" s="381"/>
      <c r="F36" s="164">
        <f>30/1.13</f>
        <v>26.548672566371685</v>
      </c>
      <c r="G36" s="165">
        <v>12</v>
      </c>
      <c r="H36" s="11">
        <f>F36*G36</f>
        <v>318.5840707964602</v>
      </c>
      <c r="I36" s="12">
        <f>H36*0.13</f>
        <v>41.415929203539825</v>
      </c>
      <c r="J36" s="11">
        <f t="shared" ref="J36:J42" si="5">H36+I36</f>
        <v>360</v>
      </c>
    </row>
    <row r="37" spans="2:10">
      <c r="B37" s="373" t="s">
        <v>527</v>
      </c>
      <c r="C37" s="374"/>
      <c r="D37" s="374" t="s">
        <v>528</v>
      </c>
      <c r="E37" s="374"/>
      <c r="F37" s="148">
        <v>40</v>
      </c>
      <c r="G37" s="111">
        <v>1</v>
      </c>
      <c r="H37" s="25">
        <f t="shared" ref="H37:H42" si="6">F37*G37</f>
        <v>40</v>
      </c>
      <c r="I37" s="26"/>
      <c r="J37" s="25">
        <f t="shared" si="5"/>
        <v>40</v>
      </c>
    </row>
    <row r="38" spans="2:10">
      <c r="B38" s="373" t="s">
        <v>116</v>
      </c>
      <c r="C38" s="374"/>
      <c r="D38" s="374" t="s">
        <v>529</v>
      </c>
      <c r="E38" s="374"/>
      <c r="F38" s="148">
        <v>9.99</v>
      </c>
      <c r="G38" s="111">
        <v>8</v>
      </c>
      <c r="H38" s="25">
        <f t="shared" si="6"/>
        <v>79.92</v>
      </c>
      <c r="I38" s="26">
        <f>H38*0.13</f>
        <v>10.3896</v>
      </c>
      <c r="J38" s="25">
        <f t="shared" si="5"/>
        <v>90.309600000000003</v>
      </c>
    </row>
    <row r="39" spans="2:10" s="163" customFormat="1">
      <c r="B39" s="385" t="s">
        <v>530</v>
      </c>
      <c r="C39" s="386"/>
      <c r="D39" s="386"/>
      <c r="E39" s="386"/>
      <c r="F39" s="166">
        <v>0</v>
      </c>
      <c r="G39" s="167">
        <v>0</v>
      </c>
      <c r="H39" s="65">
        <f t="shared" si="6"/>
        <v>0</v>
      </c>
      <c r="I39" s="66">
        <f>H39*0.13</f>
        <v>0</v>
      </c>
      <c r="J39" s="65">
        <f t="shared" si="5"/>
        <v>0</v>
      </c>
    </row>
    <row r="40" spans="2:10">
      <c r="B40" s="373" t="s">
        <v>531</v>
      </c>
      <c r="C40" s="374"/>
      <c r="D40" s="374" t="s">
        <v>532</v>
      </c>
      <c r="E40" s="374"/>
      <c r="F40" s="148">
        <v>300</v>
      </c>
      <c r="G40" s="111">
        <v>1</v>
      </c>
      <c r="H40" s="25">
        <f t="shared" si="6"/>
        <v>300</v>
      </c>
      <c r="I40" s="26">
        <f>H40*0.13</f>
        <v>39</v>
      </c>
      <c r="J40" s="92">
        <f>H40+I40</f>
        <v>339</v>
      </c>
    </row>
    <row r="41" spans="2:10">
      <c r="B41" s="373" t="s">
        <v>533</v>
      </c>
      <c r="C41" s="374"/>
      <c r="D41" s="374"/>
      <c r="E41" s="374"/>
      <c r="F41" s="148">
        <v>0</v>
      </c>
      <c r="G41" s="111">
        <v>0</v>
      </c>
      <c r="H41" s="25">
        <f t="shared" si="6"/>
        <v>0</v>
      </c>
      <c r="I41" s="26">
        <f>H41*0.13</f>
        <v>0</v>
      </c>
      <c r="J41" s="25">
        <f t="shared" si="5"/>
        <v>0</v>
      </c>
    </row>
    <row r="42" spans="2:10">
      <c r="B42" s="373" t="s">
        <v>534</v>
      </c>
      <c r="C42" s="374"/>
      <c r="D42" s="374" t="s">
        <v>535</v>
      </c>
      <c r="E42" s="374"/>
      <c r="F42" s="148">
        <v>0</v>
      </c>
      <c r="G42" s="111">
        <v>0</v>
      </c>
      <c r="H42" s="25">
        <f t="shared" si="6"/>
        <v>0</v>
      </c>
      <c r="I42" s="26">
        <f>H42*0.13</f>
        <v>0</v>
      </c>
      <c r="J42" s="25">
        <f t="shared" si="5"/>
        <v>0</v>
      </c>
    </row>
    <row r="43" spans="2:10">
      <c r="B43" s="336"/>
      <c r="C43" s="336"/>
      <c r="D43" s="336"/>
      <c r="E43" s="336"/>
      <c r="F43" s="336"/>
      <c r="G43" s="336"/>
      <c r="H43" s="336"/>
      <c r="I43" s="336"/>
      <c r="J43" s="336"/>
    </row>
    <row r="44" spans="2:10">
      <c r="B44" s="210" t="s">
        <v>536</v>
      </c>
      <c r="C44" s="211"/>
      <c r="D44" s="211"/>
      <c r="E44" s="211"/>
      <c r="F44" s="211"/>
      <c r="G44" s="212"/>
      <c r="H44" s="246">
        <f>SUM(J45)</f>
        <v>130.0856</v>
      </c>
      <c r="I44" s="247"/>
      <c r="J44" s="248"/>
    </row>
    <row r="45" spans="2:10">
      <c r="B45" s="382" t="s">
        <v>537</v>
      </c>
      <c r="C45" s="383"/>
      <c r="D45" s="383" t="s">
        <v>538</v>
      </c>
      <c r="E45" s="384"/>
      <c r="F45" s="149">
        <v>115.12</v>
      </c>
      <c r="G45" s="110">
        <v>1</v>
      </c>
      <c r="H45" s="103">
        <f>F45*G45</f>
        <v>115.12</v>
      </c>
      <c r="I45" s="122">
        <f>H45*0.13</f>
        <v>14.9656</v>
      </c>
      <c r="J45" s="103">
        <f>H45+I45</f>
        <v>130.0856</v>
      </c>
    </row>
    <row r="46" spans="2:10">
      <c r="B46" s="336"/>
      <c r="C46" s="336"/>
      <c r="D46" s="336"/>
      <c r="E46" s="336"/>
      <c r="F46" s="336"/>
      <c r="G46" s="336"/>
      <c r="H46" s="336"/>
      <c r="I46" s="336"/>
      <c r="J46" s="336"/>
    </row>
    <row r="47" spans="2:10">
      <c r="B47" s="210" t="s">
        <v>64</v>
      </c>
      <c r="C47" s="211"/>
      <c r="D47" s="211"/>
      <c r="E47" s="211"/>
      <c r="F47" s="211"/>
      <c r="G47" s="212"/>
      <c r="H47" s="246">
        <f>SUM(J48:J50)</f>
        <v>353.05349999999999</v>
      </c>
      <c r="I47" s="247"/>
      <c r="J47" s="248"/>
    </row>
    <row r="48" spans="2:10">
      <c r="B48" s="370" t="s">
        <v>116</v>
      </c>
      <c r="C48" s="371"/>
      <c r="D48" s="371" t="s">
        <v>539</v>
      </c>
      <c r="E48" s="372"/>
      <c r="F48" s="147">
        <v>9.99</v>
      </c>
      <c r="G48" s="39">
        <v>4</v>
      </c>
      <c r="H48" s="22">
        <f>F48*G48</f>
        <v>39.96</v>
      </c>
      <c r="I48" s="23">
        <f>H48*0.13</f>
        <v>5.1947999999999999</v>
      </c>
      <c r="J48" s="22">
        <f>H48+I48</f>
        <v>45.154800000000002</v>
      </c>
    </row>
    <row r="49" spans="2:10">
      <c r="B49" s="373" t="s">
        <v>113</v>
      </c>
      <c r="C49" s="374"/>
      <c r="D49" s="374" t="s">
        <v>540</v>
      </c>
      <c r="E49" s="375"/>
      <c r="F49" s="148">
        <v>6.99</v>
      </c>
      <c r="G49" s="42">
        <v>1</v>
      </c>
      <c r="H49" s="25">
        <f>F49*G49</f>
        <v>6.99</v>
      </c>
      <c r="I49" s="26">
        <f>H49*0.13</f>
        <v>0.90870000000000006</v>
      </c>
      <c r="J49" s="25">
        <f>H49+I49</f>
        <v>7.8986999999999998</v>
      </c>
    </row>
    <row r="50" spans="2:10">
      <c r="B50" s="376" t="s">
        <v>126</v>
      </c>
      <c r="C50" s="377"/>
      <c r="D50" s="377" t="s">
        <v>541</v>
      </c>
      <c r="E50" s="378"/>
      <c r="F50" s="149">
        <v>25</v>
      </c>
      <c r="G50" s="169">
        <v>12</v>
      </c>
      <c r="H50" s="27">
        <f>F50*G50</f>
        <v>300</v>
      </c>
      <c r="I50" s="28">
        <v>0</v>
      </c>
      <c r="J50" s="27">
        <f>H50+I50</f>
        <v>300</v>
      </c>
    </row>
    <row r="51" spans="2:10">
      <c r="B51" s="336"/>
      <c r="C51" s="336"/>
      <c r="D51" s="336"/>
      <c r="E51" s="336"/>
      <c r="F51" s="336"/>
      <c r="G51" s="336"/>
      <c r="H51" s="336"/>
      <c r="I51" s="336"/>
      <c r="J51" s="336"/>
    </row>
    <row r="52" spans="2:10">
      <c r="B52" s="210" t="s">
        <v>542</v>
      </c>
      <c r="C52" s="211"/>
      <c r="D52" s="211"/>
      <c r="E52" s="211"/>
      <c r="F52" s="211"/>
      <c r="G52" s="212"/>
      <c r="H52" s="246">
        <f>SUM(J53:J54)</f>
        <v>164.5</v>
      </c>
      <c r="I52" s="247"/>
      <c r="J52" s="248"/>
    </row>
    <row r="53" spans="2:10">
      <c r="B53" s="370" t="s">
        <v>543</v>
      </c>
      <c r="C53" s="371"/>
      <c r="D53" s="371" t="s">
        <v>544</v>
      </c>
      <c r="E53" s="372"/>
      <c r="F53" s="150">
        <v>50</v>
      </c>
      <c r="G53" s="177">
        <v>1</v>
      </c>
      <c r="H53" s="99">
        <f>F53*G53</f>
        <v>50</v>
      </c>
      <c r="I53" s="23">
        <f>H53*0.13</f>
        <v>6.5</v>
      </c>
      <c r="J53" s="22">
        <f>H53+I53</f>
        <v>56.5</v>
      </c>
    </row>
    <row r="54" spans="2:10">
      <c r="B54" s="376" t="s">
        <v>333</v>
      </c>
      <c r="C54" s="377"/>
      <c r="D54" s="377" t="s">
        <v>545</v>
      </c>
      <c r="E54" s="378"/>
      <c r="F54" s="151">
        <v>9</v>
      </c>
      <c r="G54" s="169">
        <v>12</v>
      </c>
      <c r="H54" s="100">
        <f>F54*G54</f>
        <v>108</v>
      </c>
      <c r="I54" s="28">
        <v>0</v>
      </c>
      <c r="J54" s="27">
        <f>H54+I54</f>
        <v>108</v>
      </c>
    </row>
    <row r="55" spans="2:10">
      <c r="B55" s="267"/>
      <c r="C55" s="267"/>
      <c r="D55" s="267"/>
      <c r="E55" s="267"/>
      <c r="F55" s="336"/>
      <c r="G55" s="336"/>
      <c r="H55" s="336"/>
      <c r="I55" s="336"/>
      <c r="J55" s="336"/>
    </row>
    <row r="56" spans="2:10">
      <c r="B56" s="210" t="s">
        <v>546</v>
      </c>
      <c r="C56" s="211"/>
      <c r="D56" s="211"/>
      <c r="E56" s="211"/>
      <c r="F56" s="211"/>
      <c r="G56" s="212"/>
      <c r="H56" s="246">
        <f>SUM(J57:J58)</f>
        <v>487.8</v>
      </c>
      <c r="I56" s="247"/>
      <c r="J56" s="248"/>
    </row>
    <row r="57" spans="2:10">
      <c r="B57" s="370" t="s">
        <v>116</v>
      </c>
      <c r="C57" s="371"/>
      <c r="D57" s="371"/>
      <c r="E57" s="371"/>
      <c r="F57" s="147">
        <v>20</v>
      </c>
      <c r="G57" s="112">
        <v>3</v>
      </c>
      <c r="H57" s="22">
        <f>F57*G57</f>
        <v>60</v>
      </c>
      <c r="I57" s="23">
        <f>H57*0.13</f>
        <v>7.8000000000000007</v>
      </c>
      <c r="J57" s="22">
        <f>H57+I57</f>
        <v>67.8</v>
      </c>
    </row>
    <row r="58" spans="2:10">
      <c r="B58" s="376" t="s">
        <v>547</v>
      </c>
      <c r="C58" s="377"/>
      <c r="D58" s="377"/>
      <c r="E58" s="377"/>
      <c r="F58" s="149">
        <v>30</v>
      </c>
      <c r="G58" s="109">
        <v>14</v>
      </c>
      <c r="H58" s="27">
        <f>F58*G58</f>
        <v>420</v>
      </c>
      <c r="I58" s="28"/>
      <c r="J58" s="27">
        <f>H58+I58</f>
        <v>420</v>
      </c>
    </row>
  </sheetData>
  <mergeCells count="107">
    <mergeCell ref="B52:G52"/>
    <mergeCell ref="H52:J52"/>
    <mergeCell ref="B57:C57"/>
    <mergeCell ref="D57:E57"/>
    <mergeCell ref="B58:C58"/>
    <mergeCell ref="D58:E58"/>
    <mergeCell ref="B53:C53"/>
    <mergeCell ref="D53:E53"/>
    <mergeCell ref="B54:C54"/>
    <mergeCell ref="D54:E54"/>
    <mergeCell ref="B55:J55"/>
    <mergeCell ref="B56:G56"/>
    <mergeCell ref="H56:J56"/>
    <mergeCell ref="B41:C41"/>
    <mergeCell ref="D41:E41"/>
    <mergeCell ref="B42:C42"/>
    <mergeCell ref="D42:E42"/>
    <mergeCell ref="B43:J43"/>
    <mergeCell ref="B38:C38"/>
    <mergeCell ref="D38:E38"/>
    <mergeCell ref="B39:C39"/>
    <mergeCell ref="D39:E39"/>
    <mergeCell ref="B40:C40"/>
    <mergeCell ref="D40:E40"/>
    <mergeCell ref="B44:G44"/>
    <mergeCell ref="H44:J44"/>
    <mergeCell ref="B49:C49"/>
    <mergeCell ref="D49:E49"/>
    <mergeCell ref="B50:C50"/>
    <mergeCell ref="D50:E50"/>
    <mergeCell ref="B51:J51"/>
    <mergeCell ref="B45:C45"/>
    <mergeCell ref="D45:E45"/>
    <mergeCell ref="B46:J46"/>
    <mergeCell ref="B48:C48"/>
    <mergeCell ref="D48:E48"/>
    <mergeCell ref="B47:G47"/>
    <mergeCell ref="H47:J47"/>
    <mergeCell ref="B34:J34"/>
    <mergeCell ref="B36:C36"/>
    <mergeCell ref="D36:E36"/>
    <mergeCell ref="B37:C37"/>
    <mergeCell ref="D37:E37"/>
    <mergeCell ref="B31:C31"/>
    <mergeCell ref="D31:E31"/>
    <mergeCell ref="B32:C32"/>
    <mergeCell ref="D32:E32"/>
    <mergeCell ref="B33:C33"/>
    <mergeCell ref="D33:E33"/>
    <mergeCell ref="B35:G35"/>
    <mergeCell ref="H35:J35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1:J21"/>
    <mergeCell ref="B23:C23"/>
    <mergeCell ref="D23:E23"/>
    <mergeCell ref="B24:C24"/>
    <mergeCell ref="D24:E24"/>
    <mergeCell ref="B18:C18"/>
    <mergeCell ref="D18:E18"/>
    <mergeCell ref="B19:C19"/>
    <mergeCell ref="D19:E19"/>
    <mergeCell ref="B20:C20"/>
    <mergeCell ref="D20:E20"/>
    <mergeCell ref="B22:G22"/>
    <mergeCell ref="H22:J22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11:C11"/>
    <mergeCell ref="D11:E11"/>
    <mergeCell ref="B5:E5"/>
    <mergeCell ref="F5:J5"/>
    <mergeCell ref="B6:C6"/>
    <mergeCell ref="D6:E6"/>
    <mergeCell ref="B7:J7"/>
    <mergeCell ref="B8:G8"/>
    <mergeCell ref="H8:J8"/>
    <mergeCell ref="A1:A3"/>
    <mergeCell ref="B1:H2"/>
    <mergeCell ref="I1:J2"/>
    <mergeCell ref="B3:H3"/>
    <mergeCell ref="I3:J3"/>
    <mergeCell ref="B4:J4"/>
    <mergeCell ref="B9:C9"/>
    <mergeCell ref="D9:E9"/>
    <mergeCell ref="B10:C10"/>
    <mergeCell ref="D10:E10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1"/>
  <sheetViews>
    <sheetView workbookViewId="0">
      <selection activeCell="D11" sqref="D11:E11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5703125" customWidth="1"/>
    <col min="9" max="9" width="9.7109375" customWidth="1"/>
    <col min="10" max="10" width="11.7109375" customWidth="1"/>
  </cols>
  <sheetData>
    <row r="1" spans="1:16">
      <c r="A1" s="198"/>
      <c r="B1" s="225" t="s">
        <v>548</v>
      </c>
      <c r="C1" s="226"/>
      <c r="D1" s="226"/>
      <c r="E1" s="226"/>
      <c r="F1" s="226"/>
      <c r="G1" s="226"/>
      <c r="H1" s="226"/>
      <c r="I1" s="229">
        <f>SUM(H8,H13,H19)</f>
        <v>675.38679999999999</v>
      </c>
      <c r="J1" s="409"/>
      <c r="K1" s="152"/>
      <c r="L1" s="152"/>
      <c r="M1" s="152"/>
      <c r="N1" s="152"/>
      <c r="O1" s="152"/>
      <c r="P1" s="152"/>
    </row>
    <row r="2" spans="1:16">
      <c r="A2" s="198"/>
      <c r="B2" s="227"/>
      <c r="C2" s="228"/>
      <c r="D2" s="228"/>
      <c r="E2" s="228"/>
      <c r="F2" s="228"/>
      <c r="G2" s="228"/>
      <c r="H2" s="228"/>
      <c r="I2" s="265"/>
      <c r="J2" s="417"/>
      <c r="K2" s="152"/>
      <c r="L2" s="152"/>
      <c r="M2" s="152"/>
      <c r="N2" s="152"/>
      <c r="O2" s="152"/>
      <c r="P2" s="152"/>
    </row>
    <row r="3" spans="1:16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  <c r="K3" s="152"/>
      <c r="L3" s="152"/>
      <c r="M3" s="152"/>
      <c r="N3" s="152"/>
      <c r="O3" s="152"/>
      <c r="P3" s="152"/>
    </row>
    <row r="5" spans="1:16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  <c r="K5" s="152"/>
      <c r="L5" s="152"/>
      <c r="M5" s="152"/>
      <c r="N5" s="152"/>
      <c r="O5" s="152"/>
      <c r="P5" s="152"/>
    </row>
    <row r="6" spans="1:16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  <c r="K6" s="152"/>
      <c r="L6" s="152"/>
      <c r="M6" s="152"/>
      <c r="N6" s="152"/>
      <c r="O6" s="152"/>
      <c r="P6" s="152"/>
    </row>
    <row r="7" spans="1:16">
      <c r="A7" s="152"/>
      <c r="B7" s="336"/>
      <c r="C7" s="336"/>
      <c r="D7" s="336"/>
      <c r="E7" s="336"/>
      <c r="F7" s="336"/>
      <c r="G7" s="336"/>
      <c r="H7" s="336"/>
      <c r="I7" s="336"/>
      <c r="J7" s="336"/>
      <c r="K7" s="152"/>
      <c r="L7" s="152"/>
      <c r="M7" s="152"/>
      <c r="N7" s="152"/>
      <c r="O7" s="152"/>
      <c r="P7" s="152"/>
    </row>
    <row r="8" spans="1:16">
      <c r="A8" s="152"/>
      <c r="B8" s="210" t="s">
        <v>549</v>
      </c>
      <c r="C8" s="211"/>
      <c r="D8" s="211"/>
      <c r="E8" s="211"/>
      <c r="F8" s="211"/>
      <c r="G8" s="212"/>
      <c r="H8" s="246">
        <f>SUM(J9:J11)</f>
        <v>0</v>
      </c>
      <c r="I8" s="247"/>
      <c r="J8" s="248"/>
      <c r="K8" s="152"/>
      <c r="L8" s="152"/>
      <c r="M8" s="152"/>
      <c r="N8" s="152"/>
      <c r="O8" s="152"/>
      <c r="P8" s="152"/>
    </row>
    <row r="9" spans="1:16">
      <c r="A9" s="152"/>
      <c r="B9" s="387" t="s">
        <v>550</v>
      </c>
      <c r="C9" s="388"/>
      <c r="D9" s="388" t="s">
        <v>551</v>
      </c>
      <c r="E9" s="388"/>
      <c r="F9" s="121">
        <v>10</v>
      </c>
      <c r="G9" s="177">
        <v>10</v>
      </c>
      <c r="H9" s="3">
        <f>F9*G9</f>
        <v>100</v>
      </c>
      <c r="I9" s="23"/>
      <c r="J9" s="3">
        <f>H9+I9</f>
        <v>100</v>
      </c>
      <c r="K9" s="152"/>
      <c r="L9" s="152"/>
      <c r="M9" s="152"/>
      <c r="N9" s="152"/>
      <c r="O9" s="152"/>
      <c r="P9" s="152"/>
    </row>
    <row r="10" spans="1:16">
      <c r="A10" s="152"/>
      <c r="B10" s="389" t="s">
        <v>552</v>
      </c>
      <c r="C10" s="390"/>
      <c r="D10" s="390" t="s">
        <v>553</v>
      </c>
      <c r="E10" s="390"/>
      <c r="F10" s="120">
        <v>5</v>
      </c>
      <c r="G10" s="175">
        <v>10</v>
      </c>
      <c r="H10" s="18">
        <f>F10*G10</f>
        <v>50</v>
      </c>
      <c r="I10" s="26"/>
      <c r="J10" s="18">
        <f>H10+I10</f>
        <v>50</v>
      </c>
      <c r="K10" s="152"/>
      <c r="L10" s="152"/>
      <c r="M10" s="152"/>
      <c r="N10" s="152"/>
      <c r="O10" s="152"/>
      <c r="P10" s="152"/>
    </row>
    <row r="11" spans="1:16">
      <c r="A11" s="152"/>
      <c r="B11" s="358" t="s">
        <v>554</v>
      </c>
      <c r="C11" s="249"/>
      <c r="D11" s="249" t="s">
        <v>555</v>
      </c>
      <c r="E11" s="249"/>
      <c r="F11" s="119">
        <v>-15</v>
      </c>
      <c r="G11" s="169">
        <v>10</v>
      </c>
      <c r="H11" s="7">
        <f>F11*G11</f>
        <v>-150</v>
      </c>
      <c r="I11" s="28"/>
      <c r="J11" s="7">
        <f>H11+I11</f>
        <v>-150</v>
      </c>
      <c r="K11" s="152"/>
      <c r="L11" s="152"/>
      <c r="M11" s="152"/>
      <c r="N11" s="152"/>
      <c r="O11" s="152"/>
      <c r="P11" s="152"/>
    </row>
    <row r="12" spans="1:16">
      <c r="A12" s="152"/>
      <c r="B12" s="336"/>
      <c r="C12" s="336"/>
      <c r="D12" s="336"/>
      <c r="E12" s="336"/>
      <c r="F12" s="267"/>
      <c r="G12" s="267"/>
      <c r="H12" s="267"/>
      <c r="I12" s="267"/>
      <c r="J12" s="267"/>
      <c r="K12" s="152"/>
      <c r="L12" s="152"/>
      <c r="M12" s="152"/>
      <c r="N12" s="152"/>
      <c r="O12" s="152"/>
      <c r="P12" s="152"/>
    </row>
    <row r="13" spans="1:16">
      <c r="A13" s="152"/>
      <c r="B13" s="210" t="s">
        <v>287</v>
      </c>
      <c r="C13" s="211"/>
      <c r="D13" s="211"/>
      <c r="E13" s="211"/>
      <c r="F13" s="211"/>
      <c r="G13" s="212"/>
      <c r="H13" s="246">
        <f>SUM(J14:J17)</f>
        <v>537.68499999999995</v>
      </c>
      <c r="I13" s="247"/>
      <c r="J13" s="248"/>
      <c r="K13" s="152"/>
      <c r="L13" s="152"/>
      <c r="M13" s="152"/>
      <c r="N13" s="152"/>
      <c r="O13" s="152"/>
      <c r="P13" s="152"/>
    </row>
    <row r="14" spans="1:16">
      <c r="A14" s="152"/>
      <c r="B14" s="359" t="s">
        <v>556</v>
      </c>
      <c r="C14" s="244"/>
      <c r="D14" s="244"/>
      <c r="E14" s="245"/>
      <c r="F14" s="117">
        <v>3.5</v>
      </c>
      <c r="G14" s="39">
        <v>7</v>
      </c>
      <c r="H14" s="3">
        <f>F14*G14</f>
        <v>24.5</v>
      </c>
      <c r="I14" s="26">
        <f>H14*0.13</f>
        <v>3.1850000000000001</v>
      </c>
      <c r="J14" s="3">
        <f>H14+I14</f>
        <v>27.684999999999999</v>
      </c>
      <c r="K14" s="152"/>
      <c r="L14" s="152"/>
      <c r="M14" s="152"/>
      <c r="N14" s="152"/>
      <c r="O14" s="152"/>
      <c r="P14" s="152"/>
    </row>
    <row r="15" spans="1:16">
      <c r="A15" s="152"/>
      <c r="B15" s="379" t="s">
        <v>557</v>
      </c>
      <c r="C15" s="235"/>
      <c r="D15" s="235" t="s">
        <v>558</v>
      </c>
      <c r="E15" s="236"/>
      <c r="F15" s="153">
        <v>300</v>
      </c>
      <c r="G15" s="42">
        <v>1</v>
      </c>
      <c r="H15" s="18">
        <f>F15*G15</f>
        <v>300</v>
      </c>
      <c r="I15" s="26"/>
      <c r="J15" s="18">
        <f>H15+I15</f>
        <v>300</v>
      </c>
      <c r="K15" s="152" t="s">
        <v>559</v>
      </c>
      <c r="L15" s="152"/>
      <c r="M15" s="152"/>
      <c r="N15" s="152"/>
      <c r="O15" s="152"/>
      <c r="P15" s="152" t="s">
        <v>560</v>
      </c>
    </row>
    <row r="16" spans="1:16">
      <c r="A16" s="152"/>
      <c r="B16" s="379" t="s">
        <v>561</v>
      </c>
      <c r="C16" s="235"/>
      <c r="D16" s="235" t="s">
        <v>562</v>
      </c>
      <c r="E16" s="236"/>
      <c r="F16" s="118">
        <v>10</v>
      </c>
      <c r="G16" s="42">
        <v>6</v>
      </c>
      <c r="H16" s="18">
        <f>F16*G16</f>
        <v>60</v>
      </c>
      <c r="I16" s="26"/>
      <c r="J16" s="18">
        <f>H16+I16</f>
        <v>60</v>
      </c>
      <c r="K16" s="152"/>
      <c r="L16" s="152"/>
      <c r="M16" s="152"/>
      <c r="N16" s="152"/>
      <c r="O16" s="152"/>
      <c r="P16" s="152"/>
    </row>
    <row r="17" spans="2:10">
      <c r="B17" s="358" t="s">
        <v>563</v>
      </c>
      <c r="C17" s="249"/>
      <c r="D17" s="249" t="s">
        <v>564</v>
      </c>
      <c r="E17" s="250"/>
      <c r="F17" s="116">
        <v>25</v>
      </c>
      <c r="G17" s="45">
        <v>6</v>
      </c>
      <c r="H17" s="7">
        <f>F17*G17</f>
        <v>150</v>
      </c>
      <c r="I17" s="28"/>
      <c r="J17" s="7">
        <f>H17+I17</f>
        <v>150</v>
      </c>
    </row>
    <row r="18" spans="2:10">
      <c r="B18" s="336"/>
      <c r="C18" s="336"/>
      <c r="D18" s="336"/>
      <c r="E18" s="336"/>
      <c r="F18" s="267"/>
      <c r="G18" s="267"/>
      <c r="H18" s="267"/>
      <c r="I18" s="267"/>
      <c r="J18" s="267"/>
    </row>
    <row r="19" spans="2:10">
      <c r="B19" s="210" t="s">
        <v>565</v>
      </c>
      <c r="C19" s="211"/>
      <c r="D19" s="211"/>
      <c r="E19" s="211"/>
      <c r="F19" s="211"/>
      <c r="G19" s="212"/>
      <c r="H19" s="246">
        <f>SUM(J20:J21)</f>
        <v>137.70179999999999</v>
      </c>
      <c r="I19" s="247"/>
      <c r="J19" s="248"/>
    </row>
    <row r="20" spans="2:10">
      <c r="B20" s="359" t="s">
        <v>165</v>
      </c>
      <c r="C20" s="244"/>
      <c r="D20" s="244" t="s">
        <v>566</v>
      </c>
      <c r="E20" s="245"/>
      <c r="F20" s="117">
        <v>12.99</v>
      </c>
      <c r="G20" s="177">
        <v>9</v>
      </c>
      <c r="H20" s="3">
        <f>F20*G20</f>
        <v>116.91</v>
      </c>
      <c r="I20" s="23">
        <f>H20*0.13</f>
        <v>15.1983</v>
      </c>
      <c r="J20" s="3">
        <f>H20+I20</f>
        <v>132.10829999999999</v>
      </c>
    </row>
    <row r="21" spans="2:10">
      <c r="B21" s="358" t="s">
        <v>567</v>
      </c>
      <c r="C21" s="249"/>
      <c r="D21" s="249" t="s">
        <v>568</v>
      </c>
      <c r="E21" s="250"/>
      <c r="F21" s="116">
        <v>0.99</v>
      </c>
      <c r="G21" s="169">
        <v>5</v>
      </c>
      <c r="H21" s="7">
        <f>F21*G21</f>
        <v>4.95</v>
      </c>
      <c r="I21" s="28">
        <f>H21*0.13</f>
        <v>0.64350000000000007</v>
      </c>
      <c r="J21" s="7">
        <f>H21+I21</f>
        <v>5.5935000000000006</v>
      </c>
    </row>
  </sheetData>
  <mergeCells count="36">
    <mergeCell ref="A1:A3"/>
    <mergeCell ref="B1:H2"/>
    <mergeCell ref="I1:J2"/>
    <mergeCell ref="I3:J3"/>
    <mergeCell ref="B5:E5"/>
    <mergeCell ref="F5:J5"/>
    <mergeCell ref="B3:H3"/>
    <mergeCell ref="D9:E9"/>
    <mergeCell ref="D10:E10"/>
    <mergeCell ref="B6:C6"/>
    <mergeCell ref="D6:E6"/>
    <mergeCell ref="B7:J7"/>
    <mergeCell ref="B8:G8"/>
    <mergeCell ref="H8:J8"/>
    <mergeCell ref="D11:E11"/>
    <mergeCell ref="B9:C9"/>
    <mergeCell ref="B10:C10"/>
    <mergeCell ref="B11:C11"/>
    <mergeCell ref="B18:J18"/>
    <mergeCell ref="B12:J12"/>
    <mergeCell ref="D14:E14"/>
    <mergeCell ref="D15:E15"/>
    <mergeCell ref="D16:E16"/>
    <mergeCell ref="D17:E17"/>
    <mergeCell ref="B14:C14"/>
    <mergeCell ref="B15:C15"/>
    <mergeCell ref="B16:C16"/>
    <mergeCell ref="B17:C17"/>
    <mergeCell ref="B13:G13"/>
    <mergeCell ref="H13:J13"/>
    <mergeCell ref="H19:J19"/>
    <mergeCell ref="D20:E20"/>
    <mergeCell ref="D21:E21"/>
    <mergeCell ref="B20:C20"/>
    <mergeCell ref="B21:C21"/>
    <mergeCell ref="B19:G19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5"/>
  <sheetViews>
    <sheetView workbookViewId="0">
      <selection sqref="A1:A3"/>
    </sheetView>
  </sheetViews>
  <sheetFormatPr defaultRowHeight="15"/>
  <cols>
    <col min="1" max="1" width="4.7109375" customWidth="1"/>
    <col min="2" max="2" width="15.5703125" customWidth="1"/>
    <col min="3" max="4" width="17.28515625" customWidth="1"/>
    <col min="5" max="5" width="16.7109375" customWidth="1"/>
    <col min="6" max="8" width="10.5703125" customWidth="1"/>
    <col min="9" max="9" width="9.7109375" customWidth="1"/>
    <col min="10" max="10" width="11.7109375" customWidth="1"/>
  </cols>
  <sheetData>
    <row r="1" spans="1:11" ht="15" customHeight="1">
      <c r="A1" s="198"/>
      <c r="B1" s="391" t="s">
        <v>569</v>
      </c>
      <c r="C1" s="392"/>
      <c r="D1" s="392"/>
      <c r="E1" s="392"/>
      <c r="F1" s="392"/>
      <c r="G1" s="392"/>
      <c r="H1" s="392"/>
      <c r="I1" s="394">
        <f>SUM(H8,H12,H17,H21)</f>
        <v>2614.2269999999999</v>
      </c>
      <c r="J1" s="428"/>
      <c r="K1" s="152"/>
    </row>
    <row r="2" spans="1:11" ht="15.75" thickBot="1">
      <c r="A2" s="198"/>
      <c r="B2" s="393"/>
      <c r="C2" s="228"/>
      <c r="D2" s="228"/>
      <c r="E2" s="228"/>
      <c r="F2" s="228"/>
      <c r="G2" s="228"/>
      <c r="H2" s="228"/>
      <c r="I2" s="429"/>
      <c r="J2" s="430"/>
      <c r="K2" s="152"/>
    </row>
    <row r="3" spans="1:11" ht="15.75" thickBot="1">
      <c r="A3" s="198"/>
      <c r="B3" s="397"/>
      <c r="C3" s="398"/>
      <c r="D3" s="398"/>
      <c r="E3" s="398"/>
      <c r="F3" s="398"/>
      <c r="G3" s="398"/>
      <c r="H3" s="398"/>
      <c r="I3" s="395" t="s">
        <v>62</v>
      </c>
      <c r="J3" s="396"/>
      <c r="K3" s="152"/>
    </row>
    <row r="4" spans="1:11">
      <c r="A4" s="152"/>
      <c r="B4" s="237"/>
      <c r="C4" s="237"/>
      <c r="D4" s="237"/>
      <c r="E4" s="237"/>
      <c r="F4" s="237"/>
      <c r="G4" s="237"/>
      <c r="H4" s="237"/>
      <c r="I4" s="237"/>
      <c r="J4" s="237"/>
      <c r="K4" s="152"/>
    </row>
    <row r="5" spans="1:11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  <c r="K5" s="152"/>
    </row>
    <row r="6" spans="1:11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  <c r="K6" s="152"/>
    </row>
    <row r="7" spans="1:11">
      <c r="A7" s="152"/>
      <c r="B7" s="336"/>
      <c r="C7" s="336"/>
      <c r="D7" s="336"/>
      <c r="E7" s="336"/>
      <c r="F7" s="336"/>
      <c r="G7" s="336"/>
      <c r="H7" s="336"/>
      <c r="I7" s="336"/>
      <c r="J7" s="336"/>
      <c r="K7" s="152"/>
    </row>
    <row r="8" spans="1:11">
      <c r="A8" s="152"/>
      <c r="B8" s="210" t="s">
        <v>570</v>
      </c>
      <c r="C8" s="211"/>
      <c r="D8" s="211"/>
      <c r="E8" s="211"/>
      <c r="F8" s="211"/>
      <c r="G8" s="212"/>
      <c r="H8" s="246">
        <f>SUM(J9:J10)</f>
        <v>760.54650000000004</v>
      </c>
      <c r="I8" s="247"/>
      <c r="J8" s="248"/>
      <c r="K8" s="152"/>
    </row>
    <row r="9" spans="1:11" s="46" customFormat="1">
      <c r="B9" s="299" t="s">
        <v>571</v>
      </c>
      <c r="C9" s="300"/>
      <c r="D9" s="300" t="s">
        <v>572</v>
      </c>
      <c r="E9" s="301"/>
      <c r="F9" s="38">
        <f>165.9</f>
        <v>165.9</v>
      </c>
      <c r="G9" s="39">
        <f>2</f>
        <v>2</v>
      </c>
      <c r="H9" s="22">
        <f>F9*G9</f>
        <v>331.8</v>
      </c>
      <c r="I9" s="23">
        <f>H9*0.13</f>
        <v>43.134</v>
      </c>
      <c r="J9" s="22">
        <f>H9+I9</f>
        <v>374.93400000000003</v>
      </c>
      <c r="K9" s="46" t="s">
        <v>573</v>
      </c>
    </row>
    <row r="10" spans="1:11">
      <c r="A10" s="152"/>
      <c r="B10" s="358" t="s">
        <v>574</v>
      </c>
      <c r="C10" s="249"/>
      <c r="D10" s="249" t="s">
        <v>575</v>
      </c>
      <c r="E10" s="250"/>
      <c r="F10" s="57">
        <f>341.25</f>
        <v>341.25</v>
      </c>
      <c r="G10" s="169">
        <f>1</f>
        <v>1</v>
      </c>
      <c r="H10" s="27">
        <f>F10*G10</f>
        <v>341.25</v>
      </c>
      <c r="I10" s="28">
        <f>H10*0.13</f>
        <v>44.362500000000004</v>
      </c>
      <c r="J10" s="27">
        <f>H10+I10</f>
        <v>385.61250000000001</v>
      </c>
      <c r="K10" s="152"/>
    </row>
    <row r="11" spans="1:11">
      <c r="A11" s="152"/>
      <c r="B11" s="267"/>
      <c r="C11" s="267"/>
      <c r="D11" s="267"/>
      <c r="E11" s="267"/>
      <c r="F11" s="267"/>
      <c r="G11" s="267"/>
      <c r="H11" s="267"/>
      <c r="I11" s="267"/>
      <c r="J11" s="267"/>
      <c r="K11" s="152"/>
    </row>
    <row r="12" spans="1:11">
      <c r="A12" s="152"/>
      <c r="B12" s="210" t="s">
        <v>64</v>
      </c>
      <c r="C12" s="211"/>
      <c r="D12" s="211"/>
      <c r="E12" s="211"/>
      <c r="F12" s="211"/>
      <c r="G12" s="212"/>
      <c r="H12" s="246">
        <f>SUM(J13:J15)</f>
        <v>1690</v>
      </c>
      <c r="I12" s="247"/>
      <c r="J12" s="248"/>
      <c r="K12" s="152"/>
    </row>
    <row r="13" spans="1:11">
      <c r="A13" s="152"/>
      <c r="B13" s="406" t="s">
        <v>125</v>
      </c>
      <c r="C13" s="399"/>
      <c r="D13" s="399" t="s">
        <v>126</v>
      </c>
      <c r="E13" s="400"/>
      <c r="F13" s="58">
        <v>25</v>
      </c>
      <c r="G13" s="177">
        <v>20</v>
      </c>
      <c r="H13" s="22">
        <f t="shared" ref="H13:H15" si="0">F13*G13</f>
        <v>500</v>
      </c>
      <c r="I13" s="23"/>
      <c r="J13" s="22">
        <f>H13+I13</f>
        <v>500</v>
      </c>
      <c r="K13" s="152"/>
    </row>
    <row r="14" spans="1:11">
      <c r="A14" s="152"/>
      <c r="B14" s="290" t="s">
        <v>576</v>
      </c>
      <c r="C14" s="294"/>
      <c r="D14" s="294" t="s">
        <v>107</v>
      </c>
      <c r="E14" s="405"/>
      <c r="F14" s="83">
        <f>30</f>
        <v>30</v>
      </c>
      <c r="G14" s="175">
        <f>23</f>
        <v>23</v>
      </c>
      <c r="H14" s="25">
        <f t="shared" si="0"/>
        <v>690</v>
      </c>
      <c r="I14" s="26"/>
      <c r="J14" s="25">
        <f>H14+I14</f>
        <v>690</v>
      </c>
      <c r="K14" s="152"/>
    </row>
    <row r="15" spans="1:11">
      <c r="A15" s="152"/>
      <c r="B15" s="295" t="s">
        <v>577</v>
      </c>
      <c r="C15" s="403"/>
      <c r="D15" s="403" t="s">
        <v>578</v>
      </c>
      <c r="E15" s="404"/>
      <c r="F15" s="57">
        <f>500</f>
        <v>500</v>
      </c>
      <c r="G15" s="169">
        <f>1</f>
        <v>1</v>
      </c>
      <c r="H15" s="27">
        <f t="shared" si="0"/>
        <v>500</v>
      </c>
      <c r="I15" s="28"/>
      <c r="J15" s="27">
        <f>H15+I15</f>
        <v>500</v>
      </c>
      <c r="K15" s="152"/>
    </row>
    <row r="16" spans="1:11">
      <c r="A16" s="152"/>
      <c r="B16" s="267"/>
      <c r="C16" s="267"/>
      <c r="D16" s="267"/>
      <c r="E16" s="267"/>
      <c r="F16" s="267"/>
      <c r="G16" s="267"/>
      <c r="H16" s="267"/>
      <c r="I16" s="267"/>
      <c r="J16" s="267"/>
      <c r="K16" s="152"/>
    </row>
    <row r="17" spans="2:10">
      <c r="B17" s="210" t="s">
        <v>579</v>
      </c>
      <c r="C17" s="211"/>
      <c r="D17" s="211"/>
      <c r="E17" s="211"/>
      <c r="F17" s="211"/>
      <c r="G17" s="212"/>
      <c r="H17" s="246">
        <f>SUM(J18:J19)</f>
        <v>25.086000000000002</v>
      </c>
      <c r="I17" s="247"/>
      <c r="J17" s="248"/>
    </row>
    <row r="18" spans="2:10">
      <c r="B18" s="401" t="s">
        <v>580</v>
      </c>
      <c r="C18" s="402"/>
      <c r="D18" s="300" t="s">
        <v>581</v>
      </c>
      <c r="E18" s="301"/>
      <c r="F18" s="58">
        <f>0.1</f>
        <v>0.1</v>
      </c>
      <c r="G18" s="39">
        <v>185</v>
      </c>
      <c r="H18" s="80">
        <f>F18*G18</f>
        <v>18.5</v>
      </c>
      <c r="I18" s="26">
        <f>H18*0.13</f>
        <v>2.4050000000000002</v>
      </c>
      <c r="J18" s="25">
        <f>H18+I18</f>
        <v>20.905000000000001</v>
      </c>
    </row>
    <row r="19" spans="2:10">
      <c r="B19" s="288"/>
      <c r="C19" s="289"/>
      <c r="D19" s="289" t="s">
        <v>582</v>
      </c>
      <c r="E19" s="304"/>
      <c r="F19" s="57">
        <f>0.02</f>
        <v>0.02</v>
      </c>
      <c r="G19" s="45">
        <v>185</v>
      </c>
      <c r="H19" s="100">
        <f>F19*G19</f>
        <v>3.7</v>
      </c>
      <c r="I19" s="28">
        <f>H19*0.13</f>
        <v>0.48100000000000004</v>
      </c>
      <c r="J19" s="27">
        <f>H19+I19</f>
        <v>4.181</v>
      </c>
    </row>
    <row r="20" spans="2:10">
      <c r="B20" s="267"/>
      <c r="C20" s="267"/>
      <c r="D20" s="267"/>
      <c r="E20" s="267"/>
      <c r="F20" s="267"/>
      <c r="G20" s="267"/>
      <c r="H20" s="267"/>
      <c r="I20" s="267"/>
      <c r="J20" s="267"/>
    </row>
    <row r="21" spans="2:10">
      <c r="B21" s="210" t="s">
        <v>583</v>
      </c>
      <c r="C21" s="211"/>
      <c r="D21" s="211"/>
      <c r="E21" s="211"/>
      <c r="F21" s="211"/>
      <c r="G21" s="212"/>
      <c r="H21" s="246">
        <f>SUM(J22:J24)</f>
        <v>138.59450000000001</v>
      </c>
      <c r="I21" s="247"/>
      <c r="J21" s="248"/>
    </row>
    <row r="22" spans="2:10">
      <c r="B22" s="359" t="s">
        <v>116</v>
      </c>
      <c r="C22" s="244"/>
      <c r="D22" s="244"/>
      <c r="E22" s="245"/>
      <c r="F22" s="58">
        <f>19.34</f>
        <v>19.34</v>
      </c>
      <c r="G22" s="177">
        <v>5</v>
      </c>
      <c r="H22" s="22">
        <f>F22*G22</f>
        <v>96.7</v>
      </c>
      <c r="I22" s="23">
        <f>H22*0.13</f>
        <v>12.571000000000002</v>
      </c>
      <c r="J22" s="22">
        <f>H22+I22</f>
        <v>109.271</v>
      </c>
    </row>
    <row r="23" spans="2:10">
      <c r="B23" s="379" t="s">
        <v>584</v>
      </c>
      <c r="C23" s="235"/>
      <c r="D23" s="235"/>
      <c r="E23" s="236"/>
      <c r="F23" s="83">
        <f>7.99</f>
        <v>7.99</v>
      </c>
      <c r="G23" s="175">
        <v>1</v>
      </c>
      <c r="H23" s="25">
        <f>F23*G23</f>
        <v>7.99</v>
      </c>
      <c r="I23" s="26">
        <f>H23*0.13</f>
        <v>1.0387</v>
      </c>
      <c r="J23" s="25">
        <f>H23+I23</f>
        <v>9.0287000000000006</v>
      </c>
    </row>
    <row r="24" spans="2:10">
      <c r="B24" s="358" t="s">
        <v>397</v>
      </c>
      <c r="C24" s="249"/>
      <c r="D24" s="249"/>
      <c r="E24" s="250"/>
      <c r="F24" s="57">
        <f>4.49</f>
        <v>4.49</v>
      </c>
      <c r="G24" s="169">
        <f>4</f>
        <v>4</v>
      </c>
      <c r="H24" s="27">
        <f>F24*G24</f>
        <v>17.96</v>
      </c>
      <c r="I24" s="28">
        <f>H24*0.13</f>
        <v>2.3348</v>
      </c>
      <c r="J24" s="27">
        <f>H24+I24</f>
        <v>20.294800000000002</v>
      </c>
    </row>
    <row r="25" spans="2:10">
      <c r="B25" s="267"/>
      <c r="C25" s="267"/>
      <c r="D25" s="267"/>
      <c r="E25" s="267"/>
      <c r="F25" s="267"/>
      <c r="G25" s="267"/>
      <c r="H25" s="267"/>
      <c r="I25" s="267"/>
      <c r="J25" s="267"/>
    </row>
  </sheetData>
  <mergeCells count="43">
    <mergeCell ref="A1:A3"/>
    <mergeCell ref="B24:C24"/>
    <mergeCell ref="D24:E24"/>
    <mergeCell ref="B16:J16"/>
    <mergeCell ref="B18:C18"/>
    <mergeCell ref="D18:E18"/>
    <mergeCell ref="B19:C19"/>
    <mergeCell ref="D19:E19"/>
    <mergeCell ref="B17:G17"/>
    <mergeCell ref="H17:J17"/>
    <mergeCell ref="B15:C15"/>
    <mergeCell ref="D15:E15"/>
    <mergeCell ref="B14:C14"/>
    <mergeCell ref="D14:E14"/>
    <mergeCell ref="B11:J11"/>
    <mergeCell ref="B13:C13"/>
    <mergeCell ref="B25:J25"/>
    <mergeCell ref="B20:J20"/>
    <mergeCell ref="B22:C22"/>
    <mergeCell ref="D22:E22"/>
    <mergeCell ref="B23:C23"/>
    <mergeCell ref="D23:E23"/>
    <mergeCell ref="B21:G21"/>
    <mergeCell ref="H21:J21"/>
    <mergeCell ref="D13:E13"/>
    <mergeCell ref="B12:G12"/>
    <mergeCell ref="H12:J12"/>
    <mergeCell ref="B10:C10"/>
    <mergeCell ref="D10:E10"/>
    <mergeCell ref="B1:H2"/>
    <mergeCell ref="I1:J2"/>
    <mergeCell ref="I3:J3"/>
    <mergeCell ref="B5:E5"/>
    <mergeCell ref="F5:J5"/>
    <mergeCell ref="B4:J4"/>
    <mergeCell ref="B3:H3"/>
    <mergeCell ref="B6:C6"/>
    <mergeCell ref="D6:E6"/>
    <mergeCell ref="B7:J7"/>
    <mergeCell ref="B9:C9"/>
    <mergeCell ref="D9:E9"/>
    <mergeCell ref="B8:G8"/>
    <mergeCell ref="H8:J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opLeftCell="A16" zoomScaleNormal="100" workbookViewId="0">
      <selection activeCell="K25" sqref="K25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6" width="11.5703125" bestFit="1" customWidth="1"/>
    <col min="7" max="7" width="9.85546875" bestFit="1" customWidth="1"/>
    <col min="8" max="8" width="11.140625" bestFit="1" customWidth="1"/>
    <col min="9" max="9" width="11" customWidth="1"/>
    <col min="10" max="10" width="11.7109375" customWidth="1"/>
    <col min="11" max="11" width="31.140625" customWidth="1"/>
  </cols>
  <sheetData>
    <row r="1" spans="1:11">
      <c r="A1" s="198"/>
      <c r="B1" s="225" t="s">
        <v>24</v>
      </c>
      <c r="C1" s="226"/>
      <c r="D1" s="226"/>
      <c r="E1" s="226"/>
      <c r="F1" s="226"/>
      <c r="G1" s="226"/>
      <c r="H1" s="226"/>
      <c r="I1" s="229">
        <f>SUM(H7,H14,H21,H29,H34,H11)</f>
        <v>291627.43599999999</v>
      </c>
      <c r="J1" s="409"/>
      <c r="K1" s="152"/>
    </row>
    <row r="2" spans="1:11">
      <c r="A2" s="198"/>
      <c r="B2" s="227"/>
      <c r="C2" s="228"/>
      <c r="D2" s="228"/>
      <c r="E2" s="228"/>
      <c r="F2" s="228"/>
      <c r="G2" s="228"/>
      <c r="H2" s="228"/>
      <c r="I2" s="265"/>
      <c r="J2" s="417"/>
      <c r="K2" s="152"/>
    </row>
    <row r="3" spans="1:11">
      <c r="A3" s="198"/>
      <c r="B3" s="223"/>
      <c r="C3" s="224"/>
      <c r="D3" s="224"/>
      <c r="E3" s="224"/>
      <c r="F3" s="224"/>
      <c r="G3" s="224"/>
      <c r="H3" s="224"/>
      <c r="I3" s="230" t="s">
        <v>25</v>
      </c>
      <c r="J3" s="231"/>
      <c r="K3" s="152"/>
    </row>
    <row r="4" spans="1:11">
      <c r="A4" s="152"/>
      <c r="B4" s="232" t="s">
        <v>26</v>
      </c>
      <c r="C4" s="232"/>
      <c r="D4" s="232"/>
      <c r="E4" s="232"/>
      <c r="F4" s="232" t="s">
        <v>27</v>
      </c>
      <c r="G4" s="232"/>
      <c r="H4" s="232"/>
      <c r="I4" s="232"/>
      <c r="J4" s="232"/>
      <c r="K4" s="152"/>
    </row>
    <row r="5" spans="1:11" ht="30">
      <c r="A5" s="152"/>
      <c r="B5" s="222" t="s">
        <v>2</v>
      </c>
      <c r="C5" s="222"/>
      <c r="D5" s="222" t="s">
        <v>28</v>
      </c>
      <c r="E5" s="222"/>
      <c r="F5" s="37" t="s">
        <v>29</v>
      </c>
      <c r="G5" s="37" t="s">
        <v>30</v>
      </c>
      <c r="H5" s="37" t="s">
        <v>31</v>
      </c>
      <c r="I5" s="37" t="s">
        <v>32</v>
      </c>
      <c r="J5" s="37" t="s">
        <v>33</v>
      </c>
      <c r="K5" s="152"/>
    </row>
    <row r="6" spans="1:11">
      <c r="A6" s="152"/>
      <c r="B6" s="237"/>
      <c r="C6" s="237"/>
      <c r="D6" s="237"/>
      <c r="E6" s="237"/>
      <c r="F6" s="237"/>
      <c r="G6" s="237"/>
      <c r="H6" s="237"/>
      <c r="I6" s="237"/>
      <c r="J6" s="237"/>
      <c r="K6" s="152"/>
    </row>
    <row r="7" spans="1:11">
      <c r="A7" s="152"/>
      <c r="B7" s="210" t="s">
        <v>34</v>
      </c>
      <c r="C7" s="211"/>
      <c r="D7" s="211"/>
      <c r="E7" s="211"/>
      <c r="F7" s="211"/>
      <c r="G7" s="212"/>
      <c r="H7" s="246">
        <f>SUM(J8:J9)</f>
        <v>26000</v>
      </c>
      <c r="I7" s="247"/>
      <c r="J7" s="248"/>
      <c r="K7" s="152"/>
    </row>
    <row r="8" spans="1:11">
      <c r="A8" s="152"/>
      <c r="B8" s="238" t="s">
        <v>35</v>
      </c>
      <c r="C8" s="239"/>
      <c r="D8" s="239" t="s">
        <v>36</v>
      </c>
      <c r="E8" s="240"/>
      <c r="F8" s="76">
        <v>14000</v>
      </c>
      <c r="G8" s="177">
        <v>1</v>
      </c>
      <c r="H8" s="3">
        <f t="shared" ref="H8:H9" si="0">F8*G8</f>
        <v>14000</v>
      </c>
      <c r="I8" s="40"/>
      <c r="J8" s="3">
        <f>H8+I8</f>
        <v>14000</v>
      </c>
      <c r="K8" s="152"/>
    </row>
    <row r="9" spans="1:11">
      <c r="A9" s="152"/>
      <c r="B9" s="241" t="s">
        <v>37</v>
      </c>
      <c r="C9" s="242"/>
      <c r="D9" s="242" t="s">
        <v>38</v>
      </c>
      <c r="E9" s="243"/>
      <c r="F9" s="81">
        <v>12000</v>
      </c>
      <c r="G9" s="169">
        <v>1</v>
      </c>
      <c r="H9" s="7">
        <f t="shared" si="0"/>
        <v>12000</v>
      </c>
      <c r="I9" s="51"/>
      <c r="J9" s="7">
        <f>H9+I9</f>
        <v>12000</v>
      </c>
      <c r="K9" s="152"/>
    </row>
    <row r="10" spans="1:11">
      <c r="A10" s="152"/>
      <c r="B10" s="237"/>
      <c r="C10" s="237"/>
      <c r="D10" s="237"/>
      <c r="E10" s="237"/>
      <c r="F10" s="237"/>
      <c r="G10" s="237"/>
      <c r="H10" s="237"/>
      <c r="I10" s="237"/>
      <c r="J10" s="237"/>
      <c r="K10" s="152"/>
    </row>
    <row r="11" spans="1:11">
      <c r="A11" s="152"/>
      <c r="B11" s="210" t="s">
        <v>39</v>
      </c>
      <c r="C11" s="211"/>
      <c r="D11" s="211"/>
      <c r="E11" s="211"/>
      <c r="F11" s="211"/>
      <c r="G11" s="212"/>
      <c r="H11" s="246">
        <f>SUM(J12)</f>
        <v>1350</v>
      </c>
      <c r="I11" s="247"/>
      <c r="J11" s="248"/>
      <c r="K11" s="152"/>
    </row>
    <row r="12" spans="1:11">
      <c r="A12" s="152"/>
      <c r="B12" s="253" t="s">
        <v>40</v>
      </c>
      <c r="C12" s="254"/>
      <c r="D12" s="255" t="s">
        <v>41</v>
      </c>
      <c r="E12" s="256"/>
      <c r="F12" s="101">
        <v>4.5</v>
      </c>
      <c r="G12" s="102">
        <v>300</v>
      </c>
      <c r="H12" s="30">
        <f>F12*G12</f>
        <v>1350</v>
      </c>
      <c r="I12" s="30"/>
      <c r="J12" s="30">
        <f>H12+I12</f>
        <v>1350</v>
      </c>
      <c r="K12" s="152"/>
    </row>
    <row r="13" spans="1:11">
      <c r="A13" s="152"/>
      <c r="B13" s="237"/>
      <c r="C13" s="237"/>
      <c r="D13" s="237"/>
      <c r="E13" s="237"/>
      <c r="F13" s="237"/>
      <c r="G13" s="237"/>
      <c r="H13" s="237"/>
      <c r="I13" s="237"/>
      <c r="J13" s="237"/>
      <c r="K13" s="152"/>
    </row>
    <row r="14" spans="1:11">
      <c r="A14" s="152"/>
      <c r="B14" s="199" t="s">
        <v>42</v>
      </c>
      <c r="C14" s="200"/>
      <c r="D14" s="200"/>
      <c r="E14" s="200"/>
      <c r="F14" s="200"/>
      <c r="G14" s="263"/>
      <c r="H14" s="246">
        <f>SUM(J15:J19)</f>
        <v>75938.64</v>
      </c>
      <c r="I14" s="247"/>
      <c r="J14" s="248"/>
      <c r="K14" s="152"/>
    </row>
    <row r="15" spans="1:11">
      <c r="A15" s="152"/>
      <c r="B15" s="238" t="s">
        <v>43</v>
      </c>
      <c r="C15" s="239"/>
      <c r="D15" s="244"/>
      <c r="E15" s="245"/>
      <c r="F15" s="76">
        <v>1610</v>
      </c>
      <c r="G15" s="177">
        <v>12</v>
      </c>
      <c r="H15" s="3">
        <f>F15*G15</f>
        <v>19320</v>
      </c>
      <c r="I15" s="3"/>
      <c r="J15" s="3">
        <f>H15+I15</f>
        <v>19320</v>
      </c>
      <c r="K15" s="124"/>
    </row>
    <row r="16" spans="1:11">
      <c r="A16" s="152"/>
      <c r="B16" s="233" t="s">
        <v>44</v>
      </c>
      <c r="C16" s="234"/>
      <c r="D16" s="235"/>
      <c r="E16" s="236"/>
      <c r="F16" s="78">
        <v>100</v>
      </c>
      <c r="G16" s="175">
        <v>12</v>
      </c>
      <c r="H16" s="18">
        <f>F16*G16</f>
        <v>1200</v>
      </c>
      <c r="I16" s="18"/>
      <c r="J16" s="18">
        <f>H16+I16</f>
        <v>1200</v>
      </c>
      <c r="K16" s="152"/>
    </row>
    <row r="17" spans="1:12">
      <c r="A17" s="152"/>
      <c r="B17" s="233" t="s">
        <v>45</v>
      </c>
      <c r="C17" s="234"/>
      <c r="D17" s="235"/>
      <c r="E17" s="236"/>
      <c r="F17" s="78">
        <v>4200</v>
      </c>
      <c r="G17" s="175">
        <v>12</v>
      </c>
      <c r="H17" s="18">
        <f>F17*G17</f>
        <v>50400</v>
      </c>
      <c r="I17" s="18"/>
      <c r="J17" s="18">
        <f>H17+I17</f>
        <v>50400</v>
      </c>
      <c r="K17" s="152"/>
      <c r="L17" s="152"/>
    </row>
    <row r="18" spans="1:12">
      <c r="A18" s="152"/>
      <c r="B18" s="233" t="s">
        <v>46</v>
      </c>
      <c r="C18" s="234"/>
      <c r="D18" s="235"/>
      <c r="E18" s="236"/>
      <c r="F18" s="78">
        <v>288.22000000000003</v>
      </c>
      <c r="G18" s="175">
        <v>12</v>
      </c>
      <c r="H18" s="18">
        <f>F18*G18</f>
        <v>3458.6400000000003</v>
      </c>
      <c r="I18" s="18"/>
      <c r="J18" s="18">
        <f>H18+I18</f>
        <v>3458.6400000000003</v>
      </c>
      <c r="K18" s="152"/>
      <c r="L18" s="152"/>
    </row>
    <row r="19" spans="1:12">
      <c r="A19" s="152"/>
      <c r="B19" s="241" t="s">
        <v>47</v>
      </c>
      <c r="C19" s="242"/>
      <c r="D19" s="249"/>
      <c r="E19" s="250"/>
      <c r="F19" s="81">
        <v>130</v>
      </c>
      <c r="G19" s="169">
        <v>12</v>
      </c>
      <c r="H19" s="7">
        <f>F19*G19</f>
        <v>1560</v>
      </c>
      <c r="I19" s="7"/>
      <c r="J19" s="7">
        <f>H19+I19</f>
        <v>1560</v>
      </c>
      <c r="K19" s="152"/>
      <c r="L19" s="152"/>
    </row>
    <row r="20" spans="1:12">
      <c r="A20" s="152"/>
      <c r="B20" s="237"/>
      <c r="C20" s="237"/>
      <c r="D20" s="237"/>
      <c r="E20" s="237"/>
      <c r="F20" s="237"/>
      <c r="G20" s="237"/>
      <c r="H20" s="237"/>
      <c r="I20" s="237"/>
      <c r="J20" s="237"/>
      <c r="K20" s="152"/>
      <c r="L20" s="152"/>
    </row>
    <row r="21" spans="1:12">
      <c r="A21" s="152"/>
      <c r="B21" s="199" t="s">
        <v>48</v>
      </c>
      <c r="C21" s="200"/>
      <c r="D21" s="200"/>
      <c r="E21" s="200"/>
      <c r="F21" s="200"/>
      <c r="G21" s="263"/>
      <c r="H21" s="246">
        <f>SUM(J22:J27)</f>
        <v>10738</v>
      </c>
      <c r="I21" s="247"/>
      <c r="J21" s="248"/>
      <c r="K21" s="152"/>
      <c r="L21" s="152"/>
    </row>
    <row r="22" spans="1:12">
      <c r="A22" s="152"/>
      <c r="B22" s="238" t="s">
        <v>49</v>
      </c>
      <c r="C22" s="239"/>
      <c r="D22" s="244"/>
      <c r="E22" s="245"/>
      <c r="F22" s="76">
        <v>150</v>
      </c>
      <c r="G22" s="77">
        <v>14</v>
      </c>
      <c r="H22" s="3">
        <f>F22*G22</f>
        <v>2100</v>
      </c>
      <c r="I22" s="3"/>
      <c r="J22" s="3">
        <f>H22+I22</f>
        <v>2100</v>
      </c>
      <c r="K22" s="152"/>
      <c r="L22" s="152"/>
    </row>
    <row r="23" spans="1:12">
      <c r="A23" s="152"/>
      <c r="B23" s="233" t="s">
        <v>50</v>
      </c>
      <c r="C23" s="234"/>
      <c r="D23" s="235"/>
      <c r="E23" s="236"/>
      <c r="F23" s="78">
        <v>0.05</v>
      </c>
      <c r="G23" s="79">
        <v>3000</v>
      </c>
      <c r="H23" s="18">
        <f>F23*G23</f>
        <v>150</v>
      </c>
      <c r="I23" s="18"/>
      <c r="J23" s="18">
        <f>H23+I23</f>
        <v>150</v>
      </c>
      <c r="K23" s="152"/>
      <c r="L23" s="152"/>
    </row>
    <row r="24" spans="1:12" s="163" customFormat="1">
      <c r="B24" s="259" t="s">
        <v>51</v>
      </c>
      <c r="C24" s="260"/>
      <c r="D24" s="261"/>
      <c r="E24" s="262"/>
      <c r="F24" s="24">
        <v>15</v>
      </c>
      <c r="G24" s="67">
        <v>12</v>
      </c>
      <c r="H24" s="65">
        <f>F24*G24</f>
        <v>180</v>
      </c>
      <c r="I24" s="65"/>
      <c r="J24" s="65">
        <f>H24+I24</f>
        <v>180</v>
      </c>
      <c r="K24" s="163" t="s">
        <v>52</v>
      </c>
    </row>
    <row r="25" spans="1:12">
      <c r="A25" s="152"/>
      <c r="B25" s="233" t="s">
        <v>53</v>
      </c>
      <c r="C25" s="234"/>
      <c r="D25" s="235"/>
      <c r="E25" s="236"/>
      <c r="F25" s="78">
        <v>1</v>
      </c>
      <c r="G25" s="79">
        <v>1000</v>
      </c>
      <c r="H25" s="18">
        <f>F25*G25</f>
        <v>1000</v>
      </c>
      <c r="I25" s="18"/>
      <c r="J25" s="18">
        <f>H25+I25</f>
        <v>1000</v>
      </c>
      <c r="K25" s="152"/>
      <c r="L25" s="152"/>
    </row>
    <row r="26" spans="1:12">
      <c r="A26" s="163"/>
      <c r="B26" s="259" t="s">
        <v>54</v>
      </c>
      <c r="C26" s="260"/>
      <c r="D26" s="261"/>
      <c r="E26" s="262"/>
      <c r="F26" s="24">
        <v>8400</v>
      </c>
      <c r="G26" s="67">
        <v>1</v>
      </c>
      <c r="H26" s="65">
        <f>F26*G26</f>
        <v>8400</v>
      </c>
      <c r="I26" s="65"/>
      <c r="J26" s="65">
        <f>H26+I26</f>
        <v>8400</v>
      </c>
      <c r="K26" s="163"/>
      <c r="L26" s="163"/>
    </row>
    <row r="27" spans="1:12">
      <c r="A27" s="152"/>
      <c r="B27" s="241"/>
      <c r="C27" s="242"/>
      <c r="D27" s="249" t="s">
        <v>55</v>
      </c>
      <c r="E27" s="250"/>
      <c r="F27" s="81"/>
      <c r="G27" s="82"/>
      <c r="H27" s="7"/>
      <c r="I27" s="8">
        <f>-H26*0.13</f>
        <v>-1092</v>
      </c>
      <c r="J27" s="7">
        <f>I27</f>
        <v>-1092</v>
      </c>
      <c r="K27" s="152"/>
      <c r="L27" s="152"/>
    </row>
    <row r="28" spans="1:12">
      <c r="A28" s="152"/>
      <c r="B28" s="237"/>
      <c r="C28" s="237"/>
      <c r="D28" s="237"/>
      <c r="E28" s="237"/>
      <c r="F28" s="237"/>
      <c r="G28" s="237"/>
      <c r="H28" s="237"/>
      <c r="I28" s="237"/>
      <c r="J28" s="237"/>
      <c r="K28" s="152"/>
      <c r="L28" s="152"/>
    </row>
    <row r="29" spans="1:12">
      <c r="A29" s="152"/>
      <c r="B29" s="199" t="s">
        <v>56</v>
      </c>
      <c r="C29" s="200"/>
      <c r="D29" s="200"/>
      <c r="E29" s="200"/>
      <c r="F29" s="200"/>
      <c r="G29" s="263"/>
      <c r="H29" s="246">
        <f>SUM(J30:J31)</f>
        <v>29668.196</v>
      </c>
      <c r="I29" s="247"/>
      <c r="J29" s="248"/>
      <c r="K29" s="152"/>
      <c r="L29" s="152"/>
    </row>
    <row r="30" spans="1:12">
      <c r="A30" s="152"/>
      <c r="B30" s="238" t="s">
        <v>57</v>
      </c>
      <c r="C30" s="239"/>
      <c r="D30" s="244"/>
      <c r="E30" s="244"/>
      <c r="F30" s="76">
        <v>2472.35</v>
      </c>
      <c r="G30" s="15">
        <v>12</v>
      </c>
      <c r="H30" s="3">
        <f>F30*G30</f>
        <v>29668.199999999997</v>
      </c>
      <c r="I30" s="4">
        <f>H30*0.13</f>
        <v>3856.8659999999995</v>
      </c>
      <c r="J30" s="3">
        <f>H30+I30</f>
        <v>33525.065999999999</v>
      </c>
      <c r="K30" s="152"/>
      <c r="L30" s="152"/>
    </row>
    <row r="31" spans="1:12">
      <c r="A31" s="152"/>
      <c r="B31" s="241"/>
      <c r="C31" s="242"/>
      <c r="D31" s="249" t="s">
        <v>55</v>
      </c>
      <c r="E31" s="249"/>
      <c r="F31" s="81"/>
      <c r="G31" s="20"/>
      <c r="H31" s="7"/>
      <c r="I31" s="8">
        <v>-3856.87</v>
      </c>
      <c r="J31" s="7">
        <f>I31</f>
        <v>-3856.87</v>
      </c>
      <c r="K31" s="152"/>
      <c r="L31" s="152"/>
    </row>
    <row r="32" spans="1:12">
      <c r="A32" s="152"/>
      <c r="B32" s="237"/>
      <c r="C32" s="237"/>
      <c r="D32" s="237"/>
      <c r="E32" s="237"/>
      <c r="F32" s="237"/>
      <c r="G32" s="237"/>
      <c r="H32" s="237"/>
      <c r="I32" s="237"/>
      <c r="J32" s="237"/>
      <c r="K32" s="152"/>
      <c r="L32" s="152"/>
    </row>
    <row r="33" spans="2:11" s="152" customFormat="1">
      <c r="B33" s="237"/>
      <c r="C33" s="237"/>
      <c r="D33" s="237"/>
      <c r="E33" s="237"/>
      <c r="F33" s="237"/>
      <c r="G33" s="237"/>
      <c r="H33" s="237"/>
      <c r="I33" s="237"/>
      <c r="J33" s="237"/>
    </row>
    <row r="34" spans="2:11">
      <c r="B34" s="199" t="s">
        <v>58</v>
      </c>
      <c r="C34" s="200"/>
      <c r="D34" s="200"/>
      <c r="E34" s="200"/>
      <c r="F34" s="200"/>
      <c r="G34" s="263"/>
      <c r="H34" s="246">
        <f>SUM(J35:J36)</f>
        <v>147932.6</v>
      </c>
      <c r="I34" s="247"/>
      <c r="J34" s="248"/>
      <c r="K34" s="152"/>
    </row>
    <row r="35" spans="2:11">
      <c r="B35" s="238" t="s">
        <v>59</v>
      </c>
      <c r="C35" s="239"/>
      <c r="D35" s="257">
        <v>0.9</v>
      </c>
      <c r="E35" s="258"/>
      <c r="F35" s="76">
        <v>48.59</v>
      </c>
      <c r="G35" s="77">
        <v>2740</v>
      </c>
      <c r="H35" s="4">
        <f>F35*G35</f>
        <v>133136.6</v>
      </c>
      <c r="I35" s="3"/>
      <c r="J35" s="3">
        <f>H35+I35</f>
        <v>133136.6</v>
      </c>
      <c r="K35" s="123"/>
    </row>
    <row r="36" spans="2:11">
      <c r="B36" s="241" t="s">
        <v>60</v>
      </c>
      <c r="C36" s="242"/>
      <c r="D36" s="251">
        <v>0.1</v>
      </c>
      <c r="E36" s="252"/>
      <c r="F36" s="81">
        <v>5.4</v>
      </c>
      <c r="G36" s="82">
        <v>2740</v>
      </c>
      <c r="H36" s="8">
        <f>F36*G36</f>
        <v>14796.000000000002</v>
      </c>
      <c r="I36" s="7"/>
      <c r="J36" s="7">
        <f>H36+I36</f>
        <v>14796.000000000002</v>
      </c>
      <c r="K36" s="152"/>
    </row>
  </sheetData>
  <mergeCells count="64">
    <mergeCell ref="B34:G34"/>
    <mergeCell ref="H34:J34"/>
    <mergeCell ref="B33:J33"/>
    <mergeCell ref="H11:J11"/>
    <mergeCell ref="B11:G11"/>
    <mergeCell ref="H14:J14"/>
    <mergeCell ref="B14:G14"/>
    <mergeCell ref="B21:G21"/>
    <mergeCell ref="H21:J21"/>
    <mergeCell ref="D25:E25"/>
    <mergeCell ref="B26:C26"/>
    <mergeCell ref="D26:E26"/>
    <mergeCell ref="B27:C27"/>
    <mergeCell ref="D27:E27"/>
    <mergeCell ref="B28:J28"/>
    <mergeCell ref="B29:G29"/>
    <mergeCell ref="A1:A3"/>
    <mergeCell ref="B10:J10"/>
    <mergeCell ref="B36:C36"/>
    <mergeCell ref="D36:E36"/>
    <mergeCell ref="B12:C12"/>
    <mergeCell ref="D12:E12"/>
    <mergeCell ref="B31:C31"/>
    <mergeCell ref="D31:E31"/>
    <mergeCell ref="B32:J32"/>
    <mergeCell ref="B35:C35"/>
    <mergeCell ref="D35:E35"/>
    <mergeCell ref="B30:C30"/>
    <mergeCell ref="D30:E30"/>
    <mergeCell ref="B24:C24"/>
    <mergeCell ref="D24:E24"/>
    <mergeCell ref="B25:C25"/>
    <mergeCell ref="H29:J29"/>
    <mergeCell ref="B23:C23"/>
    <mergeCell ref="D23:E23"/>
    <mergeCell ref="B17:C17"/>
    <mergeCell ref="D17:E17"/>
    <mergeCell ref="B18:C18"/>
    <mergeCell ref="D18:E18"/>
    <mergeCell ref="B19:C19"/>
    <mergeCell ref="D19:E19"/>
    <mergeCell ref="B20:J20"/>
    <mergeCell ref="B22:C22"/>
    <mergeCell ref="D22:E22"/>
    <mergeCell ref="B16:C16"/>
    <mergeCell ref="D16:E16"/>
    <mergeCell ref="B6:J6"/>
    <mergeCell ref="B8:C8"/>
    <mergeCell ref="D8:E8"/>
    <mergeCell ref="B9:C9"/>
    <mergeCell ref="D9:E9"/>
    <mergeCell ref="B13:J13"/>
    <mergeCell ref="B15:C15"/>
    <mergeCell ref="D15:E15"/>
    <mergeCell ref="B7:G7"/>
    <mergeCell ref="H7:J7"/>
    <mergeCell ref="B5:C5"/>
    <mergeCell ref="D5:E5"/>
    <mergeCell ref="B3:H3"/>
    <mergeCell ref="B1:H2"/>
    <mergeCell ref="I1:J2"/>
    <mergeCell ref="I3:J3"/>
    <mergeCell ref="B4:E4"/>
    <mergeCell ref="F4:J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A24" zoomScaleNormal="100" workbookViewId="0">
      <selection activeCell="H35" sqref="H35"/>
    </sheetView>
  </sheetViews>
  <sheetFormatPr defaultRowHeight="15"/>
  <cols>
    <col min="1" max="1" width="4.7109375" customWidth="1"/>
    <col min="2" max="3" width="15.7109375" customWidth="1"/>
    <col min="4" max="5" width="17.5703125" customWidth="1"/>
    <col min="6" max="8" width="10.7109375" customWidth="1"/>
    <col min="9" max="9" width="9.7109375" customWidth="1"/>
    <col min="10" max="10" width="11.7109375" customWidth="1"/>
  </cols>
  <sheetData>
    <row r="1" spans="1:15">
      <c r="A1" s="267"/>
      <c r="B1" s="225" t="s">
        <v>61</v>
      </c>
      <c r="C1" s="226"/>
      <c r="D1" s="226"/>
      <c r="E1" s="226"/>
      <c r="F1" s="226"/>
      <c r="G1" s="226"/>
      <c r="H1" s="226"/>
      <c r="I1" s="229">
        <f>SUM(H7,H11,H15,H22,H27,H34,H37,H41)</f>
        <v>16265.5322</v>
      </c>
      <c r="J1" s="409"/>
      <c r="K1" s="152"/>
      <c r="L1" s="152"/>
      <c r="M1" s="152"/>
      <c r="N1" s="152"/>
      <c r="O1" s="152"/>
    </row>
    <row r="2" spans="1:15">
      <c r="A2" s="267"/>
      <c r="B2" s="227"/>
      <c r="C2" s="228"/>
      <c r="D2" s="228"/>
      <c r="E2" s="228"/>
      <c r="F2" s="228"/>
      <c r="G2" s="228"/>
      <c r="H2" s="228"/>
      <c r="I2" s="265"/>
      <c r="J2" s="417"/>
      <c r="K2" s="152"/>
      <c r="L2" s="152"/>
      <c r="M2" s="152"/>
      <c r="N2" s="152"/>
      <c r="O2" s="152"/>
    </row>
    <row r="3" spans="1:15">
      <c r="A3" s="267"/>
      <c r="B3" s="265"/>
      <c r="C3" s="266"/>
      <c r="D3" s="266"/>
      <c r="E3" s="266"/>
      <c r="F3" s="266"/>
      <c r="G3" s="266"/>
      <c r="H3" s="266"/>
      <c r="I3" s="230" t="s">
        <v>62</v>
      </c>
      <c r="J3" s="231"/>
      <c r="K3" s="152"/>
      <c r="L3" s="152"/>
      <c r="M3" s="152"/>
      <c r="N3" s="152"/>
      <c r="O3" s="152"/>
    </row>
    <row r="4" spans="1:15">
      <c r="A4" s="152"/>
      <c r="B4" s="232" t="s">
        <v>26</v>
      </c>
      <c r="C4" s="232"/>
      <c r="D4" s="232"/>
      <c r="E4" s="232"/>
      <c r="F4" s="232" t="s">
        <v>27</v>
      </c>
      <c r="G4" s="232"/>
      <c r="H4" s="232"/>
      <c r="I4" s="232"/>
      <c r="J4" s="232"/>
      <c r="K4" s="152"/>
      <c r="L4" s="152"/>
      <c r="M4" s="152"/>
      <c r="N4" s="152"/>
      <c r="O4" s="152"/>
    </row>
    <row r="5" spans="1:15" ht="30">
      <c r="A5" s="152"/>
      <c r="B5" s="222" t="s">
        <v>63</v>
      </c>
      <c r="C5" s="222"/>
      <c r="D5" s="222" t="s">
        <v>28</v>
      </c>
      <c r="E5" s="222"/>
      <c r="F5" s="37" t="s">
        <v>29</v>
      </c>
      <c r="G5" s="37" t="s">
        <v>30</v>
      </c>
      <c r="H5" s="37" t="s">
        <v>31</v>
      </c>
      <c r="I5" s="37" t="s">
        <v>32</v>
      </c>
      <c r="J5" s="37" t="s">
        <v>33</v>
      </c>
      <c r="K5" s="152"/>
      <c r="L5" s="152"/>
      <c r="M5" s="152"/>
      <c r="N5" s="152"/>
      <c r="O5" s="152"/>
    </row>
    <row r="6" spans="1:15">
      <c r="A6" s="152"/>
      <c r="B6" s="264"/>
      <c r="C6" s="264"/>
      <c r="D6" s="264"/>
      <c r="E6" s="264"/>
      <c r="F6" s="264"/>
      <c r="G6" s="264"/>
      <c r="H6" s="264"/>
      <c r="I6" s="264"/>
      <c r="J6" s="264"/>
      <c r="K6" s="152"/>
      <c r="L6" s="152"/>
      <c r="M6" s="152"/>
      <c r="N6" s="152"/>
      <c r="O6" s="152"/>
    </row>
    <row r="7" spans="1:15">
      <c r="A7" s="152"/>
      <c r="B7" s="285" t="s">
        <v>64</v>
      </c>
      <c r="C7" s="286"/>
      <c r="D7" s="286"/>
      <c r="E7" s="286"/>
      <c r="F7" s="286"/>
      <c r="G7" s="287"/>
      <c r="H7" s="283">
        <f>SUM(J8:J9)</f>
        <v>1500</v>
      </c>
      <c r="I7" s="283"/>
      <c r="J7" s="284"/>
      <c r="K7" s="152"/>
      <c r="L7" s="152"/>
      <c r="M7" s="152"/>
      <c r="N7" s="152"/>
      <c r="O7" s="152"/>
    </row>
    <row r="8" spans="1:15">
      <c r="A8" s="152"/>
      <c r="B8" s="272" t="s">
        <v>65</v>
      </c>
      <c r="C8" s="273"/>
      <c r="D8" s="273" t="s">
        <v>66</v>
      </c>
      <c r="E8" s="273"/>
      <c r="F8" s="1">
        <v>1500</v>
      </c>
      <c r="G8" s="2">
        <v>1</v>
      </c>
      <c r="H8" s="22">
        <f>F8*G8</f>
        <v>1500</v>
      </c>
      <c r="I8" s="23"/>
      <c r="J8" s="22">
        <f>H8+I8</f>
        <v>1500</v>
      </c>
      <c r="K8" s="152"/>
      <c r="L8" s="152"/>
      <c r="M8" s="152"/>
      <c r="N8" s="152"/>
      <c r="O8" s="152"/>
    </row>
    <row r="9" spans="1:15">
      <c r="A9" s="152"/>
      <c r="B9" s="288" t="s">
        <v>67</v>
      </c>
      <c r="C9" s="289"/>
      <c r="D9" s="289" t="s">
        <v>68</v>
      </c>
      <c r="E9" s="289"/>
      <c r="F9" s="5">
        <v>400</v>
      </c>
      <c r="G9" s="6">
        <v>1</v>
      </c>
      <c r="H9" s="27">
        <f>F9*G9</f>
        <v>400</v>
      </c>
      <c r="I9" s="28"/>
      <c r="J9" s="159">
        <f>(H9+I9)*0</f>
        <v>0</v>
      </c>
      <c r="K9" s="152" t="s">
        <v>69</v>
      </c>
      <c r="L9" s="152"/>
      <c r="M9" s="152"/>
      <c r="N9" s="152"/>
      <c r="O9" s="152"/>
    </row>
    <row r="10" spans="1:15">
      <c r="A10" s="152"/>
      <c r="B10" s="271"/>
      <c r="C10" s="271"/>
      <c r="D10" s="271"/>
      <c r="E10" s="271"/>
      <c r="F10" s="271"/>
      <c r="G10" s="271"/>
      <c r="H10" s="271"/>
      <c r="I10" s="271"/>
      <c r="J10" s="271"/>
      <c r="K10" s="152"/>
      <c r="L10" s="152"/>
      <c r="M10" s="152"/>
      <c r="N10" s="152"/>
      <c r="O10" s="152"/>
    </row>
    <row r="11" spans="1:15">
      <c r="A11" s="152"/>
      <c r="B11" s="210" t="s">
        <v>70</v>
      </c>
      <c r="C11" s="211"/>
      <c r="D11" s="211"/>
      <c r="E11" s="211"/>
      <c r="F11" s="211"/>
      <c r="G11" s="212"/>
      <c r="H11" s="246">
        <f>SUM(J12:J13)</f>
        <v>1515.8</v>
      </c>
      <c r="I11" s="247"/>
      <c r="J11" s="248"/>
      <c r="K11" s="152"/>
      <c r="L11" s="152"/>
      <c r="M11" s="152"/>
      <c r="N11" s="152"/>
      <c r="O11" s="152"/>
    </row>
    <row r="12" spans="1:15">
      <c r="A12" s="152"/>
      <c r="B12" s="272" t="s">
        <v>71</v>
      </c>
      <c r="C12" s="273"/>
      <c r="D12" s="273" t="s">
        <v>72</v>
      </c>
      <c r="E12" s="277"/>
      <c r="F12" s="1">
        <v>0.33</v>
      </c>
      <c r="G12" s="15">
        <v>300</v>
      </c>
      <c r="H12" s="22">
        <f>F12*G12</f>
        <v>99</v>
      </c>
      <c r="I12" s="23"/>
      <c r="J12" s="22">
        <f>H12+I12</f>
        <v>99</v>
      </c>
      <c r="K12" s="152"/>
      <c r="L12" s="152"/>
      <c r="M12" s="152"/>
      <c r="N12" s="152"/>
      <c r="O12" s="152"/>
    </row>
    <row r="13" spans="1:15">
      <c r="A13" s="152"/>
      <c r="B13" s="276" t="s">
        <v>73</v>
      </c>
      <c r="C13" s="274"/>
      <c r="D13" s="274" t="s">
        <v>74</v>
      </c>
      <c r="E13" s="275"/>
      <c r="F13" s="5">
        <v>55</v>
      </c>
      <c r="G13" s="20">
        <v>23</v>
      </c>
      <c r="H13" s="27">
        <f>F13*G13</f>
        <v>1265</v>
      </c>
      <c r="I13" s="28">
        <f>H13*0.12</f>
        <v>151.79999999999998</v>
      </c>
      <c r="J13" s="27">
        <f>H13+I13</f>
        <v>1416.8</v>
      </c>
      <c r="K13" s="152" t="s">
        <v>75</v>
      </c>
      <c r="L13" s="152"/>
      <c r="M13" s="152"/>
      <c r="N13" s="152"/>
      <c r="O13" s="152" t="s">
        <v>76</v>
      </c>
    </row>
    <row r="14" spans="1:15" s="14" customFormat="1">
      <c r="A14" s="174"/>
      <c r="B14" s="271"/>
      <c r="C14" s="271"/>
      <c r="D14" s="271"/>
      <c r="E14" s="271"/>
      <c r="F14" s="271"/>
      <c r="G14" s="271"/>
      <c r="H14" s="271"/>
      <c r="I14" s="271"/>
      <c r="J14" s="271"/>
      <c r="K14" s="174"/>
      <c r="L14" s="174"/>
      <c r="M14" s="174"/>
      <c r="N14" s="174"/>
      <c r="O14" s="174"/>
    </row>
    <row r="15" spans="1:15">
      <c r="A15" s="152"/>
      <c r="B15" s="210" t="s">
        <v>77</v>
      </c>
      <c r="C15" s="211"/>
      <c r="D15" s="211"/>
      <c r="E15" s="211"/>
      <c r="F15" s="211"/>
      <c r="G15" s="212"/>
      <c r="H15" s="246">
        <f>SUM(J16:J20)</f>
        <v>3617.5149999999999</v>
      </c>
      <c r="I15" s="247"/>
      <c r="J15" s="248"/>
      <c r="K15" s="152"/>
      <c r="L15" s="152"/>
      <c r="M15" s="152"/>
      <c r="N15" s="152"/>
      <c r="O15" s="152"/>
    </row>
    <row r="16" spans="1:15">
      <c r="A16" s="152"/>
      <c r="B16" s="272" t="s">
        <v>78</v>
      </c>
      <c r="C16" s="273"/>
      <c r="D16" s="273" t="s">
        <v>79</v>
      </c>
      <c r="E16" s="273"/>
      <c r="F16" s="1">
        <v>275</v>
      </c>
      <c r="G16" s="15">
        <v>4</v>
      </c>
      <c r="H16" s="3">
        <f t="shared" ref="H16:H20" si="0">F16*G16</f>
        <v>1100</v>
      </c>
      <c r="I16" s="4">
        <f>H16*0.13</f>
        <v>143</v>
      </c>
      <c r="J16" s="3">
        <f t="shared" ref="J16:J20" si="1">H16+I16</f>
        <v>1243</v>
      </c>
      <c r="K16" s="152"/>
      <c r="L16" s="152"/>
      <c r="M16" s="152"/>
      <c r="N16" s="152"/>
      <c r="O16" s="152"/>
    </row>
    <row r="17" spans="2:11">
      <c r="B17" s="268" t="s">
        <v>80</v>
      </c>
      <c r="C17" s="269"/>
      <c r="D17" s="269" t="s">
        <v>81</v>
      </c>
      <c r="E17" s="269"/>
      <c r="F17" s="16">
        <v>29.5</v>
      </c>
      <c r="G17" s="17">
        <v>9</v>
      </c>
      <c r="H17" s="18">
        <f t="shared" si="0"/>
        <v>265.5</v>
      </c>
      <c r="I17" s="19">
        <f>H17*0.13</f>
        <v>34.515000000000001</v>
      </c>
      <c r="J17" s="18">
        <f t="shared" si="1"/>
        <v>300.01499999999999</v>
      </c>
      <c r="K17" s="152"/>
    </row>
    <row r="18" spans="2:11">
      <c r="B18" s="268" t="s">
        <v>82</v>
      </c>
      <c r="C18" s="269"/>
      <c r="D18" s="269" t="s">
        <v>83</v>
      </c>
      <c r="E18" s="269"/>
      <c r="F18" s="16">
        <v>50</v>
      </c>
      <c r="G18" s="17">
        <v>3</v>
      </c>
      <c r="H18" s="18">
        <f t="shared" si="0"/>
        <v>150</v>
      </c>
      <c r="I18" s="19">
        <f>H18*0.13</f>
        <v>19.5</v>
      </c>
      <c r="J18" s="18">
        <f t="shared" si="1"/>
        <v>169.5</v>
      </c>
      <c r="K18" s="152"/>
    </row>
    <row r="19" spans="2:11">
      <c r="B19" s="268" t="s">
        <v>84</v>
      </c>
      <c r="C19" s="269"/>
      <c r="D19" s="270"/>
      <c r="E19" s="270"/>
      <c r="F19" s="16">
        <v>35</v>
      </c>
      <c r="G19" s="17">
        <v>3</v>
      </c>
      <c r="H19" s="18">
        <f t="shared" si="0"/>
        <v>105</v>
      </c>
      <c r="I19" s="19"/>
      <c r="J19" s="18">
        <f t="shared" si="1"/>
        <v>105</v>
      </c>
      <c r="K19" s="152"/>
    </row>
    <row r="20" spans="2:11">
      <c r="B20" s="276" t="s">
        <v>85</v>
      </c>
      <c r="C20" s="274"/>
      <c r="D20" s="249" t="s">
        <v>86</v>
      </c>
      <c r="E20" s="249"/>
      <c r="F20" s="5">
        <v>120</v>
      </c>
      <c r="G20" s="20">
        <v>15</v>
      </c>
      <c r="H20" s="7">
        <f t="shared" si="0"/>
        <v>1800</v>
      </c>
      <c r="I20" s="8"/>
      <c r="J20" s="7">
        <f t="shared" si="1"/>
        <v>1800</v>
      </c>
      <c r="K20" s="152"/>
    </row>
    <row r="21" spans="2:11">
      <c r="B21" s="271"/>
      <c r="C21" s="271"/>
      <c r="D21" s="271"/>
      <c r="E21" s="271"/>
      <c r="F21" s="271"/>
      <c r="G21" s="271"/>
      <c r="H21" s="271"/>
      <c r="I21" s="271"/>
      <c r="J21" s="271"/>
      <c r="K21" s="152"/>
    </row>
    <row r="22" spans="2:11">
      <c r="B22" s="210" t="s">
        <v>87</v>
      </c>
      <c r="C22" s="211"/>
      <c r="D22" s="211"/>
      <c r="E22" s="211"/>
      <c r="F22" s="211"/>
      <c r="G22" s="212"/>
      <c r="H22" s="246">
        <f>SUM(J23:J25)</f>
        <v>2203.5</v>
      </c>
      <c r="I22" s="247"/>
      <c r="J22" s="248"/>
      <c r="K22" s="152"/>
    </row>
    <row r="23" spans="2:11">
      <c r="B23" s="272" t="s">
        <v>88</v>
      </c>
      <c r="C23" s="273"/>
      <c r="D23" s="273" t="s">
        <v>89</v>
      </c>
      <c r="E23" s="277"/>
      <c r="F23" s="1">
        <v>1500</v>
      </c>
      <c r="G23" s="15">
        <v>1</v>
      </c>
      <c r="H23" s="3">
        <f>F23*G23</f>
        <v>1500</v>
      </c>
      <c r="I23" s="4">
        <f>H23*0.13</f>
        <v>195</v>
      </c>
      <c r="J23" s="3">
        <f>H23+I23</f>
        <v>1695</v>
      </c>
      <c r="K23" s="152"/>
    </row>
    <row r="24" spans="2:11">
      <c r="B24" s="268" t="s">
        <v>88</v>
      </c>
      <c r="C24" s="269"/>
      <c r="D24" s="269" t="s">
        <v>90</v>
      </c>
      <c r="E24" s="278"/>
      <c r="F24" s="16">
        <v>250</v>
      </c>
      <c r="G24" s="17">
        <v>1</v>
      </c>
      <c r="H24" s="18">
        <f>F24*G24</f>
        <v>250</v>
      </c>
      <c r="I24" s="19">
        <f>H24*0.13</f>
        <v>32.5</v>
      </c>
      <c r="J24" s="18">
        <f>H24+I24</f>
        <v>282.5</v>
      </c>
      <c r="K24" s="152"/>
    </row>
    <row r="25" spans="2:11">
      <c r="B25" s="276" t="s">
        <v>88</v>
      </c>
      <c r="C25" s="274"/>
      <c r="D25" s="274" t="s">
        <v>91</v>
      </c>
      <c r="E25" s="275"/>
      <c r="F25" s="5">
        <v>200</v>
      </c>
      <c r="G25" s="20">
        <v>1</v>
      </c>
      <c r="H25" s="7">
        <f>F25*G25</f>
        <v>200</v>
      </c>
      <c r="I25" s="8">
        <f>H25*0.13</f>
        <v>26</v>
      </c>
      <c r="J25" s="7">
        <f>H25+I25</f>
        <v>226</v>
      </c>
      <c r="K25" s="152"/>
    </row>
    <row r="26" spans="2:11">
      <c r="B26" s="271"/>
      <c r="C26" s="271"/>
      <c r="D26" s="271"/>
      <c r="E26" s="271"/>
      <c r="F26" s="271"/>
      <c r="G26" s="271"/>
      <c r="H26" s="271"/>
      <c r="I26" s="271"/>
      <c r="J26" s="271"/>
      <c r="K26" s="152"/>
    </row>
    <row r="27" spans="2:11">
      <c r="B27" s="210" t="s">
        <v>92</v>
      </c>
      <c r="C27" s="211"/>
      <c r="D27" s="211"/>
      <c r="E27" s="211"/>
      <c r="F27" s="211"/>
      <c r="G27" s="212"/>
      <c r="H27" s="246">
        <f>SUM(J28:J30)</f>
        <v>286.71719999999999</v>
      </c>
      <c r="I27" s="247"/>
      <c r="J27" s="248"/>
      <c r="K27" s="152"/>
    </row>
    <row r="28" spans="2:11">
      <c r="B28" s="290" t="s">
        <v>93</v>
      </c>
      <c r="C28" s="291"/>
      <c r="D28" s="292" t="s">
        <v>94</v>
      </c>
      <c r="E28" s="293"/>
      <c r="F28" s="16">
        <v>30</v>
      </c>
      <c r="G28" s="21">
        <v>3</v>
      </c>
      <c r="H28" s="22">
        <f>F28*G28</f>
        <v>90</v>
      </c>
      <c r="I28" s="23"/>
      <c r="J28" s="22">
        <f>H28+I28</f>
        <v>90</v>
      </c>
      <c r="K28" s="152"/>
    </row>
    <row r="29" spans="2:11">
      <c r="B29" s="290" t="s">
        <v>95</v>
      </c>
      <c r="C29" s="294"/>
      <c r="D29" s="292" t="s">
        <v>96</v>
      </c>
      <c r="E29" s="293"/>
      <c r="F29" s="16">
        <v>90</v>
      </c>
      <c r="G29" s="21">
        <v>1</v>
      </c>
      <c r="H29" s="25">
        <f>F29*G29</f>
        <v>90</v>
      </c>
      <c r="I29" s="26"/>
      <c r="J29" s="25">
        <f>H29+I29</f>
        <v>90</v>
      </c>
      <c r="K29" s="152"/>
    </row>
    <row r="30" spans="2:11">
      <c r="B30" s="295" t="s">
        <v>97</v>
      </c>
      <c r="C30" s="296"/>
      <c r="D30" s="297" t="s">
        <v>98</v>
      </c>
      <c r="E30" s="298"/>
      <c r="F30" s="5">
        <v>15.74</v>
      </c>
      <c r="G30" s="6">
        <v>6</v>
      </c>
      <c r="H30" s="27">
        <f>F30*G30</f>
        <v>94.44</v>
      </c>
      <c r="I30" s="28">
        <f>H30*0.13</f>
        <v>12.277200000000001</v>
      </c>
      <c r="J30" s="27">
        <f>H30+I30</f>
        <v>106.71719999999999</v>
      </c>
      <c r="K30" s="29"/>
    </row>
    <row r="31" spans="2:11">
      <c r="B31" s="237"/>
      <c r="C31" s="237"/>
      <c r="D31" s="237"/>
      <c r="E31" s="237"/>
      <c r="F31" s="237"/>
      <c r="G31" s="237"/>
      <c r="H31" s="237"/>
      <c r="I31" s="237"/>
      <c r="J31" s="237"/>
      <c r="K31" s="152"/>
    </row>
    <row r="32" spans="2:11" s="152" customFormat="1">
      <c r="B32" s="237"/>
      <c r="C32" s="237"/>
      <c r="D32" s="237"/>
      <c r="E32" s="237"/>
      <c r="F32" s="237"/>
      <c r="G32" s="237"/>
      <c r="H32" s="237"/>
      <c r="I32" s="237"/>
      <c r="J32" s="237"/>
    </row>
    <row r="33" spans="2:10" s="152" customFormat="1">
      <c r="B33" s="237"/>
      <c r="C33" s="237"/>
      <c r="D33" s="237"/>
      <c r="E33" s="237"/>
      <c r="F33" s="237"/>
      <c r="G33" s="237"/>
      <c r="H33" s="237"/>
      <c r="I33" s="237"/>
      <c r="J33" s="237"/>
    </row>
    <row r="34" spans="2:10">
      <c r="B34" s="210" t="s">
        <v>99</v>
      </c>
      <c r="C34" s="211"/>
      <c r="D34" s="211"/>
      <c r="E34" s="211"/>
      <c r="F34" s="211"/>
      <c r="G34" s="212"/>
      <c r="H34" s="246">
        <f>SUM(J35)</f>
        <v>4672</v>
      </c>
      <c r="I34" s="247"/>
      <c r="J34" s="248"/>
    </row>
    <row r="35" spans="2:10">
      <c r="B35" s="276" t="s">
        <v>100</v>
      </c>
      <c r="C35" s="274"/>
      <c r="D35" s="274" t="s">
        <v>101</v>
      </c>
      <c r="E35" s="275"/>
      <c r="F35" s="32">
        <v>4672</v>
      </c>
      <c r="G35" s="33">
        <v>1</v>
      </c>
      <c r="H35" s="30">
        <f>F35*G35</f>
        <v>4672</v>
      </c>
      <c r="I35" s="31"/>
      <c r="J35" s="30">
        <f>H35+I35</f>
        <v>4672</v>
      </c>
    </row>
    <row r="36" spans="2:10">
      <c r="B36" s="237"/>
      <c r="C36" s="237"/>
      <c r="D36" s="237"/>
      <c r="E36" s="237"/>
      <c r="F36" s="271"/>
      <c r="G36" s="271"/>
      <c r="H36" s="271"/>
      <c r="I36" s="271"/>
      <c r="J36" s="271"/>
    </row>
    <row r="37" spans="2:10">
      <c r="B37" s="210" t="s">
        <v>102</v>
      </c>
      <c r="C37" s="211"/>
      <c r="D37" s="211"/>
      <c r="E37" s="211"/>
      <c r="F37" s="211"/>
      <c r="G37" s="212"/>
      <c r="H37" s="246">
        <f>SUM(J38:J39)</f>
        <v>2080</v>
      </c>
      <c r="I37" s="247"/>
      <c r="J37" s="248"/>
    </row>
    <row r="38" spans="2:10">
      <c r="B38" s="272" t="s">
        <v>103</v>
      </c>
      <c r="C38" s="273"/>
      <c r="D38" s="273" t="s">
        <v>104</v>
      </c>
      <c r="E38" s="277"/>
      <c r="F38" s="34">
        <v>80</v>
      </c>
      <c r="G38" s="15">
        <v>10</v>
      </c>
      <c r="H38" s="3">
        <f>F38*G38</f>
        <v>800</v>
      </c>
      <c r="I38" s="3"/>
      <c r="J38" s="3">
        <f>H38+I38</f>
        <v>800</v>
      </c>
    </row>
    <row r="39" spans="2:10">
      <c r="B39" s="276" t="s">
        <v>105</v>
      </c>
      <c r="C39" s="274"/>
      <c r="D39" s="274" t="s">
        <v>104</v>
      </c>
      <c r="E39" s="275"/>
      <c r="F39" s="35">
        <v>80</v>
      </c>
      <c r="G39" s="17">
        <v>16</v>
      </c>
      <c r="H39" s="18">
        <f>F39*G39</f>
        <v>1280</v>
      </c>
      <c r="I39" s="19"/>
      <c r="J39" s="18">
        <f>H39+I39</f>
        <v>1280</v>
      </c>
    </row>
    <row r="40" spans="2:10">
      <c r="B40" s="237"/>
      <c r="C40" s="237"/>
      <c r="D40" s="237"/>
      <c r="E40" s="237"/>
      <c r="F40" s="271"/>
      <c r="G40" s="271"/>
      <c r="H40" s="271"/>
      <c r="I40" s="271"/>
      <c r="J40" s="271"/>
    </row>
    <row r="41" spans="2:10">
      <c r="B41" s="210" t="s">
        <v>106</v>
      </c>
      <c r="C41" s="211"/>
      <c r="D41" s="211"/>
      <c r="E41" s="211"/>
      <c r="F41" s="211"/>
      <c r="G41" s="212"/>
      <c r="H41" s="246">
        <f>SUM(J42)</f>
        <v>390</v>
      </c>
      <c r="I41" s="247"/>
      <c r="J41" s="248"/>
    </row>
    <row r="42" spans="2:10">
      <c r="B42" s="279" t="s">
        <v>107</v>
      </c>
      <c r="C42" s="280"/>
      <c r="D42" s="281" t="s">
        <v>108</v>
      </c>
      <c r="E42" s="282"/>
      <c r="F42" s="36">
        <v>30</v>
      </c>
      <c r="G42" s="20">
        <v>13</v>
      </c>
      <c r="H42" s="27">
        <f>G42*F42</f>
        <v>390</v>
      </c>
      <c r="I42" s="28"/>
      <c r="J42" s="27">
        <f>H42</f>
        <v>390</v>
      </c>
    </row>
  </sheetData>
  <sheetProtection formatCells="0"/>
  <mergeCells count="73">
    <mergeCell ref="B27:G27"/>
    <mergeCell ref="H27:J27"/>
    <mergeCell ref="B34:G34"/>
    <mergeCell ref="H34:J34"/>
    <mergeCell ref="B37:G37"/>
    <mergeCell ref="H37:J37"/>
    <mergeCell ref="B33:J33"/>
    <mergeCell ref="B32:J32"/>
    <mergeCell ref="B31:J31"/>
    <mergeCell ref="B28:C28"/>
    <mergeCell ref="D28:E28"/>
    <mergeCell ref="B29:C29"/>
    <mergeCell ref="D29:E29"/>
    <mergeCell ref="B30:C30"/>
    <mergeCell ref="D30:E30"/>
    <mergeCell ref="H7:J7"/>
    <mergeCell ref="B7:G7"/>
    <mergeCell ref="B11:G11"/>
    <mergeCell ref="H11:J11"/>
    <mergeCell ref="B15:G15"/>
    <mergeCell ref="H15:J15"/>
    <mergeCell ref="B13:C13"/>
    <mergeCell ref="D13:E13"/>
    <mergeCell ref="B8:C8"/>
    <mergeCell ref="D8:E8"/>
    <mergeCell ref="B9:C9"/>
    <mergeCell ref="D9:E9"/>
    <mergeCell ref="B10:J10"/>
    <mergeCell ref="B12:C12"/>
    <mergeCell ref="D12:E12"/>
    <mergeCell ref="B40:J40"/>
    <mergeCell ref="B42:C42"/>
    <mergeCell ref="D42:E42"/>
    <mergeCell ref="B41:G41"/>
    <mergeCell ref="H41:J41"/>
    <mergeCell ref="B38:C38"/>
    <mergeCell ref="D38:E38"/>
    <mergeCell ref="B39:C39"/>
    <mergeCell ref="D39:E39"/>
    <mergeCell ref="B35:C35"/>
    <mergeCell ref="D35:E35"/>
    <mergeCell ref="B36:J36"/>
    <mergeCell ref="D25:E25"/>
    <mergeCell ref="B26:J26"/>
    <mergeCell ref="B20:C20"/>
    <mergeCell ref="D20:E20"/>
    <mergeCell ref="B21:J21"/>
    <mergeCell ref="B23:C23"/>
    <mergeCell ref="D23:E23"/>
    <mergeCell ref="B24:C24"/>
    <mergeCell ref="D24:E24"/>
    <mergeCell ref="B25:C25"/>
    <mergeCell ref="B22:G22"/>
    <mergeCell ref="H22:J22"/>
    <mergeCell ref="B18:C18"/>
    <mergeCell ref="D18:E18"/>
    <mergeCell ref="B19:C19"/>
    <mergeCell ref="D19:E19"/>
    <mergeCell ref="B14:J14"/>
    <mergeCell ref="B16:C16"/>
    <mergeCell ref="D16:E16"/>
    <mergeCell ref="B17:C17"/>
    <mergeCell ref="D17:E17"/>
    <mergeCell ref="B5:C5"/>
    <mergeCell ref="D5:E5"/>
    <mergeCell ref="B6:J6"/>
    <mergeCell ref="B3:H3"/>
    <mergeCell ref="A1:A3"/>
    <mergeCell ref="B1:H2"/>
    <mergeCell ref="I1:J2"/>
    <mergeCell ref="I3:J3"/>
    <mergeCell ref="B4:E4"/>
    <mergeCell ref="F4:J4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topLeftCell="A3" zoomScaleNormal="100" workbookViewId="0">
      <selection activeCell="B25" sqref="B25:C25"/>
    </sheetView>
  </sheetViews>
  <sheetFormatPr defaultRowHeight="15"/>
  <cols>
    <col min="1" max="1" width="4.5703125" customWidth="1"/>
    <col min="2" max="3" width="15.7109375" customWidth="1"/>
    <col min="4" max="5" width="17.5703125" customWidth="1"/>
    <col min="6" max="8" width="10.7109375" customWidth="1"/>
    <col min="9" max="9" width="9.7109375" customWidth="1"/>
    <col min="10" max="10" width="11.7109375" customWidth="1"/>
  </cols>
  <sheetData>
    <row r="1" spans="1:11">
      <c r="A1" s="198"/>
      <c r="B1" s="225" t="s">
        <v>109</v>
      </c>
      <c r="C1" s="226"/>
      <c r="D1" s="226"/>
      <c r="E1" s="226"/>
      <c r="F1" s="226"/>
      <c r="G1" s="226"/>
      <c r="H1" s="226"/>
      <c r="I1" s="229">
        <f>SUM(H7,H11,H15,H19,H24)</f>
        <v>448.92830000000004</v>
      </c>
      <c r="J1" s="409"/>
      <c r="K1" s="152"/>
    </row>
    <row r="2" spans="1:11">
      <c r="A2" s="198"/>
      <c r="B2" s="227"/>
      <c r="C2" s="228"/>
      <c r="D2" s="228"/>
      <c r="E2" s="228"/>
      <c r="F2" s="228"/>
      <c r="G2" s="228"/>
      <c r="H2" s="228"/>
      <c r="I2" s="265"/>
      <c r="J2" s="417"/>
      <c r="K2" s="152"/>
    </row>
    <row r="3" spans="1:11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  <c r="K3" s="152"/>
    </row>
    <row r="4" spans="1:11">
      <c r="A4" s="152"/>
      <c r="B4" s="232" t="s">
        <v>26</v>
      </c>
      <c r="C4" s="232"/>
      <c r="D4" s="232"/>
      <c r="E4" s="232"/>
      <c r="F4" s="232" t="s">
        <v>27</v>
      </c>
      <c r="G4" s="232"/>
      <c r="H4" s="232"/>
      <c r="I4" s="232"/>
      <c r="J4" s="232"/>
      <c r="K4" s="152"/>
    </row>
    <row r="5" spans="1:11" ht="30">
      <c r="A5" s="152"/>
      <c r="B5" s="222" t="s">
        <v>63</v>
      </c>
      <c r="C5" s="222"/>
      <c r="D5" s="222" t="s">
        <v>28</v>
      </c>
      <c r="E5" s="222"/>
      <c r="F5" s="37" t="s">
        <v>29</v>
      </c>
      <c r="G5" s="37" t="s">
        <v>30</v>
      </c>
      <c r="H5" s="37" t="s">
        <v>31</v>
      </c>
      <c r="I5" s="37" t="s">
        <v>32</v>
      </c>
      <c r="J5" s="37" t="s">
        <v>33</v>
      </c>
      <c r="K5" s="152"/>
    </row>
    <row r="6" spans="1:11">
      <c r="A6" s="152"/>
      <c r="B6" s="271"/>
      <c r="C6" s="271"/>
      <c r="D6" s="271"/>
      <c r="E6" s="271"/>
      <c r="F6" s="271"/>
      <c r="G6" s="271"/>
      <c r="H6" s="271"/>
      <c r="I6" s="271"/>
      <c r="J6" s="271"/>
      <c r="K6" s="152"/>
    </row>
    <row r="7" spans="1:11">
      <c r="A7" s="152"/>
      <c r="B7" s="210" t="s">
        <v>110</v>
      </c>
      <c r="C7" s="211"/>
      <c r="D7" s="211"/>
      <c r="E7" s="211"/>
      <c r="F7" s="211"/>
      <c r="G7" s="212"/>
      <c r="H7" s="246">
        <f>SUM(J8:J9)</f>
        <v>56.477400000000003</v>
      </c>
      <c r="I7" s="247"/>
      <c r="J7" s="248"/>
      <c r="K7" s="152"/>
    </row>
    <row r="8" spans="1:11">
      <c r="A8" s="152"/>
      <c r="B8" s="299" t="s">
        <v>111</v>
      </c>
      <c r="C8" s="300"/>
      <c r="D8" s="300" t="s">
        <v>112</v>
      </c>
      <c r="E8" s="301"/>
      <c r="F8" s="38">
        <v>20</v>
      </c>
      <c r="G8" s="39">
        <v>2</v>
      </c>
      <c r="H8" s="40">
        <f>F8*G8</f>
        <v>40</v>
      </c>
      <c r="I8" s="4">
        <f>H8*0.13</f>
        <v>5.2</v>
      </c>
      <c r="J8" s="3">
        <f>H8+I8</f>
        <v>45.2</v>
      </c>
      <c r="K8" s="152"/>
    </row>
    <row r="9" spans="1:11">
      <c r="A9" s="152"/>
      <c r="B9" s="302" t="s">
        <v>113</v>
      </c>
      <c r="C9" s="270"/>
      <c r="D9" s="270" t="s">
        <v>114</v>
      </c>
      <c r="E9" s="303"/>
      <c r="F9" s="41">
        <v>4.99</v>
      </c>
      <c r="G9" s="42">
        <v>2</v>
      </c>
      <c r="H9" s="43">
        <f>F9*G9</f>
        <v>9.98</v>
      </c>
      <c r="I9" s="19">
        <f>H9*0.13</f>
        <v>1.2974000000000001</v>
      </c>
      <c r="J9" s="18">
        <f>H9+I9</f>
        <v>11.2774</v>
      </c>
      <c r="K9" s="152"/>
    </row>
    <row r="10" spans="1:11">
      <c r="A10" s="152"/>
      <c r="B10" s="271"/>
      <c r="C10" s="271"/>
      <c r="D10" s="271"/>
      <c r="E10" s="271"/>
      <c r="F10" s="271"/>
      <c r="G10" s="271"/>
      <c r="H10" s="271"/>
      <c r="I10" s="271"/>
      <c r="J10" s="271"/>
      <c r="K10" s="152"/>
    </row>
    <row r="11" spans="1:11">
      <c r="A11" s="152"/>
      <c r="B11" s="210" t="s">
        <v>115</v>
      </c>
      <c r="C11" s="211"/>
      <c r="D11" s="211"/>
      <c r="E11" s="211"/>
      <c r="F11" s="211"/>
      <c r="G11" s="212"/>
      <c r="H11" s="246">
        <f>SUM(J12:J13)</f>
        <v>128.79740000000001</v>
      </c>
      <c r="I11" s="247"/>
      <c r="J11" s="248"/>
      <c r="K11" s="174"/>
    </row>
    <row r="12" spans="1:11">
      <c r="A12" s="152"/>
      <c r="B12" s="299" t="s">
        <v>116</v>
      </c>
      <c r="C12" s="300"/>
      <c r="D12" s="300" t="s">
        <v>117</v>
      </c>
      <c r="E12" s="301"/>
      <c r="F12" s="38">
        <v>20</v>
      </c>
      <c r="G12" s="39">
        <v>5</v>
      </c>
      <c r="H12" s="3">
        <f>F12*G12</f>
        <v>100</v>
      </c>
      <c r="I12" s="4">
        <f>H12*0.13</f>
        <v>13</v>
      </c>
      <c r="J12" s="3">
        <f>H12+I12</f>
        <v>113</v>
      </c>
      <c r="K12" s="174"/>
    </row>
    <row r="13" spans="1:11">
      <c r="A13" s="152"/>
      <c r="B13" s="288" t="s">
        <v>113</v>
      </c>
      <c r="C13" s="289"/>
      <c r="D13" s="289" t="s">
        <v>118</v>
      </c>
      <c r="E13" s="304"/>
      <c r="F13" s="44">
        <v>6.99</v>
      </c>
      <c r="G13" s="45">
        <v>2</v>
      </c>
      <c r="H13" s="7">
        <f>F13*G13</f>
        <v>13.98</v>
      </c>
      <c r="I13" s="8">
        <f>H13*0.13</f>
        <v>1.8174000000000001</v>
      </c>
      <c r="J13" s="7">
        <f>H13+I13</f>
        <v>15.7974</v>
      </c>
      <c r="K13" s="174"/>
    </row>
    <row r="14" spans="1:11">
      <c r="A14" s="152"/>
      <c r="B14" s="271"/>
      <c r="C14" s="271"/>
      <c r="D14" s="271"/>
      <c r="E14" s="271"/>
      <c r="F14" s="271"/>
      <c r="G14" s="271"/>
      <c r="H14" s="271"/>
      <c r="I14" s="271"/>
      <c r="J14" s="271"/>
      <c r="K14" s="152"/>
    </row>
    <row r="15" spans="1:11">
      <c r="A15" s="152"/>
      <c r="B15" s="210" t="s">
        <v>119</v>
      </c>
      <c r="C15" s="211"/>
      <c r="D15" s="211"/>
      <c r="E15" s="211"/>
      <c r="F15" s="211"/>
      <c r="G15" s="212"/>
      <c r="H15" s="246">
        <f>SUM(J16:J17)</f>
        <v>30.498699999999999</v>
      </c>
      <c r="I15" s="247"/>
      <c r="J15" s="248"/>
      <c r="K15" s="152"/>
    </row>
    <row r="16" spans="1:11">
      <c r="A16" s="152"/>
      <c r="B16" s="299" t="s">
        <v>116</v>
      </c>
      <c r="C16" s="300"/>
      <c r="D16" s="300"/>
      <c r="E16" s="301"/>
      <c r="F16" s="38">
        <v>20</v>
      </c>
      <c r="G16" s="39">
        <v>1</v>
      </c>
      <c r="H16" s="3">
        <f>F16*G16</f>
        <v>20</v>
      </c>
      <c r="I16" s="4">
        <f>H16*0.13</f>
        <v>2.6</v>
      </c>
      <c r="J16" s="3">
        <f>H16+I16</f>
        <v>22.6</v>
      </c>
      <c r="K16" s="152"/>
    </row>
    <row r="17" spans="2:10">
      <c r="B17" s="288" t="s">
        <v>113</v>
      </c>
      <c r="C17" s="289"/>
      <c r="D17" s="289" t="s">
        <v>120</v>
      </c>
      <c r="E17" s="304"/>
      <c r="F17" s="44">
        <v>6.99</v>
      </c>
      <c r="G17" s="45">
        <v>1</v>
      </c>
      <c r="H17" s="7">
        <f>F17*G17</f>
        <v>6.99</v>
      </c>
      <c r="I17" s="8">
        <f>H17*0.13</f>
        <v>0.90870000000000006</v>
      </c>
      <c r="J17" s="7">
        <f>H17+I17</f>
        <v>7.8986999999999998</v>
      </c>
    </row>
    <row r="18" spans="2:10">
      <c r="B18" s="271"/>
      <c r="C18" s="271"/>
      <c r="D18" s="271"/>
      <c r="E18" s="271"/>
      <c r="F18" s="271"/>
      <c r="G18" s="271"/>
      <c r="H18" s="271"/>
      <c r="I18" s="271"/>
      <c r="J18" s="271"/>
    </row>
    <row r="19" spans="2:10">
      <c r="B19" s="210" t="s">
        <v>121</v>
      </c>
      <c r="C19" s="211"/>
      <c r="D19" s="211"/>
      <c r="E19" s="211"/>
      <c r="F19" s="211"/>
      <c r="G19" s="212"/>
      <c r="H19" s="246">
        <f>SUM(J20:J22)</f>
        <v>158.15480000000002</v>
      </c>
      <c r="I19" s="247"/>
      <c r="J19" s="248"/>
    </row>
    <row r="20" spans="2:10">
      <c r="B20" s="299" t="s">
        <v>116</v>
      </c>
      <c r="C20" s="300"/>
      <c r="D20" s="300" t="s">
        <v>122</v>
      </c>
      <c r="E20" s="301"/>
      <c r="F20" s="38">
        <v>20</v>
      </c>
      <c r="G20" s="39">
        <v>2</v>
      </c>
      <c r="H20" s="3">
        <f>F20*G20</f>
        <v>40</v>
      </c>
      <c r="I20" s="4">
        <f>H20*0.13</f>
        <v>5.2</v>
      </c>
      <c r="J20" s="3">
        <f>H20+I20</f>
        <v>45.2</v>
      </c>
    </row>
    <row r="21" spans="2:10">
      <c r="B21" s="302" t="s">
        <v>113</v>
      </c>
      <c r="C21" s="270"/>
      <c r="D21" s="270" t="s">
        <v>123</v>
      </c>
      <c r="E21" s="303"/>
      <c r="F21" s="41">
        <v>4.99</v>
      </c>
      <c r="G21" s="42">
        <v>4</v>
      </c>
      <c r="H21" s="18">
        <f>F21*G21</f>
        <v>19.96</v>
      </c>
      <c r="I21" s="19">
        <f>H21*0.13</f>
        <v>2.5948000000000002</v>
      </c>
      <c r="J21" s="18">
        <f>H21+I21</f>
        <v>22.5548</v>
      </c>
    </row>
    <row r="22" spans="2:10">
      <c r="B22" s="288" t="s">
        <v>116</v>
      </c>
      <c r="C22" s="289"/>
      <c r="D22" s="289" t="s">
        <v>124</v>
      </c>
      <c r="E22" s="304"/>
      <c r="F22" s="44">
        <v>20</v>
      </c>
      <c r="G22" s="45">
        <v>4</v>
      </c>
      <c r="H22" s="7">
        <f>F22*G22</f>
        <v>80</v>
      </c>
      <c r="I22" s="8">
        <f>H22*0.13</f>
        <v>10.4</v>
      </c>
      <c r="J22" s="7">
        <f>H22+I22</f>
        <v>90.4</v>
      </c>
    </row>
    <row r="23" spans="2:10">
      <c r="B23" s="411"/>
      <c r="C23" s="411"/>
      <c r="D23" s="411"/>
      <c r="E23" s="411"/>
      <c r="F23" s="411"/>
      <c r="G23" s="411"/>
      <c r="H23" s="411"/>
      <c r="I23" s="411"/>
      <c r="J23" s="411"/>
    </row>
    <row r="24" spans="2:10">
      <c r="B24" s="210" t="s">
        <v>125</v>
      </c>
      <c r="C24" s="211"/>
      <c r="D24" s="211"/>
      <c r="E24" s="211"/>
      <c r="F24" s="211"/>
      <c r="G24" s="212"/>
      <c r="H24" s="246">
        <f>SUM(J25)</f>
        <v>75</v>
      </c>
      <c r="I24" s="247"/>
      <c r="J24" s="248"/>
    </row>
    <row r="25" spans="2:10">
      <c r="B25" s="305" t="s">
        <v>126</v>
      </c>
      <c r="C25" s="281"/>
      <c r="D25" s="306" t="s">
        <v>127</v>
      </c>
      <c r="E25" s="282"/>
      <c r="F25" s="49">
        <v>25</v>
      </c>
      <c r="G25" s="50">
        <v>3</v>
      </c>
      <c r="H25" s="30">
        <f>F25*G25</f>
        <v>75</v>
      </c>
      <c r="I25" s="31"/>
      <c r="J25" s="30">
        <f>H25+I25</f>
        <v>75</v>
      </c>
    </row>
    <row r="26" spans="2:10">
      <c r="B26" s="152"/>
      <c r="C26" s="46"/>
      <c r="D26" s="46"/>
      <c r="E26" s="46"/>
      <c r="F26" s="47"/>
      <c r="G26" s="47"/>
      <c r="H26" s="47"/>
      <c r="I26" s="47"/>
      <c r="J26" s="152"/>
    </row>
    <row r="27" spans="2:10">
      <c r="B27" s="152"/>
      <c r="C27" s="46"/>
      <c r="D27" s="46"/>
      <c r="E27" s="46"/>
      <c r="F27" s="47"/>
      <c r="G27" s="47"/>
      <c r="H27" s="47"/>
      <c r="I27" s="47"/>
      <c r="J27" s="152"/>
    </row>
    <row r="28" spans="2:10">
      <c r="B28" s="48"/>
      <c r="C28" s="152"/>
      <c r="D28" s="152"/>
      <c r="E28" s="152"/>
      <c r="F28" s="152"/>
      <c r="G28" s="152"/>
      <c r="H28" s="152"/>
      <c r="I28" s="47"/>
      <c r="J28" s="152"/>
    </row>
    <row r="29" spans="2:10">
      <c r="B29" s="152"/>
      <c r="C29" s="46"/>
      <c r="D29" s="46"/>
      <c r="E29" s="46"/>
      <c r="F29" s="47"/>
      <c r="G29" s="47"/>
      <c r="H29" s="47"/>
      <c r="I29" s="47"/>
      <c r="J29" s="152"/>
    </row>
    <row r="30" spans="2:10">
      <c r="B30" s="152"/>
      <c r="C30" s="46"/>
      <c r="D30" s="46"/>
      <c r="E30" s="46"/>
      <c r="F30" s="47"/>
      <c r="G30" s="47"/>
      <c r="H30" s="47"/>
      <c r="I30" s="47"/>
      <c r="J30" s="152"/>
    </row>
  </sheetData>
  <mergeCells count="44">
    <mergeCell ref="H19:J19"/>
    <mergeCell ref="B24:G24"/>
    <mergeCell ref="H24:J24"/>
    <mergeCell ref="A1:A3"/>
    <mergeCell ref="B22:C22"/>
    <mergeCell ref="D22:E22"/>
    <mergeCell ref="B18:J18"/>
    <mergeCell ref="B20:C20"/>
    <mergeCell ref="D20:E20"/>
    <mergeCell ref="B21:C21"/>
    <mergeCell ref="D21:E21"/>
    <mergeCell ref="B14:J14"/>
    <mergeCell ref="B16:C16"/>
    <mergeCell ref="B7:G7"/>
    <mergeCell ref="B23:J23"/>
    <mergeCell ref="B10:J10"/>
    <mergeCell ref="B25:C25"/>
    <mergeCell ref="D25:E25"/>
    <mergeCell ref="D16:E16"/>
    <mergeCell ref="B17:C17"/>
    <mergeCell ref="D17:E17"/>
    <mergeCell ref="B19:G19"/>
    <mergeCell ref="H11:J11"/>
    <mergeCell ref="B15:G15"/>
    <mergeCell ref="H15:J15"/>
    <mergeCell ref="B9:C9"/>
    <mergeCell ref="D9:E9"/>
    <mergeCell ref="B12:C12"/>
    <mergeCell ref="D12:E12"/>
    <mergeCell ref="B13:C13"/>
    <mergeCell ref="D13:E13"/>
    <mergeCell ref="B11:G11"/>
    <mergeCell ref="B1:H2"/>
    <mergeCell ref="I1:J2"/>
    <mergeCell ref="I3:J3"/>
    <mergeCell ref="B4:E4"/>
    <mergeCell ref="F4:J4"/>
    <mergeCell ref="B3:H3"/>
    <mergeCell ref="B5:C5"/>
    <mergeCell ref="D5:E5"/>
    <mergeCell ref="B6:J6"/>
    <mergeCell ref="B8:C8"/>
    <mergeCell ref="D8:E8"/>
    <mergeCell ref="H7:J7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3"/>
  <sheetViews>
    <sheetView topLeftCell="A16" zoomScaleNormal="100" workbookViewId="0">
      <selection activeCell="I37" sqref="I37"/>
    </sheetView>
  </sheetViews>
  <sheetFormatPr defaultRowHeight="15"/>
  <cols>
    <col min="1" max="1" width="4.7109375" customWidth="1"/>
    <col min="2" max="3" width="15.7109375" customWidth="1"/>
    <col min="4" max="5" width="17.5703125" customWidth="1"/>
    <col min="6" max="6" width="11.5703125" bestFit="1" customWidth="1"/>
    <col min="7" max="8" width="10.7109375" customWidth="1"/>
    <col min="9" max="9" width="9.7109375" customWidth="1"/>
    <col min="10" max="10" width="11.7109375" customWidth="1"/>
    <col min="11" max="11" width="72.28515625" bestFit="1" customWidth="1"/>
  </cols>
  <sheetData>
    <row r="1" spans="1:11" ht="19.5" customHeight="1">
      <c r="A1" s="198"/>
      <c r="B1" s="315" t="s">
        <v>128</v>
      </c>
      <c r="C1" s="316"/>
      <c r="D1" s="316"/>
      <c r="E1" s="316"/>
      <c r="F1" s="316"/>
      <c r="G1" s="316"/>
      <c r="H1" s="316"/>
      <c r="I1" s="319">
        <f>SUM(H7,H11,H14,H28,H36,H42,H57,H63,H68,H72,H76,H80,H88)</f>
        <v>201897.47999999998</v>
      </c>
      <c r="J1" s="320"/>
      <c r="K1" s="71"/>
    </row>
    <row r="2" spans="1:11">
      <c r="A2" s="198"/>
      <c r="B2" s="317"/>
      <c r="C2" s="318"/>
      <c r="D2" s="318"/>
      <c r="E2" s="318"/>
      <c r="F2" s="318"/>
      <c r="G2" s="318"/>
      <c r="H2" s="318"/>
      <c r="I2" s="321"/>
      <c r="J2" s="322"/>
      <c r="K2" s="152"/>
    </row>
    <row r="3" spans="1:11">
      <c r="A3" s="198"/>
      <c r="B3" s="331"/>
      <c r="C3" s="332"/>
      <c r="D3" s="332"/>
      <c r="E3" s="332"/>
      <c r="F3" s="332"/>
      <c r="G3" s="332"/>
      <c r="H3" s="332"/>
      <c r="I3" s="323" t="s">
        <v>62</v>
      </c>
      <c r="J3" s="324"/>
      <c r="K3" s="152"/>
    </row>
    <row r="4" spans="1:11">
      <c r="A4" s="152"/>
      <c r="B4" s="325" t="s">
        <v>26</v>
      </c>
      <c r="C4" s="326"/>
      <c r="D4" s="326"/>
      <c r="E4" s="327"/>
      <c r="F4" s="325" t="s">
        <v>27</v>
      </c>
      <c r="G4" s="326"/>
      <c r="H4" s="326"/>
      <c r="I4" s="326"/>
      <c r="J4" s="327"/>
      <c r="K4" s="152"/>
    </row>
    <row r="5" spans="1:11" ht="30">
      <c r="A5" s="152"/>
      <c r="B5" s="328" t="s">
        <v>63</v>
      </c>
      <c r="C5" s="329"/>
      <c r="D5" s="328" t="s">
        <v>28</v>
      </c>
      <c r="E5" s="329"/>
      <c r="F5" s="72" t="s">
        <v>29</v>
      </c>
      <c r="G5" s="37" t="s">
        <v>30</v>
      </c>
      <c r="H5" s="72" t="s">
        <v>31</v>
      </c>
      <c r="I5" s="72" t="s">
        <v>32</v>
      </c>
      <c r="J5" s="72" t="s">
        <v>33</v>
      </c>
      <c r="K5" s="152"/>
    </row>
    <row r="6" spans="1:11">
      <c r="A6" s="152"/>
      <c r="B6" s="195"/>
      <c r="C6" s="195"/>
      <c r="D6" s="195"/>
      <c r="E6" s="195"/>
      <c r="F6" s="195"/>
      <c r="G6" s="195"/>
      <c r="H6" s="195"/>
      <c r="I6" s="195"/>
      <c r="J6" s="195"/>
      <c r="K6" s="152"/>
    </row>
    <row r="7" spans="1:11">
      <c r="A7" s="152"/>
      <c r="B7" s="210" t="s">
        <v>110</v>
      </c>
      <c r="C7" s="211"/>
      <c r="D7" s="211"/>
      <c r="E7" s="211"/>
      <c r="F7" s="211"/>
      <c r="G7" s="212"/>
      <c r="H7" s="246">
        <f>SUM(J8:J9)</f>
        <v>22939</v>
      </c>
      <c r="I7" s="247"/>
      <c r="J7" s="248"/>
      <c r="K7" s="152"/>
    </row>
    <row r="8" spans="1:11">
      <c r="A8" s="152"/>
      <c r="B8" s="272" t="s">
        <v>129</v>
      </c>
      <c r="C8" s="273"/>
      <c r="D8" s="273"/>
      <c r="E8" s="277"/>
      <c r="F8" s="1">
        <v>35</v>
      </c>
      <c r="G8" s="15">
        <v>480</v>
      </c>
      <c r="H8" s="3">
        <f>F8*G8</f>
        <v>16800</v>
      </c>
      <c r="I8" s="4">
        <f>H8*0.13</f>
        <v>2184</v>
      </c>
      <c r="J8" s="3">
        <f>H8+I8</f>
        <v>18984</v>
      </c>
      <c r="K8" s="152" t="s">
        <v>130</v>
      </c>
    </row>
    <row r="9" spans="1:11">
      <c r="A9" s="152"/>
      <c r="B9" s="268" t="s">
        <v>131</v>
      </c>
      <c r="C9" s="269"/>
      <c r="D9" s="269"/>
      <c r="E9" s="278"/>
      <c r="F9" s="16">
        <v>3500</v>
      </c>
      <c r="G9" s="17">
        <v>1</v>
      </c>
      <c r="H9" s="18">
        <f>F9*G9</f>
        <v>3500</v>
      </c>
      <c r="I9" s="19">
        <f>H9*0.13</f>
        <v>455</v>
      </c>
      <c r="J9" s="18">
        <f>H9+I9</f>
        <v>3955</v>
      </c>
      <c r="K9" s="152" t="s">
        <v>132</v>
      </c>
    </row>
    <row r="10" spans="1:11">
      <c r="A10" s="152"/>
      <c r="B10" s="312"/>
      <c r="C10" s="312"/>
      <c r="D10" s="312"/>
      <c r="E10" s="312"/>
      <c r="F10" s="312"/>
      <c r="G10" s="312"/>
      <c r="H10" s="312"/>
      <c r="I10" s="312"/>
      <c r="J10" s="312"/>
      <c r="K10" s="152"/>
    </row>
    <row r="11" spans="1:11">
      <c r="A11" s="152"/>
      <c r="B11" s="210" t="s">
        <v>133</v>
      </c>
      <c r="C11" s="211"/>
      <c r="D11" s="211"/>
      <c r="E11" s="211"/>
      <c r="F11" s="211"/>
      <c r="G11" s="212"/>
      <c r="H11" s="246">
        <f>SUM(J12)</f>
        <v>550</v>
      </c>
      <c r="I11" s="247"/>
      <c r="J11" s="248"/>
      <c r="K11" s="152"/>
    </row>
    <row r="12" spans="1:11">
      <c r="A12" s="152"/>
      <c r="B12" s="279" t="s">
        <v>134</v>
      </c>
      <c r="C12" s="330"/>
      <c r="D12" s="279" t="s">
        <v>135</v>
      </c>
      <c r="E12" s="330"/>
      <c r="F12" s="70">
        <v>550</v>
      </c>
      <c r="G12" s="33">
        <v>1</v>
      </c>
      <c r="H12" s="69">
        <f>G12*F12</f>
        <v>550</v>
      </c>
      <c r="I12" s="68"/>
      <c r="J12" s="68">
        <f>H12</f>
        <v>550</v>
      </c>
      <c r="K12" s="152"/>
    </row>
    <row r="13" spans="1:11">
      <c r="A13" s="152"/>
      <c r="B13" s="312"/>
      <c r="C13" s="312"/>
      <c r="D13" s="312"/>
      <c r="E13" s="312"/>
      <c r="F13" s="312"/>
      <c r="G13" s="312"/>
      <c r="H13" s="312"/>
      <c r="I13" s="312"/>
      <c r="J13" s="312"/>
      <c r="K13" s="152"/>
    </row>
    <row r="14" spans="1:11">
      <c r="A14" s="152"/>
      <c r="B14" s="210" t="s">
        <v>136</v>
      </c>
      <c r="C14" s="211"/>
      <c r="D14" s="211"/>
      <c r="E14" s="211"/>
      <c r="F14" s="211"/>
      <c r="G14" s="212"/>
      <c r="H14" s="246">
        <f>SUM(J15:J26)</f>
        <v>32996</v>
      </c>
      <c r="I14" s="247"/>
      <c r="J14" s="248"/>
      <c r="K14" s="152"/>
    </row>
    <row r="15" spans="1:11">
      <c r="A15" s="152"/>
      <c r="B15" s="272" t="s">
        <v>137</v>
      </c>
      <c r="C15" s="273"/>
      <c r="D15" s="273"/>
      <c r="E15" s="277"/>
      <c r="F15" s="9">
        <v>300</v>
      </c>
      <c r="G15" s="10">
        <v>1</v>
      </c>
      <c r="H15" s="11">
        <f t="shared" ref="H15:H26" si="0">F15*G15</f>
        <v>300</v>
      </c>
      <c r="I15" s="12">
        <f>H15*0.13</f>
        <v>39</v>
      </c>
      <c r="J15" s="11">
        <f t="shared" ref="J15:J24" si="1">H15+I15</f>
        <v>339</v>
      </c>
      <c r="K15" s="152"/>
    </row>
    <row r="16" spans="1:11">
      <c r="A16" s="152"/>
      <c r="B16" s="268" t="s">
        <v>138</v>
      </c>
      <c r="C16" s="269"/>
      <c r="D16" s="269"/>
      <c r="E16" s="278"/>
      <c r="F16" s="24">
        <v>200</v>
      </c>
      <c r="G16" s="67">
        <v>1</v>
      </c>
      <c r="H16" s="65">
        <f t="shared" si="0"/>
        <v>200</v>
      </c>
      <c r="I16" s="66">
        <f>H16*0.13</f>
        <v>26</v>
      </c>
      <c r="J16" s="65">
        <f t="shared" si="1"/>
        <v>226</v>
      </c>
      <c r="K16" s="152"/>
    </row>
    <row r="17" spans="2:10">
      <c r="B17" s="268" t="s">
        <v>139</v>
      </c>
      <c r="C17" s="269"/>
      <c r="D17" s="269" t="s">
        <v>140</v>
      </c>
      <c r="E17" s="278"/>
      <c r="F17" s="16">
        <v>45</v>
      </c>
      <c r="G17" s="17">
        <v>20</v>
      </c>
      <c r="H17" s="18">
        <f t="shared" si="0"/>
        <v>900</v>
      </c>
      <c r="I17" s="19">
        <f>H17*0.13</f>
        <v>117</v>
      </c>
      <c r="J17" s="18">
        <f t="shared" si="1"/>
        <v>1017</v>
      </c>
    </row>
    <row r="18" spans="2:10">
      <c r="B18" s="268" t="s">
        <v>141</v>
      </c>
      <c r="C18" s="269"/>
      <c r="D18" s="269"/>
      <c r="E18" s="278"/>
      <c r="F18" s="16">
        <v>40</v>
      </c>
      <c r="G18" s="17">
        <v>12</v>
      </c>
      <c r="H18" s="18">
        <f t="shared" si="0"/>
        <v>480</v>
      </c>
      <c r="I18" s="19">
        <f>H18*0.13</f>
        <v>62.400000000000006</v>
      </c>
      <c r="J18" s="18">
        <f t="shared" si="1"/>
        <v>542.4</v>
      </c>
    </row>
    <row r="19" spans="2:10">
      <c r="B19" s="268" t="s">
        <v>44</v>
      </c>
      <c r="C19" s="269"/>
      <c r="D19" s="269" t="s">
        <v>142</v>
      </c>
      <c r="E19" s="278"/>
      <c r="F19" s="16">
        <v>3400</v>
      </c>
      <c r="G19" s="17">
        <v>1</v>
      </c>
      <c r="H19" s="18">
        <f t="shared" si="0"/>
        <v>3400</v>
      </c>
      <c r="I19" s="19"/>
      <c r="J19" s="18">
        <f t="shared" si="1"/>
        <v>3400</v>
      </c>
    </row>
    <row r="20" spans="2:10">
      <c r="B20" s="268" t="s">
        <v>46</v>
      </c>
      <c r="C20" s="269"/>
      <c r="D20" s="269" t="s">
        <v>143</v>
      </c>
      <c r="E20" s="278"/>
      <c r="F20" s="16">
        <v>385</v>
      </c>
      <c r="G20" s="17">
        <v>12</v>
      </c>
      <c r="H20" s="18">
        <f t="shared" si="0"/>
        <v>4620</v>
      </c>
      <c r="I20" s="19"/>
      <c r="J20" s="18">
        <f t="shared" si="1"/>
        <v>4620</v>
      </c>
    </row>
    <row r="21" spans="2:10">
      <c r="B21" s="268" t="s">
        <v>144</v>
      </c>
      <c r="C21" s="269"/>
      <c r="D21" s="269" t="s">
        <v>143</v>
      </c>
      <c r="E21" s="278"/>
      <c r="F21" s="16">
        <v>25</v>
      </c>
      <c r="G21" s="17">
        <v>12</v>
      </c>
      <c r="H21" s="18">
        <f t="shared" si="0"/>
        <v>300</v>
      </c>
      <c r="I21" s="19"/>
      <c r="J21" s="18">
        <f t="shared" si="1"/>
        <v>300</v>
      </c>
    </row>
    <row r="22" spans="2:10">
      <c r="B22" s="268" t="s">
        <v>145</v>
      </c>
      <c r="C22" s="269"/>
      <c r="D22" s="269"/>
      <c r="E22" s="278"/>
      <c r="F22" s="16">
        <v>20</v>
      </c>
      <c r="G22" s="17">
        <v>6</v>
      </c>
      <c r="H22" s="18">
        <f t="shared" si="0"/>
        <v>120</v>
      </c>
      <c r="I22" s="19">
        <f>H22*0.13</f>
        <v>15.600000000000001</v>
      </c>
      <c r="J22" s="18">
        <f t="shared" si="1"/>
        <v>135.6</v>
      </c>
    </row>
    <row r="23" spans="2:10">
      <c r="B23" s="268" t="s">
        <v>43</v>
      </c>
      <c r="C23" s="269"/>
      <c r="D23" s="269" t="s">
        <v>146</v>
      </c>
      <c r="E23" s="278"/>
      <c r="F23" s="16">
        <v>1690</v>
      </c>
      <c r="G23" s="17">
        <v>12</v>
      </c>
      <c r="H23" s="18">
        <f t="shared" si="0"/>
        <v>20280</v>
      </c>
      <c r="I23" s="19"/>
      <c r="J23" s="18">
        <f t="shared" si="1"/>
        <v>20280</v>
      </c>
    </row>
    <row r="24" spans="2:10">
      <c r="B24" s="268" t="s">
        <v>147</v>
      </c>
      <c r="C24" s="269"/>
      <c r="D24" s="269" t="s">
        <v>148</v>
      </c>
      <c r="E24" s="278"/>
      <c r="F24" s="16">
        <v>6</v>
      </c>
      <c r="G24" s="17">
        <v>6</v>
      </c>
      <c r="H24" s="18">
        <f t="shared" si="0"/>
        <v>36</v>
      </c>
      <c r="I24" s="19"/>
      <c r="J24" s="18">
        <f t="shared" si="1"/>
        <v>36</v>
      </c>
    </row>
    <row r="25" spans="2:10">
      <c r="B25" s="268" t="s">
        <v>149</v>
      </c>
      <c r="C25" s="269"/>
      <c r="D25" s="269" t="s">
        <v>150</v>
      </c>
      <c r="E25" s="278"/>
      <c r="F25" s="16">
        <v>2800</v>
      </c>
      <c r="G25" s="17">
        <f>J25/F25</f>
        <v>0.6428571428571429</v>
      </c>
      <c r="H25" s="25">
        <f t="shared" si="0"/>
        <v>1800.0000000000002</v>
      </c>
      <c r="I25" s="26"/>
      <c r="J25" s="25">
        <v>1800</v>
      </c>
    </row>
    <row r="26" spans="2:10">
      <c r="B26" s="276" t="s">
        <v>151</v>
      </c>
      <c r="C26" s="274"/>
      <c r="D26" s="274"/>
      <c r="E26" s="275"/>
      <c r="F26" s="5">
        <f>300/1.13</f>
        <v>265.48672566371681</v>
      </c>
      <c r="G26" s="20">
        <v>1</v>
      </c>
      <c r="H26" s="7">
        <f t="shared" si="0"/>
        <v>265.48672566371681</v>
      </c>
      <c r="I26" s="19">
        <f>H26*0.13</f>
        <v>34.513274336283189</v>
      </c>
      <c r="J26" s="7">
        <f>H26+I26</f>
        <v>300</v>
      </c>
    </row>
    <row r="27" spans="2:10">
      <c r="B27" s="312"/>
      <c r="C27" s="312"/>
      <c r="D27" s="312"/>
      <c r="E27" s="312"/>
      <c r="F27" s="312"/>
      <c r="G27" s="312"/>
      <c r="H27" s="312"/>
      <c r="I27" s="312"/>
      <c r="J27" s="312"/>
    </row>
    <row r="28" spans="2:10">
      <c r="B28" s="210" t="s">
        <v>152</v>
      </c>
      <c r="C28" s="211"/>
      <c r="D28" s="211"/>
      <c r="E28" s="211"/>
      <c r="F28" s="211"/>
      <c r="G28" s="212"/>
      <c r="H28" s="246">
        <f>SUM(J29:J34)</f>
        <v>2598.1799999999998</v>
      </c>
      <c r="I28" s="247"/>
      <c r="J28" s="248"/>
    </row>
    <row r="29" spans="2:10">
      <c r="B29" s="272" t="s">
        <v>153</v>
      </c>
      <c r="C29" s="273"/>
      <c r="D29" s="273"/>
      <c r="E29" s="277"/>
      <c r="F29" s="1">
        <v>600</v>
      </c>
      <c r="G29" s="15">
        <v>1</v>
      </c>
      <c r="H29" s="3">
        <f t="shared" ref="H29:H34" si="2">F29*G29</f>
        <v>600</v>
      </c>
      <c r="I29" s="4"/>
      <c r="J29" s="3">
        <f t="shared" ref="J29:J34" si="3">H29+I29</f>
        <v>600</v>
      </c>
    </row>
    <row r="30" spans="2:10">
      <c r="B30" s="268" t="s">
        <v>154</v>
      </c>
      <c r="C30" s="269"/>
      <c r="D30" s="269" t="s">
        <v>155</v>
      </c>
      <c r="E30" s="278"/>
      <c r="F30" s="16">
        <v>19</v>
      </c>
      <c r="G30" s="17">
        <v>26</v>
      </c>
      <c r="H30" s="18">
        <f t="shared" si="2"/>
        <v>494</v>
      </c>
      <c r="I30" s="19">
        <f>H30*0.13</f>
        <v>64.22</v>
      </c>
      <c r="J30" s="18">
        <f t="shared" si="3"/>
        <v>558.22</v>
      </c>
    </row>
    <row r="31" spans="2:10">
      <c r="B31" s="268" t="s">
        <v>156</v>
      </c>
      <c r="C31" s="269"/>
      <c r="D31" s="269" t="s">
        <v>157</v>
      </c>
      <c r="E31" s="278"/>
      <c r="F31" s="16">
        <f>9.95+79.1</f>
        <v>89.05</v>
      </c>
      <c r="G31" s="17">
        <v>12</v>
      </c>
      <c r="H31" s="18">
        <f t="shared" si="2"/>
        <v>1068.5999999999999</v>
      </c>
      <c r="I31" s="19"/>
      <c r="J31" s="18">
        <f t="shared" si="3"/>
        <v>1068.5999999999999</v>
      </c>
    </row>
    <row r="32" spans="2:10">
      <c r="B32" s="268" t="s">
        <v>158</v>
      </c>
      <c r="C32" s="269"/>
      <c r="D32" s="269" t="s">
        <v>159</v>
      </c>
      <c r="E32" s="278"/>
      <c r="F32" s="16">
        <v>30</v>
      </c>
      <c r="G32" s="17">
        <v>3</v>
      </c>
      <c r="H32" s="18">
        <f t="shared" si="2"/>
        <v>90</v>
      </c>
      <c r="I32" s="19"/>
      <c r="J32" s="18">
        <f t="shared" si="3"/>
        <v>90</v>
      </c>
    </row>
    <row r="33" spans="2:12">
      <c r="B33" s="268" t="s">
        <v>160</v>
      </c>
      <c r="C33" s="269"/>
      <c r="D33" s="269" t="s">
        <v>161</v>
      </c>
      <c r="E33" s="278"/>
      <c r="F33" s="16">
        <v>200</v>
      </c>
      <c r="G33" s="17">
        <v>1</v>
      </c>
      <c r="H33" s="18">
        <f t="shared" si="2"/>
        <v>200</v>
      </c>
      <c r="I33" s="19"/>
      <c r="J33" s="18">
        <f t="shared" si="3"/>
        <v>200</v>
      </c>
      <c r="K33" s="152"/>
      <c r="L33" s="152"/>
    </row>
    <row r="34" spans="2:12">
      <c r="B34" s="276" t="s">
        <v>162</v>
      </c>
      <c r="C34" s="274"/>
      <c r="D34" s="274" t="s">
        <v>163</v>
      </c>
      <c r="E34" s="275"/>
      <c r="F34" s="5">
        <v>0.09</v>
      </c>
      <c r="G34" s="20">
        <v>800</v>
      </c>
      <c r="H34" s="7">
        <f t="shared" si="2"/>
        <v>72</v>
      </c>
      <c r="I34" s="8">
        <f>H34*0.13</f>
        <v>9.36</v>
      </c>
      <c r="J34" s="7">
        <f t="shared" si="3"/>
        <v>81.36</v>
      </c>
      <c r="K34" s="152"/>
      <c r="L34" s="152"/>
    </row>
    <row r="35" spans="2:12">
      <c r="B35" s="312"/>
      <c r="C35" s="312"/>
      <c r="D35" s="312"/>
      <c r="E35" s="312"/>
      <c r="F35" s="312"/>
      <c r="G35" s="312"/>
      <c r="H35" s="312"/>
      <c r="I35" s="312"/>
      <c r="J35" s="312"/>
      <c r="K35" s="152"/>
      <c r="L35" s="152"/>
    </row>
    <row r="36" spans="2:12">
      <c r="B36" s="210" t="s">
        <v>164</v>
      </c>
      <c r="C36" s="211"/>
      <c r="D36" s="211"/>
      <c r="E36" s="211"/>
      <c r="F36" s="211"/>
      <c r="G36" s="212"/>
      <c r="H36" s="246">
        <f>SUM(J37:J40)</f>
        <v>1898.3999999999999</v>
      </c>
      <c r="I36" s="247"/>
      <c r="J36" s="248"/>
      <c r="K36" s="152"/>
      <c r="L36" s="152"/>
    </row>
    <row r="37" spans="2:12">
      <c r="B37" s="272" t="s">
        <v>165</v>
      </c>
      <c r="C37" s="273"/>
      <c r="D37" s="273" t="s">
        <v>166</v>
      </c>
      <c r="E37" s="277"/>
      <c r="F37" s="1">
        <v>120</v>
      </c>
      <c r="G37" s="15">
        <v>4</v>
      </c>
      <c r="H37" s="3">
        <f>F37*G37</f>
        <v>480</v>
      </c>
      <c r="I37" s="12">
        <f>H37*0.13</f>
        <v>62.400000000000006</v>
      </c>
      <c r="J37" s="3">
        <f>H37+I37</f>
        <v>542.4</v>
      </c>
      <c r="K37" s="152"/>
      <c r="L37" s="152"/>
    </row>
    <row r="38" spans="2:12">
      <c r="B38" s="268" t="s">
        <v>167</v>
      </c>
      <c r="C38" s="269"/>
      <c r="D38" s="269" t="s">
        <v>168</v>
      </c>
      <c r="E38" s="278"/>
      <c r="F38" s="24">
        <v>160</v>
      </c>
      <c r="G38" s="17">
        <v>3</v>
      </c>
      <c r="H38" s="18">
        <f>F38*G38</f>
        <v>480</v>
      </c>
      <c r="I38" s="19">
        <f>H38*0.13</f>
        <v>62.400000000000006</v>
      </c>
      <c r="J38" s="18">
        <f>H38+I38</f>
        <v>542.4</v>
      </c>
      <c r="K38" s="152"/>
      <c r="L38" s="152" t="s">
        <v>169</v>
      </c>
    </row>
    <row r="39" spans="2:12">
      <c r="B39" s="268" t="s">
        <v>170</v>
      </c>
      <c r="C39" s="269"/>
      <c r="D39" s="269" t="s">
        <v>171</v>
      </c>
      <c r="E39" s="278"/>
      <c r="F39" s="16">
        <v>30</v>
      </c>
      <c r="G39" s="17">
        <v>22</v>
      </c>
      <c r="H39" s="18">
        <f>F39*G39</f>
        <v>660</v>
      </c>
      <c r="I39" s="19">
        <f>H39*0.13</f>
        <v>85.8</v>
      </c>
      <c r="J39" s="18">
        <f>H39+I39</f>
        <v>745.8</v>
      </c>
      <c r="K39" s="152"/>
      <c r="L39" s="152"/>
    </row>
    <row r="40" spans="2:12">
      <c r="B40" s="276" t="s">
        <v>172</v>
      </c>
      <c r="C40" s="274"/>
      <c r="D40" s="274" t="s">
        <v>173</v>
      </c>
      <c r="E40" s="275"/>
      <c r="F40" s="5">
        <v>15</v>
      </c>
      <c r="G40" s="20">
        <v>4</v>
      </c>
      <c r="H40" s="7">
        <f>F40*G40</f>
        <v>60</v>
      </c>
      <c r="I40" s="8">
        <f>H40*0.13</f>
        <v>7.8000000000000007</v>
      </c>
      <c r="J40" s="7">
        <f>H40+I40</f>
        <v>67.8</v>
      </c>
      <c r="K40" s="152"/>
      <c r="L40" s="152"/>
    </row>
    <row r="41" spans="2:12">
      <c r="B41" s="312"/>
      <c r="C41" s="312"/>
      <c r="D41" s="312"/>
      <c r="E41" s="312"/>
      <c r="F41" s="312"/>
      <c r="G41" s="312"/>
      <c r="H41" s="312"/>
      <c r="I41" s="312"/>
      <c r="J41" s="312"/>
      <c r="K41" s="152"/>
      <c r="L41" s="152"/>
    </row>
    <row r="42" spans="2:12">
      <c r="B42" s="210" t="s">
        <v>174</v>
      </c>
      <c r="C42" s="211"/>
      <c r="D42" s="211"/>
      <c r="E42" s="211"/>
      <c r="F42" s="211"/>
      <c r="G42" s="212"/>
      <c r="H42" s="246">
        <f>SUM(J43:J55)</f>
        <v>4140.25</v>
      </c>
      <c r="I42" s="247"/>
      <c r="J42" s="248"/>
      <c r="K42" s="152"/>
      <c r="L42" s="152"/>
    </row>
    <row r="43" spans="2:12">
      <c r="B43" s="272" t="s">
        <v>175</v>
      </c>
      <c r="C43" s="273"/>
      <c r="D43" s="273" t="s">
        <v>176</v>
      </c>
      <c r="E43" s="277"/>
      <c r="F43" s="1">
        <v>1000</v>
      </c>
      <c r="G43" s="64">
        <v>1</v>
      </c>
      <c r="H43" s="3">
        <f t="shared" ref="H43:H55" si="4">F43*G43</f>
        <v>1000</v>
      </c>
      <c r="I43" s="3"/>
      <c r="J43" s="3">
        <f t="shared" ref="J43:J55" si="5">H43+I43</f>
        <v>1000</v>
      </c>
      <c r="K43" s="152">
        <f>650+SUM(G44:G46)</f>
        <v>2745</v>
      </c>
      <c r="L43" s="152"/>
    </row>
    <row r="44" spans="2:12">
      <c r="B44" s="268" t="s">
        <v>177</v>
      </c>
      <c r="C44" s="269"/>
      <c r="D44" s="269" t="s">
        <v>178</v>
      </c>
      <c r="E44" s="278"/>
      <c r="F44" s="16">
        <v>0.75</v>
      </c>
      <c r="G44" s="63">
        <v>719</v>
      </c>
      <c r="H44" s="18">
        <f t="shared" si="4"/>
        <v>539.25</v>
      </c>
      <c r="I44" s="18"/>
      <c r="J44" s="18">
        <f t="shared" si="5"/>
        <v>539.25</v>
      </c>
      <c r="K44" s="152" t="s">
        <v>179</v>
      </c>
      <c r="L44" s="152"/>
    </row>
    <row r="45" spans="2:12">
      <c r="B45" s="268" t="s">
        <v>180</v>
      </c>
      <c r="C45" s="269"/>
      <c r="D45" s="269" t="s">
        <v>178</v>
      </c>
      <c r="E45" s="278"/>
      <c r="F45" s="16">
        <v>0.75</v>
      </c>
      <c r="G45" s="63">
        <v>676</v>
      </c>
      <c r="H45" s="18">
        <f t="shared" si="4"/>
        <v>507</v>
      </c>
      <c r="I45" s="18"/>
      <c r="J45" s="18">
        <f t="shared" si="5"/>
        <v>507</v>
      </c>
      <c r="K45" s="152"/>
      <c r="L45" s="152"/>
    </row>
    <row r="46" spans="2:12">
      <c r="B46" s="268" t="s">
        <v>181</v>
      </c>
      <c r="C46" s="269"/>
      <c r="D46" s="269" t="s">
        <v>178</v>
      </c>
      <c r="E46" s="278"/>
      <c r="F46" s="16">
        <v>0.75</v>
      </c>
      <c r="G46" s="63">
        <v>700</v>
      </c>
      <c r="H46" s="18">
        <f t="shared" si="4"/>
        <v>525</v>
      </c>
      <c r="I46" s="18"/>
      <c r="J46" s="18">
        <f t="shared" si="5"/>
        <v>525</v>
      </c>
      <c r="K46" s="152"/>
      <c r="L46" s="152"/>
    </row>
    <row r="47" spans="2:12">
      <c r="B47" s="268" t="s">
        <v>182</v>
      </c>
      <c r="C47" s="269"/>
      <c r="D47" s="269" t="s">
        <v>178</v>
      </c>
      <c r="E47" s="278"/>
      <c r="F47" s="16">
        <v>0.75</v>
      </c>
      <c r="G47" s="63">
        <v>114</v>
      </c>
      <c r="H47" s="18">
        <f t="shared" si="4"/>
        <v>85.5</v>
      </c>
      <c r="I47" s="18"/>
      <c r="J47" s="18">
        <f t="shared" si="5"/>
        <v>85.5</v>
      </c>
      <c r="K47" s="152"/>
      <c r="L47" s="152"/>
    </row>
    <row r="48" spans="2:12">
      <c r="B48" s="268" t="s">
        <v>183</v>
      </c>
      <c r="C48" s="269"/>
      <c r="D48" s="269" t="s">
        <v>178</v>
      </c>
      <c r="E48" s="278"/>
      <c r="F48" s="16">
        <v>0.75</v>
      </c>
      <c r="G48" s="63">
        <v>334</v>
      </c>
      <c r="H48" s="18">
        <f t="shared" si="4"/>
        <v>250.5</v>
      </c>
      <c r="I48" s="18"/>
      <c r="J48" s="18">
        <f t="shared" si="5"/>
        <v>250.5</v>
      </c>
      <c r="K48" s="152"/>
      <c r="L48" s="152"/>
    </row>
    <row r="49" spans="2:11">
      <c r="B49" s="268" t="s">
        <v>184</v>
      </c>
      <c r="C49" s="269"/>
      <c r="D49" s="269" t="s">
        <v>178</v>
      </c>
      <c r="E49" s="278"/>
      <c r="F49" s="16">
        <v>0.75</v>
      </c>
      <c r="G49" s="63">
        <v>96</v>
      </c>
      <c r="H49" s="18">
        <f t="shared" si="4"/>
        <v>72</v>
      </c>
      <c r="I49" s="18"/>
      <c r="J49" s="18">
        <f t="shared" si="5"/>
        <v>72</v>
      </c>
      <c r="K49" s="152"/>
    </row>
    <row r="50" spans="2:11">
      <c r="B50" s="268" t="s">
        <v>185</v>
      </c>
      <c r="C50" s="269"/>
      <c r="D50" s="269" t="s">
        <v>178</v>
      </c>
      <c r="E50" s="278"/>
      <c r="F50" s="16">
        <v>0.75</v>
      </c>
      <c r="G50" s="63">
        <v>237</v>
      </c>
      <c r="H50" s="18">
        <f t="shared" si="4"/>
        <v>177.75</v>
      </c>
      <c r="I50" s="18"/>
      <c r="J50" s="18">
        <f t="shared" si="5"/>
        <v>177.75</v>
      </c>
      <c r="K50" s="152"/>
    </row>
    <row r="51" spans="2:11">
      <c r="B51" s="268" t="s">
        <v>186</v>
      </c>
      <c r="C51" s="269"/>
      <c r="D51" s="269" t="s">
        <v>178</v>
      </c>
      <c r="E51" s="278"/>
      <c r="F51" s="16">
        <v>0.75</v>
      </c>
      <c r="G51" s="63">
        <v>165</v>
      </c>
      <c r="H51" s="18">
        <f t="shared" si="4"/>
        <v>123.75</v>
      </c>
      <c r="I51" s="18"/>
      <c r="J51" s="18">
        <f t="shared" si="5"/>
        <v>123.75</v>
      </c>
      <c r="K51" s="152"/>
    </row>
    <row r="52" spans="2:11">
      <c r="B52" s="268" t="s">
        <v>187</v>
      </c>
      <c r="C52" s="269"/>
      <c r="D52" s="269" t="s">
        <v>178</v>
      </c>
      <c r="E52" s="278"/>
      <c r="F52" s="16">
        <v>0.75</v>
      </c>
      <c r="G52" s="63">
        <v>75</v>
      </c>
      <c r="H52" s="18">
        <f t="shared" si="4"/>
        <v>56.25</v>
      </c>
      <c r="I52" s="18"/>
      <c r="J52" s="18">
        <f t="shared" si="5"/>
        <v>56.25</v>
      </c>
      <c r="K52" s="152"/>
    </row>
    <row r="53" spans="2:11">
      <c r="B53" s="268" t="s">
        <v>188</v>
      </c>
      <c r="C53" s="269"/>
      <c r="D53" s="269" t="s">
        <v>178</v>
      </c>
      <c r="E53" s="278"/>
      <c r="F53" s="16">
        <v>0.75</v>
      </c>
      <c r="G53" s="63">
        <v>129</v>
      </c>
      <c r="H53" s="18">
        <f t="shared" si="4"/>
        <v>96.75</v>
      </c>
      <c r="I53" s="18"/>
      <c r="J53" s="18">
        <f t="shared" si="5"/>
        <v>96.75</v>
      </c>
      <c r="K53" s="152"/>
    </row>
    <row r="54" spans="2:11">
      <c r="B54" s="268" t="s">
        <v>189</v>
      </c>
      <c r="C54" s="269"/>
      <c r="D54" s="269" t="s">
        <v>178</v>
      </c>
      <c r="E54" s="278"/>
      <c r="F54" s="16">
        <v>0.75</v>
      </c>
      <c r="G54" s="63">
        <v>538</v>
      </c>
      <c r="H54" s="18">
        <f t="shared" si="4"/>
        <v>403.5</v>
      </c>
      <c r="I54" s="18"/>
      <c r="J54" s="18">
        <f t="shared" si="5"/>
        <v>403.5</v>
      </c>
      <c r="K54" s="152"/>
    </row>
    <row r="55" spans="2:11">
      <c r="B55" s="276" t="s">
        <v>190</v>
      </c>
      <c r="C55" s="274"/>
      <c r="D55" s="269" t="s">
        <v>178</v>
      </c>
      <c r="E55" s="278"/>
      <c r="F55" s="16">
        <v>0.75</v>
      </c>
      <c r="G55" s="62">
        <v>404</v>
      </c>
      <c r="H55" s="7">
        <f t="shared" si="4"/>
        <v>303</v>
      </c>
      <c r="I55" s="7"/>
      <c r="J55" s="7">
        <f t="shared" si="5"/>
        <v>303</v>
      </c>
      <c r="K55" s="152"/>
    </row>
    <row r="56" spans="2:11">
      <c r="B56" s="312"/>
      <c r="C56" s="312"/>
      <c r="D56" s="312"/>
      <c r="E56" s="312"/>
      <c r="F56" s="312"/>
      <c r="G56" s="312"/>
      <c r="H56" s="312"/>
      <c r="I56" s="312"/>
      <c r="J56" s="312"/>
      <c r="K56" s="152"/>
    </row>
    <row r="57" spans="2:11">
      <c r="B57" s="210" t="s">
        <v>191</v>
      </c>
      <c r="C57" s="211"/>
      <c r="D57" s="211"/>
      <c r="E57" s="211"/>
      <c r="F57" s="211"/>
      <c r="G57" s="212"/>
      <c r="H57" s="246">
        <f>SUM(J58:J61)</f>
        <v>399.38999999999987</v>
      </c>
      <c r="I57" s="247"/>
      <c r="J57" s="248"/>
      <c r="K57" s="152"/>
    </row>
    <row r="58" spans="2:11">
      <c r="B58" s="272" t="s">
        <v>192</v>
      </c>
      <c r="C58" s="273"/>
      <c r="D58" s="273" t="s">
        <v>193</v>
      </c>
      <c r="E58" s="277"/>
      <c r="F58" s="1">
        <v>753.58</v>
      </c>
      <c r="G58" s="15">
        <v>1</v>
      </c>
      <c r="H58" s="3">
        <f>F58*G58</f>
        <v>753.58</v>
      </c>
      <c r="I58" s="4"/>
      <c r="J58" s="3">
        <f>H58+I58</f>
        <v>753.58</v>
      </c>
      <c r="K58" s="152">
        <f>F58*0.25</f>
        <v>188.39500000000001</v>
      </c>
    </row>
    <row r="59" spans="2:11">
      <c r="B59" s="268" t="s">
        <v>194</v>
      </c>
      <c r="C59" s="269"/>
      <c r="D59" s="269" t="s">
        <v>195</v>
      </c>
      <c r="E59" s="278"/>
      <c r="F59" s="16">
        <v>1000</v>
      </c>
      <c r="G59" s="17">
        <v>1</v>
      </c>
      <c r="H59" s="18">
        <f>F59*G59</f>
        <v>1000</v>
      </c>
      <c r="I59" s="19">
        <f>H59*0.13</f>
        <v>130</v>
      </c>
      <c r="J59" s="18">
        <f>H59+I59</f>
        <v>1130</v>
      </c>
      <c r="K59" s="152"/>
    </row>
    <row r="60" spans="2:11">
      <c r="B60" s="276" t="s">
        <v>196</v>
      </c>
      <c r="C60" s="274"/>
      <c r="D60" s="274" t="s">
        <v>197</v>
      </c>
      <c r="E60" s="275"/>
      <c r="F60" s="5">
        <v>5</v>
      </c>
      <c r="G60" s="20">
        <v>4</v>
      </c>
      <c r="H60" s="7">
        <f>F60*G60</f>
        <v>20</v>
      </c>
      <c r="I60" s="8">
        <f>H60*0.13</f>
        <v>2.6</v>
      </c>
      <c r="J60" s="7">
        <f>H60+I60</f>
        <v>22.6</v>
      </c>
      <c r="K60" s="152"/>
    </row>
    <row r="61" spans="2:11" s="46" customFormat="1">
      <c r="B61" s="310" t="s">
        <v>198</v>
      </c>
      <c r="C61" s="311"/>
      <c r="D61" s="269" t="s">
        <v>199</v>
      </c>
      <c r="E61" s="278"/>
      <c r="F61" s="61">
        <f>-1000-F58*0.5</f>
        <v>-1376.79</v>
      </c>
      <c r="G61" s="17">
        <v>1</v>
      </c>
      <c r="H61" s="59">
        <f>F61*G61</f>
        <v>-1376.79</v>
      </c>
      <c r="I61" s="60">
        <f>-F59*0.13</f>
        <v>-130</v>
      </c>
      <c r="J61" s="59">
        <f>H61+I61</f>
        <v>-1506.79</v>
      </c>
    </row>
    <row r="62" spans="2:11">
      <c r="B62" s="312"/>
      <c r="C62" s="312"/>
      <c r="D62" s="312"/>
      <c r="E62" s="312"/>
      <c r="F62" s="312"/>
      <c r="G62" s="312"/>
      <c r="H62" s="312"/>
      <c r="I62" s="312"/>
      <c r="J62" s="312"/>
      <c r="K62" s="152"/>
    </row>
    <row r="63" spans="2:11">
      <c r="B63" s="210" t="s">
        <v>200</v>
      </c>
      <c r="C63" s="211"/>
      <c r="D63" s="211"/>
      <c r="E63" s="211"/>
      <c r="F63" s="211"/>
      <c r="G63" s="212"/>
      <c r="H63" s="246">
        <f>SUM(J64:J66)</f>
        <v>63376.319999999992</v>
      </c>
      <c r="I63" s="247"/>
      <c r="J63" s="248"/>
      <c r="K63" s="152"/>
    </row>
    <row r="64" spans="2:11">
      <c r="B64" s="272" t="s">
        <v>201</v>
      </c>
      <c r="C64" s="273"/>
      <c r="D64" s="273" t="s">
        <v>202</v>
      </c>
      <c r="E64" s="277"/>
      <c r="F64" s="1">
        <v>4232.25</v>
      </c>
      <c r="G64" s="15">
        <v>12</v>
      </c>
      <c r="H64" s="3">
        <f>F64*G64</f>
        <v>50787</v>
      </c>
      <c r="I64" s="4"/>
      <c r="J64" s="3">
        <f>H64+I64</f>
        <v>50787</v>
      </c>
      <c r="K64" s="152"/>
    </row>
    <row r="65" spans="2:11">
      <c r="B65" s="268" t="s">
        <v>203</v>
      </c>
      <c r="C65" s="269"/>
      <c r="D65" s="269"/>
      <c r="E65" s="278"/>
      <c r="F65" s="16">
        <f>5205.65-F64</f>
        <v>973.39999999999964</v>
      </c>
      <c r="G65" s="17">
        <v>12</v>
      </c>
      <c r="H65" s="18">
        <f>F65*G65</f>
        <v>11680.799999999996</v>
      </c>
      <c r="I65" s="19"/>
      <c r="J65" s="18">
        <f>H65+I65</f>
        <v>11680.799999999996</v>
      </c>
      <c r="K65" s="152"/>
    </row>
    <row r="66" spans="2:11">
      <c r="B66" s="276" t="s">
        <v>84</v>
      </c>
      <c r="C66" s="274"/>
      <c r="D66" s="274" t="s">
        <v>204</v>
      </c>
      <c r="E66" s="275"/>
      <c r="F66" s="5">
        <f>908.52/G66</f>
        <v>75.709999999999994</v>
      </c>
      <c r="G66" s="20">
        <v>12</v>
      </c>
      <c r="H66" s="7">
        <f>F66*G66</f>
        <v>908.52</v>
      </c>
      <c r="I66" s="8"/>
      <c r="J66" s="7">
        <v>908.52</v>
      </c>
      <c r="K66" s="152"/>
    </row>
    <row r="67" spans="2:11">
      <c r="B67" s="312"/>
      <c r="C67" s="312"/>
      <c r="D67" s="312"/>
      <c r="E67" s="312"/>
      <c r="F67" s="312"/>
      <c r="G67" s="312"/>
      <c r="H67" s="312"/>
      <c r="I67" s="312"/>
      <c r="J67" s="312"/>
      <c r="K67" s="152"/>
    </row>
    <row r="68" spans="2:11">
      <c r="B68" s="210" t="s">
        <v>205</v>
      </c>
      <c r="C68" s="211"/>
      <c r="D68" s="211"/>
      <c r="E68" s="211"/>
      <c r="F68" s="211"/>
      <c r="G68" s="212"/>
      <c r="H68" s="246">
        <f>SUM(J69:J70)</f>
        <v>0</v>
      </c>
      <c r="I68" s="247"/>
      <c r="J68" s="248"/>
      <c r="K68" s="152"/>
    </row>
    <row r="69" spans="2:11">
      <c r="B69" s="272" t="s">
        <v>206</v>
      </c>
      <c r="C69" s="273"/>
      <c r="D69" s="273" t="s">
        <v>207</v>
      </c>
      <c r="E69" s="277"/>
      <c r="F69" s="58">
        <v>300</v>
      </c>
      <c r="G69" s="177">
        <v>18</v>
      </c>
      <c r="H69" s="3">
        <f>F69*G69</f>
        <v>5400</v>
      </c>
      <c r="I69" s="4"/>
      <c r="J69" s="3">
        <f>H69+I69</f>
        <v>5400</v>
      </c>
      <c r="K69" s="152" t="s">
        <v>208</v>
      </c>
    </row>
    <row r="70" spans="2:11">
      <c r="B70" s="276" t="s">
        <v>209</v>
      </c>
      <c r="C70" s="274"/>
      <c r="D70" s="274"/>
      <c r="E70" s="275"/>
      <c r="F70" s="57">
        <v>-300</v>
      </c>
      <c r="G70" s="169">
        <v>18</v>
      </c>
      <c r="H70" s="7">
        <f>G70*F70</f>
        <v>-5400</v>
      </c>
      <c r="I70" s="8"/>
      <c r="J70" s="7">
        <f>H70</f>
        <v>-5400</v>
      </c>
      <c r="K70" s="152"/>
    </row>
    <row r="71" spans="2:11">
      <c r="B71" s="312"/>
      <c r="C71" s="312"/>
      <c r="D71" s="312"/>
      <c r="E71" s="312"/>
      <c r="F71" s="312"/>
      <c r="G71" s="312"/>
      <c r="H71" s="312"/>
      <c r="I71" s="312"/>
      <c r="J71" s="312"/>
      <c r="K71" s="152"/>
    </row>
    <row r="72" spans="2:11">
      <c r="B72" s="210" t="s">
        <v>210</v>
      </c>
      <c r="C72" s="211"/>
      <c r="D72" s="211"/>
      <c r="E72" s="211"/>
      <c r="F72" s="211"/>
      <c r="G72" s="212"/>
      <c r="H72" s="246">
        <f>SUM(J73:J74)</f>
        <v>23377.440000000002</v>
      </c>
      <c r="I72" s="247"/>
      <c r="J72" s="248"/>
      <c r="K72" s="152"/>
    </row>
    <row r="73" spans="2:11">
      <c r="B73" s="272" t="s">
        <v>211</v>
      </c>
      <c r="C73" s="273"/>
      <c r="D73" s="273" t="s">
        <v>212</v>
      </c>
      <c r="E73" s="277"/>
      <c r="F73" s="1">
        <v>12000</v>
      </c>
      <c r="G73" s="15">
        <v>1</v>
      </c>
      <c r="H73" s="55">
        <f>F73*G73</f>
        <v>12000</v>
      </c>
      <c r="I73" s="56">
        <f>H73*0.13</f>
        <v>1560</v>
      </c>
      <c r="J73" s="55">
        <f>H73+I73</f>
        <v>13560</v>
      </c>
      <c r="K73" s="152"/>
    </row>
    <row r="74" spans="2:11">
      <c r="B74" s="276" t="s">
        <v>213</v>
      </c>
      <c r="C74" s="274"/>
      <c r="D74" s="274"/>
      <c r="E74" s="275"/>
      <c r="F74" s="5">
        <v>8688</v>
      </c>
      <c r="G74" s="20">
        <v>1</v>
      </c>
      <c r="H74" s="7">
        <f>F74*G74</f>
        <v>8688</v>
      </c>
      <c r="I74" s="8">
        <f>H74*0.13</f>
        <v>1129.44</v>
      </c>
      <c r="J74" s="7">
        <f>H74+I74</f>
        <v>9817.44</v>
      </c>
      <c r="K74" s="152"/>
    </row>
    <row r="75" spans="2:11">
      <c r="B75" s="312"/>
      <c r="C75" s="312"/>
      <c r="D75" s="312"/>
      <c r="E75" s="312"/>
      <c r="F75" s="312"/>
      <c r="G75" s="312"/>
      <c r="H75" s="312"/>
      <c r="I75" s="312"/>
      <c r="J75" s="312"/>
      <c r="K75" s="152"/>
    </row>
    <row r="76" spans="2:11">
      <c r="B76" s="307" t="s">
        <v>214</v>
      </c>
      <c r="C76" s="308"/>
      <c r="D76" s="308"/>
      <c r="E76" s="308"/>
      <c r="F76" s="308"/>
      <c r="G76" s="309"/>
      <c r="H76" s="313">
        <f>SUM(J77:J78)</f>
        <v>700</v>
      </c>
      <c r="I76" s="196"/>
      <c r="J76" s="314"/>
      <c r="K76" s="152"/>
    </row>
    <row r="77" spans="2:11">
      <c r="B77" s="272" t="s">
        <v>215</v>
      </c>
      <c r="C77" s="273"/>
      <c r="D77" s="273" t="s">
        <v>216</v>
      </c>
      <c r="E77" s="277"/>
      <c r="F77" s="34">
        <v>0.5</v>
      </c>
      <c r="G77" s="10">
        <v>400</v>
      </c>
      <c r="H77" s="55">
        <f>G77*F77</f>
        <v>200</v>
      </c>
      <c r="I77" s="156"/>
      <c r="J77" s="55">
        <f>H77+I77</f>
        <v>200</v>
      </c>
      <c r="K77" s="152" t="s">
        <v>217</v>
      </c>
    </row>
    <row r="78" spans="2:11">
      <c r="B78" s="276" t="s">
        <v>218</v>
      </c>
      <c r="C78" s="274"/>
      <c r="D78" s="274" t="s">
        <v>216</v>
      </c>
      <c r="E78" s="275"/>
      <c r="F78" s="36">
        <v>0.5</v>
      </c>
      <c r="G78" s="13">
        <v>1000</v>
      </c>
      <c r="H78" s="7">
        <f>G78*F78</f>
        <v>500</v>
      </c>
      <c r="I78" s="57"/>
      <c r="J78" s="157">
        <f>H78+I78</f>
        <v>500</v>
      </c>
      <c r="K78" s="46"/>
    </row>
    <row r="79" spans="2:11">
      <c r="B79" s="230"/>
      <c r="C79" s="230"/>
      <c r="D79" s="230"/>
      <c r="E79" s="230"/>
      <c r="F79" s="312"/>
      <c r="G79" s="312"/>
      <c r="H79" s="312"/>
      <c r="I79" s="312"/>
      <c r="J79" s="230"/>
      <c r="K79" s="152"/>
    </row>
    <row r="80" spans="2:11">
      <c r="B80" s="210" t="s">
        <v>219</v>
      </c>
      <c r="C80" s="211"/>
      <c r="D80" s="211"/>
      <c r="E80" s="211"/>
      <c r="F80" s="211"/>
      <c r="G80" s="212"/>
      <c r="H80" s="246">
        <f>SUM(J81:J86)</f>
        <v>46280</v>
      </c>
      <c r="I80" s="247"/>
      <c r="J80" s="333"/>
      <c r="K80" s="152"/>
    </row>
    <row r="81" spans="2:10">
      <c r="B81" s="272" t="s">
        <v>220</v>
      </c>
      <c r="C81" s="273"/>
      <c r="D81" s="273" t="s">
        <v>221</v>
      </c>
      <c r="E81" s="277"/>
      <c r="F81" s="34">
        <v>15.75</v>
      </c>
      <c r="G81" s="15">
        <v>560</v>
      </c>
      <c r="H81" s="3">
        <f>F81*G81</f>
        <v>8820</v>
      </c>
      <c r="I81" s="4"/>
      <c r="J81" s="3">
        <f>H81+I81</f>
        <v>8820</v>
      </c>
    </row>
    <row r="82" spans="2:10">
      <c r="B82" s="268" t="s">
        <v>222</v>
      </c>
      <c r="C82" s="269"/>
      <c r="D82" s="269" t="s">
        <v>221</v>
      </c>
      <c r="E82" s="278"/>
      <c r="F82" s="35">
        <v>15.75</v>
      </c>
      <c r="G82" s="17">
        <v>560</v>
      </c>
      <c r="H82" s="18">
        <f>F82*G82</f>
        <v>8820</v>
      </c>
      <c r="I82" s="19"/>
      <c r="J82" s="18">
        <f>H82+I82</f>
        <v>8820</v>
      </c>
    </row>
    <row r="83" spans="2:10">
      <c r="B83" s="268" t="s">
        <v>223</v>
      </c>
      <c r="C83" s="269"/>
      <c r="D83" s="269" t="s">
        <v>221</v>
      </c>
      <c r="E83" s="278"/>
      <c r="F83" s="35">
        <v>15.75</v>
      </c>
      <c r="G83" s="17">
        <v>560</v>
      </c>
      <c r="H83" s="18">
        <f>G83*F83</f>
        <v>8820</v>
      </c>
      <c r="I83" s="19"/>
      <c r="J83" s="18">
        <f>H83</f>
        <v>8820</v>
      </c>
    </row>
    <row r="84" spans="2:10">
      <c r="B84" s="268" t="s">
        <v>224</v>
      </c>
      <c r="C84" s="269"/>
      <c r="D84" s="269" t="s">
        <v>221</v>
      </c>
      <c r="E84" s="278"/>
      <c r="F84" s="35">
        <v>12.5</v>
      </c>
      <c r="G84" s="17">
        <v>560</v>
      </c>
      <c r="H84" s="18">
        <f>G84*F84</f>
        <v>7000</v>
      </c>
      <c r="I84" s="19"/>
      <c r="J84" s="18">
        <f>H84</f>
        <v>7000</v>
      </c>
    </row>
    <row r="85" spans="2:10">
      <c r="B85" s="268" t="s">
        <v>225</v>
      </c>
      <c r="C85" s="269"/>
      <c r="D85" s="269" t="s">
        <v>221</v>
      </c>
      <c r="E85" s="278"/>
      <c r="F85" s="35">
        <v>15.75</v>
      </c>
      <c r="G85" s="17">
        <v>560</v>
      </c>
      <c r="H85" s="18">
        <f>F85*G85</f>
        <v>8820</v>
      </c>
      <c r="I85" s="19"/>
      <c r="J85" s="18">
        <f>H85+I85</f>
        <v>8820</v>
      </c>
    </row>
    <row r="86" spans="2:10">
      <c r="B86" s="276" t="s">
        <v>226</v>
      </c>
      <c r="C86" s="274"/>
      <c r="D86" s="274"/>
      <c r="E86" s="275"/>
      <c r="F86" s="36">
        <v>4000</v>
      </c>
      <c r="G86" s="20">
        <v>1</v>
      </c>
      <c r="H86" s="7">
        <f>F86*G86</f>
        <v>4000</v>
      </c>
      <c r="I86" s="8"/>
      <c r="J86" s="7">
        <f>H86+I86</f>
        <v>4000</v>
      </c>
    </row>
    <row r="87" spans="2:10">
      <c r="B87" s="230"/>
      <c r="C87" s="230"/>
      <c r="D87" s="230"/>
      <c r="E87" s="230"/>
      <c r="F87" s="230"/>
      <c r="G87" s="230"/>
      <c r="H87" s="230"/>
      <c r="I87" s="230"/>
      <c r="J87" s="230"/>
    </row>
    <row r="88" spans="2:10">
      <c r="B88" s="210" t="s">
        <v>227</v>
      </c>
      <c r="C88" s="211"/>
      <c r="D88" s="211"/>
      <c r="E88" s="211"/>
      <c r="F88" s="211"/>
      <c r="G88" s="212"/>
      <c r="H88" s="246">
        <f>SUM(J89:J93)</f>
        <v>2642.5</v>
      </c>
      <c r="I88" s="247"/>
      <c r="J88" s="248"/>
    </row>
    <row r="89" spans="2:10">
      <c r="B89" s="272" t="s">
        <v>220</v>
      </c>
      <c r="C89" s="273"/>
      <c r="D89" s="273" t="s">
        <v>228</v>
      </c>
      <c r="E89" s="277"/>
      <c r="F89" s="54">
        <v>15.75</v>
      </c>
      <c r="G89" s="15">
        <v>35</v>
      </c>
      <c r="H89" s="40">
        <f>F89*G89</f>
        <v>551.25</v>
      </c>
      <c r="I89" s="3"/>
      <c r="J89" s="3">
        <f>H89+I89</f>
        <v>551.25</v>
      </c>
    </row>
    <row r="90" spans="2:10">
      <c r="B90" s="268" t="s">
        <v>222</v>
      </c>
      <c r="C90" s="269"/>
      <c r="D90" s="269" t="s">
        <v>228</v>
      </c>
      <c r="E90" s="278"/>
      <c r="F90" s="53">
        <v>15.75</v>
      </c>
      <c r="G90" s="17">
        <v>35</v>
      </c>
      <c r="H90" s="43">
        <f>F90*G90</f>
        <v>551.25</v>
      </c>
      <c r="I90" s="18"/>
      <c r="J90" s="18">
        <f>H90+I90</f>
        <v>551.25</v>
      </c>
    </row>
    <row r="91" spans="2:10">
      <c r="B91" s="268" t="s">
        <v>223</v>
      </c>
      <c r="C91" s="269"/>
      <c r="D91" s="269" t="s">
        <v>228</v>
      </c>
      <c r="E91" s="278"/>
      <c r="F91" s="53">
        <v>15.75</v>
      </c>
      <c r="G91" s="17">
        <v>35</v>
      </c>
      <c r="H91" s="43">
        <f>G91*F91</f>
        <v>551.25</v>
      </c>
      <c r="I91" s="18"/>
      <c r="J91" s="18">
        <f>H91</f>
        <v>551.25</v>
      </c>
    </row>
    <row r="92" spans="2:10">
      <c r="B92" s="268" t="s">
        <v>224</v>
      </c>
      <c r="C92" s="269"/>
      <c r="D92" s="269" t="s">
        <v>228</v>
      </c>
      <c r="E92" s="278"/>
      <c r="F92" s="53">
        <v>12.5</v>
      </c>
      <c r="G92" s="17">
        <v>35</v>
      </c>
      <c r="H92" s="43">
        <f>G92*F92</f>
        <v>437.5</v>
      </c>
      <c r="I92" s="18"/>
      <c r="J92" s="18">
        <f>H92</f>
        <v>437.5</v>
      </c>
    </row>
    <row r="93" spans="2:10">
      <c r="B93" s="276" t="s">
        <v>225</v>
      </c>
      <c r="C93" s="274"/>
      <c r="D93" s="274" t="s">
        <v>228</v>
      </c>
      <c r="E93" s="275"/>
      <c r="F93" s="52">
        <v>15.75</v>
      </c>
      <c r="G93" s="20">
        <v>35</v>
      </c>
      <c r="H93" s="51">
        <f>F93*G93</f>
        <v>551.25</v>
      </c>
      <c r="I93" s="7"/>
      <c r="J93" s="7">
        <f>H93+I93</f>
        <v>551.25</v>
      </c>
    </row>
  </sheetData>
  <mergeCells count="172">
    <mergeCell ref="B7:G7"/>
    <mergeCell ref="H7:J7"/>
    <mergeCell ref="D61:E61"/>
    <mergeCell ref="D58:E58"/>
    <mergeCell ref="B28:G28"/>
    <mergeCell ref="H28:J28"/>
    <mergeCell ref="B17:C17"/>
    <mergeCell ref="B80:G80"/>
    <mergeCell ref="H80:J80"/>
    <mergeCell ref="B42:G42"/>
    <mergeCell ref="H42:J42"/>
    <mergeCell ref="B57:G57"/>
    <mergeCell ref="H57:J57"/>
    <mergeCell ref="B63:G63"/>
    <mergeCell ref="H63:J63"/>
    <mergeCell ref="B68:G68"/>
    <mergeCell ref="H68:J68"/>
    <mergeCell ref="B72:G72"/>
    <mergeCell ref="H72:J72"/>
    <mergeCell ref="B65:C65"/>
    <mergeCell ref="B66:C66"/>
    <mergeCell ref="D49:E49"/>
    <mergeCell ref="D50:E50"/>
    <mergeCell ref="D51:E51"/>
    <mergeCell ref="B25:C25"/>
    <mergeCell ref="B13:J13"/>
    <mergeCell ref="D52:E52"/>
    <mergeCell ref="D53:E53"/>
    <mergeCell ref="A1:A3"/>
    <mergeCell ref="B22:C22"/>
    <mergeCell ref="B23:C23"/>
    <mergeCell ref="D21:E21"/>
    <mergeCell ref="D22:E22"/>
    <mergeCell ref="D23:E23"/>
    <mergeCell ref="D16:E16"/>
    <mergeCell ref="D17:E17"/>
    <mergeCell ref="D18:E18"/>
    <mergeCell ref="D19:E19"/>
    <mergeCell ref="D20:E20"/>
    <mergeCell ref="B18:C18"/>
    <mergeCell ref="B19:C19"/>
    <mergeCell ref="B20:C20"/>
    <mergeCell ref="B21:C21"/>
    <mergeCell ref="B6:J6"/>
    <mergeCell ref="D8:E8"/>
    <mergeCell ref="D9:E9"/>
    <mergeCell ref="B8:C8"/>
    <mergeCell ref="B9:C9"/>
    <mergeCell ref="B27:J27"/>
    <mergeCell ref="B26:C26"/>
    <mergeCell ref="B15:C15"/>
    <mergeCell ref="B16:C16"/>
    <mergeCell ref="B14:G14"/>
    <mergeCell ref="H14:J14"/>
    <mergeCell ref="B1:H2"/>
    <mergeCell ref="I1:J2"/>
    <mergeCell ref="I3:J3"/>
    <mergeCell ref="B4:E4"/>
    <mergeCell ref="F4:J4"/>
    <mergeCell ref="D5:E5"/>
    <mergeCell ref="B5:C5"/>
    <mergeCell ref="B10:J10"/>
    <mergeCell ref="B12:C12"/>
    <mergeCell ref="D12:E12"/>
    <mergeCell ref="B3:H3"/>
    <mergeCell ref="B11:G11"/>
    <mergeCell ref="H11:J11"/>
    <mergeCell ref="D24:E24"/>
    <mergeCell ref="D25:E25"/>
    <mergeCell ref="D26:E26"/>
    <mergeCell ref="D15:E15"/>
    <mergeCell ref="B24:C24"/>
    <mergeCell ref="D34:E34"/>
    <mergeCell ref="B29:C29"/>
    <mergeCell ref="B30:C30"/>
    <mergeCell ref="B31:C31"/>
    <mergeCell ref="B32:C32"/>
    <mergeCell ref="B33:C33"/>
    <mergeCell ref="B34:C34"/>
    <mergeCell ref="D29:E29"/>
    <mergeCell ref="D30:E30"/>
    <mergeCell ref="D31:E31"/>
    <mergeCell ref="D32:E32"/>
    <mergeCell ref="D33:E33"/>
    <mergeCell ref="D47:E47"/>
    <mergeCell ref="D48:E48"/>
    <mergeCell ref="D60:E60"/>
    <mergeCell ref="B58:C58"/>
    <mergeCell ref="B59:C59"/>
    <mergeCell ref="B60:C60"/>
    <mergeCell ref="B35:J35"/>
    <mergeCell ref="B41:J41"/>
    <mergeCell ref="D40:E40"/>
    <mergeCell ref="B37:C37"/>
    <mergeCell ref="B38:C38"/>
    <mergeCell ref="B39:C39"/>
    <mergeCell ref="B40:C40"/>
    <mergeCell ref="B36:G36"/>
    <mergeCell ref="H36:J36"/>
    <mergeCell ref="D54:E54"/>
    <mergeCell ref="B62:J62"/>
    <mergeCell ref="B67:J67"/>
    <mergeCell ref="B71:J71"/>
    <mergeCell ref="B75:J75"/>
    <mergeCell ref="B79:J79"/>
    <mergeCell ref="D64:E64"/>
    <mergeCell ref="D65:E65"/>
    <mergeCell ref="D66:E66"/>
    <mergeCell ref="B64:C64"/>
    <mergeCell ref="D78:E78"/>
    <mergeCell ref="B77:C77"/>
    <mergeCell ref="B78:C78"/>
    <mergeCell ref="H76:J76"/>
    <mergeCell ref="B61:C61"/>
    <mergeCell ref="D37:E37"/>
    <mergeCell ref="D38:E38"/>
    <mergeCell ref="D39:E39"/>
    <mergeCell ref="D55:E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D43:E43"/>
    <mergeCell ref="B52:C52"/>
    <mergeCell ref="B53:C53"/>
    <mergeCell ref="B54:C54"/>
    <mergeCell ref="B55:C55"/>
    <mergeCell ref="D59:E59"/>
    <mergeCell ref="B56:J56"/>
    <mergeCell ref="D44:E44"/>
    <mergeCell ref="D45:E45"/>
    <mergeCell ref="D46:E46"/>
    <mergeCell ref="B91:C91"/>
    <mergeCell ref="B92:C92"/>
    <mergeCell ref="B93:C93"/>
    <mergeCell ref="D89:E89"/>
    <mergeCell ref="D90:E90"/>
    <mergeCell ref="D91:E91"/>
    <mergeCell ref="D92:E92"/>
    <mergeCell ref="D93:E93"/>
    <mergeCell ref="B84:C84"/>
    <mergeCell ref="B85:C85"/>
    <mergeCell ref="B86:C86"/>
    <mergeCell ref="D84:E84"/>
    <mergeCell ref="D85:E85"/>
    <mergeCell ref="D86:E86"/>
    <mergeCell ref="B87:J87"/>
    <mergeCell ref="B89:C89"/>
    <mergeCell ref="B90:C90"/>
    <mergeCell ref="B88:G88"/>
    <mergeCell ref="H88:J88"/>
    <mergeCell ref="B83:C83"/>
    <mergeCell ref="B81:C81"/>
    <mergeCell ref="B82:C82"/>
    <mergeCell ref="D69:E69"/>
    <mergeCell ref="D70:E70"/>
    <mergeCell ref="B69:C69"/>
    <mergeCell ref="B70:C70"/>
    <mergeCell ref="D74:E74"/>
    <mergeCell ref="B73:C73"/>
    <mergeCell ref="B74:C74"/>
    <mergeCell ref="D81:E81"/>
    <mergeCell ref="D82:E82"/>
    <mergeCell ref="D83:E83"/>
    <mergeCell ref="B76:G76"/>
    <mergeCell ref="D77:E77"/>
    <mergeCell ref="D73:E73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sqref="A1:A3"/>
    </sheetView>
  </sheetViews>
  <sheetFormatPr defaultRowHeight="15"/>
  <cols>
    <col min="1" max="1" width="4.7109375" customWidth="1"/>
    <col min="2" max="3" width="15.5703125" customWidth="1"/>
    <col min="4" max="5" width="17.570312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225" t="s">
        <v>229</v>
      </c>
      <c r="C1" s="226"/>
      <c r="D1" s="226"/>
      <c r="E1" s="226"/>
      <c r="F1" s="226"/>
      <c r="G1" s="226"/>
      <c r="H1" s="226"/>
      <c r="I1" s="229">
        <f>SUM(H7,H10,H14)</f>
        <v>554.8909000000001</v>
      </c>
      <c r="J1" s="409"/>
    </row>
    <row r="2" spans="1:10">
      <c r="A2" s="198"/>
      <c r="B2" s="227"/>
      <c r="C2" s="228"/>
      <c r="D2" s="228"/>
      <c r="E2" s="228"/>
      <c r="F2" s="228"/>
      <c r="G2" s="228"/>
      <c r="H2" s="228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232" t="s">
        <v>26</v>
      </c>
      <c r="C4" s="232"/>
      <c r="D4" s="232"/>
      <c r="E4" s="232"/>
      <c r="F4" s="232" t="s">
        <v>27</v>
      </c>
      <c r="G4" s="232"/>
      <c r="H4" s="232"/>
      <c r="I4" s="232"/>
      <c r="J4" s="232"/>
    </row>
    <row r="5" spans="1:10" ht="30">
      <c r="A5" s="152"/>
      <c r="B5" s="222" t="s">
        <v>63</v>
      </c>
      <c r="C5" s="222"/>
      <c r="D5" s="222" t="s">
        <v>28</v>
      </c>
      <c r="E5" s="222"/>
      <c r="F5" s="72" t="s">
        <v>29</v>
      </c>
      <c r="G5" s="37" t="s">
        <v>30</v>
      </c>
      <c r="H5" s="72" t="s">
        <v>31</v>
      </c>
      <c r="I5" s="72" t="s">
        <v>32</v>
      </c>
      <c r="J5" s="72" t="s">
        <v>33</v>
      </c>
    </row>
    <row r="6" spans="1:10">
      <c r="A6" s="152"/>
      <c r="B6" s="237"/>
      <c r="C6" s="237"/>
      <c r="D6" s="237"/>
      <c r="E6" s="237"/>
      <c r="F6" s="237"/>
      <c r="G6" s="237"/>
      <c r="H6" s="237"/>
      <c r="I6" s="237"/>
      <c r="J6" s="237"/>
    </row>
    <row r="7" spans="1:10">
      <c r="A7" s="152"/>
      <c r="B7" s="210" t="s">
        <v>64</v>
      </c>
      <c r="C7" s="211"/>
      <c r="D7" s="211"/>
      <c r="E7" s="211"/>
      <c r="F7" s="211"/>
      <c r="G7" s="212"/>
      <c r="H7" s="246">
        <f>SUM(J8)</f>
        <v>25</v>
      </c>
      <c r="I7" s="247"/>
      <c r="J7" s="248"/>
    </row>
    <row r="8" spans="1:10">
      <c r="A8" s="152"/>
      <c r="B8" s="279" t="s">
        <v>126</v>
      </c>
      <c r="C8" s="280"/>
      <c r="D8" s="280" t="s">
        <v>230</v>
      </c>
      <c r="E8" s="330"/>
      <c r="F8" s="32">
        <v>25</v>
      </c>
      <c r="G8" s="50">
        <v>1</v>
      </c>
      <c r="H8" s="30">
        <f>F8*G8</f>
        <v>25</v>
      </c>
      <c r="I8" s="30"/>
      <c r="J8" s="30">
        <f>H8+I8</f>
        <v>25</v>
      </c>
    </row>
    <row r="9" spans="1:10">
      <c r="A9" s="152"/>
      <c r="B9" s="237"/>
      <c r="C9" s="237"/>
      <c r="D9" s="237"/>
      <c r="E9" s="237"/>
      <c r="F9" s="237"/>
      <c r="G9" s="237"/>
      <c r="H9" s="237"/>
      <c r="I9" s="237"/>
      <c r="J9" s="237"/>
    </row>
    <row r="10" spans="1:10">
      <c r="A10" s="152"/>
      <c r="B10" s="210" t="s">
        <v>231</v>
      </c>
      <c r="C10" s="211"/>
      <c r="D10" s="211"/>
      <c r="E10" s="211"/>
      <c r="F10" s="211"/>
      <c r="G10" s="212"/>
      <c r="H10" s="246">
        <f>SUM(J11:J12)</f>
        <v>336.69480000000004</v>
      </c>
      <c r="I10" s="247"/>
      <c r="J10" s="248"/>
    </row>
    <row r="11" spans="1:10">
      <c r="A11" s="152"/>
      <c r="B11" s="272" t="s">
        <v>116</v>
      </c>
      <c r="C11" s="273"/>
      <c r="D11" s="273" t="s">
        <v>232</v>
      </c>
      <c r="E11" s="277"/>
      <c r="F11" s="1">
        <v>135</v>
      </c>
      <c r="G11" s="15">
        <v>2</v>
      </c>
      <c r="H11" s="3">
        <f>F11*G11</f>
        <v>270</v>
      </c>
      <c r="I11" s="4">
        <f>H11*0.13</f>
        <v>35.1</v>
      </c>
      <c r="J11" s="3">
        <f>H11+I11</f>
        <v>305.10000000000002</v>
      </c>
    </row>
    <row r="12" spans="1:10">
      <c r="A12" s="152"/>
      <c r="B12" s="276" t="s">
        <v>233</v>
      </c>
      <c r="C12" s="274"/>
      <c r="D12" s="274" t="s">
        <v>234</v>
      </c>
      <c r="E12" s="275"/>
      <c r="F12" s="5">
        <v>6.99</v>
      </c>
      <c r="G12" s="20">
        <v>4</v>
      </c>
      <c r="H12" s="7">
        <f>F12*G12</f>
        <v>27.96</v>
      </c>
      <c r="I12" s="8">
        <f>H12*0.13</f>
        <v>3.6348000000000003</v>
      </c>
      <c r="J12" s="7">
        <f>H12+I12</f>
        <v>31.594799999999999</v>
      </c>
    </row>
    <row r="13" spans="1:10">
      <c r="A13" s="152"/>
      <c r="B13" s="237"/>
      <c r="C13" s="237"/>
      <c r="D13" s="237"/>
      <c r="E13" s="237"/>
      <c r="F13" s="237"/>
      <c r="G13" s="237"/>
      <c r="H13" s="237"/>
      <c r="I13" s="237"/>
      <c r="J13" s="237"/>
    </row>
    <row r="14" spans="1:10">
      <c r="A14" s="152"/>
      <c r="B14" s="210" t="s">
        <v>235</v>
      </c>
      <c r="C14" s="211"/>
      <c r="D14" s="211"/>
      <c r="E14" s="211"/>
      <c r="F14" s="211"/>
      <c r="G14" s="212"/>
      <c r="H14" s="246">
        <f>SUM(J15:J16)</f>
        <v>193.1961</v>
      </c>
      <c r="I14" s="247"/>
      <c r="J14" s="248"/>
    </row>
    <row r="15" spans="1:10">
      <c r="A15" s="152"/>
      <c r="B15" s="422" t="s">
        <v>116</v>
      </c>
      <c r="C15" s="423"/>
      <c r="D15" s="423" t="s">
        <v>236</v>
      </c>
      <c r="E15" s="424"/>
      <c r="F15" s="1">
        <v>150</v>
      </c>
      <c r="G15" s="177">
        <v>1</v>
      </c>
      <c r="H15" s="3">
        <f>F15*G15</f>
        <v>150</v>
      </c>
      <c r="I15" s="4">
        <f>H15*0.13</f>
        <v>19.5</v>
      </c>
      <c r="J15" s="3">
        <f>H15+I15</f>
        <v>169.5</v>
      </c>
    </row>
    <row r="16" spans="1:10">
      <c r="A16" s="152"/>
      <c r="B16" s="425" t="s">
        <v>233</v>
      </c>
      <c r="C16" s="426"/>
      <c r="D16" s="426" t="s">
        <v>237</v>
      </c>
      <c r="E16" s="427"/>
      <c r="F16" s="5">
        <v>6.99</v>
      </c>
      <c r="G16" s="169">
        <v>3</v>
      </c>
      <c r="H16" s="7">
        <f>F16*G16</f>
        <v>20.97</v>
      </c>
      <c r="I16" s="8">
        <f>H16*0.13</f>
        <v>2.7260999999999997</v>
      </c>
      <c r="J16" s="7">
        <f>H16+I16</f>
        <v>23.696099999999998</v>
      </c>
    </row>
  </sheetData>
  <mergeCells count="28">
    <mergeCell ref="B15:C15"/>
    <mergeCell ref="D15:E15"/>
    <mergeCell ref="B16:C16"/>
    <mergeCell ref="D16:E16"/>
    <mergeCell ref="B3:H3"/>
    <mergeCell ref="B9:J9"/>
    <mergeCell ref="B5:C5"/>
    <mergeCell ref="D5:E5"/>
    <mergeCell ref="B7:G7"/>
    <mergeCell ref="H7:J7"/>
    <mergeCell ref="B10:G10"/>
    <mergeCell ref="H10:J10"/>
    <mergeCell ref="B14:G14"/>
    <mergeCell ref="H14:J14"/>
    <mergeCell ref="A1:A3"/>
    <mergeCell ref="B13:J13"/>
    <mergeCell ref="B11:C11"/>
    <mergeCell ref="D11:E11"/>
    <mergeCell ref="B12:C12"/>
    <mergeCell ref="D12:E12"/>
    <mergeCell ref="B6:J6"/>
    <mergeCell ref="B8:C8"/>
    <mergeCell ref="D8:E8"/>
    <mergeCell ref="B1:H2"/>
    <mergeCell ref="I1:J2"/>
    <mergeCell ref="I3:J3"/>
    <mergeCell ref="B4:E4"/>
    <mergeCell ref="F4:J4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topLeftCell="A7" workbookViewId="0">
      <selection activeCell="B7" sqref="B7:J7"/>
    </sheetView>
  </sheetViews>
  <sheetFormatPr defaultRowHeight="15"/>
  <cols>
    <col min="1" max="1" width="4.7109375" customWidth="1"/>
    <col min="2" max="3" width="15.7109375" customWidth="1"/>
    <col min="4" max="5" width="17.570312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225" t="s">
        <v>238</v>
      </c>
      <c r="C1" s="226"/>
      <c r="D1" s="226"/>
      <c r="E1" s="226"/>
      <c r="F1" s="226"/>
      <c r="G1" s="226"/>
      <c r="H1" s="226"/>
      <c r="I1" s="229">
        <f>SUM(H8,H25,H12,H18,H22)</f>
        <v>5296.19</v>
      </c>
      <c r="J1" s="409"/>
    </row>
    <row r="2" spans="1:10">
      <c r="A2" s="198"/>
      <c r="B2" s="227"/>
      <c r="C2" s="228"/>
      <c r="D2" s="228"/>
      <c r="E2" s="228"/>
      <c r="F2" s="228"/>
      <c r="G2" s="228"/>
      <c r="H2" s="228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336"/>
      <c r="C4" s="336"/>
      <c r="D4" s="336"/>
      <c r="E4" s="336"/>
      <c r="F4" s="336"/>
      <c r="G4" s="336"/>
      <c r="H4" s="336"/>
      <c r="I4" s="336"/>
      <c r="J4" s="336"/>
    </row>
    <row r="5" spans="1:10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237"/>
      <c r="C7" s="237"/>
      <c r="D7" s="237"/>
      <c r="E7" s="237"/>
      <c r="F7" s="237"/>
      <c r="G7" s="237"/>
      <c r="H7" s="237"/>
      <c r="I7" s="237"/>
      <c r="J7" s="237"/>
    </row>
    <row r="8" spans="1:10">
      <c r="A8" s="152"/>
      <c r="B8" s="210" t="s">
        <v>239</v>
      </c>
      <c r="C8" s="211"/>
      <c r="D8" s="211"/>
      <c r="E8" s="211"/>
      <c r="F8" s="211"/>
      <c r="G8" s="212"/>
      <c r="H8" s="246">
        <f>SUM(J9:J10)</f>
        <v>250</v>
      </c>
      <c r="I8" s="247"/>
      <c r="J8" s="248"/>
    </row>
    <row r="9" spans="1:10">
      <c r="A9" s="152"/>
      <c r="B9" s="272" t="s">
        <v>240</v>
      </c>
      <c r="C9" s="273"/>
      <c r="D9" s="273" t="s">
        <v>241</v>
      </c>
      <c r="E9" s="277"/>
      <c r="F9" s="1">
        <v>50</v>
      </c>
      <c r="G9" s="73">
        <v>1</v>
      </c>
      <c r="H9" s="22">
        <f>F9*G9</f>
        <v>50</v>
      </c>
      <c r="I9" s="23"/>
      <c r="J9" s="22">
        <f>H9+I9</f>
        <v>50</v>
      </c>
    </row>
    <row r="10" spans="1:10">
      <c r="A10" s="152"/>
      <c r="B10" s="276" t="s">
        <v>242</v>
      </c>
      <c r="C10" s="274"/>
      <c r="D10" s="334" t="s">
        <v>243</v>
      </c>
      <c r="E10" s="335"/>
      <c r="F10" s="5">
        <v>200</v>
      </c>
      <c r="G10" s="74">
        <v>1</v>
      </c>
      <c r="H10" s="7">
        <f>F10*G10</f>
        <v>200</v>
      </c>
      <c r="I10" s="8"/>
      <c r="J10" s="7">
        <f>H10+I10</f>
        <v>200</v>
      </c>
    </row>
    <row r="11" spans="1:10">
      <c r="A11" s="152"/>
      <c r="B11" s="237"/>
      <c r="C11" s="237"/>
      <c r="D11" s="237"/>
      <c r="E11" s="237"/>
      <c r="F11" s="237"/>
      <c r="G11" s="237"/>
      <c r="H11" s="237"/>
      <c r="I11" s="237"/>
      <c r="J11" s="237"/>
    </row>
    <row r="12" spans="1:10">
      <c r="A12" s="152"/>
      <c r="B12" s="210" t="s">
        <v>244</v>
      </c>
      <c r="C12" s="211"/>
      <c r="D12" s="211"/>
      <c r="E12" s="211"/>
      <c r="F12" s="211"/>
      <c r="G12" s="212"/>
      <c r="H12" s="246">
        <f>SUM(J13:J16)</f>
        <v>3400</v>
      </c>
      <c r="I12" s="247"/>
      <c r="J12" s="248"/>
    </row>
    <row r="13" spans="1:10">
      <c r="A13" s="152"/>
      <c r="B13" s="272" t="s">
        <v>245</v>
      </c>
      <c r="C13" s="273"/>
      <c r="D13" s="273" t="s">
        <v>246</v>
      </c>
      <c r="E13" s="277"/>
      <c r="F13" s="1">
        <v>100</v>
      </c>
      <c r="G13" s="10">
        <v>3</v>
      </c>
      <c r="H13" s="3">
        <f>F13*G13</f>
        <v>300</v>
      </c>
      <c r="I13" s="3"/>
      <c r="J13" s="3">
        <f>H13+I13</f>
        <v>300</v>
      </c>
    </row>
    <row r="14" spans="1:10">
      <c r="A14" s="152"/>
      <c r="B14" s="268" t="s">
        <v>247</v>
      </c>
      <c r="C14" s="269"/>
      <c r="D14" s="269" t="s">
        <v>246</v>
      </c>
      <c r="E14" s="278"/>
      <c r="F14" s="16">
        <v>100</v>
      </c>
      <c r="G14" s="67">
        <v>3</v>
      </c>
      <c r="H14" s="18">
        <f>F14*G14</f>
        <v>300</v>
      </c>
      <c r="I14" s="18"/>
      <c r="J14" s="18">
        <f>H14+I14</f>
        <v>300</v>
      </c>
    </row>
    <row r="15" spans="1:10">
      <c r="A15" s="152"/>
      <c r="B15" s="268" t="s">
        <v>248</v>
      </c>
      <c r="C15" s="269"/>
      <c r="D15" s="269" t="s">
        <v>249</v>
      </c>
      <c r="E15" s="278"/>
      <c r="F15" s="16">
        <v>250</v>
      </c>
      <c r="G15" s="17">
        <v>8</v>
      </c>
      <c r="H15" s="18">
        <f>F15*G15</f>
        <v>2000</v>
      </c>
      <c r="I15" s="18"/>
      <c r="J15" s="18">
        <f>H15+I15</f>
        <v>2000</v>
      </c>
    </row>
    <row r="16" spans="1:10">
      <c r="A16" s="152"/>
      <c r="B16" s="276" t="s">
        <v>250</v>
      </c>
      <c r="C16" s="274"/>
      <c r="D16" s="274" t="s">
        <v>251</v>
      </c>
      <c r="E16" s="275"/>
      <c r="F16" s="5">
        <v>100</v>
      </c>
      <c r="G16" s="20">
        <v>8</v>
      </c>
      <c r="H16" s="7">
        <f>F16*G16</f>
        <v>800</v>
      </c>
      <c r="I16" s="8"/>
      <c r="J16" s="7">
        <f>H16+I16</f>
        <v>800</v>
      </c>
    </row>
    <row r="17" spans="2:10">
      <c r="B17" s="237"/>
      <c r="C17" s="237"/>
      <c r="D17" s="237"/>
      <c r="E17" s="237"/>
      <c r="F17" s="237"/>
      <c r="G17" s="237"/>
      <c r="H17" s="237"/>
      <c r="I17" s="237"/>
      <c r="J17" s="237"/>
    </row>
    <row r="18" spans="2:10">
      <c r="B18" s="210" t="s">
        <v>252</v>
      </c>
      <c r="C18" s="211"/>
      <c r="D18" s="211"/>
      <c r="E18" s="211"/>
      <c r="F18" s="211"/>
      <c r="G18" s="212"/>
      <c r="H18" s="246">
        <f>SUM(J19:J20)</f>
        <v>271.19</v>
      </c>
      <c r="I18" s="247"/>
      <c r="J18" s="248"/>
    </row>
    <row r="19" spans="2:10">
      <c r="B19" s="422" t="s">
        <v>253</v>
      </c>
      <c r="C19" s="423"/>
      <c r="D19" s="423" t="s">
        <v>254</v>
      </c>
      <c r="E19" s="424"/>
      <c r="F19" s="155">
        <v>21</v>
      </c>
      <c r="G19" s="10">
        <v>3</v>
      </c>
      <c r="H19" s="3">
        <f>F19*G19</f>
        <v>63</v>
      </c>
      <c r="I19" s="4">
        <f>H19*0.13</f>
        <v>8.19</v>
      </c>
      <c r="J19" s="3">
        <f>H19+I19</f>
        <v>71.19</v>
      </c>
    </row>
    <row r="20" spans="2:10">
      <c r="B20" s="425" t="s">
        <v>255</v>
      </c>
      <c r="C20" s="426"/>
      <c r="D20" s="426" t="s">
        <v>256</v>
      </c>
      <c r="E20" s="427"/>
      <c r="F20" s="36">
        <v>200</v>
      </c>
      <c r="G20" s="20">
        <v>1</v>
      </c>
      <c r="H20" s="7">
        <f>F20*G20</f>
        <v>200</v>
      </c>
      <c r="I20" s="8"/>
      <c r="J20" s="7">
        <f>H20+I20</f>
        <v>200</v>
      </c>
    </row>
    <row r="21" spans="2:10">
      <c r="B21" s="237"/>
      <c r="C21" s="237"/>
      <c r="D21" s="237"/>
      <c r="E21" s="237"/>
      <c r="F21" s="237"/>
      <c r="G21" s="237"/>
      <c r="H21" s="237"/>
      <c r="I21" s="237"/>
      <c r="J21" s="237"/>
    </row>
    <row r="22" spans="2:10">
      <c r="B22" s="210" t="s">
        <v>257</v>
      </c>
      <c r="C22" s="211"/>
      <c r="D22" s="211"/>
      <c r="E22" s="211"/>
      <c r="F22" s="211"/>
      <c r="G22" s="212"/>
      <c r="H22" s="246">
        <f>SUM(J23)</f>
        <v>375</v>
      </c>
      <c r="I22" s="247"/>
      <c r="J22" s="248"/>
    </row>
    <row r="23" spans="2:10">
      <c r="B23" s="279" t="s">
        <v>258</v>
      </c>
      <c r="C23" s="280"/>
      <c r="D23" s="280" t="s">
        <v>126</v>
      </c>
      <c r="E23" s="330"/>
      <c r="F23" s="32">
        <v>25</v>
      </c>
      <c r="G23" s="154">
        <v>15</v>
      </c>
      <c r="H23" s="30">
        <f>F23*G23</f>
        <v>375</v>
      </c>
      <c r="I23" s="30"/>
      <c r="J23" s="30">
        <f>H23+I23</f>
        <v>375</v>
      </c>
    </row>
    <row r="24" spans="2:10">
      <c r="B24" s="237"/>
      <c r="C24" s="237"/>
      <c r="D24" s="237"/>
      <c r="E24" s="237"/>
      <c r="F24" s="237"/>
      <c r="G24" s="237"/>
      <c r="H24" s="237"/>
      <c r="I24" s="237"/>
      <c r="J24" s="237"/>
    </row>
    <row r="25" spans="2:10">
      <c r="B25" s="210" t="s">
        <v>259</v>
      </c>
      <c r="C25" s="211"/>
      <c r="D25" s="211"/>
      <c r="E25" s="211"/>
      <c r="F25" s="211"/>
      <c r="G25" s="212"/>
      <c r="H25" s="246">
        <f>SUM(J26)</f>
        <v>1000</v>
      </c>
      <c r="I25" s="247"/>
      <c r="J25" s="248"/>
    </row>
    <row r="26" spans="2:10">
      <c r="B26" s="279" t="s">
        <v>260</v>
      </c>
      <c r="C26" s="280"/>
      <c r="D26" s="280" t="s">
        <v>261</v>
      </c>
      <c r="E26" s="330"/>
      <c r="F26" s="75">
        <v>1000</v>
      </c>
      <c r="G26" s="33">
        <v>1</v>
      </c>
      <c r="H26" s="30">
        <f>F26*G26</f>
        <v>1000</v>
      </c>
      <c r="I26" s="30"/>
      <c r="J26" s="30">
        <f>H26+I26</f>
        <v>1000</v>
      </c>
    </row>
  </sheetData>
  <mergeCells count="45">
    <mergeCell ref="H18:J18"/>
    <mergeCell ref="B22:G22"/>
    <mergeCell ref="H22:J22"/>
    <mergeCell ref="B25:G25"/>
    <mergeCell ref="H25:J25"/>
    <mergeCell ref="A1:A3"/>
    <mergeCell ref="B4:J4"/>
    <mergeCell ref="B26:C26"/>
    <mergeCell ref="D26:E26"/>
    <mergeCell ref="B24:J24"/>
    <mergeCell ref="B21:J21"/>
    <mergeCell ref="B23:C23"/>
    <mergeCell ref="D23:E23"/>
    <mergeCell ref="B17:J17"/>
    <mergeCell ref="B8:G8"/>
    <mergeCell ref="B19:C19"/>
    <mergeCell ref="D19:E19"/>
    <mergeCell ref="B20:C20"/>
    <mergeCell ref="D20:E20"/>
    <mergeCell ref="B14:C14"/>
    <mergeCell ref="D14:E14"/>
    <mergeCell ref="B15:C15"/>
    <mergeCell ref="D15:E15"/>
    <mergeCell ref="B16:C16"/>
    <mergeCell ref="D16:E16"/>
    <mergeCell ref="B18:G18"/>
    <mergeCell ref="B11:J11"/>
    <mergeCell ref="B13:C13"/>
    <mergeCell ref="D13:E13"/>
    <mergeCell ref="B12:G12"/>
    <mergeCell ref="H12:J12"/>
    <mergeCell ref="B9:C9"/>
    <mergeCell ref="D9:E9"/>
    <mergeCell ref="B10:C10"/>
    <mergeCell ref="D10:E10"/>
    <mergeCell ref="H8:J8"/>
    <mergeCell ref="B7:J7"/>
    <mergeCell ref="B1:H2"/>
    <mergeCell ref="I1:J2"/>
    <mergeCell ref="I3:J3"/>
    <mergeCell ref="B5:E5"/>
    <mergeCell ref="F5:J5"/>
    <mergeCell ref="B6:C6"/>
    <mergeCell ref="D6:E6"/>
    <mergeCell ref="B3:H3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6"/>
  <sheetViews>
    <sheetView topLeftCell="A36" workbookViewId="0">
      <selection activeCell="D49" sqref="D49"/>
    </sheetView>
  </sheetViews>
  <sheetFormatPr defaultRowHeight="15"/>
  <cols>
    <col min="1" max="1" width="4.7109375" customWidth="1"/>
    <col min="2" max="2" width="15.7109375" customWidth="1"/>
    <col min="3" max="3" width="17.5703125" customWidth="1"/>
    <col min="4" max="4" width="16.5703125" customWidth="1"/>
    <col min="5" max="5" width="16.7109375" customWidth="1"/>
    <col min="6" max="8" width="10.7109375" customWidth="1"/>
    <col min="9" max="9" width="9.7109375" customWidth="1"/>
    <col min="10" max="10" width="11.7109375" customWidth="1"/>
  </cols>
  <sheetData>
    <row r="1" spans="1:10">
      <c r="A1" s="198"/>
      <c r="B1" s="225" t="s">
        <v>262</v>
      </c>
      <c r="C1" s="226"/>
      <c r="D1" s="226"/>
      <c r="E1" s="226"/>
      <c r="F1" s="226"/>
      <c r="G1" s="226"/>
      <c r="H1" s="226"/>
      <c r="I1" s="229">
        <f>SUM(H8,H19,H32,H41,H45)</f>
        <v>11358.362999999999</v>
      </c>
      <c r="J1" s="409"/>
    </row>
    <row r="2" spans="1:10">
      <c r="A2" s="198"/>
      <c r="B2" s="227"/>
      <c r="C2" s="228"/>
      <c r="D2" s="228"/>
      <c r="E2" s="228"/>
      <c r="F2" s="228"/>
      <c r="G2" s="228"/>
      <c r="H2" s="228"/>
      <c r="I2" s="265"/>
      <c r="J2" s="417"/>
    </row>
    <row r="3" spans="1:10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</row>
    <row r="4" spans="1:10">
      <c r="A4" s="152"/>
      <c r="B4" s="267"/>
      <c r="C4" s="267"/>
      <c r="D4" s="267"/>
      <c r="E4" s="267"/>
      <c r="F4" s="267"/>
      <c r="G4" s="267"/>
      <c r="H4" s="267"/>
      <c r="I4" s="267"/>
      <c r="J4" s="267"/>
    </row>
    <row r="5" spans="1:10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</row>
    <row r="6" spans="1:10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</row>
    <row r="7" spans="1:10">
      <c r="A7" s="152"/>
      <c r="B7" s="336"/>
      <c r="C7" s="336"/>
      <c r="D7" s="336"/>
      <c r="E7" s="336"/>
      <c r="F7" s="336"/>
      <c r="G7" s="336"/>
      <c r="H7" s="336"/>
      <c r="I7" s="336"/>
      <c r="J7" s="336"/>
    </row>
    <row r="8" spans="1:10">
      <c r="A8" s="152"/>
      <c r="B8" s="210" t="s">
        <v>263</v>
      </c>
      <c r="C8" s="211"/>
      <c r="D8" s="211"/>
      <c r="E8" s="211"/>
      <c r="F8" s="211"/>
      <c r="G8" s="212"/>
      <c r="H8" s="246">
        <f>SUM(J9:J17)</f>
        <v>6313.3357000000005</v>
      </c>
      <c r="I8" s="247"/>
      <c r="J8" s="248"/>
    </row>
    <row r="9" spans="1:10">
      <c r="A9" s="152"/>
      <c r="B9" s="337" t="s">
        <v>264</v>
      </c>
      <c r="C9" s="181" t="s">
        <v>265</v>
      </c>
      <c r="D9" s="269" t="s">
        <v>266</v>
      </c>
      <c r="E9" s="269"/>
      <c r="F9" s="76">
        <v>128.82</v>
      </c>
      <c r="G9" s="77">
        <v>1</v>
      </c>
      <c r="H9" s="40">
        <f t="shared" ref="H9:H17" si="0">F9*G9</f>
        <v>128.82</v>
      </c>
      <c r="I9" s="4">
        <f>H9*0.13</f>
        <v>16.746600000000001</v>
      </c>
      <c r="J9" s="3">
        <f t="shared" ref="J9:J17" si="1">H9+I9</f>
        <v>145.56659999999999</v>
      </c>
    </row>
    <row r="10" spans="1:10">
      <c r="A10" s="152"/>
      <c r="B10" s="338"/>
      <c r="C10" s="181" t="s">
        <v>267</v>
      </c>
      <c r="D10" s="234"/>
      <c r="E10" s="234"/>
      <c r="F10" s="78">
        <v>100</v>
      </c>
      <c r="G10" s="79">
        <v>1</v>
      </c>
      <c r="H10" s="43">
        <f t="shared" si="0"/>
        <v>100</v>
      </c>
      <c r="I10" s="19"/>
      <c r="J10" s="18">
        <f t="shared" si="1"/>
        <v>100</v>
      </c>
    </row>
    <row r="11" spans="1:10">
      <c r="A11" s="152"/>
      <c r="B11" s="339"/>
      <c r="C11" s="179" t="s">
        <v>268</v>
      </c>
      <c r="D11" s="242"/>
      <c r="E11" s="242"/>
      <c r="F11" s="78">
        <v>60</v>
      </c>
      <c r="G11" s="79">
        <v>1</v>
      </c>
      <c r="H11" s="51">
        <f t="shared" si="0"/>
        <v>60</v>
      </c>
      <c r="I11" s="8"/>
      <c r="J11" s="7">
        <f t="shared" si="1"/>
        <v>60</v>
      </c>
    </row>
    <row r="12" spans="1:10">
      <c r="A12" s="152"/>
      <c r="B12" s="340" t="s">
        <v>269</v>
      </c>
      <c r="C12" s="180" t="s">
        <v>267</v>
      </c>
      <c r="D12" s="239"/>
      <c r="E12" s="239"/>
      <c r="F12" s="76">
        <v>2000</v>
      </c>
      <c r="G12" s="77">
        <v>1</v>
      </c>
      <c r="H12" s="40">
        <f t="shared" si="0"/>
        <v>2000</v>
      </c>
      <c r="I12" s="4"/>
      <c r="J12" s="3">
        <f t="shared" si="1"/>
        <v>2000</v>
      </c>
    </row>
    <row r="13" spans="1:10">
      <c r="A13" s="152"/>
      <c r="B13" s="341"/>
      <c r="C13" s="186" t="s">
        <v>270</v>
      </c>
      <c r="D13" s="269" t="s">
        <v>271</v>
      </c>
      <c r="E13" s="269"/>
      <c r="F13" s="16">
        <v>3000</v>
      </c>
      <c r="G13" s="17">
        <v>1</v>
      </c>
      <c r="H13" s="80">
        <f t="shared" si="0"/>
        <v>3000</v>
      </c>
      <c r="I13" s="26"/>
      <c r="J13" s="25">
        <f t="shared" si="1"/>
        <v>3000</v>
      </c>
    </row>
    <row r="14" spans="1:10" s="46" customFormat="1">
      <c r="B14" s="342"/>
      <c r="C14" s="183" t="s">
        <v>272</v>
      </c>
      <c r="D14" s="274"/>
      <c r="E14" s="274"/>
      <c r="F14" s="5">
        <v>80</v>
      </c>
      <c r="G14" s="20">
        <v>1</v>
      </c>
      <c r="H14" s="100">
        <f t="shared" si="0"/>
        <v>80</v>
      </c>
      <c r="I14" s="28"/>
      <c r="J14" s="27">
        <f t="shared" si="1"/>
        <v>80</v>
      </c>
    </row>
    <row r="15" spans="1:10">
      <c r="A15" s="152"/>
      <c r="B15" s="340" t="s">
        <v>273</v>
      </c>
      <c r="C15" s="181" t="s">
        <v>274</v>
      </c>
      <c r="D15" s="234" t="s">
        <v>275</v>
      </c>
      <c r="E15" s="234"/>
      <c r="F15" s="78">
        <v>113.07</v>
      </c>
      <c r="G15" s="79">
        <v>1</v>
      </c>
      <c r="H15" s="43">
        <f t="shared" si="0"/>
        <v>113.07</v>
      </c>
      <c r="I15" s="19">
        <f>H15*0.13</f>
        <v>14.6991</v>
      </c>
      <c r="J15" s="18">
        <f t="shared" si="1"/>
        <v>127.76909999999999</v>
      </c>
    </row>
    <row r="16" spans="1:10">
      <c r="A16" s="152"/>
      <c r="B16" s="347"/>
      <c r="C16" s="186" t="s">
        <v>267</v>
      </c>
      <c r="D16" s="269"/>
      <c r="E16" s="269"/>
      <c r="F16" s="16">
        <v>150</v>
      </c>
      <c r="G16" s="17">
        <v>5</v>
      </c>
      <c r="H16" s="43">
        <f t="shared" si="0"/>
        <v>750</v>
      </c>
      <c r="I16" s="19"/>
      <c r="J16" s="18">
        <f t="shared" si="1"/>
        <v>750</v>
      </c>
    </row>
    <row r="17" spans="2:11">
      <c r="B17" s="348"/>
      <c r="C17" s="179" t="s">
        <v>276</v>
      </c>
      <c r="D17" s="242"/>
      <c r="E17" s="242"/>
      <c r="F17" s="81">
        <v>50</v>
      </c>
      <c r="G17" s="82">
        <v>1</v>
      </c>
      <c r="H17" s="51">
        <f t="shared" si="0"/>
        <v>50</v>
      </c>
      <c r="I17" s="8"/>
      <c r="J17" s="7">
        <f t="shared" si="1"/>
        <v>50</v>
      </c>
      <c r="K17" s="152"/>
    </row>
    <row r="18" spans="2:11">
      <c r="B18" s="336"/>
      <c r="C18" s="336"/>
      <c r="D18" s="336"/>
      <c r="E18" s="336"/>
      <c r="F18" s="267"/>
      <c r="G18" s="267"/>
      <c r="H18" s="336"/>
      <c r="I18" s="336"/>
      <c r="J18" s="336"/>
      <c r="K18" s="152"/>
    </row>
    <row r="19" spans="2:11">
      <c r="B19" s="210" t="s">
        <v>277</v>
      </c>
      <c r="C19" s="211"/>
      <c r="D19" s="211"/>
      <c r="E19" s="211"/>
      <c r="F19" s="211"/>
      <c r="G19" s="212"/>
      <c r="H19" s="246">
        <f>SUM(J20:J30)</f>
        <v>2903.2273</v>
      </c>
      <c r="I19" s="247"/>
      <c r="J19" s="248"/>
      <c r="K19" s="152"/>
    </row>
    <row r="20" spans="2:11">
      <c r="B20" s="343" t="s">
        <v>278</v>
      </c>
      <c r="C20" s="180" t="s">
        <v>279</v>
      </c>
      <c r="D20" s="239" t="s">
        <v>280</v>
      </c>
      <c r="E20" s="239"/>
      <c r="F20" s="76">
        <v>208.82</v>
      </c>
      <c r="G20" s="77">
        <v>1</v>
      </c>
      <c r="H20" s="3">
        <f>F20*G20</f>
        <v>208.82</v>
      </c>
      <c r="I20" s="4"/>
      <c r="J20" s="3">
        <f>H20+I20</f>
        <v>208.82</v>
      </c>
      <c r="K20" s="152"/>
    </row>
    <row r="21" spans="2:11">
      <c r="B21" s="344"/>
      <c r="C21" s="179" t="s">
        <v>281</v>
      </c>
      <c r="D21" s="242"/>
      <c r="E21" s="242"/>
      <c r="F21" s="81">
        <v>120</v>
      </c>
      <c r="G21" s="82">
        <v>5</v>
      </c>
      <c r="H21" s="18">
        <f>F21*G21</f>
        <v>600</v>
      </c>
      <c r="I21" s="19"/>
      <c r="J21" s="18">
        <f>H21+I21</f>
        <v>600</v>
      </c>
      <c r="K21" s="152"/>
    </row>
    <row r="22" spans="2:11">
      <c r="B22" s="340" t="s">
        <v>282</v>
      </c>
      <c r="C22" s="181" t="s">
        <v>274</v>
      </c>
      <c r="D22" s="234" t="s">
        <v>283</v>
      </c>
      <c r="E22" s="345"/>
      <c r="F22" s="78">
        <v>83.07</v>
      </c>
      <c r="G22" s="79">
        <v>1</v>
      </c>
      <c r="H22" s="3">
        <f t="shared" ref="H22:H30" si="2">F22*G22</f>
        <v>83.07</v>
      </c>
      <c r="I22" s="58">
        <f t="shared" ref="I22:I28" si="3">H22*0.13</f>
        <v>10.799099999999999</v>
      </c>
      <c r="J22" s="3">
        <f t="shared" ref="J22:J30" si="4">H22+I22</f>
        <v>93.869099999999989</v>
      </c>
      <c r="K22" s="152"/>
    </row>
    <row r="23" spans="2:11">
      <c r="B23" s="341"/>
      <c r="C23" s="181" t="s">
        <v>267</v>
      </c>
      <c r="D23" s="234"/>
      <c r="E23" s="345"/>
      <c r="F23" s="78">
        <v>130</v>
      </c>
      <c r="G23" s="79">
        <v>2</v>
      </c>
      <c r="H23" s="18">
        <f t="shared" si="2"/>
        <v>260</v>
      </c>
      <c r="I23" s="83"/>
      <c r="J23" s="18">
        <f t="shared" si="4"/>
        <v>260</v>
      </c>
      <c r="K23" s="152"/>
    </row>
    <row r="24" spans="2:11">
      <c r="B24" s="342"/>
      <c r="C24" s="179" t="s">
        <v>276</v>
      </c>
      <c r="D24" s="242"/>
      <c r="E24" s="243"/>
      <c r="F24" s="81">
        <v>80</v>
      </c>
      <c r="G24" s="82">
        <v>1</v>
      </c>
      <c r="H24" s="7">
        <f t="shared" si="2"/>
        <v>80</v>
      </c>
      <c r="I24" s="57"/>
      <c r="J24" s="7">
        <f t="shared" si="4"/>
        <v>80</v>
      </c>
      <c r="K24" s="152"/>
    </row>
    <row r="25" spans="2:11">
      <c r="B25" s="340" t="s">
        <v>284</v>
      </c>
      <c r="C25" s="180" t="s">
        <v>274</v>
      </c>
      <c r="D25" s="239" t="s">
        <v>275</v>
      </c>
      <c r="E25" s="240"/>
      <c r="F25" s="76">
        <v>113.07</v>
      </c>
      <c r="G25" s="77">
        <v>1</v>
      </c>
      <c r="H25" s="3">
        <f t="shared" si="2"/>
        <v>113.07</v>
      </c>
      <c r="I25" s="58">
        <f t="shared" si="3"/>
        <v>14.6991</v>
      </c>
      <c r="J25" s="3">
        <f t="shared" si="4"/>
        <v>127.76909999999999</v>
      </c>
      <c r="K25" s="152"/>
    </row>
    <row r="26" spans="2:11">
      <c r="B26" s="341"/>
      <c r="C26" s="181" t="s">
        <v>267</v>
      </c>
      <c r="D26" s="234"/>
      <c r="E26" s="345"/>
      <c r="F26" s="78">
        <v>100</v>
      </c>
      <c r="G26" s="79">
        <v>6</v>
      </c>
      <c r="H26" s="18">
        <f t="shared" si="2"/>
        <v>600</v>
      </c>
      <c r="I26" s="83"/>
      <c r="J26" s="18">
        <f t="shared" si="4"/>
        <v>600</v>
      </c>
      <c r="K26" s="152"/>
    </row>
    <row r="27" spans="2:11">
      <c r="B27" s="342"/>
      <c r="C27" s="179" t="s">
        <v>276</v>
      </c>
      <c r="D27" s="242"/>
      <c r="E27" s="243"/>
      <c r="F27" s="81">
        <v>80</v>
      </c>
      <c r="G27" s="82">
        <v>1</v>
      </c>
      <c r="H27" s="7">
        <f t="shared" si="2"/>
        <v>80</v>
      </c>
      <c r="I27" s="57"/>
      <c r="J27" s="7">
        <f t="shared" si="4"/>
        <v>80</v>
      </c>
      <c r="K27" s="152"/>
    </row>
    <row r="28" spans="2:11">
      <c r="B28" s="340" t="s">
        <v>285</v>
      </c>
      <c r="C28" s="180" t="s">
        <v>274</v>
      </c>
      <c r="D28" s="239" t="s">
        <v>286</v>
      </c>
      <c r="E28" s="240"/>
      <c r="F28" s="16">
        <v>113.07</v>
      </c>
      <c r="G28" s="79">
        <v>1</v>
      </c>
      <c r="H28" s="3">
        <f t="shared" si="2"/>
        <v>113.07</v>
      </c>
      <c r="I28" s="58">
        <f t="shared" si="3"/>
        <v>14.6991</v>
      </c>
      <c r="J28" s="3">
        <f t="shared" si="4"/>
        <v>127.76909999999999</v>
      </c>
      <c r="K28" s="152"/>
    </row>
    <row r="29" spans="2:11">
      <c r="B29" s="341"/>
      <c r="C29" s="181" t="s">
        <v>267</v>
      </c>
      <c r="D29" s="234"/>
      <c r="E29" s="345"/>
      <c r="F29" s="78">
        <v>120</v>
      </c>
      <c r="G29" s="17">
        <v>5</v>
      </c>
      <c r="H29" s="18">
        <f t="shared" si="2"/>
        <v>600</v>
      </c>
      <c r="I29" s="83"/>
      <c r="J29" s="18">
        <f t="shared" si="4"/>
        <v>600</v>
      </c>
      <c r="K29" s="152"/>
    </row>
    <row r="30" spans="2:11">
      <c r="B30" s="342"/>
      <c r="C30" s="179" t="s">
        <v>276</v>
      </c>
      <c r="D30" s="242"/>
      <c r="E30" s="243"/>
      <c r="F30" s="81">
        <v>125</v>
      </c>
      <c r="G30" s="82">
        <v>1</v>
      </c>
      <c r="H30" s="7">
        <f t="shared" si="2"/>
        <v>125</v>
      </c>
      <c r="I30" s="57"/>
      <c r="J30" s="7">
        <f t="shared" si="4"/>
        <v>125</v>
      </c>
      <c r="K30" s="152"/>
    </row>
    <row r="31" spans="2:11">
      <c r="B31" s="336"/>
      <c r="C31" s="336"/>
      <c r="D31" s="336"/>
      <c r="E31" s="336"/>
      <c r="F31" s="267"/>
      <c r="G31" s="267"/>
      <c r="H31" s="267"/>
      <c r="I31" s="267"/>
      <c r="J31" s="267"/>
      <c r="K31" s="152"/>
    </row>
    <row r="32" spans="2:11">
      <c r="B32" s="210" t="s">
        <v>287</v>
      </c>
      <c r="C32" s="211"/>
      <c r="D32" s="211"/>
      <c r="E32" s="211"/>
      <c r="F32" s="211"/>
      <c r="G32" s="212"/>
      <c r="H32" s="246">
        <f>SUM(J33:J39)</f>
        <v>380</v>
      </c>
      <c r="I32" s="247"/>
      <c r="J32" s="248"/>
      <c r="K32" s="152" t="s">
        <v>288</v>
      </c>
    </row>
    <row r="33" spans="2:11">
      <c r="B33" s="238" t="s">
        <v>289</v>
      </c>
      <c r="C33" s="239"/>
      <c r="D33" s="239"/>
      <c r="E33" s="240"/>
      <c r="F33" s="76">
        <v>125</v>
      </c>
      <c r="G33" s="15">
        <v>1</v>
      </c>
      <c r="H33" s="3">
        <f t="shared" ref="H33:H37" si="5">F33*G33</f>
        <v>125</v>
      </c>
      <c r="I33" s="176"/>
      <c r="J33" s="3">
        <f t="shared" ref="J33:J37" si="6">H33+I33</f>
        <v>125</v>
      </c>
      <c r="K33" s="152" t="s">
        <v>290</v>
      </c>
    </row>
    <row r="34" spans="2:11">
      <c r="B34" s="233" t="s">
        <v>291</v>
      </c>
      <c r="C34" s="234"/>
      <c r="D34" s="234"/>
      <c r="E34" s="345"/>
      <c r="F34" s="78">
        <v>125</v>
      </c>
      <c r="G34" s="17">
        <v>1</v>
      </c>
      <c r="H34" s="18">
        <f t="shared" si="5"/>
        <v>125</v>
      </c>
      <c r="I34" s="173"/>
      <c r="J34" s="18">
        <f t="shared" si="6"/>
        <v>125</v>
      </c>
      <c r="K34" s="152"/>
    </row>
    <row r="35" spans="2:11">
      <c r="B35" s="233" t="s">
        <v>292</v>
      </c>
      <c r="C35" s="234"/>
      <c r="D35" s="234"/>
      <c r="E35" s="345"/>
      <c r="F35" s="24">
        <v>175</v>
      </c>
      <c r="G35" s="17">
        <v>1</v>
      </c>
      <c r="H35" s="18">
        <f t="shared" si="5"/>
        <v>175</v>
      </c>
      <c r="I35" s="173"/>
      <c r="J35" s="84" t="s">
        <v>293</v>
      </c>
      <c r="K35" s="152" t="s">
        <v>294</v>
      </c>
    </row>
    <row r="36" spans="2:11">
      <c r="B36" s="259" t="s">
        <v>295</v>
      </c>
      <c r="C36" s="260"/>
      <c r="D36" s="260"/>
      <c r="E36" s="350"/>
      <c r="F36" s="24">
        <v>300</v>
      </c>
      <c r="G36" s="67">
        <v>2</v>
      </c>
      <c r="H36" s="65">
        <f t="shared" si="5"/>
        <v>600</v>
      </c>
      <c r="I36" s="85"/>
      <c r="J36" s="86" t="s">
        <v>296</v>
      </c>
      <c r="K36" s="152" t="s">
        <v>294</v>
      </c>
    </row>
    <row r="37" spans="2:11">
      <c r="B37" s="241" t="s">
        <v>297</v>
      </c>
      <c r="C37" s="242"/>
      <c r="D37" s="242"/>
      <c r="E37" s="243"/>
      <c r="F37" s="81">
        <v>50</v>
      </c>
      <c r="G37" s="20">
        <v>1</v>
      </c>
      <c r="H37" s="7">
        <f t="shared" si="5"/>
        <v>50</v>
      </c>
      <c r="I37" s="168"/>
      <c r="J37" s="7">
        <f t="shared" si="6"/>
        <v>50</v>
      </c>
      <c r="K37" s="152"/>
    </row>
    <row r="38" spans="2:11">
      <c r="B38" s="349" t="s">
        <v>298</v>
      </c>
      <c r="C38" s="180" t="s">
        <v>299</v>
      </c>
      <c r="D38" s="239" t="s">
        <v>300</v>
      </c>
      <c r="E38" s="240"/>
      <c r="F38" s="76">
        <v>30</v>
      </c>
      <c r="G38" s="15">
        <v>1</v>
      </c>
      <c r="H38" s="3">
        <f>F38*G38</f>
        <v>30</v>
      </c>
      <c r="I38" s="3"/>
      <c r="J38" s="3">
        <f>H38+I38</f>
        <v>30</v>
      </c>
      <c r="K38" s="152"/>
    </row>
    <row r="39" spans="2:11">
      <c r="B39" s="339"/>
      <c r="C39" s="179" t="s">
        <v>301</v>
      </c>
      <c r="D39" s="242" t="s">
        <v>302</v>
      </c>
      <c r="E39" s="243"/>
      <c r="F39" s="81">
        <v>50</v>
      </c>
      <c r="G39" s="20">
        <v>1</v>
      </c>
      <c r="H39" s="7">
        <f>F39*G39</f>
        <v>50</v>
      </c>
      <c r="I39" s="7"/>
      <c r="J39" s="7">
        <f>H39+I39</f>
        <v>50</v>
      </c>
      <c r="K39" s="152"/>
    </row>
    <row r="40" spans="2:11">
      <c r="B40" s="336"/>
      <c r="C40" s="336"/>
      <c r="D40" s="336"/>
      <c r="E40" s="336"/>
      <c r="F40" s="267"/>
      <c r="G40" s="267"/>
      <c r="H40" s="336"/>
      <c r="I40" s="336"/>
      <c r="J40" s="336"/>
      <c r="K40" s="152"/>
    </row>
    <row r="41" spans="2:11">
      <c r="B41" s="210" t="s">
        <v>303</v>
      </c>
      <c r="C41" s="211"/>
      <c r="D41" s="211"/>
      <c r="E41" s="211"/>
      <c r="F41" s="211"/>
      <c r="G41" s="212"/>
      <c r="H41" s="246">
        <f>SUM(J42:J43)</f>
        <v>1561.8</v>
      </c>
      <c r="I41" s="247"/>
      <c r="J41" s="248"/>
      <c r="K41" s="152"/>
    </row>
    <row r="42" spans="2:11">
      <c r="B42" s="238" t="s">
        <v>304</v>
      </c>
      <c r="C42" s="239"/>
      <c r="D42" s="244"/>
      <c r="E42" s="244"/>
      <c r="F42" s="76">
        <v>0.17</v>
      </c>
      <c r="G42" s="15">
        <v>2740</v>
      </c>
      <c r="H42" s="40">
        <f>F42*G42</f>
        <v>465.8</v>
      </c>
      <c r="I42" s="176"/>
      <c r="J42" s="3">
        <f>H42+I42</f>
        <v>465.8</v>
      </c>
      <c r="K42" s="152"/>
    </row>
    <row r="43" spans="2:11">
      <c r="B43" s="241" t="s">
        <v>305</v>
      </c>
      <c r="C43" s="242"/>
      <c r="D43" s="249"/>
      <c r="E43" s="249"/>
      <c r="F43" s="81">
        <v>0.4</v>
      </c>
      <c r="G43" s="20">
        <v>2740</v>
      </c>
      <c r="H43" s="51">
        <f>F43*G43</f>
        <v>1096</v>
      </c>
      <c r="I43" s="168"/>
      <c r="J43" s="7">
        <f>H43+I43</f>
        <v>1096</v>
      </c>
      <c r="K43" s="152"/>
    </row>
    <row r="44" spans="2:11">
      <c r="B44" s="336"/>
      <c r="C44" s="336"/>
      <c r="D44" s="336"/>
      <c r="E44" s="336"/>
      <c r="F44" s="267"/>
      <c r="G44" s="267"/>
      <c r="H44" s="336"/>
      <c r="I44" s="336"/>
      <c r="J44" s="336"/>
      <c r="K44" s="152"/>
    </row>
    <row r="45" spans="2:11">
      <c r="B45" s="210" t="s">
        <v>306</v>
      </c>
      <c r="C45" s="211"/>
      <c r="D45" s="211"/>
      <c r="E45" s="211"/>
      <c r="F45" s="211"/>
      <c r="G45" s="212"/>
      <c r="H45" s="246">
        <f>SUM(J46)</f>
        <v>200</v>
      </c>
      <c r="I45" s="247"/>
      <c r="J45" s="248"/>
      <c r="K45" s="152"/>
    </row>
    <row r="46" spans="2:11">
      <c r="B46" s="253" t="s">
        <v>307</v>
      </c>
      <c r="C46" s="254"/>
      <c r="D46" s="346" t="s">
        <v>308</v>
      </c>
      <c r="E46" s="346"/>
      <c r="F46" s="87">
        <v>200</v>
      </c>
      <c r="G46" s="33">
        <v>1</v>
      </c>
      <c r="H46" s="88">
        <f>F46*G46</f>
        <v>200</v>
      </c>
      <c r="I46" s="178"/>
      <c r="J46" s="30">
        <f>H46+I46</f>
        <v>200</v>
      </c>
      <c r="K46" s="152"/>
    </row>
  </sheetData>
  <mergeCells count="71">
    <mergeCell ref="H32:J32"/>
    <mergeCell ref="B41:G41"/>
    <mergeCell ref="H41:J41"/>
    <mergeCell ref="B45:G45"/>
    <mergeCell ref="H45:J45"/>
    <mergeCell ref="D37:E37"/>
    <mergeCell ref="B33:C33"/>
    <mergeCell ref="D33:E33"/>
    <mergeCell ref="B34:C34"/>
    <mergeCell ref="D34:E34"/>
    <mergeCell ref="B35:C35"/>
    <mergeCell ref="D35:E35"/>
    <mergeCell ref="B32:G32"/>
    <mergeCell ref="A1:A3"/>
    <mergeCell ref="B46:C46"/>
    <mergeCell ref="D46:E46"/>
    <mergeCell ref="B15:B17"/>
    <mergeCell ref="B42:C42"/>
    <mergeCell ref="D42:E42"/>
    <mergeCell ref="B43:C43"/>
    <mergeCell ref="D43:E43"/>
    <mergeCell ref="B44:J44"/>
    <mergeCell ref="B38:B39"/>
    <mergeCell ref="D38:E38"/>
    <mergeCell ref="D39:E39"/>
    <mergeCell ref="B40:J40"/>
    <mergeCell ref="B36:C36"/>
    <mergeCell ref="D36:E36"/>
    <mergeCell ref="B37:C37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J31"/>
    <mergeCell ref="B18:J18"/>
    <mergeCell ref="B20:B21"/>
    <mergeCell ref="D20:E20"/>
    <mergeCell ref="D21:E21"/>
    <mergeCell ref="B19:G19"/>
    <mergeCell ref="H19:J19"/>
    <mergeCell ref="D16:E16"/>
    <mergeCell ref="D17:E17"/>
    <mergeCell ref="B7:J7"/>
    <mergeCell ref="B9:B11"/>
    <mergeCell ref="D9:E9"/>
    <mergeCell ref="D10:E10"/>
    <mergeCell ref="D11:E11"/>
    <mergeCell ref="B12:B14"/>
    <mergeCell ref="D12:E12"/>
    <mergeCell ref="D13:E13"/>
    <mergeCell ref="D14:E14"/>
    <mergeCell ref="D15:E15"/>
    <mergeCell ref="B8:G8"/>
    <mergeCell ref="H8:J8"/>
    <mergeCell ref="B6:C6"/>
    <mergeCell ref="D6:E6"/>
    <mergeCell ref="B4:J4"/>
    <mergeCell ref="B3:H3"/>
    <mergeCell ref="B1:H2"/>
    <mergeCell ref="I1:J2"/>
    <mergeCell ref="I3:J3"/>
    <mergeCell ref="B5:E5"/>
    <mergeCell ref="F5:J5"/>
  </mergeCells>
  <pageMargins left="0.25" right="0.25" top="0.75" bottom="0.75" header="0.3" footer="0.3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7"/>
  <sheetViews>
    <sheetView zoomScaleNormal="100" workbookViewId="0">
      <selection sqref="A1:A3"/>
    </sheetView>
  </sheetViews>
  <sheetFormatPr defaultRowHeight="15"/>
  <cols>
    <col min="1" max="1" width="4.7109375" customWidth="1"/>
    <col min="2" max="2" width="15.7109375" customWidth="1"/>
    <col min="3" max="4" width="17.5703125" customWidth="1"/>
    <col min="5" max="5" width="16.7109375" customWidth="1"/>
    <col min="6" max="8" width="10.7109375" customWidth="1"/>
    <col min="9" max="9" width="9.7109375" customWidth="1"/>
    <col min="10" max="10" width="11.7109375" customWidth="1"/>
    <col min="11" max="12" width="10.5703125" bestFit="1" customWidth="1"/>
  </cols>
  <sheetData>
    <row r="1" spans="1:12">
      <c r="A1" s="198"/>
      <c r="B1" s="225" t="s">
        <v>309</v>
      </c>
      <c r="C1" s="226"/>
      <c r="D1" s="226"/>
      <c r="E1" s="226"/>
      <c r="F1" s="226"/>
      <c r="G1" s="226"/>
      <c r="H1" s="226"/>
      <c r="I1" s="229">
        <f>SUM(H8,H34,H49,H56,H66,H75,H96,H108,H116)</f>
        <v>7171.8223000000016</v>
      </c>
      <c r="J1" s="409"/>
      <c r="K1" s="152"/>
      <c r="L1" s="152"/>
    </row>
    <row r="2" spans="1:12">
      <c r="A2" s="198"/>
      <c r="B2" s="227"/>
      <c r="C2" s="228"/>
      <c r="D2" s="228"/>
      <c r="E2" s="228"/>
      <c r="F2" s="228"/>
      <c r="G2" s="228"/>
      <c r="H2" s="228"/>
      <c r="I2" s="265"/>
      <c r="J2" s="417"/>
      <c r="K2" s="152"/>
      <c r="L2" s="152"/>
    </row>
    <row r="3" spans="1:12">
      <c r="A3" s="198"/>
      <c r="B3" s="223"/>
      <c r="C3" s="224"/>
      <c r="D3" s="224"/>
      <c r="E3" s="224"/>
      <c r="F3" s="224"/>
      <c r="G3" s="224"/>
      <c r="H3" s="224"/>
      <c r="I3" s="230" t="s">
        <v>62</v>
      </c>
      <c r="J3" s="231"/>
      <c r="K3" s="152"/>
      <c r="L3" s="152"/>
    </row>
    <row r="4" spans="1:12">
      <c r="A4" s="152"/>
      <c r="B4" s="336"/>
      <c r="C4" s="336"/>
      <c r="D4" s="336"/>
      <c r="E4" s="336"/>
      <c r="F4" s="336"/>
      <c r="G4" s="336"/>
      <c r="H4" s="336"/>
      <c r="I4" s="336"/>
      <c r="J4" s="336"/>
      <c r="K4" s="152"/>
      <c r="L4" s="152"/>
    </row>
    <row r="5" spans="1:12">
      <c r="A5" s="152"/>
      <c r="B5" s="232" t="s">
        <v>26</v>
      </c>
      <c r="C5" s="232"/>
      <c r="D5" s="232"/>
      <c r="E5" s="232"/>
      <c r="F5" s="232" t="s">
        <v>27</v>
      </c>
      <c r="G5" s="232"/>
      <c r="H5" s="232"/>
      <c r="I5" s="232"/>
      <c r="J5" s="232"/>
      <c r="K5" s="152"/>
      <c r="L5" s="152"/>
    </row>
    <row r="6" spans="1:12" ht="30">
      <c r="A6" s="152"/>
      <c r="B6" s="222" t="s">
        <v>63</v>
      </c>
      <c r="C6" s="222"/>
      <c r="D6" s="222" t="s">
        <v>28</v>
      </c>
      <c r="E6" s="222"/>
      <c r="F6" s="72" t="s">
        <v>29</v>
      </c>
      <c r="G6" s="37" t="s">
        <v>30</v>
      </c>
      <c r="H6" s="72" t="s">
        <v>31</v>
      </c>
      <c r="I6" s="72" t="s">
        <v>32</v>
      </c>
      <c r="J6" s="72" t="s">
        <v>33</v>
      </c>
      <c r="K6" s="152"/>
      <c r="L6" s="152"/>
    </row>
    <row r="7" spans="1:12">
      <c r="A7" s="152"/>
      <c r="B7" s="336"/>
      <c r="C7" s="336"/>
      <c r="D7" s="336"/>
      <c r="E7" s="336"/>
      <c r="F7" s="336"/>
      <c r="G7" s="336"/>
      <c r="H7" s="336"/>
      <c r="I7" s="336"/>
      <c r="J7" s="336"/>
      <c r="K7" s="152"/>
      <c r="L7" s="152"/>
    </row>
    <row r="8" spans="1:12">
      <c r="A8" s="152"/>
      <c r="B8" s="210" t="s">
        <v>310</v>
      </c>
      <c r="C8" s="211"/>
      <c r="D8" s="211"/>
      <c r="E8" s="211"/>
      <c r="F8" s="211"/>
      <c r="G8" s="212"/>
      <c r="H8" s="246">
        <f>SUM(J9:J29)</f>
        <v>992.85720000000038</v>
      </c>
      <c r="I8" s="247"/>
      <c r="J8" s="248"/>
      <c r="K8" s="152"/>
      <c r="L8" s="152"/>
    </row>
    <row r="9" spans="1:12" ht="15" customHeight="1">
      <c r="A9" s="152"/>
      <c r="B9" s="340" t="s">
        <v>311</v>
      </c>
      <c r="C9" s="184" t="s">
        <v>139</v>
      </c>
      <c r="D9" s="273" t="s">
        <v>312</v>
      </c>
      <c r="E9" s="273"/>
      <c r="F9" s="125">
        <v>9.61</v>
      </c>
      <c r="G9" s="15">
        <v>1</v>
      </c>
      <c r="H9" s="40">
        <f>F9*G9</f>
        <v>9.61</v>
      </c>
      <c r="I9" s="129">
        <f t="shared" ref="I9:I27" si="0">H9*0.13</f>
        <v>1.2493000000000001</v>
      </c>
      <c r="J9" s="3">
        <f>H9+I9</f>
        <v>10.859299999999999</v>
      </c>
      <c r="K9" s="71"/>
      <c r="L9" s="89"/>
    </row>
    <row r="10" spans="1:12">
      <c r="A10" s="152"/>
      <c r="B10" s="347"/>
      <c r="C10" s="186" t="s">
        <v>313</v>
      </c>
      <c r="D10" s="269"/>
      <c r="E10" s="269"/>
      <c r="F10" s="126">
        <v>3100</v>
      </c>
      <c r="G10" s="17">
        <v>1</v>
      </c>
      <c r="H10" s="43">
        <f t="shared" ref="H10:H29" si="1">F10*G10</f>
        <v>3100</v>
      </c>
      <c r="I10" s="60">
        <f t="shared" si="0"/>
        <v>403</v>
      </c>
      <c r="J10" s="18">
        <f t="shared" ref="J10:J18" si="2">H10+I10</f>
        <v>3503</v>
      </c>
      <c r="K10" s="152"/>
      <c r="L10" s="152"/>
    </row>
    <row r="11" spans="1:12">
      <c r="A11" s="152"/>
      <c r="B11" s="347"/>
      <c r="C11" s="186" t="s">
        <v>314</v>
      </c>
      <c r="D11" s="269"/>
      <c r="E11" s="269"/>
      <c r="F11" s="126">
        <v>200</v>
      </c>
      <c r="G11" s="17">
        <v>1</v>
      </c>
      <c r="H11" s="43">
        <f t="shared" si="1"/>
        <v>200</v>
      </c>
      <c r="I11" s="60"/>
      <c r="J11" s="18">
        <f t="shared" si="2"/>
        <v>200</v>
      </c>
      <c r="K11" s="152"/>
      <c r="L11" s="152"/>
    </row>
    <row r="12" spans="1:12">
      <c r="A12" s="152"/>
      <c r="B12" s="347"/>
      <c r="C12" s="186" t="s">
        <v>315</v>
      </c>
      <c r="D12" s="269"/>
      <c r="E12" s="269"/>
      <c r="F12" s="126">
        <v>1125</v>
      </c>
      <c r="G12" s="17">
        <v>1</v>
      </c>
      <c r="H12" s="43">
        <f t="shared" si="1"/>
        <v>1125</v>
      </c>
      <c r="I12" s="60">
        <f t="shared" si="0"/>
        <v>146.25</v>
      </c>
      <c r="J12" s="18">
        <f t="shared" si="2"/>
        <v>1271.25</v>
      </c>
      <c r="K12" s="152"/>
      <c r="L12" s="152"/>
    </row>
    <row r="13" spans="1:12">
      <c r="A13" s="152"/>
      <c r="B13" s="347"/>
      <c r="C13" s="186" t="s">
        <v>316</v>
      </c>
      <c r="D13" s="269"/>
      <c r="E13" s="269"/>
      <c r="F13" s="126">
        <v>13</v>
      </c>
      <c r="G13" s="17">
        <v>18</v>
      </c>
      <c r="H13" s="43">
        <f t="shared" si="1"/>
        <v>234</v>
      </c>
      <c r="I13" s="60">
        <f t="shared" si="0"/>
        <v>30.42</v>
      </c>
      <c r="J13" s="18">
        <f t="shared" si="2"/>
        <v>264.42</v>
      </c>
      <c r="K13" s="152"/>
      <c r="L13" s="152"/>
    </row>
    <row r="14" spans="1:12">
      <c r="A14" s="152"/>
      <c r="B14" s="347"/>
      <c r="C14" s="186" t="s">
        <v>317</v>
      </c>
      <c r="D14" s="269" t="s">
        <v>318</v>
      </c>
      <c r="E14" s="269"/>
      <c r="F14" s="126">
        <v>10.5</v>
      </c>
      <c r="G14" s="17">
        <v>3</v>
      </c>
      <c r="H14" s="43">
        <f t="shared" si="1"/>
        <v>31.5</v>
      </c>
      <c r="I14" s="60">
        <f t="shared" si="0"/>
        <v>4.0949999999999998</v>
      </c>
      <c r="J14" s="18">
        <f t="shared" si="2"/>
        <v>35.594999999999999</v>
      </c>
      <c r="K14" s="152"/>
      <c r="L14" s="152"/>
    </row>
    <row r="15" spans="1:12">
      <c r="A15" s="152"/>
      <c r="B15" s="347"/>
      <c r="C15" s="186" t="s">
        <v>319</v>
      </c>
      <c r="D15" s="269"/>
      <c r="E15" s="269"/>
      <c r="F15" s="126">
        <v>465</v>
      </c>
      <c r="G15" s="17">
        <v>1</v>
      </c>
      <c r="H15" s="43">
        <f t="shared" si="1"/>
        <v>465</v>
      </c>
      <c r="I15" s="60">
        <f t="shared" si="0"/>
        <v>60.45</v>
      </c>
      <c r="J15" s="18">
        <f t="shared" si="2"/>
        <v>525.45000000000005</v>
      </c>
      <c r="K15" s="152"/>
      <c r="L15" s="152"/>
    </row>
    <row r="16" spans="1:12">
      <c r="A16" s="152"/>
      <c r="B16" s="347"/>
      <c r="C16" s="186" t="s">
        <v>320</v>
      </c>
      <c r="D16" s="269"/>
      <c r="E16" s="269"/>
      <c r="F16" s="126">
        <v>59.17</v>
      </c>
      <c r="G16" s="17">
        <v>1</v>
      </c>
      <c r="H16" s="43">
        <f t="shared" si="1"/>
        <v>59.17</v>
      </c>
      <c r="I16" s="60"/>
      <c r="J16" s="18">
        <f t="shared" si="2"/>
        <v>59.17</v>
      </c>
      <c r="K16" s="152"/>
      <c r="L16" s="152"/>
    </row>
    <row r="17" spans="2:12">
      <c r="B17" s="347"/>
      <c r="C17" s="186" t="s">
        <v>321</v>
      </c>
      <c r="D17" s="269"/>
      <c r="E17" s="269"/>
      <c r="F17" s="126">
        <v>500</v>
      </c>
      <c r="G17" s="17">
        <v>1</v>
      </c>
      <c r="H17" s="43">
        <f t="shared" si="1"/>
        <v>500</v>
      </c>
      <c r="I17" s="60">
        <f t="shared" si="0"/>
        <v>65</v>
      </c>
      <c r="J17" s="18">
        <f t="shared" si="2"/>
        <v>565</v>
      </c>
      <c r="K17" s="152"/>
      <c r="L17" s="152"/>
    </row>
    <row r="18" spans="2:12">
      <c r="B18" s="348"/>
      <c r="C18" s="187" t="s">
        <v>2</v>
      </c>
      <c r="D18" s="280" t="s">
        <v>322</v>
      </c>
      <c r="E18" s="330"/>
      <c r="F18" s="127">
        <v>-15</v>
      </c>
      <c r="G18" s="33">
        <v>500</v>
      </c>
      <c r="H18" s="90">
        <f t="shared" si="1"/>
        <v>-7500</v>
      </c>
      <c r="I18" s="130"/>
      <c r="J18" s="90">
        <f t="shared" si="2"/>
        <v>-7500</v>
      </c>
      <c r="K18" s="152"/>
      <c r="L18" s="152"/>
    </row>
    <row r="19" spans="2:12" ht="15" customHeight="1">
      <c r="B19" s="340" t="s">
        <v>323</v>
      </c>
      <c r="C19" s="184" t="s">
        <v>324</v>
      </c>
      <c r="D19" s="273"/>
      <c r="E19" s="277"/>
      <c r="F19" s="125">
        <v>33</v>
      </c>
      <c r="G19" s="15">
        <v>48</v>
      </c>
      <c r="H19" s="3">
        <f t="shared" si="1"/>
        <v>1584</v>
      </c>
      <c r="I19" s="129">
        <f t="shared" si="0"/>
        <v>205.92000000000002</v>
      </c>
      <c r="J19" s="3">
        <f t="shared" ref="J19:J29" si="3">H19+I19</f>
        <v>1789.92</v>
      </c>
      <c r="K19" s="71"/>
      <c r="L19" s="89"/>
    </row>
    <row r="20" spans="2:12">
      <c r="B20" s="347"/>
      <c r="C20" s="186" t="s">
        <v>325</v>
      </c>
      <c r="D20" s="269"/>
      <c r="E20" s="278"/>
      <c r="F20" s="126">
        <v>525</v>
      </c>
      <c r="G20" s="17">
        <v>1</v>
      </c>
      <c r="H20" s="18">
        <f t="shared" si="1"/>
        <v>525</v>
      </c>
      <c r="I20" s="60">
        <f t="shared" si="0"/>
        <v>68.25</v>
      </c>
      <c r="J20" s="18">
        <f t="shared" si="3"/>
        <v>593.25</v>
      </c>
      <c r="K20" s="152"/>
      <c r="L20" s="152"/>
    </row>
    <row r="21" spans="2:12">
      <c r="B21" s="347"/>
      <c r="C21" s="183" t="s">
        <v>316</v>
      </c>
      <c r="D21" s="274"/>
      <c r="E21" s="275"/>
      <c r="F21" s="128">
        <v>156</v>
      </c>
      <c r="G21" s="20">
        <v>2</v>
      </c>
      <c r="H21" s="7">
        <f t="shared" si="1"/>
        <v>312</v>
      </c>
      <c r="I21" s="131">
        <f t="shared" si="0"/>
        <v>40.56</v>
      </c>
      <c r="J21" s="7">
        <f t="shared" si="3"/>
        <v>352.56</v>
      </c>
      <c r="K21" s="152"/>
      <c r="L21" s="152"/>
    </row>
    <row r="22" spans="2:12">
      <c r="B22" s="348"/>
      <c r="C22" s="188" t="s">
        <v>2</v>
      </c>
      <c r="D22" s="274" t="s">
        <v>326</v>
      </c>
      <c r="E22" s="275"/>
      <c r="F22" s="128">
        <v>-38</v>
      </c>
      <c r="G22" s="20">
        <v>44</v>
      </c>
      <c r="H22" s="91">
        <f>F22*G22</f>
        <v>-1672</v>
      </c>
      <c r="I22" s="131"/>
      <c r="J22" s="91">
        <f>H22+I22</f>
        <v>-1672</v>
      </c>
      <c r="K22" s="152"/>
      <c r="L22" s="152"/>
    </row>
    <row r="23" spans="2:12">
      <c r="B23" s="182" t="s">
        <v>327</v>
      </c>
      <c r="C23" s="185" t="s">
        <v>328</v>
      </c>
      <c r="D23" s="280" t="s">
        <v>329</v>
      </c>
      <c r="E23" s="330"/>
      <c r="F23" s="127">
        <v>1000</v>
      </c>
      <c r="G23" s="33">
        <v>1</v>
      </c>
      <c r="H23" s="30">
        <f t="shared" si="1"/>
        <v>1000</v>
      </c>
      <c r="I23" s="130"/>
      <c r="J23" s="30">
        <f t="shared" si="3"/>
        <v>1000</v>
      </c>
      <c r="K23" s="71"/>
      <c r="L23" s="152"/>
    </row>
    <row r="24" spans="2:12">
      <c r="B24" s="340" t="s">
        <v>330</v>
      </c>
      <c r="C24" s="184" t="s">
        <v>331</v>
      </c>
      <c r="D24" s="273" t="s">
        <v>332</v>
      </c>
      <c r="E24" s="277"/>
      <c r="F24" s="125">
        <v>994</v>
      </c>
      <c r="G24" s="15">
        <v>1</v>
      </c>
      <c r="H24" s="3">
        <f t="shared" si="1"/>
        <v>994</v>
      </c>
      <c r="I24" s="129"/>
      <c r="J24" s="3">
        <f t="shared" si="3"/>
        <v>994</v>
      </c>
      <c r="K24" s="71"/>
      <c r="L24" s="89"/>
    </row>
    <row r="25" spans="2:12">
      <c r="B25" s="341"/>
      <c r="C25" s="186" t="s">
        <v>333</v>
      </c>
      <c r="D25" s="269" t="s">
        <v>334</v>
      </c>
      <c r="E25" s="278"/>
      <c r="F25" s="126">
        <v>5</v>
      </c>
      <c r="G25" s="17">
        <v>10</v>
      </c>
      <c r="H25" s="18">
        <f t="shared" si="1"/>
        <v>50</v>
      </c>
      <c r="I25" s="60">
        <f t="shared" si="0"/>
        <v>6.5</v>
      </c>
      <c r="J25" s="18">
        <f t="shared" si="3"/>
        <v>56.5</v>
      </c>
      <c r="K25" s="152"/>
      <c r="L25" s="152"/>
    </row>
    <row r="26" spans="2:12">
      <c r="B26" s="341"/>
      <c r="C26" s="186" t="s">
        <v>335</v>
      </c>
      <c r="D26" s="269" t="s">
        <v>336</v>
      </c>
      <c r="E26" s="278"/>
      <c r="F26" s="126">
        <v>3.59</v>
      </c>
      <c r="G26" s="17">
        <v>6</v>
      </c>
      <c r="H26" s="18">
        <f t="shared" si="1"/>
        <v>21.54</v>
      </c>
      <c r="I26" s="60">
        <f t="shared" si="0"/>
        <v>2.8001999999999998</v>
      </c>
      <c r="J26" s="18">
        <f t="shared" si="3"/>
        <v>24.340199999999999</v>
      </c>
      <c r="K26" s="152"/>
      <c r="L26" s="152"/>
    </row>
    <row r="27" spans="2:12">
      <c r="B27" s="341"/>
      <c r="C27" s="186" t="s">
        <v>337</v>
      </c>
      <c r="D27" s="269" t="s">
        <v>338</v>
      </c>
      <c r="E27" s="278"/>
      <c r="F27" s="126">
        <v>10.79</v>
      </c>
      <c r="G27" s="17">
        <v>1</v>
      </c>
      <c r="H27" s="18">
        <f>F27*G27</f>
        <v>10.79</v>
      </c>
      <c r="I27" s="60">
        <f t="shared" si="0"/>
        <v>1.4026999999999998</v>
      </c>
      <c r="J27" s="18">
        <f>H27+I27</f>
        <v>12.192699999999999</v>
      </c>
      <c r="K27" s="152"/>
      <c r="L27" s="152"/>
    </row>
    <row r="28" spans="2:12">
      <c r="B28" s="341"/>
      <c r="C28" s="183" t="s">
        <v>339</v>
      </c>
      <c r="D28" s="274" t="s">
        <v>340</v>
      </c>
      <c r="E28" s="275"/>
      <c r="F28" s="128">
        <v>4.75</v>
      </c>
      <c r="G28" s="20">
        <v>20</v>
      </c>
      <c r="H28" s="7">
        <f>F28*G28</f>
        <v>95</v>
      </c>
      <c r="I28" s="131">
        <f>H28*0.13</f>
        <v>12.35</v>
      </c>
      <c r="J28" s="7">
        <f>H28+I28</f>
        <v>107.35</v>
      </c>
      <c r="K28" s="152"/>
      <c r="L28" s="152"/>
    </row>
    <row r="29" spans="2:12">
      <c r="B29" s="342"/>
      <c r="C29" s="188" t="s">
        <v>2</v>
      </c>
      <c r="D29" s="274" t="s">
        <v>326</v>
      </c>
      <c r="E29" s="275"/>
      <c r="F29" s="128">
        <v>-5</v>
      </c>
      <c r="G29" s="20">
        <v>240</v>
      </c>
      <c r="H29" s="91">
        <f t="shared" si="1"/>
        <v>-1200</v>
      </c>
      <c r="I29" s="131"/>
      <c r="J29" s="91">
        <f t="shared" si="3"/>
        <v>-1200</v>
      </c>
      <c r="K29" s="152"/>
      <c r="L29" s="152"/>
    </row>
    <row r="30" spans="2:12" s="152" customFormat="1">
      <c r="B30" s="267"/>
      <c r="C30" s="267"/>
      <c r="D30" s="267"/>
      <c r="E30" s="267"/>
      <c r="F30" s="267"/>
      <c r="G30" s="267"/>
      <c r="H30" s="267"/>
      <c r="I30" s="267"/>
      <c r="J30" s="267"/>
    </row>
    <row r="31" spans="2:12" s="152" customFormat="1">
      <c r="B31" s="267"/>
      <c r="C31" s="267"/>
      <c r="D31" s="267"/>
      <c r="E31" s="267"/>
      <c r="F31" s="267"/>
      <c r="G31" s="267"/>
      <c r="H31" s="267"/>
      <c r="I31" s="267"/>
      <c r="J31" s="267"/>
    </row>
    <row r="32" spans="2:12">
      <c r="B32" s="267"/>
      <c r="C32" s="267"/>
      <c r="D32" s="267"/>
      <c r="E32" s="267"/>
      <c r="F32" s="267"/>
      <c r="G32" s="267"/>
      <c r="H32" s="267"/>
      <c r="I32" s="267"/>
      <c r="J32" s="267"/>
      <c r="K32" s="152"/>
      <c r="L32" s="152"/>
    </row>
    <row r="33" spans="2:11" s="152" customFormat="1">
      <c r="B33" s="267"/>
      <c r="C33" s="267"/>
      <c r="D33" s="267"/>
      <c r="E33" s="267"/>
      <c r="F33" s="267"/>
      <c r="G33" s="267"/>
      <c r="H33" s="267"/>
      <c r="I33" s="267"/>
      <c r="J33" s="267"/>
    </row>
    <row r="34" spans="2:11">
      <c r="B34" s="210" t="s">
        <v>341</v>
      </c>
      <c r="C34" s="211"/>
      <c r="D34" s="211"/>
      <c r="E34" s="211"/>
      <c r="F34" s="211"/>
      <c r="G34" s="212"/>
      <c r="H34" s="246">
        <f>SUM(J35:J47)</f>
        <v>1147.2438</v>
      </c>
      <c r="I34" s="247"/>
      <c r="J34" s="248"/>
      <c r="K34" s="174"/>
    </row>
    <row r="35" spans="2:11">
      <c r="B35" s="272" t="s">
        <v>342</v>
      </c>
      <c r="C35" s="273"/>
      <c r="D35" s="273"/>
      <c r="E35" s="277"/>
      <c r="F35" s="125">
        <v>600</v>
      </c>
      <c r="G35" s="15">
        <v>1</v>
      </c>
      <c r="H35" s="3">
        <f t="shared" ref="H35:H46" si="4">F35*G35</f>
        <v>600</v>
      </c>
      <c r="I35" s="129">
        <f t="shared" ref="I35:I46" si="5">H35*0.13</f>
        <v>78</v>
      </c>
      <c r="J35" s="3">
        <f t="shared" ref="J35:J46" si="6">H35+I35</f>
        <v>678</v>
      </c>
      <c r="K35" s="174"/>
    </row>
    <row r="36" spans="2:11">
      <c r="B36" s="268" t="s">
        <v>343</v>
      </c>
      <c r="C36" s="269"/>
      <c r="D36" s="269"/>
      <c r="E36" s="278"/>
      <c r="F36" s="126">
        <v>9.99</v>
      </c>
      <c r="G36" s="17">
        <v>3</v>
      </c>
      <c r="H36" s="18">
        <f t="shared" si="4"/>
        <v>29.97</v>
      </c>
      <c r="I36" s="60">
        <f t="shared" si="5"/>
        <v>3.8961000000000001</v>
      </c>
      <c r="J36" s="18">
        <f t="shared" si="6"/>
        <v>33.866099999999996</v>
      </c>
      <c r="K36" s="174"/>
    </row>
    <row r="37" spans="2:11">
      <c r="B37" s="268" t="s">
        <v>344</v>
      </c>
      <c r="C37" s="269"/>
      <c r="D37" s="269"/>
      <c r="E37" s="278"/>
      <c r="F37" s="126">
        <v>50</v>
      </c>
      <c r="G37" s="17">
        <v>1</v>
      </c>
      <c r="H37" s="18">
        <f t="shared" si="4"/>
        <v>50</v>
      </c>
      <c r="I37" s="60">
        <f t="shared" si="5"/>
        <v>6.5</v>
      </c>
      <c r="J37" s="18">
        <f t="shared" si="6"/>
        <v>56.5</v>
      </c>
      <c r="K37" s="174"/>
    </row>
    <row r="38" spans="2:11">
      <c r="B38" s="268" t="s">
        <v>233</v>
      </c>
      <c r="C38" s="269"/>
      <c r="D38" s="269"/>
      <c r="E38" s="278"/>
      <c r="F38" s="126">
        <v>25.65</v>
      </c>
      <c r="G38" s="17">
        <v>1</v>
      </c>
      <c r="H38" s="18">
        <f t="shared" si="4"/>
        <v>25.65</v>
      </c>
      <c r="I38" s="60">
        <f t="shared" si="5"/>
        <v>3.3344999999999998</v>
      </c>
      <c r="J38" s="18">
        <f t="shared" si="6"/>
        <v>28.984499999999997</v>
      </c>
      <c r="K38" s="174"/>
    </row>
    <row r="39" spans="2:11">
      <c r="B39" s="268" t="s">
        <v>345</v>
      </c>
      <c r="C39" s="269"/>
      <c r="D39" s="269"/>
      <c r="E39" s="278"/>
      <c r="F39" s="126">
        <v>5.08</v>
      </c>
      <c r="G39" s="17">
        <v>1</v>
      </c>
      <c r="H39" s="18">
        <f t="shared" si="4"/>
        <v>5.08</v>
      </c>
      <c r="I39" s="60">
        <f t="shared" si="5"/>
        <v>0.66039999999999999</v>
      </c>
      <c r="J39" s="18">
        <f t="shared" si="6"/>
        <v>5.7404000000000002</v>
      </c>
      <c r="K39" s="174"/>
    </row>
    <row r="40" spans="2:11">
      <c r="B40" s="268" t="s">
        <v>346</v>
      </c>
      <c r="C40" s="269"/>
      <c r="D40" s="269"/>
      <c r="E40" s="278"/>
      <c r="F40" s="126">
        <v>0.5</v>
      </c>
      <c r="G40" s="17">
        <v>75</v>
      </c>
      <c r="H40" s="18">
        <f t="shared" si="4"/>
        <v>37.5</v>
      </c>
      <c r="I40" s="60">
        <f t="shared" si="5"/>
        <v>4.875</v>
      </c>
      <c r="J40" s="18">
        <f t="shared" si="6"/>
        <v>42.375</v>
      </c>
      <c r="K40" s="174"/>
    </row>
    <row r="41" spans="2:11">
      <c r="B41" s="268" t="s">
        <v>347</v>
      </c>
      <c r="C41" s="269"/>
      <c r="D41" s="269"/>
      <c r="E41" s="278"/>
      <c r="F41" s="126">
        <v>14.99</v>
      </c>
      <c r="G41" s="17">
        <v>2</v>
      </c>
      <c r="H41" s="18">
        <f t="shared" si="4"/>
        <v>29.98</v>
      </c>
      <c r="I41" s="60">
        <f t="shared" si="5"/>
        <v>3.8974000000000002</v>
      </c>
      <c r="J41" s="18">
        <f t="shared" si="6"/>
        <v>33.877400000000002</v>
      </c>
      <c r="K41" s="174"/>
    </row>
    <row r="42" spans="2:11">
      <c r="B42" s="268" t="s">
        <v>348</v>
      </c>
      <c r="C42" s="269"/>
      <c r="D42" s="269"/>
      <c r="E42" s="278"/>
      <c r="F42" s="126">
        <v>9.99</v>
      </c>
      <c r="G42" s="17">
        <v>2</v>
      </c>
      <c r="H42" s="18">
        <f t="shared" si="4"/>
        <v>19.98</v>
      </c>
      <c r="I42" s="60">
        <f t="shared" si="5"/>
        <v>2.5973999999999999</v>
      </c>
      <c r="J42" s="18">
        <f t="shared" si="6"/>
        <v>22.577400000000001</v>
      </c>
      <c r="K42" s="174"/>
    </row>
    <row r="43" spans="2:11">
      <c r="B43" s="268" t="s">
        <v>349</v>
      </c>
      <c r="C43" s="269"/>
      <c r="D43" s="269" t="s">
        <v>350</v>
      </c>
      <c r="E43" s="278"/>
      <c r="F43" s="126">
        <v>200</v>
      </c>
      <c r="G43" s="17">
        <v>1</v>
      </c>
      <c r="H43" s="18">
        <f t="shared" si="4"/>
        <v>200</v>
      </c>
      <c r="I43" s="60">
        <f t="shared" si="5"/>
        <v>26</v>
      </c>
      <c r="J43" s="84">
        <f>H43+I43</f>
        <v>226</v>
      </c>
      <c r="K43" s="174"/>
    </row>
    <row r="44" spans="2:11">
      <c r="B44" s="268" t="s">
        <v>351</v>
      </c>
      <c r="C44" s="269"/>
      <c r="D44" s="269"/>
      <c r="E44" s="278"/>
      <c r="F44" s="126">
        <v>0.56999999999999995</v>
      </c>
      <c r="G44" s="17">
        <v>30</v>
      </c>
      <c r="H44" s="18">
        <f t="shared" si="4"/>
        <v>17.099999999999998</v>
      </c>
      <c r="I44" s="60">
        <f t="shared" si="5"/>
        <v>2.2229999999999999</v>
      </c>
      <c r="J44" s="18">
        <f t="shared" si="6"/>
        <v>19.322999999999997</v>
      </c>
      <c r="K44" s="174"/>
    </row>
    <row r="45" spans="2:11">
      <c r="B45" s="268" t="s">
        <v>352</v>
      </c>
      <c r="C45" s="269"/>
      <c r="D45" s="269" t="s">
        <v>353</v>
      </c>
      <c r="E45" s="278"/>
      <c r="F45" s="126">
        <v>50</v>
      </c>
      <c r="G45" s="17">
        <v>1</v>
      </c>
      <c r="H45" s="18">
        <f t="shared" si="4"/>
        <v>50</v>
      </c>
      <c r="I45" s="60">
        <f t="shared" si="5"/>
        <v>6.5</v>
      </c>
      <c r="J45" s="84">
        <f>H45+I45</f>
        <v>56.5</v>
      </c>
      <c r="K45" s="174"/>
    </row>
    <row r="46" spans="2:11">
      <c r="B46" s="276" t="s">
        <v>354</v>
      </c>
      <c r="C46" s="274"/>
      <c r="D46" s="274"/>
      <c r="E46" s="275"/>
      <c r="F46" s="128">
        <v>150</v>
      </c>
      <c r="G46" s="20">
        <v>1</v>
      </c>
      <c r="H46" s="7">
        <f t="shared" si="4"/>
        <v>150</v>
      </c>
      <c r="I46" s="131">
        <f t="shared" si="5"/>
        <v>19.5</v>
      </c>
      <c r="J46" s="7">
        <f t="shared" si="6"/>
        <v>169.5</v>
      </c>
      <c r="K46" s="174"/>
    </row>
    <row r="47" spans="2:11" s="46" customFormat="1">
      <c r="B47" s="310" t="s">
        <v>198</v>
      </c>
      <c r="C47" s="311"/>
      <c r="D47" s="269"/>
      <c r="E47" s="278"/>
      <c r="F47" s="126">
        <v>-200</v>
      </c>
      <c r="G47" s="17">
        <v>1</v>
      </c>
      <c r="H47" s="59">
        <f>F47*G47</f>
        <v>-200</v>
      </c>
      <c r="I47" s="132">
        <f>H47*0.13</f>
        <v>-26</v>
      </c>
      <c r="J47" s="59">
        <f>H47+I47</f>
        <v>-226</v>
      </c>
    </row>
    <row r="48" spans="2:11">
      <c r="B48" s="336"/>
      <c r="C48" s="336"/>
      <c r="D48" s="336"/>
      <c r="E48" s="336"/>
      <c r="F48" s="336"/>
      <c r="G48" s="336"/>
      <c r="H48" s="336"/>
      <c r="I48" s="336"/>
      <c r="J48" s="336"/>
      <c r="K48" s="152"/>
    </row>
    <row r="49" spans="2:15">
      <c r="B49" s="210" t="s">
        <v>355</v>
      </c>
      <c r="C49" s="211"/>
      <c r="D49" s="211"/>
      <c r="E49" s="211"/>
      <c r="F49" s="211"/>
      <c r="G49" s="212"/>
      <c r="H49" s="246">
        <f>SUM(J50:J54)</f>
        <v>303.84320000000002</v>
      </c>
      <c r="I49" s="247"/>
      <c r="J49" s="248"/>
      <c r="K49" s="152"/>
      <c r="L49" s="152"/>
      <c r="M49" s="152"/>
      <c r="N49" s="152"/>
      <c r="O49" s="152"/>
    </row>
    <row r="50" spans="2:15">
      <c r="B50" s="268" t="s">
        <v>356</v>
      </c>
      <c r="C50" s="269"/>
      <c r="D50" s="269"/>
      <c r="E50" s="278"/>
      <c r="F50" s="126">
        <v>32.04</v>
      </c>
      <c r="G50" s="17">
        <v>1</v>
      </c>
      <c r="H50" s="18">
        <f t="shared" ref="H50:H54" si="7">F50*G50</f>
        <v>32.04</v>
      </c>
      <c r="I50" s="60">
        <f t="shared" ref="I50:I54" si="8">H50*0.13</f>
        <v>4.1652000000000005</v>
      </c>
      <c r="J50" s="18">
        <f>H50+I50</f>
        <v>36.205199999999998</v>
      </c>
      <c r="K50" s="152"/>
      <c r="L50" s="152"/>
      <c r="M50" s="152"/>
      <c r="N50" s="152"/>
      <c r="O50" s="152"/>
    </row>
    <row r="51" spans="2:15">
      <c r="B51" s="268" t="s">
        <v>357</v>
      </c>
      <c r="C51" s="269"/>
      <c r="D51" s="269" t="s">
        <v>358</v>
      </c>
      <c r="E51" s="278"/>
      <c r="F51" s="126">
        <v>107.46</v>
      </c>
      <c r="G51" s="17">
        <v>1</v>
      </c>
      <c r="H51" s="18">
        <f t="shared" si="7"/>
        <v>107.46</v>
      </c>
      <c r="I51" s="60">
        <f t="shared" si="8"/>
        <v>13.969799999999999</v>
      </c>
      <c r="J51" s="18">
        <f>H51+I51</f>
        <v>121.4298</v>
      </c>
      <c r="K51" s="152"/>
      <c r="L51" s="152"/>
      <c r="M51" s="152"/>
      <c r="N51" s="152"/>
      <c r="O51" s="152"/>
    </row>
    <row r="52" spans="2:15">
      <c r="B52" s="268" t="s">
        <v>359</v>
      </c>
      <c r="C52" s="269"/>
      <c r="D52" s="269"/>
      <c r="E52" s="278"/>
      <c r="F52" s="126">
        <v>49</v>
      </c>
      <c r="G52" s="17">
        <v>1</v>
      </c>
      <c r="H52" s="18">
        <f t="shared" si="7"/>
        <v>49</v>
      </c>
      <c r="I52" s="60">
        <f t="shared" si="8"/>
        <v>6.37</v>
      </c>
      <c r="J52" s="18">
        <f>H52+I52</f>
        <v>55.37</v>
      </c>
      <c r="K52" s="152"/>
      <c r="L52" s="152"/>
      <c r="M52" s="152"/>
      <c r="N52" s="152"/>
      <c r="O52" s="152"/>
    </row>
    <row r="53" spans="2:15">
      <c r="B53" s="268" t="s">
        <v>360</v>
      </c>
      <c r="C53" s="269"/>
      <c r="D53" s="269" t="s">
        <v>361</v>
      </c>
      <c r="E53" s="278"/>
      <c r="F53" s="126">
        <v>50</v>
      </c>
      <c r="G53" s="17">
        <v>1</v>
      </c>
      <c r="H53" s="18">
        <f t="shared" si="7"/>
        <v>50</v>
      </c>
      <c r="I53" s="60"/>
      <c r="J53" s="18">
        <f>H53+I53</f>
        <v>50</v>
      </c>
      <c r="K53" s="152"/>
      <c r="L53" s="152"/>
      <c r="M53" s="152"/>
      <c r="N53" s="152"/>
      <c r="O53" s="152"/>
    </row>
    <row r="54" spans="2:15">
      <c r="B54" s="276" t="s">
        <v>165</v>
      </c>
      <c r="C54" s="274"/>
      <c r="D54" s="274" t="s">
        <v>362</v>
      </c>
      <c r="E54" s="275"/>
      <c r="F54" s="128">
        <v>36.14</v>
      </c>
      <c r="G54" s="20">
        <v>1</v>
      </c>
      <c r="H54" s="7">
        <f t="shared" si="7"/>
        <v>36.14</v>
      </c>
      <c r="I54" s="131">
        <f t="shared" si="8"/>
        <v>4.6981999999999999</v>
      </c>
      <c r="J54" s="7">
        <f>H54+I54</f>
        <v>40.838200000000001</v>
      </c>
      <c r="K54" s="152"/>
      <c r="L54" s="152"/>
      <c r="M54" s="152"/>
      <c r="N54" s="152"/>
      <c r="O54" s="152"/>
    </row>
    <row r="55" spans="2:15">
      <c r="B55" s="336"/>
      <c r="C55" s="336"/>
      <c r="D55" s="336"/>
      <c r="E55" s="336"/>
      <c r="F55" s="336"/>
      <c r="G55" s="336"/>
      <c r="H55" s="336"/>
      <c r="I55" s="336"/>
      <c r="J55" s="336"/>
      <c r="K55" s="152"/>
      <c r="L55" s="152"/>
      <c r="M55" s="152"/>
      <c r="N55" s="152"/>
      <c r="O55" s="152"/>
    </row>
    <row r="56" spans="2:15" s="46" customFormat="1">
      <c r="B56" s="210" t="s">
        <v>363</v>
      </c>
      <c r="C56" s="211"/>
      <c r="D56" s="211"/>
      <c r="E56" s="211"/>
      <c r="F56" s="211"/>
      <c r="G56" s="212"/>
      <c r="H56" s="246">
        <f>SUM(J57:J64)</f>
        <v>2021.3000000000002</v>
      </c>
      <c r="I56" s="247"/>
      <c r="J56" s="248"/>
      <c r="K56" s="46" t="s">
        <v>364</v>
      </c>
    </row>
    <row r="57" spans="2:15" s="46" customFormat="1">
      <c r="B57" s="268" t="s">
        <v>365</v>
      </c>
      <c r="C57" s="269"/>
      <c r="D57" s="269" t="s">
        <v>315</v>
      </c>
      <c r="E57" s="278"/>
      <c r="F57" s="126">
        <v>2000</v>
      </c>
      <c r="G57" s="17">
        <v>1</v>
      </c>
      <c r="H57" s="25">
        <f t="shared" ref="H57:H61" si="9">F57*G57</f>
        <v>2000</v>
      </c>
      <c r="I57" s="132"/>
      <c r="J57" s="25">
        <f t="shared" ref="J57:J61" si="10">H57+I57</f>
        <v>2000</v>
      </c>
    </row>
    <row r="58" spans="2:15" s="46" customFormat="1">
      <c r="B58" s="268" t="s">
        <v>366</v>
      </c>
      <c r="C58" s="269"/>
      <c r="D58" s="269" t="s">
        <v>367</v>
      </c>
      <c r="E58" s="278"/>
      <c r="F58" s="126">
        <v>350</v>
      </c>
      <c r="G58" s="17">
        <v>1</v>
      </c>
      <c r="H58" s="25">
        <f t="shared" si="9"/>
        <v>350</v>
      </c>
      <c r="I58" s="132">
        <f t="shared" ref="I58:I61" si="11">H58*0.13</f>
        <v>45.5</v>
      </c>
      <c r="J58" s="25">
        <f t="shared" si="10"/>
        <v>395.5</v>
      </c>
    </row>
    <row r="59" spans="2:15" s="46" customFormat="1">
      <c r="B59" s="268" t="s">
        <v>368</v>
      </c>
      <c r="C59" s="269"/>
      <c r="D59" s="269"/>
      <c r="E59" s="278"/>
      <c r="F59" s="133">
        <v>110</v>
      </c>
      <c r="G59" s="17">
        <v>1</v>
      </c>
      <c r="H59" s="25">
        <f t="shared" si="9"/>
        <v>110</v>
      </c>
      <c r="I59" s="132">
        <f t="shared" si="11"/>
        <v>14.3</v>
      </c>
      <c r="J59" s="25">
        <f t="shared" si="10"/>
        <v>124.3</v>
      </c>
    </row>
    <row r="60" spans="2:15" s="46" customFormat="1">
      <c r="B60" s="268" t="s">
        <v>369</v>
      </c>
      <c r="C60" s="269"/>
      <c r="D60" s="269" t="s">
        <v>370</v>
      </c>
      <c r="E60" s="278"/>
      <c r="F60" s="126">
        <v>480</v>
      </c>
      <c r="G60" s="17">
        <v>1</v>
      </c>
      <c r="H60" s="25">
        <f>F60*G60</f>
        <v>480</v>
      </c>
      <c r="I60" s="132">
        <f>H60*0.13</f>
        <v>62.400000000000006</v>
      </c>
      <c r="J60" s="25">
        <f>H60+I60</f>
        <v>542.4</v>
      </c>
    </row>
    <row r="61" spans="2:15" s="46" customFormat="1">
      <c r="B61" s="268" t="s">
        <v>371</v>
      </c>
      <c r="C61" s="269"/>
      <c r="D61" s="269"/>
      <c r="E61" s="278"/>
      <c r="F61" s="126">
        <v>70</v>
      </c>
      <c r="G61" s="17">
        <v>1</v>
      </c>
      <c r="H61" s="25">
        <f t="shared" si="9"/>
        <v>70</v>
      </c>
      <c r="I61" s="132">
        <f t="shared" si="11"/>
        <v>9.1</v>
      </c>
      <c r="J61" s="25">
        <f t="shared" si="10"/>
        <v>79.099999999999994</v>
      </c>
    </row>
    <row r="62" spans="2:15" s="46" customFormat="1">
      <c r="B62" s="276" t="s">
        <v>372</v>
      </c>
      <c r="C62" s="274"/>
      <c r="D62" s="274"/>
      <c r="E62" s="275"/>
      <c r="F62" s="128">
        <v>87</v>
      </c>
      <c r="G62" s="20">
        <v>1</v>
      </c>
      <c r="H62" s="27">
        <f>F62*G62</f>
        <v>87</v>
      </c>
      <c r="I62" s="134"/>
      <c r="J62" s="27">
        <f>H62+I62</f>
        <v>87</v>
      </c>
      <c r="O62" s="47"/>
    </row>
    <row r="63" spans="2:15" s="46" customFormat="1">
      <c r="B63" s="310" t="s">
        <v>198</v>
      </c>
      <c r="C63" s="311"/>
      <c r="D63" s="269" t="s">
        <v>373</v>
      </c>
      <c r="E63" s="278"/>
      <c r="F63" s="126">
        <v>-87</v>
      </c>
      <c r="G63" s="17">
        <v>1</v>
      </c>
      <c r="H63" s="59">
        <f>F63*G63</f>
        <v>-87</v>
      </c>
      <c r="I63" s="132"/>
      <c r="J63" s="59">
        <f>H63+I63</f>
        <v>-87</v>
      </c>
    </row>
    <row r="64" spans="2:15" s="46" customFormat="1">
      <c r="B64" s="276"/>
      <c r="C64" s="274"/>
      <c r="D64" s="274" t="s">
        <v>374</v>
      </c>
      <c r="E64" s="275"/>
      <c r="F64" s="128">
        <v>-20</v>
      </c>
      <c r="G64" s="20">
        <v>56</v>
      </c>
      <c r="H64" s="93">
        <f>F64*G64</f>
        <v>-1120</v>
      </c>
      <c r="I64" s="134"/>
      <c r="J64" s="93">
        <f>H64+I64</f>
        <v>-1120</v>
      </c>
    </row>
    <row r="65" spans="2:11">
      <c r="B65" s="267"/>
      <c r="C65" s="267"/>
      <c r="D65" s="267"/>
      <c r="E65" s="267"/>
      <c r="F65" s="267"/>
      <c r="G65" s="267"/>
      <c r="H65" s="267"/>
      <c r="I65" s="267"/>
      <c r="J65" s="267"/>
      <c r="K65" s="152"/>
    </row>
    <row r="66" spans="2:11">
      <c r="B66" s="210" t="s">
        <v>375</v>
      </c>
      <c r="C66" s="211"/>
      <c r="D66" s="211"/>
      <c r="E66" s="211"/>
      <c r="F66" s="211"/>
      <c r="G66" s="212"/>
      <c r="H66" s="246">
        <f>SUM(J67:J74)</f>
        <v>0</v>
      </c>
      <c r="I66" s="247"/>
      <c r="J66" s="248"/>
      <c r="K66" s="152"/>
    </row>
    <row r="67" spans="2:11">
      <c r="B67" s="272" t="s">
        <v>376</v>
      </c>
      <c r="C67" s="273"/>
      <c r="D67" s="273" t="s">
        <v>377</v>
      </c>
      <c r="E67" s="273"/>
      <c r="F67" s="135">
        <v>150</v>
      </c>
      <c r="G67" s="77">
        <v>1</v>
      </c>
      <c r="H67" s="94">
        <f t="shared" ref="H67" si="12">F67*G67</f>
        <v>150</v>
      </c>
      <c r="I67" s="138">
        <f>H67*0.13</f>
        <v>19.5</v>
      </c>
      <c r="J67" s="40">
        <f t="shared" ref="J67" si="13">H67+I67</f>
        <v>169.5</v>
      </c>
      <c r="K67" s="152"/>
    </row>
    <row r="68" spans="2:11">
      <c r="B68" s="268" t="s">
        <v>378</v>
      </c>
      <c r="C68" s="269"/>
      <c r="D68" s="269" t="s">
        <v>379</v>
      </c>
      <c r="E68" s="269"/>
      <c r="F68" s="136">
        <v>200</v>
      </c>
      <c r="G68" s="79">
        <v>1</v>
      </c>
      <c r="H68" s="95">
        <f>F68*G68</f>
        <v>200</v>
      </c>
      <c r="I68" s="132">
        <f>H68*0.13</f>
        <v>26</v>
      </c>
      <c r="J68" s="43">
        <f>H68+I68</f>
        <v>226</v>
      </c>
      <c r="K68" s="152"/>
    </row>
    <row r="69" spans="2:11">
      <c r="B69" s="268" t="s">
        <v>380</v>
      </c>
      <c r="C69" s="269"/>
      <c r="D69" s="269" t="s">
        <v>381</v>
      </c>
      <c r="E69" s="269"/>
      <c r="F69" s="136">
        <v>80</v>
      </c>
      <c r="G69" s="79">
        <v>1</v>
      </c>
      <c r="H69" s="95">
        <f>F69*G69</f>
        <v>80</v>
      </c>
      <c r="I69" s="132">
        <f t="shared" ref="I69:I72" si="14">H69*0.13</f>
        <v>10.4</v>
      </c>
      <c r="J69" s="43">
        <f>H69+I69</f>
        <v>90.4</v>
      </c>
      <c r="K69" s="152"/>
    </row>
    <row r="70" spans="2:11">
      <c r="B70" s="268" t="s">
        <v>382</v>
      </c>
      <c r="C70" s="269"/>
      <c r="D70" s="269" t="s">
        <v>383</v>
      </c>
      <c r="E70" s="269"/>
      <c r="F70" s="136">
        <v>600</v>
      </c>
      <c r="G70" s="79">
        <v>1</v>
      </c>
      <c r="H70" s="96">
        <f t="shared" ref="H70:H73" si="15">F70*G70</f>
        <v>600</v>
      </c>
      <c r="I70" s="132">
        <f t="shared" si="14"/>
        <v>78</v>
      </c>
      <c r="J70" s="80">
        <f t="shared" ref="J70:J73" si="16">H70+I70</f>
        <v>678</v>
      </c>
      <c r="K70" s="152"/>
    </row>
    <row r="71" spans="2:11">
      <c r="B71" s="268" t="s">
        <v>384</v>
      </c>
      <c r="C71" s="269"/>
      <c r="D71" s="269" t="s">
        <v>385</v>
      </c>
      <c r="E71" s="269"/>
      <c r="F71" s="136">
        <v>30</v>
      </c>
      <c r="G71" s="79">
        <v>1</v>
      </c>
      <c r="H71" s="95">
        <f t="shared" si="15"/>
        <v>30</v>
      </c>
      <c r="I71" s="132">
        <f t="shared" si="14"/>
        <v>3.9000000000000004</v>
      </c>
      <c r="J71" s="43">
        <f t="shared" si="16"/>
        <v>33.9</v>
      </c>
      <c r="K71" s="152"/>
    </row>
    <row r="72" spans="2:11">
      <c r="B72" s="268" t="s">
        <v>386</v>
      </c>
      <c r="C72" s="269"/>
      <c r="D72" s="269" t="s">
        <v>82</v>
      </c>
      <c r="E72" s="269"/>
      <c r="F72" s="136">
        <v>120</v>
      </c>
      <c r="G72" s="79">
        <v>1</v>
      </c>
      <c r="H72" s="95">
        <f t="shared" si="15"/>
        <v>120</v>
      </c>
      <c r="I72" s="132">
        <f t="shared" si="14"/>
        <v>15.600000000000001</v>
      </c>
      <c r="J72" s="43">
        <f t="shared" si="16"/>
        <v>135.6</v>
      </c>
      <c r="K72" s="152"/>
    </row>
    <row r="73" spans="2:11">
      <c r="B73" s="351" t="s">
        <v>2</v>
      </c>
      <c r="C73" s="352"/>
      <c r="D73" s="239" t="s">
        <v>387</v>
      </c>
      <c r="E73" s="240"/>
      <c r="F73" s="137">
        <f>-1333.4</f>
        <v>-1333.4</v>
      </c>
      <c r="G73" s="15">
        <v>1</v>
      </c>
      <c r="H73" s="97">
        <f t="shared" si="15"/>
        <v>-1333.4</v>
      </c>
      <c r="I73" s="129"/>
      <c r="J73" s="97">
        <f t="shared" si="16"/>
        <v>-1333.4</v>
      </c>
      <c r="K73" s="89"/>
    </row>
    <row r="74" spans="2:11">
      <c r="B74" s="336"/>
      <c r="C74" s="336"/>
      <c r="D74" s="336"/>
      <c r="E74" s="336"/>
      <c r="F74" s="336"/>
      <c r="G74" s="336"/>
      <c r="H74" s="336"/>
      <c r="I74" s="336"/>
      <c r="J74" s="336"/>
      <c r="K74" s="152"/>
    </row>
    <row r="75" spans="2:11">
      <c r="B75" s="210" t="s">
        <v>388</v>
      </c>
      <c r="C75" s="211"/>
      <c r="D75" s="211"/>
      <c r="E75" s="211"/>
      <c r="F75" s="211"/>
      <c r="G75" s="212"/>
      <c r="H75" s="246">
        <f>SUM(J76:J94)</f>
        <v>-260.96559999999994</v>
      </c>
      <c r="I75" s="247"/>
      <c r="J75" s="248"/>
      <c r="K75" s="152"/>
    </row>
    <row r="76" spans="2:11" ht="15" customHeight="1">
      <c r="B76" s="340" t="s">
        <v>389</v>
      </c>
      <c r="C76" s="184" t="s">
        <v>390</v>
      </c>
      <c r="D76" s="273"/>
      <c r="E76" s="277"/>
      <c r="F76" s="125">
        <v>500</v>
      </c>
      <c r="G76" s="15">
        <v>1</v>
      </c>
      <c r="H76" s="3">
        <f t="shared" ref="H76:H93" si="17">F76*G76</f>
        <v>500</v>
      </c>
      <c r="I76" s="129"/>
      <c r="J76" s="3">
        <f t="shared" ref="J76:J93" si="18">H76+I76</f>
        <v>500</v>
      </c>
      <c r="K76" s="71"/>
    </row>
    <row r="77" spans="2:11">
      <c r="B77" s="347"/>
      <c r="C77" s="186" t="s">
        <v>391</v>
      </c>
      <c r="D77" s="269" t="s">
        <v>392</v>
      </c>
      <c r="E77" s="278"/>
      <c r="F77" s="126">
        <v>0</v>
      </c>
      <c r="G77" s="17">
        <v>1</v>
      </c>
      <c r="H77" s="18">
        <f t="shared" si="17"/>
        <v>0</v>
      </c>
      <c r="I77" s="60"/>
      <c r="J77" s="18">
        <f t="shared" si="18"/>
        <v>0</v>
      </c>
      <c r="K77" s="152"/>
    </row>
    <row r="78" spans="2:11">
      <c r="B78" s="348"/>
      <c r="C78" s="187" t="s">
        <v>2</v>
      </c>
      <c r="D78" s="239" t="s">
        <v>393</v>
      </c>
      <c r="E78" s="240"/>
      <c r="F78" s="139">
        <v>-5</v>
      </c>
      <c r="G78" s="15">
        <v>100</v>
      </c>
      <c r="H78" s="97">
        <f>F78*G78</f>
        <v>-500</v>
      </c>
      <c r="I78" s="129"/>
      <c r="J78" s="97">
        <f>H78+I78</f>
        <v>-500</v>
      </c>
      <c r="K78" s="89"/>
    </row>
    <row r="79" spans="2:11" ht="15" customHeight="1">
      <c r="B79" s="340" t="s">
        <v>394</v>
      </c>
      <c r="C79" s="184" t="s">
        <v>116</v>
      </c>
      <c r="D79" s="273" t="s">
        <v>395</v>
      </c>
      <c r="E79" s="277"/>
      <c r="F79" s="125">
        <v>9.99</v>
      </c>
      <c r="G79" s="15">
        <v>6</v>
      </c>
      <c r="H79" s="3">
        <f t="shared" si="17"/>
        <v>59.94</v>
      </c>
      <c r="I79" s="129">
        <f>H79*0.13</f>
        <v>7.7922000000000002</v>
      </c>
      <c r="J79" s="3">
        <f t="shared" si="18"/>
        <v>67.732199999999992</v>
      </c>
      <c r="K79" s="71"/>
    </row>
    <row r="80" spans="2:11">
      <c r="B80" s="347"/>
      <c r="C80" s="186" t="s">
        <v>113</v>
      </c>
      <c r="D80" s="269" t="s">
        <v>396</v>
      </c>
      <c r="E80" s="278"/>
      <c r="F80" s="126">
        <v>4</v>
      </c>
      <c r="G80" s="17">
        <v>3</v>
      </c>
      <c r="H80" s="18">
        <f t="shared" si="17"/>
        <v>12</v>
      </c>
      <c r="I80" s="60">
        <f>H80*0.13</f>
        <v>1.56</v>
      </c>
      <c r="J80" s="18">
        <f t="shared" si="18"/>
        <v>13.56</v>
      </c>
      <c r="K80" s="152"/>
    </row>
    <row r="81" spans="2:11">
      <c r="B81" s="347"/>
      <c r="C81" s="186" t="s">
        <v>397</v>
      </c>
      <c r="D81" s="269" t="s">
        <v>396</v>
      </c>
      <c r="E81" s="278"/>
      <c r="F81" s="126">
        <v>2.4900000000000002</v>
      </c>
      <c r="G81" s="17">
        <v>4</v>
      </c>
      <c r="H81" s="18">
        <f t="shared" si="17"/>
        <v>9.9600000000000009</v>
      </c>
      <c r="I81" s="60">
        <f>H81*0.13</f>
        <v>1.2948000000000002</v>
      </c>
      <c r="J81" s="18">
        <f t="shared" si="18"/>
        <v>11.254800000000001</v>
      </c>
      <c r="K81" s="152"/>
    </row>
    <row r="82" spans="2:11">
      <c r="B82" s="348"/>
      <c r="C82" s="187" t="s">
        <v>2</v>
      </c>
      <c r="D82" s="239" t="s">
        <v>393</v>
      </c>
      <c r="E82" s="240"/>
      <c r="F82" s="139">
        <v>-2</v>
      </c>
      <c r="G82" s="15">
        <v>200</v>
      </c>
      <c r="H82" s="97">
        <f t="shared" si="17"/>
        <v>-400</v>
      </c>
      <c r="I82" s="129"/>
      <c r="J82" s="97">
        <f t="shared" si="18"/>
        <v>-400</v>
      </c>
      <c r="K82" s="89"/>
    </row>
    <row r="83" spans="2:11" ht="15" customHeight="1">
      <c r="B83" s="340" t="s">
        <v>398</v>
      </c>
      <c r="C83" s="184" t="s">
        <v>399</v>
      </c>
      <c r="D83" s="273" t="s">
        <v>400</v>
      </c>
      <c r="E83" s="277"/>
      <c r="F83" s="125">
        <v>500</v>
      </c>
      <c r="G83" s="15">
        <v>1</v>
      </c>
      <c r="H83" s="3">
        <f t="shared" si="17"/>
        <v>500</v>
      </c>
      <c r="I83" s="129">
        <v>0</v>
      </c>
      <c r="J83" s="3">
        <f t="shared" si="18"/>
        <v>500</v>
      </c>
      <c r="K83" s="71"/>
    </row>
    <row r="84" spans="2:11">
      <c r="B84" s="347"/>
      <c r="C84" s="186" t="s">
        <v>401</v>
      </c>
      <c r="D84" s="269" t="s">
        <v>402</v>
      </c>
      <c r="E84" s="278"/>
      <c r="F84" s="126">
        <v>45</v>
      </c>
      <c r="G84" s="17">
        <v>1</v>
      </c>
      <c r="H84" s="18">
        <f t="shared" si="17"/>
        <v>45</v>
      </c>
      <c r="I84" s="60">
        <f t="shared" ref="I84:I89" si="19">H84*0.13</f>
        <v>5.8500000000000005</v>
      </c>
      <c r="J84" s="18">
        <f t="shared" si="18"/>
        <v>50.85</v>
      </c>
      <c r="K84" s="152"/>
    </row>
    <row r="85" spans="2:11">
      <c r="B85" s="347"/>
      <c r="C85" s="186" t="s">
        <v>403</v>
      </c>
      <c r="D85" s="269" t="s">
        <v>404</v>
      </c>
      <c r="E85" s="278"/>
      <c r="F85" s="126">
        <v>75</v>
      </c>
      <c r="G85" s="17">
        <v>1</v>
      </c>
      <c r="H85" s="18">
        <f t="shared" si="17"/>
        <v>75</v>
      </c>
      <c r="I85" s="60">
        <f t="shared" si="19"/>
        <v>9.75</v>
      </c>
      <c r="J85" s="18">
        <f t="shared" si="18"/>
        <v>84.75</v>
      </c>
      <c r="K85" s="152"/>
    </row>
    <row r="86" spans="2:11">
      <c r="B86" s="347"/>
      <c r="C86" s="186" t="s">
        <v>405</v>
      </c>
      <c r="D86" s="269" t="s">
        <v>404</v>
      </c>
      <c r="E86" s="278"/>
      <c r="F86" s="126">
        <v>75</v>
      </c>
      <c r="G86" s="17">
        <v>1</v>
      </c>
      <c r="H86" s="18">
        <f t="shared" si="17"/>
        <v>75</v>
      </c>
      <c r="I86" s="60">
        <f t="shared" si="19"/>
        <v>9.75</v>
      </c>
      <c r="J86" s="18">
        <f t="shared" si="18"/>
        <v>84.75</v>
      </c>
      <c r="K86" s="152"/>
    </row>
    <row r="87" spans="2:11">
      <c r="B87" s="348"/>
      <c r="C87" s="187" t="s">
        <v>2</v>
      </c>
      <c r="D87" s="239" t="s">
        <v>393</v>
      </c>
      <c r="E87" s="240"/>
      <c r="F87" s="139">
        <v>-4</v>
      </c>
      <c r="G87" s="15">
        <v>100</v>
      </c>
      <c r="H87" s="97">
        <f t="shared" si="17"/>
        <v>-400</v>
      </c>
      <c r="I87" s="129"/>
      <c r="J87" s="97">
        <f t="shared" si="18"/>
        <v>-400</v>
      </c>
      <c r="K87" s="89"/>
    </row>
    <row r="88" spans="2:11" ht="15" customHeight="1">
      <c r="B88" s="340" t="s">
        <v>406</v>
      </c>
      <c r="C88" s="184" t="s">
        <v>116</v>
      </c>
      <c r="D88" s="273" t="s">
        <v>407</v>
      </c>
      <c r="E88" s="277"/>
      <c r="F88" s="125">
        <v>9.99</v>
      </c>
      <c r="G88" s="15">
        <v>2</v>
      </c>
      <c r="H88" s="22">
        <f t="shared" si="17"/>
        <v>19.98</v>
      </c>
      <c r="I88" s="138">
        <f t="shared" si="19"/>
        <v>2.5973999999999999</v>
      </c>
      <c r="J88" s="22">
        <f t="shared" si="18"/>
        <v>22.577400000000001</v>
      </c>
      <c r="K88" s="71"/>
    </row>
    <row r="89" spans="2:11">
      <c r="B89" s="347"/>
      <c r="C89" s="186" t="s">
        <v>113</v>
      </c>
      <c r="D89" s="269" t="s">
        <v>408</v>
      </c>
      <c r="E89" s="278"/>
      <c r="F89" s="126">
        <v>4</v>
      </c>
      <c r="G89" s="17">
        <v>3</v>
      </c>
      <c r="H89" s="25">
        <f t="shared" si="17"/>
        <v>12</v>
      </c>
      <c r="I89" s="132">
        <f t="shared" si="19"/>
        <v>1.56</v>
      </c>
      <c r="J89" s="25">
        <f t="shared" si="18"/>
        <v>13.56</v>
      </c>
      <c r="K89" s="152"/>
    </row>
    <row r="90" spans="2:11">
      <c r="B90" s="348"/>
      <c r="C90" s="187" t="s">
        <v>2</v>
      </c>
      <c r="D90" s="239" t="s">
        <v>393</v>
      </c>
      <c r="E90" s="240"/>
      <c r="F90" s="139">
        <v>-2</v>
      </c>
      <c r="G90" s="15">
        <v>30</v>
      </c>
      <c r="H90" s="97">
        <f t="shared" si="17"/>
        <v>-60</v>
      </c>
      <c r="I90" s="129"/>
      <c r="J90" s="97">
        <f t="shared" si="18"/>
        <v>-60</v>
      </c>
      <c r="K90" s="89"/>
    </row>
    <row r="91" spans="2:11" ht="15" customHeight="1">
      <c r="B91" s="340" t="s">
        <v>409</v>
      </c>
      <c r="C91" s="184" t="s">
        <v>390</v>
      </c>
      <c r="D91" s="273" t="s">
        <v>410</v>
      </c>
      <c r="E91" s="277"/>
      <c r="F91" s="125">
        <v>0</v>
      </c>
      <c r="G91" s="15">
        <v>1</v>
      </c>
      <c r="H91" s="22">
        <f t="shared" si="17"/>
        <v>0</v>
      </c>
      <c r="I91" s="138"/>
      <c r="J91" s="22">
        <f t="shared" si="18"/>
        <v>0</v>
      </c>
      <c r="K91" s="152"/>
    </row>
    <row r="92" spans="2:11">
      <c r="B92" s="347"/>
      <c r="C92" s="186" t="s">
        <v>411</v>
      </c>
      <c r="D92" s="269" t="s">
        <v>412</v>
      </c>
      <c r="E92" s="278"/>
      <c r="F92" s="126">
        <v>0</v>
      </c>
      <c r="G92" s="17">
        <v>1</v>
      </c>
      <c r="H92" s="25">
        <f t="shared" si="17"/>
        <v>0</v>
      </c>
      <c r="I92" s="132"/>
      <c r="J92" s="25">
        <f t="shared" si="18"/>
        <v>0</v>
      </c>
      <c r="K92" s="152"/>
    </row>
    <row r="93" spans="2:11">
      <c r="B93" s="347"/>
      <c r="C93" s="183" t="s">
        <v>413</v>
      </c>
      <c r="D93" s="274" t="s">
        <v>414</v>
      </c>
      <c r="E93" s="275"/>
      <c r="F93" s="128">
        <v>0</v>
      </c>
      <c r="G93" s="20">
        <v>1</v>
      </c>
      <c r="H93" s="27">
        <f t="shared" si="17"/>
        <v>0</v>
      </c>
      <c r="I93" s="134"/>
      <c r="J93" s="27">
        <f t="shared" si="18"/>
        <v>0</v>
      </c>
      <c r="K93" s="152"/>
    </row>
    <row r="94" spans="2:11">
      <c r="B94" s="348"/>
      <c r="C94" s="187" t="s">
        <v>2</v>
      </c>
      <c r="D94" s="239" t="s">
        <v>393</v>
      </c>
      <c r="E94" s="240"/>
      <c r="F94" s="139">
        <v>-5</v>
      </c>
      <c r="G94" s="15">
        <v>50</v>
      </c>
      <c r="H94" s="97">
        <f>F94*G94</f>
        <v>-250</v>
      </c>
      <c r="I94" s="129"/>
      <c r="J94" s="97">
        <f>H94+I94</f>
        <v>-250</v>
      </c>
      <c r="K94" s="89"/>
    </row>
    <row r="95" spans="2:11">
      <c r="B95" s="336"/>
      <c r="C95" s="336"/>
      <c r="D95" s="336"/>
      <c r="E95" s="336"/>
      <c r="F95" s="336"/>
      <c r="G95" s="336"/>
      <c r="H95" s="336"/>
      <c r="I95" s="336"/>
      <c r="J95" s="336"/>
      <c r="K95" s="152"/>
    </row>
    <row r="96" spans="2:11">
      <c r="B96" s="210" t="s">
        <v>415</v>
      </c>
      <c r="C96" s="211"/>
      <c r="D96" s="211"/>
      <c r="E96" s="211"/>
      <c r="F96" s="211"/>
      <c r="G96" s="212"/>
      <c r="H96" s="246">
        <f>SUM(J97:J106)</f>
        <v>0</v>
      </c>
      <c r="I96" s="247"/>
      <c r="J96" s="248"/>
      <c r="K96" s="152"/>
    </row>
    <row r="97" spans="2:11">
      <c r="B97" s="272" t="s">
        <v>416</v>
      </c>
      <c r="C97" s="273"/>
      <c r="D97" s="273" t="s">
        <v>417</v>
      </c>
      <c r="E97" s="273"/>
      <c r="F97" s="135">
        <v>2.5</v>
      </c>
      <c r="G97" s="77">
        <v>40</v>
      </c>
      <c r="H97" s="94">
        <f t="shared" ref="H97:H103" si="20">F97*G97</f>
        <v>100</v>
      </c>
      <c r="I97" s="138">
        <f>H97*0.13</f>
        <v>13</v>
      </c>
      <c r="J97" s="40">
        <f t="shared" ref="J97:J103" si="21">H97+I97</f>
        <v>113</v>
      </c>
      <c r="K97" s="152"/>
    </row>
    <row r="98" spans="2:11">
      <c r="B98" s="268" t="s">
        <v>418</v>
      </c>
      <c r="C98" s="269"/>
      <c r="D98" s="269" t="s">
        <v>419</v>
      </c>
      <c r="E98" s="269"/>
      <c r="F98" s="136">
        <v>2</v>
      </c>
      <c r="G98" s="79">
        <v>12</v>
      </c>
      <c r="H98" s="95">
        <f>F98*G98</f>
        <v>24</v>
      </c>
      <c r="I98" s="132">
        <f>H98*0.13</f>
        <v>3.12</v>
      </c>
      <c r="J98" s="43">
        <f>H98+I98</f>
        <v>27.12</v>
      </c>
      <c r="K98" s="152"/>
    </row>
    <row r="99" spans="2:11">
      <c r="B99" s="268" t="s">
        <v>420</v>
      </c>
      <c r="C99" s="269"/>
      <c r="D99" s="269" t="s">
        <v>346</v>
      </c>
      <c r="E99" s="269"/>
      <c r="F99" s="136">
        <v>0.21</v>
      </c>
      <c r="G99" s="79">
        <v>30</v>
      </c>
      <c r="H99" s="95">
        <f>F99*G99</f>
        <v>6.3</v>
      </c>
      <c r="I99" s="60"/>
      <c r="J99" s="43">
        <f>H99+I99</f>
        <v>6.3</v>
      </c>
      <c r="K99" s="152"/>
    </row>
    <row r="100" spans="2:11">
      <c r="B100" s="268" t="s">
        <v>421</v>
      </c>
      <c r="C100" s="269"/>
      <c r="D100" s="269" t="s">
        <v>422</v>
      </c>
      <c r="E100" s="269"/>
      <c r="F100" s="136">
        <v>0</v>
      </c>
      <c r="G100" s="79">
        <v>1</v>
      </c>
      <c r="H100" s="96">
        <f t="shared" si="20"/>
        <v>0</v>
      </c>
      <c r="I100" s="132"/>
      <c r="J100" s="80">
        <f t="shared" si="21"/>
        <v>0</v>
      </c>
      <c r="K100" s="152"/>
    </row>
    <row r="101" spans="2:11">
      <c r="B101" s="268" t="s">
        <v>423</v>
      </c>
      <c r="C101" s="269"/>
      <c r="D101" s="269" t="s">
        <v>424</v>
      </c>
      <c r="E101" s="269"/>
      <c r="F101" s="136">
        <v>0.21</v>
      </c>
      <c r="G101" s="79">
        <v>50</v>
      </c>
      <c r="H101" s="95">
        <f t="shared" si="20"/>
        <v>10.5</v>
      </c>
      <c r="I101" s="60"/>
      <c r="J101" s="43">
        <f t="shared" si="21"/>
        <v>10.5</v>
      </c>
      <c r="K101" s="152"/>
    </row>
    <row r="102" spans="2:11">
      <c r="B102" s="268" t="s">
        <v>425</v>
      </c>
      <c r="C102" s="269"/>
      <c r="D102" s="269" t="s">
        <v>424</v>
      </c>
      <c r="E102" s="269"/>
      <c r="F102" s="136">
        <v>1</v>
      </c>
      <c r="G102" s="79">
        <v>8</v>
      </c>
      <c r="H102" s="95">
        <f t="shared" si="20"/>
        <v>8</v>
      </c>
      <c r="I102" s="60"/>
      <c r="J102" s="43">
        <f t="shared" si="21"/>
        <v>8</v>
      </c>
      <c r="K102" s="152"/>
    </row>
    <row r="103" spans="2:11">
      <c r="B103" s="351" t="s">
        <v>2</v>
      </c>
      <c r="C103" s="352"/>
      <c r="D103" s="239" t="s">
        <v>426</v>
      </c>
      <c r="E103" s="240"/>
      <c r="F103" s="139">
        <v>-1</v>
      </c>
      <c r="G103" s="15">
        <v>240</v>
      </c>
      <c r="H103" s="97">
        <f t="shared" si="20"/>
        <v>-240</v>
      </c>
      <c r="I103" s="129"/>
      <c r="J103" s="97">
        <f t="shared" si="21"/>
        <v>-240</v>
      </c>
      <c r="K103" s="89"/>
    </row>
    <row r="104" spans="2:11">
      <c r="B104" s="310"/>
      <c r="C104" s="311"/>
      <c r="D104" s="234" t="s">
        <v>427</v>
      </c>
      <c r="E104" s="345"/>
      <c r="F104" s="140">
        <v>-75</v>
      </c>
      <c r="G104" s="17">
        <v>1</v>
      </c>
      <c r="H104" s="98">
        <f>F104*G104</f>
        <v>-75</v>
      </c>
      <c r="I104" s="60"/>
      <c r="J104" s="98">
        <f>H104+I104</f>
        <v>-75</v>
      </c>
      <c r="K104" s="152"/>
    </row>
    <row r="105" spans="2:11">
      <c r="B105" s="353"/>
      <c r="C105" s="354"/>
      <c r="D105" s="242" t="s">
        <v>428</v>
      </c>
      <c r="E105" s="243"/>
      <c r="F105" s="141">
        <v>-5</v>
      </c>
      <c r="G105" s="20">
        <v>150</v>
      </c>
      <c r="H105" s="91">
        <f>F105*G105</f>
        <v>-750</v>
      </c>
      <c r="I105" s="131"/>
      <c r="J105" s="91">
        <f>H105+I105</f>
        <v>-750</v>
      </c>
      <c r="K105" s="152"/>
    </row>
    <row r="106" spans="2:11">
      <c r="B106" s="355" t="s">
        <v>429</v>
      </c>
      <c r="C106" s="356"/>
      <c r="D106" s="280" t="s">
        <v>430</v>
      </c>
      <c r="E106" s="280"/>
      <c r="F106" s="142">
        <v>900.08</v>
      </c>
      <c r="G106" s="102">
        <v>1</v>
      </c>
      <c r="H106" s="170">
        <f t="shared" ref="H106" si="22">F106*G106</f>
        <v>900.08</v>
      </c>
      <c r="I106" s="130"/>
      <c r="J106" s="91">
        <f>H106+I106</f>
        <v>900.08</v>
      </c>
      <c r="K106" s="152"/>
    </row>
    <row r="107" spans="2:11">
      <c r="B107" s="224"/>
      <c r="C107" s="224"/>
      <c r="D107" s="224"/>
      <c r="E107" s="224"/>
      <c r="F107" s="224"/>
      <c r="G107" s="224"/>
      <c r="H107" s="224"/>
      <c r="I107" s="224"/>
      <c r="J107" s="224"/>
      <c r="K107" s="152"/>
    </row>
    <row r="108" spans="2:11">
      <c r="B108" s="210" t="s">
        <v>431</v>
      </c>
      <c r="C108" s="211"/>
      <c r="D108" s="211"/>
      <c r="E108" s="211"/>
      <c r="F108" s="211"/>
      <c r="G108" s="212"/>
      <c r="H108" s="246">
        <f>SUM(J109:J114)</f>
        <v>1479.6378999999999</v>
      </c>
      <c r="I108" s="247"/>
      <c r="J108" s="248"/>
      <c r="K108" s="152"/>
    </row>
    <row r="109" spans="2:11">
      <c r="B109" s="272" t="s">
        <v>432</v>
      </c>
      <c r="C109" s="273"/>
      <c r="D109" s="273" t="s">
        <v>433</v>
      </c>
      <c r="E109" s="277"/>
      <c r="F109" s="139">
        <v>300</v>
      </c>
      <c r="G109" s="39">
        <v>1</v>
      </c>
      <c r="H109" s="22">
        <f t="shared" ref="H109:H114" si="23">F109*G109</f>
        <v>300</v>
      </c>
      <c r="I109" s="138">
        <v>0</v>
      </c>
      <c r="J109" s="22">
        <f t="shared" ref="J109:J114" si="24">H109+I109</f>
        <v>300</v>
      </c>
      <c r="K109" s="152"/>
    </row>
    <row r="110" spans="2:11">
      <c r="B110" s="268" t="s">
        <v>434</v>
      </c>
      <c r="C110" s="269"/>
      <c r="D110" s="269"/>
      <c r="E110" s="278"/>
      <c r="F110" s="140">
        <v>500</v>
      </c>
      <c r="G110" s="42">
        <v>1</v>
      </c>
      <c r="H110" s="25">
        <f t="shared" si="23"/>
        <v>500</v>
      </c>
      <c r="I110" s="132">
        <v>0</v>
      </c>
      <c r="J110" s="25">
        <f t="shared" si="24"/>
        <v>500</v>
      </c>
      <c r="K110" s="152"/>
    </row>
    <row r="111" spans="2:11">
      <c r="B111" s="268" t="s">
        <v>435</v>
      </c>
      <c r="C111" s="269"/>
      <c r="D111" s="269" t="s">
        <v>436</v>
      </c>
      <c r="E111" s="278"/>
      <c r="F111" s="140">
        <v>100</v>
      </c>
      <c r="G111" s="42">
        <v>1</v>
      </c>
      <c r="H111" s="25">
        <f t="shared" si="23"/>
        <v>100</v>
      </c>
      <c r="I111" s="132">
        <v>0</v>
      </c>
      <c r="J111" s="25">
        <f t="shared" si="24"/>
        <v>100</v>
      </c>
      <c r="K111" s="152"/>
    </row>
    <row r="112" spans="2:11">
      <c r="B112" s="268" t="s">
        <v>437</v>
      </c>
      <c r="C112" s="269"/>
      <c r="D112" s="269"/>
      <c r="E112" s="278"/>
      <c r="F112" s="140">
        <v>25</v>
      </c>
      <c r="G112" s="42">
        <v>1</v>
      </c>
      <c r="H112" s="25">
        <f t="shared" si="23"/>
        <v>25</v>
      </c>
      <c r="I112" s="132">
        <v>0</v>
      </c>
      <c r="J112" s="25">
        <f t="shared" si="24"/>
        <v>25</v>
      </c>
      <c r="K112" s="152"/>
    </row>
    <row r="113" spans="2:11">
      <c r="B113" s="268" t="s">
        <v>438</v>
      </c>
      <c r="C113" s="269"/>
      <c r="D113" s="269" t="s">
        <v>439</v>
      </c>
      <c r="E113" s="278"/>
      <c r="F113" s="140">
        <v>441.83</v>
      </c>
      <c r="G113" s="42">
        <v>1</v>
      </c>
      <c r="H113" s="25">
        <f t="shared" si="23"/>
        <v>441.83</v>
      </c>
      <c r="I113" s="132">
        <f>H113*0.13</f>
        <v>57.437899999999999</v>
      </c>
      <c r="J113" s="25">
        <f t="shared" si="24"/>
        <v>499.2679</v>
      </c>
      <c r="K113" s="152"/>
    </row>
    <row r="114" spans="2:11">
      <c r="B114" s="276" t="s">
        <v>440</v>
      </c>
      <c r="C114" s="274"/>
      <c r="D114" s="274" t="s">
        <v>441</v>
      </c>
      <c r="E114" s="275"/>
      <c r="F114" s="141">
        <v>49</v>
      </c>
      <c r="G114" s="45">
        <v>1</v>
      </c>
      <c r="H114" s="27">
        <f t="shared" si="23"/>
        <v>49</v>
      </c>
      <c r="I114" s="132">
        <f>H114*0.13</f>
        <v>6.37</v>
      </c>
      <c r="J114" s="25">
        <f t="shared" si="24"/>
        <v>55.37</v>
      </c>
      <c r="K114" s="152"/>
    </row>
    <row r="115" spans="2:11">
      <c r="B115" s="267"/>
      <c r="C115" s="267"/>
      <c r="D115" s="267"/>
      <c r="E115" s="267"/>
      <c r="F115" s="267"/>
      <c r="G115" s="267"/>
      <c r="H115" s="267"/>
      <c r="I115" s="336"/>
      <c r="J115" s="336"/>
      <c r="K115" s="152"/>
    </row>
    <row r="116" spans="2:11">
      <c r="B116" s="210" t="s">
        <v>442</v>
      </c>
      <c r="C116" s="211"/>
      <c r="D116" s="211"/>
      <c r="E116" s="211"/>
      <c r="F116" s="211"/>
      <c r="G116" s="212"/>
      <c r="H116" s="246">
        <f>SUM(J117:J127)</f>
        <v>1487.9058000000002</v>
      </c>
      <c r="I116" s="247"/>
      <c r="J116" s="248"/>
      <c r="K116" s="152"/>
    </row>
    <row r="117" spans="2:11">
      <c r="B117" s="238" t="s">
        <v>443</v>
      </c>
      <c r="C117" s="239"/>
      <c r="D117" s="239" t="s">
        <v>444</v>
      </c>
      <c r="E117" s="240"/>
      <c r="F117" s="143">
        <v>14</v>
      </c>
      <c r="G117" s="77">
        <v>60</v>
      </c>
      <c r="H117" s="99">
        <f t="shared" ref="H117:H127" si="25">F117*G117</f>
        <v>840</v>
      </c>
      <c r="I117" s="138"/>
      <c r="J117" s="22">
        <f t="shared" ref="J117:J127" si="26">H117+I117</f>
        <v>840</v>
      </c>
      <c r="K117" s="152"/>
    </row>
    <row r="118" spans="2:11">
      <c r="B118" s="233" t="s">
        <v>445</v>
      </c>
      <c r="C118" s="234"/>
      <c r="D118" s="234" t="s">
        <v>446</v>
      </c>
      <c r="E118" s="345"/>
      <c r="F118" s="144">
        <v>200</v>
      </c>
      <c r="G118" s="79">
        <v>1</v>
      </c>
      <c r="H118" s="80">
        <f t="shared" si="25"/>
        <v>200</v>
      </c>
      <c r="I118" s="132"/>
      <c r="J118" s="25">
        <f t="shared" si="26"/>
        <v>200</v>
      </c>
      <c r="K118" s="152"/>
    </row>
    <row r="119" spans="2:11">
      <c r="B119" s="233" t="s">
        <v>447</v>
      </c>
      <c r="C119" s="234"/>
      <c r="D119" s="234"/>
      <c r="E119" s="345"/>
      <c r="F119" s="144">
        <v>4.99</v>
      </c>
      <c r="G119" s="79">
        <v>6</v>
      </c>
      <c r="H119" s="80">
        <f t="shared" si="25"/>
        <v>29.94</v>
      </c>
      <c r="I119" s="132"/>
      <c r="J119" s="25">
        <f t="shared" si="26"/>
        <v>29.94</v>
      </c>
      <c r="K119" s="152"/>
    </row>
    <row r="120" spans="2:11">
      <c r="B120" s="233" t="s">
        <v>448</v>
      </c>
      <c r="C120" s="234"/>
      <c r="D120" s="234" t="s">
        <v>449</v>
      </c>
      <c r="E120" s="345"/>
      <c r="F120" s="144">
        <v>200</v>
      </c>
      <c r="G120" s="79">
        <v>1</v>
      </c>
      <c r="H120" s="80">
        <f t="shared" si="25"/>
        <v>200</v>
      </c>
      <c r="I120" s="132">
        <f t="shared" ref="I120:I126" si="27">H120*0.13</f>
        <v>26</v>
      </c>
      <c r="J120" s="25">
        <f t="shared" si="26"/>
        <v>226</v>
      </c>
      <c r="K120" s="152"/>
    </row>
    <row r="121" spans="2:11">
      <c r="B121" s="233" t="s">
        <v>450</v>
      </c>
      <c r="C121" s="234"/>
      <c r="D121" s="234" t="s">
        <v>451</v>
      </c>
      <c r="E121" s="345"/>
      <c r="F121" s="144">
        <v>3.99</v>
      </c>
      <c r="G121" s="79">
        <v>1</v>
      </c>
      <c r="H121" s="80">
        <f t="shared" si="25"/>
        <v>3.99</v>
      </c>
      <c r="I121" s="132">
        <f t="shared" si="27"/>
        <v>0.51870000000000005</v>
      </c>
      <c r="J121" s="25">
        <f t="shared" si="26"/>
        <v>4.5087000000000002</v>
      </c>
      <c r="K121" s="152"/>
    </row>
    <row r="122" spans="2:11">
      <c r="B122" s="233" t="s">
        <v>452</v>
      </c>
      <c r="C122" s="234"/>
      <c r="D122" s="234"/>
      <c r="E122" s="345"/>
      <c r="F122" s="144">
        <v>20</v>
      </c>
      <c r="G122" s="79">
        <v>1</v>
      </c>
      <c r="H122" s="80">
        <f t="shared" si="25"/>
        <v>20</v>
      </c>
      <c r="I122" s="132"/>
      <c r="J122" s="25">
        <f t="shared" si="26"/>
        <v>20</v>
      </c>
      <c r="K122" s="152"/>
    </row>
    <row r="123" spans="2:11">
      <c r="B123" s="268" t="s">
        <v>453</v>
      </c>
      <c r="C123" s="269"/>
      <c r="D123" s="269" t="s">
        <v>454</v>
      </c>
      <c r="E123" s="278"/>
      <c r="F123" s="144">
        <v>8.99</v>
      </c>
      <c r="G123" s="79">
        <v>10</v>
      </c>
      <c r="H123" s="80">
        <f t="shared" si="25"/>
        <v>89.9</v>
      </c>
      <c r="I123" s="132">
        <f t="shared" si="27"/>
        <v>11.687000000000001</v>
      </c>
      <c r="J123" s="25">
        <f t="shared" si="26"/>
        <v>101.587</v>
      </c>
      <c r="K123" s="152"/>
    </row>
    <row r="124" spans="2:11">
      <c r="B124" s="268" t="s">
        <v>455</v>
      </c>
      <c r="C124" s="269"/>
      <c r="D124" s="269" t="s">
        <v>456</v>
      </c>
      <c r="E124" s="278"/>
      <c r="F124" s="144">
        <v>38.99</v>
      </c>
      <c r="G124" s="79">
        <v>6</v>
      </c>
      <c r="H124" s="80">
        <f t="shared" si="25"/>
        <v>233.94</v>
      </c>
      <c r="I124" s="132">
        <f t="shared" si="27"/>
        <v>30.412200000000002</v>
      </c>
      <c r="J124" s="25">
        <f t="shared" si="26"/>
        <v>264.35219999999998</v>
      </c>
      <c r="K124" s="152"/>
    </row>
    <row r="125" spans="2:11">
      <c r="B125" s="268" t="s">
        <v>457</v>
      </c>
      <c r="C125" s="269"/>
      <c r="D125" s="269" t="s">
        <v>456</v>
      </c>
      <c r="E125" s="278"/>
      <c r="F125" s="144">
        <v>38.99</v>
      </c>
      <c r="G125" s="79">
        <v>6</v>
      </c>
      <c r="H125" s="80">
        <f t="shared" si="25"/>
        <v>233.94</v>
      </c>
      <c r="I125" s="132">
        <f t="shared" si="27"/>
        <v>30.412200000000002</v>
      </c>
      <c r="J125" s="25">
        <f t="shared" si="26"/>
        <v>264.35219999999998</v>
      </c>
      <c r="K125" s="152"/>
    </row>
    <row r="126" spans="2:11">
      <c r="B126" s="241" t="s">
        <v>458</v>
      </c>
      <c r="C126" s="242"/>
      <c r="D126" s="242" t="s">
        <v>459</v>
      </c>
      <c r="E126" s="243"/>
      <c r="F126" s="145">
        <v>2.99</v>
      </c>
      <c r="G126" s="82">
        <v>11</v>
      </c>
      <c r="H126" s="100">
        <f t="shared" si="25"/>
        <v>32.89</v>
      </c>
      <c r="I126" s="134">
        <f t="shared" si="27"/>
        <v>4.2757000000000005</v>
      </c>
      <c r="J126" s="27">
        <f t="shared" si="26"/>
        <v>37.165700000000001</v>
      </c>
      <c r="K126" s="152"/>
    </row>
    <row r="127" spans="2:11">
      <c r="B127" s="355" t="s">
        <v>2</v>
      </c>
      <c r="C127" s="356"/>
      <c r="D127" s="254" t="s">
        <v>460</v>
      </c>
      <c r="E127" s="357"/>
      <c r="F127" s="146">
        <v>-500</v>
      </c>
      <c r="G127" s="33">
        <v>1</v>
      </c>
      <c r="H127" s="90">
        <f t="shared" si="25"/>
        <v>-500</v>
      </c>
      <c r="I127" s="130"/>
      <c r="J127" s="90">
        <f t="shared" si="26"/>
        <v>-500</v>
      </c>
      <c r="K127" s="89"/>
    </row>
  </sheetData>
  <mergeCells count="208">
    <mergeCell ref="B30:J30"/>
    <mergeCell ref="B31:J31"/>
    <mergeCell ref="A1:A3"/>
    <mergeCell ref="B4:J4"/>
    <mergeCell ref="B125:C125"/>
    <mergeCell ref="D125:E125"/>
    <mergeCell ref="B126:C126"/>
    <mergeCell ref="D126:E126"/>
    <mergeCell ref="B119:C119"/>
    <mergeCell ref="D119:E119"/>
    <mergeCell ref="B115:J115"/>
    <mergeCell ref="B117:C117"/>
    <mergeCell ref="D117:E117"/>
    <mergeCell ref="B118:C118"/>
    <mergeCell ref="D118:E118"/>
    <mergeCell ref="B113:C113"/>
    <mergeCell ref="D113:E113"/>
    <mergeCell ref="B114:C114"/>
    <mergeCell ref="D114:E114"/>
    <mergeCell ref="B110:C110"/>
    <mergeCell ref="D110:E110"/>
    <mergeCell ref="B111:C111"/>
    <mergeCell ref="D111:E111"/>
    <mergeCell ref="B112:C112"/>
    <mergeCell ref="B127:C127"/>
    <mergeCell ref="D127:E127"/>
    <mergeCell ref="B122:C122"/>
    <mergeCell ref="D122:E122"/>
    <mergeCell ref="B123:C123"/>
    <mergeCell ref="D123:E123"/>
    <mergeCell ref="B124:C124"/>
    <mergeCell ref="D124:E124"/>
    <mergeCell ref="B120:C120"/>
    <mergeCell ref="D120:E120"/>
    <mergeCell ref="B121:C121"/>
    <mergeCell ref="D121:E121"/>
    <mergeCell ref="D112:E112"/>
    <mergeCell ref="B116:G116"/>
    <mergeCell ref="B105:C105"/>
    <mergeCell ref="D105:E105"/>
    <mergeCell ref="B107:J107"/>
    <mergeCell ref="B109:C109"/>
    <mergeCell ref="D109:E109"/>
    <mergeCell ref="B106:C106"/>
    <mergeCell ref="D106:E106"/>
    <mergeCell ref="B108:G108"/>
    <mergeCell ref="H108:J108"/>
    <mergeCell ref="H116:J116"/>
    <mergeCell ref="B102:C102"/>
    <mergeCell ref="D102:E102"/>
    <mergeCell ref="B103:C103"/>
    <mergeCell ref="D103:E103"/>
    <mergeCell ref="B104:C104"/>
    <mergeCell ref="D104:E104"/>
    <mergeCell ref="B99:C99"/>
    <mergeCell ref="D99:E99"/>
    <mergeCell ref="B100:C100"/>
    <mergeCell ref="D100:E100"/>
    <mergeCell ref="B101:C101"/>
    <mergeCell ref="D101:E101"/>
    <mergeCell ref="B95:J95"/>
    <mergeCell ref="B97:C97"/>
    <mergeCell ref="D97:E97"/>
    <mergeCell ref="B98:C98"/>
    <mergeCell ref="D98:E98"/>
    <mergeCell ref="B88:B90"/>
    <mergeCell ref="D88:E88"/>
    <mergeCell ref="D89:E89"/>
    <mergeCell ref="D90:E90"/>
    <mergeCell ref="B91:B94"/>
    <mergeCell ref="D91:E91"/>
    <mergeCell ref="D92:E92"/>
    <mergeCell ref="D93:E93"/>
    <mergeCell ref="D94:E94"/>
    <mergeCell ref="B96:G96"/>
    <mergeCell ref="H96:J96"/>
    <mergeCell ref="B83:B87"/>
    <mergeCell ref="D83:E83"/>
    <mergeCell ref="D84:E84"/>
    <mergeCell ref="D85:E85"/>
    <mergeCell ref="D86:E86"/>
    <mergeCell ref="D87:E87"/>
    <mergeCell ref="B76:B78"/>
    <mergeCell ref="D76:E76"/>
    <mergeCell ref="D77:E77"/>
    <mergeCell ref="D78:E78"/>
    <mergeCell ref="B79:B82"/>
    <mergeCell ref="D79:E79"/>
    <mergeCell ref="D80:E80"/>
    <mergeCell ref="D81:E81"/>
    <mergeCell ref="D82:E82"/>
    <mergeCell ref="B75:G75"/>
    <mergeCell ref="H75:J75"/>
    <mergeCell ref="B67:C67"/>
    <mergeCell ref="D67:E67"/>
    <mergeCell ref="B68:C68"/>
    <mergeCell ref="D68:E68"/>
    <mergeCell ref="B64:C64"/>
    <mergeCell ref="D64:E64"/>
    <mergeCell ref="B65:J65"/>
    <mergeCell ref="B66:G66"/>
    <mergeCell ref="H66:J66"/>
    <mergeCell ref="B72:C72"/>
    <mergeCell ref="D72:E72"/>
    <mergeCell ref="B73:C73"/>
    <mergeCell ref="D73:E73"/>
    <mergeCell ref="B74:J74"/>
    <mergeCell ref="B69:C69"/>
    <mergeCell ref="D69:E69"/>
    <mergeCell ref="B70:C70"/>
    <mergeCell ref="D70:E70"/>
    <mergeCell ref="B71:C71"/>
    <mergeCell ref="D71:E71"/>
    <mergeCell ref="B62:C62"/>
    <mergeCell ref="D62:E62"/>
    <mergeCell ref="B63:C63"/>
    <mergeCell ref="D63:E63"/>
    <mergeCell ref="B59:C59"/>
    <mergeCell ref="D59:E59"/>
    <mergeCell ref="B60:C60"/>
    <mergeCell ref="D60:E60"/>
    <mergeCell ref="B61:C61"/>
    <mergeCell ref="D61:E61"/>
    <mergeCell ref="B57:C57"/>
    <mergeCell ref="D57:E57"/>
    <mergeCell ref="B58:C58"/>
    <mergeCell ref="D58:E58"/>
    <mergeCell ref="B55:J55"/>
    <mergeCell ref="B52:C52"/>
    <mergeCell ref="D52:E52"/>
    <mergeCell ref="B53:C53"/>
    <mergeCell ref="D53:E53"/>
    <mergeCell ref="B54:C54"/>
    <mergeCell ref="D54:E54"/>
    <mergeCell ref="B56:G56"/>
    <mergeCell ref="H56:J56"/>
    <mergeCell ref="B50:C50"/>
    <mergeCell ref="D50:E50"/>
    <mergeCell ref="B51:C51"/>
    <mergeCell ref="D51:E51"/>
    <mergeCell ref="B47:C47"/>
    <mergeCell ref="D47:E47"/>
    <mergeCell ref="B48:J48"/>
    <mergeCell ref="B49:G49"/>
    <mergeCell ref="H49:J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40:C40"/>
    <mergeCell ref="D40:E40"/>
    <mergeCell ref="B37:C37"/>
    <mergeCell ref="D37:E37"/>
    <mergeCell ref="B38:C38"/>
    <mergeCell ref="D38:E38"/>
    <mergeCell ref="B39:C39"/>
    <mergeCell ref="D39:E39"/>
    <mergeCell ref="B32:J32"/>
    <mergeCell ref="B35:C35"/>
    <mergeCell ref="D35:E35"/>
    <mergeCell ref="B36:C36"/>
    <mergeCell ref="D36:E36"/>
    <mergeCell ref="B34:G34"/>
    <mergeCell ref="H34:J34"/>
    <mergeCell ref="B33:J33"/>
    <mergeCell ref="B24:B29"/>
    <mergeCell ref="D24:E24"/>
    <mergeCell ref="D25:E25"/>
    <mergeCell ref="D26:E26"/>
    <mergeCell ref="D27:E27"/>
    <mergeCell ref="D28:E28"/>
    <mergeCell ref="D29:E29"/>
    <mergeCell ref="B19:B22"/>
    <mergeCell ref="D19:E19"/>
    <mergeCell ref="D20:E20"/>
    <mergeCell ref="D21:E21"/>
    <mergeCell ref="D22:E22"/>
    <mergeCell ref="D23:E23"/>
    <mergeCell ref="D16:E16"/>
    <mergeCell ref="D17:E17"/>
    <mergeCell ref="D18:E18"/>
    <mergeCell ref="B9:B18"/>
    <mergeCell ref="D9:E9"/>
    <mergeCell ref="D10:E10"/>
    <mergeCell ref="D11:E11"/>
    <mergeCell ref="D12:E12"/>
    <mergeCell ref="D13:E13"/>
    <mergeCell ref="D14:E14"/>
    <mergeCell ref="D15:E15"/>
    <mergeCell ref="B8:G8"/>
    <mergeCell ref="H8:J8"/>
    <mergeCell ref="B7:J7"/>
    <mergeCell ref="B1:H2"/>
    <mergeCell ref="I1:J2"/>
    <mergeCell ref="I3:J3"/>
    <mergeCell ref="B5:E5"/>
    <mergeCell ref="F5:J5"/>
    <mergeCell ref="B6:C6"/>
    <mergeCell ref="D6:E6"/>
    <mergeCell ref="B3:H3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301085B07F9459249C2DF7740ED3D" ma:contentTypeVersion="1" ma:contentTypeDescription="Create a new document." ma:contentTypeScope="" ma:versionID="52b2148349da07ae4e5b8209fcdb8a6f">
  <xsd:schema xmlns:xsd="http://www.w3.org/2001/XMLSchema" xmlns:xs="http://www.w3.org/2001/XMLSchema" xmlns:p="http://schemas.microsoft.com/office/2006/metadata/properties" xmlns:ns3="6c60dad5-d3c9-4315-8ff8-42df4b79729a" targetNamespace="http://schemas.microsoft.com/office/2006/metadata/properties" ma:root="true" ma:fieldsID="b361c9524c5eb2a22762104eca6c328a" ns3:_="">
    <xsd:import namespace="6c60dad5-d3c9-4315-8ff8-42df4b79729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0dad5-d3c9-4315-8ff8-42df4b797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6E0EC-EE2E-413C-AF0E-25EC51B947BF}"/>
</file>

<file path=customXml/itemProps2.xml><?xml version="1.0" encoding="utf-8"?>
<ds:datastoreItem xmlns:ds="http://schemas.openxmlformats.org/officeDocument/2006/customXml" ds:itemID="{C0047FC8-6F23-40A4-858F-C04BF35319D6}"/>
</file>

<file path=customXml/itemProps3.xml><?xml version="1.0" encoding="utf-8"?>
<ds:datastoreItem xmlns:ds="http://schemas.openxmlformats.org/officeDocument/2006/customXml" ds:itemID="{4B24E412-ADFE-45A0-AA9E-7525A2509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Logan Reid</dc:creator>
  <cp:keywords/>
  <dc:description/>
  <cp:lastModifiedBy/>
  <cp:revision/>
  <dcterms:created xsi:type="dcterms:W3CDTF">2010-10-03T18:35:09Z</dcterms:created>
  <dcterms:modified xsi:type="dcterms:W3CDTF">2021-02-26T17:23:40Z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0x0101009A7301085B07F9459249C2DF7740ED3D</vt:lpwstr>
  </property>
  <property fmtid="{D5CDD505-2E9C-101B-9397-08002B2CF9AE}" pid="3" name="IsMyDocuments">
    <vt:bool>true</vt:bool>
  </property>
</Properties>
</file>