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5085" windowHeight="1455" firstSheet="7" activeTab="11"/>
  </bookViews>
  <sheets>
    <sheet name="SUMMARY" sheetId="1" r:id="rId1"/>
    <sheet name="REVENUE" sheetId="2" r:id="rId2"/>
    <sheet name="President" sheetId="3" r:id="rId3"/>
    <sheet name="Academics" sheetId="4" r:id="rId4"/>
    <sheet name="Operations" sheetId="5" r:id="rId5"/>
    <sheet name="Society Affairs" sheetId="6" r:id="rId6"/>
    <sheet name="Student Development" sheetId="7" r:id="rId7"/>
    <sheet name="External Communications" sheetId="8" r:id="rId8"/>
    <sheet name="Events" sheetId="9" r:id="rId9"/>
    <sheet name="Finance" sheetId="10" r:id="rId10"/>
    <sheet name="First Year" sheetId="11" r:id="rId11"/>
    <sheet name="Information Technology" sheetId="12" r:id="rId12"/>
    <sheet name="Internal Affairs" sheetId="13" r:id="rId13"/>
    <sheet name="Professional Development" sheetId="14" r:id="rId14"/>
    <sheet name="Services" sheetId="15" r:id="rId15"/>
  </sheets>
  <definedNames/>
  <calcPr fullCalcOnLoad="1"/>
</workbook>
</file>

<file path=xl/comments8.xml><?xml version="1.0" encoding="utf-8"?>
<comments xmlns="http://schemas.openxmlformats.org/spreadsheetml/2006/main">
  <authors>
    <author>Rachel Currie</author>
  </authors>
  <commentList>
    <comment ref="C13" authorId="0">
      <text>
        <r>
          <rPr>
            <b/>
            <sz val="9"/>
            <rFont val="Verdana"/>
            <family val="2"/>
          </rPr>
          <t>Rachel Currie:</t>
        </r>
        <r>
          <rPr>
            <sz val="9"/>
            <rFont val="Verdana"/>
            <family val="2"/>
          </rPr>
          <t xml:space="preserve">
Researched different airlines - Air Canada was definitely cheaper and better</t>
        </r>
      </text>
    </comment>
  </commentList>
</comments>
</file>

<file path=xl/sharedStrings.xml><?xml version="1.0" encoding="utf-8"?>
<sst xmlns="http://schemas.openxmlformats.org/spreadsheetml/2006/main" count="1026" uniqueCount="701">
  <si>
    <t>Queen's Global Innovation Conference</t>
  </si>
  <si>
    <t>FYPCO</t>
  </si>
  <si>
    <t>Car Rental</t>
  </si>
  <si>
    <t>FINANCE TRAINING</t>
  </si>
  <si>
    <t>Pizza</t>
  </si>
  <si>
    <t>Pop</t>
  </si>
  <si>
    <t>18 drinks</t>
  </si>
  <si>
    <t>There and back from toronto</t>
  </si>
  <si>
    <t>Food</t>
  </si>
  <si>
    <t>For long development committee meetings</t>
  </si>
  <si>
    <t>ENGSOC MEMBERSHIP CARDS</t>
  </si>
  <si>
    <t>Posters</t>
  </si>
  <si>
    <t>B&amp;W printed from EngSoc Printer</t>
  </si>
  <si>
    <t>GW Advertising</t>
  </si>
  <si>
    <t>1 Full Page B&amp;W Ad per Fair</t>
  </si>
  <si>
    <t>LOUNGE IMPROVEMENTS</t>
  </si>
  <si>
    <t>Game Cube</t>
  </si>
  <si>
    <t>Ebay</t>
  </si>
  <si>
    <t>Button Supplies</t>
  </si>
  <si>
    <t>TONIGHT</t>
  </si>
  <si>
    <t>Credit Card statements havent shown up in accounts</t>
  </si>
  <si>
    <t>EXTERNAL RELATIONS COMMITTEE</t>
  </si>
  <si>
    <t>MEMBERSHIP FEES</t>
  </si>
  <si>
    <t>ESSCO</t>
  </si>
  <si>
    <t>CFES</t>
  </si>
  <si>
    <t>University Council</t>
  </si>
  <si>
    <t xml:space="preserve">COMM Team Printing </t>
  </si>
  <si>
    <t>Freight</t>
  </si>
  <si>
    <t>Price per case, Staples</t>
  </si>
  <si>
    <t>Paper</t>
  </si>
  <si>
    <t>Photocopier rental</t>
  </si>
  <si>
    <t>Cars</t>
  </si>
  <si>
    <t>Gas</t>
  </si>
  <si>
    <t>Parking</t>
  </si>
  <si>
    <t>Tickets</t>
  </si>
  <si>
    <t>Executive, Directors, Senators</t>
  </si>
  <si>
    <t>Required by Choral Ensemble</t>
  </si>
  <si>
    <t>Volunteer T-Shirts</t>
  </si>
  <si>
    <t>Pylons and Signage for Race</t>
  </si>
  <si>
    <t>Jugs for Donation Table</t>
  </si>
  <si>
    <t>SPONSOSHIP FORM HP CANADA</t>
  </si>
  <si>
    <t>Cheque to EngSoc</t>
  </si>
  <si>
    <t>Paper</t>
  </si>
  <si>
    <t>Ticket Printing</t>
  </si>
  <si>
    <t>Opening BBQ</t>
  </si>
  <si>
    <t>Hot Dog</t>
  </si>
  <si>
    <t>Hamburgers</t>
  </si>
  <si>
    <t>Buns</t>
  </si>
  <si>
    <t>CRO</t>
  </si>
  <si>
    <t xml:space="preserve">Booking Rooms </t>
  </si>
  <si>
    <t>Food and Printing manuals</t>
  </si>
  <si>
    <t>Lunches</t>
  </si>
  <si>
    <t>Students and Volunteers</t>
  </si>
  <si>
    <t>Expenses</t>
  </si>
  <si>
    <t>WEBSITE OVERHAUL</t>
  </si>
  <si>
    <t>Licensing</t>
  </si>
  <si>
    <t>Firewalls</t>
  </si>
  <si>
    <t>Cisco SMARTnet</t>
  </si>
  <si>
    <t>Clark Hall (ITS Mangement Fees)</t>
  </si>
  <si>
    <t>INFORMATION TECHNOLOGY</t>
  </si>
  <si>
    <t>INTERNAL AFFAIRS</t>
  </si>
  <si>
    <t>PROFESSIONAL DEVELOPMENT</t>
  </si>
  <si>
    <t>SERVICES</t>
  </si>
  <si>
    <t>TOTAL EXPENSES</t>
  </si>
  <si>
    <t>CONTINGENCY</t>
  </si>
  <si>
    <t>10% of Total Expenses</t>
  </si>
  <si>
    <t>TOTAL EXPENSE with CONTINGENCY</t>
  </si>
  <si>
    <t>NET INCOME</t>
  </si>
  <si>
    <t>construction paper, glue, markers</t>
  </si>
  <si>
    <t>Poster &amp; Advertising Supplies</t>
  </si>
  <si>
    <t>INTERNAL RECORDS</t>
  </si>
  <si>
    <t>Tickets for Power Officers</t>
  </si>
  <si>
    <t>Drinks for Award Coordinators</t>
  </si>
  <si>
    <t>Food for Award Coordinators</t>
  </si>
  <si>
    <t>ACADEMICS</t>
  </si>
  <si>
    <t>From Metro for participants</t>
  </si>
  <si>
    <t>Chips</t>
  </si>
  <si>
    <t>Returned if CHP makes $500 in sales</t>
  </si>
  <si>
    <t>Karaoke Machine</t>
  </si>
  <si>
    <r>
      <t xml:space="preserve">Rental rate from </t>
    </r>
    <r>
      <rPr>
        <sz val="9"/>
        <rFont val="Verdana"/>
        <family val="2"/>
      </rPr>
      <t xml:space="preserve">karaokecloset.com </t>
    </r>
  </si>
  <si>
    <t>Delivery</t>
  </si>
  <si>
    <r>
      <t xml:space="preserve">Shipping cost from </t>
    </r>
    <r>
      <rPr>
        <sz val="8"/>
        <rFont val="Verdana"/>
        <family val="0"/>
      </rPr>
      <t xml:space="preserve">karaokecloset.com </t>
    </r>
  </si>
  <si>
    <t>Return</t>
  </si>
  <si>
    <t>Cheese Nibbler Platters</t>
  </si>
  <si>
    <t>Buddy
Boat Cruise</t>
  </si>
  <si>
    <t>DONATION</t>
  </si>
  <si>
    <t>FINANCIAL ADVISORY COMMITTEE</t>
  </si>
  <si>
    <t>Miscellaneous Advertising</t>
  </si>
  <si>
    <t>Buns</t>
  </si>
  <si>
    <t>Vegetarian Option</t>
  </si>
  <si>
    <t>Chips</t>
  </si>
  <si>
    <t>Soft Drinks (18 Pack)</t>
  </si>
  <si>
    <t>Packs of 8</t>
  </si>
  <si>
    <t>Packs of 6</t>
  </si>
  <si>
    <t>SERVICES NIGHT</t>
  </si>
  <si>
    <t>Services Night</t>
  </si>
  <si>
    <t>INTERNAL AFFAIRS, Rachel Currie</t>
  </si>
  <si>
    <t>Enterprise - Full size</t>
  </si>
  <si>
    <t>FYIC McMaster</t>
  </si>
  <si>
    <t>Car Rental</t>
  </si>
  <si>
    <t>For the donation pot passed around</t>
  </si>
  <si>
    <t>2 Large from PizzaPizza</t>
  </si>
  <si>
    <t>From Metro</t>
  </si>
  <si>
    <t>Go during ritual (2-6)</t>
  </si>
  <si>
    <t>Queen's Pub</t>
  </si>
  <si>
    <t>Go after ritual (6-9)</t>
  </si>
  <si>
    <t>Alfies</t>
  </si>
  <si>
    <t>Barber</t>
  </si>
  <si>
    <t>Up to Date</t>
  </si>
  <si>
    <t>Up to Date</t>
  </si>
  <si>
    <t>Up to Date Budget</t>
  </si>
  <si>
    <t>Up to Date Budget</t>
  </si>
  <si>
    <t>2 delegates, one at 200, other at 300</t>
  </si>
  <si>
    <t>Flights</t>
  </si>
  <si>
    <t>To the YUKON</t>
  </si>
  <si>
    <t>Gasoline, taxi from airport</t>
  </si>
  <si>
    <t>NCWIE
McMaster</t>
  </si>
  <si>
    <t>Car Rental</t>
  </si>
  <si>
    <t>Enterprise normal</t>
  </si>
  <si>
    <t>assuming 6 delegates</t>
  </si>
  <si>
    <t>Gas</t>
  </si>
  <si>
    <t>AGM UOIT</t>
  </si>
  <si>
    <t>4 people</t>
  </si>
  <si>
    <t>PM Windsor</t>
  </si>
  <si>
    <t>Gas</t>
  </si>
  <si>
    <t>derrick is driving</t>
  </si>
  <si>
    <t>PEO-SC</t>
  </si>
  <si>
    <t>RESUME &amp; INTERVIEW WORKSHOPS (THREE TO BE HELD THROUGHOUT YEAR)</t>
  </si>
  <si>
    <t>All-nighter</t>
  </si>
  <si>
    <t>HARDWARE, SOFTWARE, SUPPLIES</t>
  </si>
  <si>
    <t>Transition Dinner</t>
  </si>
  <si>
    <t>REVIEW BOARD</t>
  </si>
  <si>
    <t>For AWS polls</t>
  </si>
  <si>
    <t>Pizza Piza Party Pizza 20 slices</t>
  </si>
  <si>
    <t xml:space="preserve">1 XL PizzaPizza, 2 main meetings </t>
  </si>
  <si>
    <t>BAF Council</t>
  </si>
  <si>
    <t>Does minutes for council.</t>
  </si>
  <si>
    <t>Secretary</t>
  </si>
  <si>
    <t>COUNCIL EXPENSES</t>
  </si>
  <si>
    <t>AMS Journal Hiring Add</t>
  </si>
  <si>
    <t>1/2 page add</t>
  </si>
  <si>
    <t>Banquet</t>
  </si>
  <si>
    <t>Fall Term Social</t>
  </si>
  <si>
    <t>Revenue from Band Night</t>
  </si>
  <si>
    <t>TERRY FOX RUN</t>
  </si>
  <si>
    <t>WINE &amp; CHEESE WITH THE DEAN</t>
  </si>
  <si>
    <t xml:space="preserve">Wine </t>
  </si>
  <si>
    <t>Tuition - Vic Pleavin</t>
  </si>
  <si>
    <r>
      <t>201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/201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
</t>
    </r>
    <r>
      <rPr>
        <b/>
        <sz val="8.5"/>
        <color indexed="8"/>
        <rFont val="Calibri"/>
        <family val="2"/>
      </rPr>
      <t>Budget Total</t>
    </r>
  </si>
  <si>
    <t>REVENUE:</t>
  </si>
  <si>
    <t>Facepaint For Moustaches</t>
  </si>
  <si>
    <t>Black Facepaint from Dollar Store</t>
  </si>
  <si>
    <t>Advertising for band @ Clark Night</t>
  </si>
  <si>
    <t>General Advertising</t>
  </si>
  <si>
    <t>Revenue from Moustaches</t>
  </si>
  <si>
    <t>Santa Claus Parade and Snow Fort</t>
  </si>
  <si>
    <t>Registration</t>
  </si>
  <si>
    <t>Dinner for Interviewwers</t>
  </si>
  <si>
    <t>P&amp;CC Poster Printing Ads</t>
  </si>
  <si>
    <t>Tabloid (11/17 Paper)</t>
  </si>
  <si>
    <t>Hamburgers</t>
  </si>
  <si>
    <t>JACKET BUSARY &amp; THANK-YOU FUND</t>
  </si>
  <si>
    <t>Referendum Add</t>
  </si>
  <si>
    <t>AMS Election Fees</t>
  </si>
  <si>
    <t>For Debates</t>
  </si>
  <si>
    <t>Christmas</t>
  </si>
  <si>
    <t>Halloween</t>
  </si>
  <si>
    <t>BMH (ITS Mangement Fees)</t>
  </si>
  <si>
    <t>CFES</t>
  </si>
  <si>
    <t xml:space="preserve">PM Kelowna
</t>
  </si>
  <si>
    <t>Flights</t>
  </si>
  <si>
    <t>7" Student Scissors</t>
  </si>
  <si>
    <t>Sidewalk Chalk</t>
  </si>
  <si>
    <t>Dollarama</t>
  </si>
  <si>
    <t>Mr. Sketch Markers</t>
  </si>
  <si>
    <t>Staples</t>
  </si>
  <si>
    <t>1 Pack of 4</t>
  </si>
  <si>
    <t>Packs of 15 Sticks</t>
  </si>
  <si>
    <t>Ebay</t>
  </si>
  <si>
    <t>Condiments</t>
  </si>
  <si>
    <t>Drinks</t>
  </si>
  <si>
    <t>Sales</t>
  </si>
  <si>
    <t>Upper Year Bonding Time</t>
  </si>
  <si>
    <t>Refreshments</t>
  </si>
  <si>
    <t>Candy</t>
  </si>
  <si>
    <t>Fee to Serve Food in Wallace Hall</t>
  </si>
  <si>
    <t>Hot Chocolate</t>
  </si>
  <si>
    <t xml:space="preserve">Sidewalk Sale </t>
  </si>
  <si>
    <t>Cost of Booth</t>
  </si>
  <si>
    <t>Ritual BBQ Fundraiser</t>
  </si>
  <si>
    <t>Burger and hotdog sales</t>
  </si>
  <si>
    <t>Blank Media</t>
  </si>
  <si>
    <t>Various</t>
  </si>
  <si>
    <t>DVDs/CDs</t>
  </si>
  <si>
    <t>Santa Claus Parade</t>
  </si>
  <si>
    <t>100 Posters</t>
  </si>
  <si>
    <t>Choral Risers</t>
  </si>
  <si>
    <t>1GB Sticks</t>
  </si>
  <si>
    <t>500 GB 5400 ROM SATA</t>
  </si>
  <si>
    <t>For Lounge and Office computers</t>
  </si>
  <si>
    <t>OTHER EQUIPMENT</t>
  </si>
  <si>
    <t>Flash Drives</t>
  </si>
  <si>
    <t>SOCIETY AFFAIRS</t>
  </si>
  <si>
    <t>STUDENT DEVELOPMENT</t>
  </si>
  <si>
    <t>EXTERNAL COMMUNICATIONS</t>
  </si>
  <si>
    <t>EVENTS</t>
  </si>
  <si>
    <t>FINANCE</t>
  </si>
  <si>
    <t>FIRST YEAR</t>
  </si>
  <si>
    <t>TV Computer, 1 other replacement</t>
  </si>
  <si>
    <t>The Engineering Society of Queen's University</t>
  </si>
  <si>
    <t>OPERATIONS</t>
  </si>
  <si>
    <t>TOTAL REVENUE</t>
  </si>
  <si>
    <t>EXPENSES</t>
  </si>
  <si>
    <t>PRESIDENT</t>
  </si>
  <si>
    <t>Insurance</t>
  </si>
  <si>
    <r>
      <rPr>
        <b/>
        <sz val="8"/>
        <color indexed="8"/>
        <rFont val="Calibri"/>
        <family val="2"/>
      </rPr>
      <t>(if applicable)</t>
    </r>
    <r>
      <rPr>
        <b/>
        <sz val="11"/>
        <color indexed="8"/>
        <rFont val="Calibri"/>
        <family val="2"/>
      </rPr>
      <t xml:space="preserve">
Unit Price</t>
    </r>
  </si>
  <si>
    <t>PRESIDENT SUBSIDY</t>
  </si>
  <si>
    <t>MEETINGS</t>
  </si>
  <si>
    <t>Delegate Fee</t>
  </si>
  <si>
    <t>Invitations</t>
  </si>
  <si>
    <t>Table Clothes and Christmas Lights</t>
  </si>
  <si>
    <t>Bag of Ice</t>
  </si>
  <si>
    <t>For Punch Bowl</t>
  </si>
  <si>
    <t>Faculty Invites</t>
  </si>
  <si>
    <t>Cracker Platters</t>
  </si>
  <si>
    <t>From Sobeys 12 inch serves 8-12</t>
  </si>
  <si>
    <t>Driving there and back</t>
  </si>
  <si>
    <t>Congress
Whitehorse</t>
  </si>
  <si>
    <t>Delegate Fees</t>
  </si>
  <si>
    <t>Chem Eng</t>
  </si>
  <si>
    <t>Geological</t>
  </si>
  <si>
    <t>Sci 12</t>
  </si>
  <si>
    <t>Sci 13</t>
  </si>
  <si>
    <t>Sponsor Apreciation</t>
  </si>
  <si>
    <t>Dunning Printing, may get for free</t>
  </si>
  <si>
    <t>Program</t>
  </si>
  <si>
    <t>Ticket for Senators</t>
  </si>
  <si>
    <t>Ticket for Directors</t>
  </si>
  <si>
    <t>Ticket for Exec</t>
  </si>
  <si>
    <t>Engravings</t>
  </si>
  <si>
    <t>Trophies &amp; Plaques</t>
  </si>
  <si>
    <t>Instructor Fee</t>
  </si>
  <si>
    <t>80 x2</t>
  </si>
  <si>
    <t>50x10</t>
  </si>
  <si>
    <t>(if applicable)
Unit Price</t>
  </si>
  <si>
    <r>
      <t xml:space="preserve">2011/2012
</t>
    </r>
    <r>
      <rPr>
        <b/>
        <sz val="8.5"/>
        <color indexed="8"/>
        <rFont val="Calibri"/>
        <family val="2"/>
      </rPr>
      <t>Budget Total</t>
    </r>
  </si>
  <si>
    <t>AMS IT FEES</t>
  </si>
  <si>
    <t>Bars</t>
  </si>
  <si>
    <t>"Secret Service"</t>
  </si>
  <si>
    <t>Computers</t>
  </si>
  <si>
    <t>Ram Sticks</t>
  </si>
  <si>
    <t>Hard Drives</t>
  </si>
  <si>
    <t>Keyboards/Mice</t>
  </si>
  <si>
    <t>Salary - Approved by Council</t>
  </si>
  <si>
    <t>Textbook (from the Summer Budget)</t>
  </si>
  <si>
    <t>Photocopier Usage</t>
  </si>
  <si>
    <t>Per sheet price</t>
  </si>
  <si>
    <t>Game Cube Controllers</t>
  </si>
  <si>
    <t>4 Wireless Ones : Ebay</t>
  </si>
  <si>
    <t>Speaker System</t>
  </si>
  <si>
    <t>SUMMER SALARIES</t>
  </si>
  <si>
    <t>Napkins for Clark</t>
  </si>
  <si>
    <t>TIFR Sweepstake</t>
  </si>
  <si>
    <t>Facebook Ads</t>
  </si>
  <si>
    <t>Logitech s351i : Tiger Direct</t>
  </si>
  <si>
    <t>Games</t>
  </si>
  <si>
    <t>ALL-DISCIPLINES NIGHT</t>
  </si>
  <si>
    <t>Pizza - Cheese</t>
  </si>
  <si>
    <t>Pizza - Pepperoni</t>
  </si>
  <si>
    <t>Case of 12 for refreshment</t>
  </si>
  <si>
    <t>Queen's Stickers, pens, papers</t>
  </si>
  <si>
    <t>BUDDY PROGRAM</t>
  </si>
  <si>
    <t>Field Time</t>
  </si>
  <si>
    <t>6 Hours of Home Field Time</t>
  </si>
  <si>
    <t>Referendum, Design Team Showcase</t>
  </si>
  <si>
    <t>DTRT</t>
  </si>
  <si>
    <t>Performance and Innovation Incentive</t>
  </si>
  <si>
    <t>Polo Subsidy</t>
  </si>
  <si>
    <t>CEEC, CIRQUE, QEC</t>
  </si>
  <si>
    <t>Conference Sponsorships</t>
  </si>
  <si>
    <t>VPSD, VPSD-Elect, Events</t>
  </si>
  <si>
    <t>WISE Dinner w Industry</t>
  </si>
  <si>
    <t>VPSD, VPSD-Elect, Prez</t>
  </si>
  <si>
    <t>Management Training</t>
  </si>
  <si>
    <t>Webmaster Training</t>
  </si>
  <si>
    <t>Safety Officer Training</t>
  </si>
  <si>
    <t>TRAINING</t>
  </si>
  <si>
    <t>75 Cups</t>
  </si>
  <si>
    <t>Semi-Formal/Smoker</t>
  </si>
  <si>
    <t>Plates and Cutlery</t>
  </si>
  <si>
    <t>Pop (case of 24) costco</t>
  </si>
  <si>
    <t>Mouth Guard Payments</t>
  </si>
  <si>
    <t>Registration Fees</t>
  </si>
  <si>
    <t>Large Posters</t>
  </si>
  <si>
    <t>Small Posters</t>
  </si>
  <si>
    <t>FIX N CLEAN</t>
  </si>
  <si>
    <t>Radio/Newspaper add, Posters</t>
  </si>
  <si>
    <t>Pizza Piza Party Pizza 20 slices</t>
  </si>
  <si>
    <t>EXAM STUDY BREAK</t>
  </si>
  <si>
    <t>Hot Chocolate</t>
  </si>
  <si>
    <t>Timbits</t>
  </si>
  <si>
    <t>To Shave Moustaches in November</t>
  </si>
  <si>
    <t>Paint, Markers, Posters etc.</t>
  </si>
  <si>
    <t>Stereo Equipments</t>
  </si>
  <si>
    <t>Rented from JDUC</t>
  </si>
  <si>
    <t>CIRQUE Tickets</t>
  </si>
  <si>
    <t>OEC Fees</t>
  </si>
  <si>
    <t>OEC Transport subsidy</t>
  </si>
  <si>
    <t>Train or Bus</t>
  </si>
  <si>
    <t>Thank-you Cards</t>
  </si>
  <si>
    <t>Transportation</t>
  </si>
  <si>
    <t>FUNGINEERING</t>
  </si>
  <si>
    <t>All Ages Rock Band Tourny</t>
  </si>
  <si>
    <t>Clark Hall Pub</t>
  </si>
  <si>
    <t>ADVERTISING REVENUE</t>
  </si>
  <si>
    <t>Yearbook</t>
  </si>
  <si>
    <t>from CU ads</t>
  </si>
  <si>
    <t>Engenda</t>
  </si>
  <si>
    <t>from CU ads, and AMS</t>
  </si>
  <si>
    <t>ENG SERVE</t>
  </si>
  <si>
    <t>Manuals</t>
  </si>
  <si>
    <t>AUTO CAD WORKSHOP</t>
  </si>
  <si>
    <t>ADVERTISING</t>
  </si>
  <si>
    <t>GW hiring add</t>
  </si>
  <si>
    <t>1/4 page add</t>
  </si>
  <si>
    <t>Moneris transaction fees, credit</t>
  </si>
  <si>
    <t>Charged per card, once a year</t>
  </si>
  <si>
    <r>
      <t>2</t>
    </r>
    <r>
      <rPr>
        <b/>
        <sz val="11"/>
        <color indexed="8"/>
        <rFont val="Calibri"/>
        <family val="2"/>
      </rPr>
      <t>011</t>
    </r>
    <r>
      <rPr>
        <b/>
        <sz val="11"/>
        <color indexed="8"/>
        <rFont val="Calibri"/>
        <family val="2"/>
      </rPr>
      <t>/201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
</t>
    </r>
    <r>
      <rPr>
        <b/>
        <sz val="8.5"/>
        <color indexed="8"/>
        <rFont val="Calibri"/>
        <family val="2"/>
      </rPr>
      <t>Budget Total</t>
    </r>
  </si>
  <si>
    <t>Upper Year Buddy Training</t>
  </si>
  <si>
    <t>Room Booking</t>
  </si>
  <si>
    <t>Sports Event</t>
  </si>
  <si>
    <t>Tearoom Giftcard</t>
  </si>
  <si>
    <t>Credit card annual fees</t>
  </si>
  <si>
    <t>ENG RUGBY</t>
  </si>
  <si>
    <t>Transportation Expenses</t>
  </si>
  <si>
    <t>Cookies</t>
  </si>
  <si>
    <t>Skating</t>
  </si>
  <si>
    <t>Ticket Sales Revenue</t>
  </si>
  <si>
    <t>AleHouse Rental</t>
  </si>
  <si>
    <t>Ticket Printing</t>
  </si>
  <si>
    <t>Go at night (9-midnight)</t>
  </si>
  <si>
    <t>Juice for Punch</t>
  </si>
  <si>
    <t>From Party Packagers</t>
  </si>
  <si>
    <t>Decorations</t>
  </si>
  <si>
    <t>80/prez cand, 50/vp+senators</t>
  </si>
  <si>
    <t>Provided by Colio Winery</t>
  </si>
  <si>
    <t>Jazz Ensemble</t>
  </si>
  <si>
    <t>Queen's Bands Jazz Ensemble</t>
  </si>
  <si>
    <t>Buddy Smoker</t>
  </si>
  <si>
    <t>Wasn't returned by Ale (sales)</t>
  </si>
  <si>
    <t>Field Rental</t>
  </si>
  <si>
    <t>Tindall Field costs $100/hour for Prime Time and $48/hour for Non Prime</t>
  </si>
  <si>
    <t>Prizes</t>
  </si>
  <si>
    <t>Cases of Water</t>
  </si>
  <si>
    <t>Timbits</t>
  </si>
  <si>
    <t>Boxes of 40</t>
  </si>
  <si>
    <t>CAROL SERVICE</t>
  </si>
  <si>
    <t>Grant Hall Rental</t>
  </si>
  <si>
    <t>Fruit and Vegetable Trays</t>
  </si>
  <si>
    <t>Baked Goods</t>
  </si>
  <si>
    <t>Napkins and Utensils</t>
  </si>
  <si>
    <t>Rent</t>
  </si>
  <si>
    <t>Office supplies</t>
  </si>
  <si>
    <t>From ITS, includes services</t>
  </si>
  <si>
    <t>Long distance</t>
  </si>
  <si>
    <t>Phone</t>
  </si>
  <si>
    <t>Organist</t>
  </si>
  <si>
    <t>Postage</t>
  </si>
  <si>
    <t>IT Equipment</t>
  </si>
  <si>
    <t>Projector, Screen, Mics, etc.</t>
  </si>
  <si>
    <t>Additional Decorations</t>
  </si>
  <si>
    <t>From Sobeys 14 inch serves 10-15</t>
  </si>
  <si>
    <t>Fruit and Cheese Platters</t>
  </si>
  <si>
    <t>Fancy Napkins</t>
  </si>
  <si>
    <t>Dean's Contribution</t>
  </si>
  <si>
    <t>Paid for by Chaplain</t>
  </si>
  <si>
    <t>Delegate Fees</t>
  </si>
  <si>
    <t>Gas/Taxi</t>
  </si>
  <si>
    <t>After Expenses</t>
  </si>
  <si>
    <t>CLERICAL</t>
  </si>
  <si>
    <t>Water Jugs</t>
  </si>
  <si>
    <t>Donated</t>
  </si>
  <si>
    <t>ECE</t>
  </si>
  <si>
    <t>Eng Chem</t>
  </si>
  <si>
    <t>DISCIPLINE CLUBS &amp; YEAR EXECUTIVE DISTRIBUTIONS</t>
  </si>
  <si>
    <t>For Alumni &amp; Faculty Members</t>
  </si>
  <si>
    <t>Gifts</t>
  </si>
  <si>
    <t>Assumes all of new and old attend</t>
  </si>
  <si>
    <t>Transition dinner</t>
  </si>
  <si>
    <t>For appreciation, have to buy this year</t>
  </si>
  <si>
    <t>Mugs</t>
  </si>
  <si>
    <t>Engraving the names</t>
  </si>
  <si>
    <t>Sword</t>
  </si>
  <si>
    <t>Wine</t>
  </si>
  <si>
    <t>BANQUET</t>
  </si>
  <si>
    <t>Potluck Council</t>
  </si>
  <si>
    <t>MOCK INTERVIEWS</t>
  </si>
  <si>
    <t>(if applicable)
Quantity</t>
  </si>
  <si>
    <r>
      <t xml:space="preserve">
</t>
    </r>
    <r>
      <rPr>
        <b/>
        <sz val="9"/>
        <color indexed="8"/>
        <rFont val="Calibri"/>
        <family val="2"/>
      </rPr>
      <t>Tax</t>
    </r>
  </si>
  <si>
    <t>ILC Lock In</t>
  </si>
  <si>
    <t>From PizzaPizza for participants</t>
  </si>
  <si>
    <t>Sponsorship</t>
  </si>
  <si>
    <t>Advertising</t>
  </si>
  <si>
    <t>President</t>
  </si>
  <si>
    <t>SUMMER HONORARIA</t>
  </si>
  <si>
    <r>
      <t>201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/201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
</t>
    </r>
    <r>
      <rPr>
        <b/>
        <sz val="8.5"/>
        <color indexed="8"/>
        <rFont val="Calibri"/>
        <family val="2"/>
      </rPr>
      <t>Budget Total</t>
    </r>
  </si>
  <si>
    <t>Simply Accounting Upgrade</t>
  </si>
  <si>
    <t>Officer Appreciation</t>
  </si>
  <si>
    <t>HIRING FAIRS (FALL &amp; SPRING)</t>
  </si>
  <si>
    <t>Sci 15</t>
  </si>
  <si>
    <t>$0.50 / km driven in own vehicle</t>
  </si>
  <si>
    <t>misc errands</t>
  </si>
  <si>
    <t>Trips to Bookkeeper</t>
  </si>
  <si>
    <t>MILEAGE</t>
  </si>
  <si>
    <t>Engenda Printing</t>
  </si>
  <si>
    <t>From Jostens</t>
  </si>
  <si>
    <t>COMMUNICATION SUPPLIES</t>
  </si>
  <si>
    <t>MERCHANDISE EXCHANGE, AT CONFERENCES</t>
  </si>
  <si>
    <t>Queen's Merchandise (CEO)</t>
  </si>
  <si>
    <t>Enterprise - Standard SUV</t>
  </si>
  <si>
    <t>Less Repayment of Fees</t>
  </si>
  <si>
    <t>Assumes 3 sales, booking JDUC</t>
  </si>
  <si>
    <t>Space Booking</t>
  </si>
  <si>
    <t>IMAGINUS POSTER SALE</t>
  </si>
  <si>
    <t>on campus spot, all year</t>
  </si>
  <si>
    <t>Deductions</t>
  </si>
  <si>
    <t>taken from student fees</t>
  </si>
  <si>
    <t>Salary</t>
  </si>
  <si>
    <t>12 pack for 4 meetings</t>
  </si>
  <si>
    <t>Food for 2 open forums</t>
  </si>
  <si>
    <t>OTHER</t>
  </si>
  <si>
    <t>For SEED, BED, and Englinks</t>
  </si>
  <si>
    <t>One Week's Pay - Council Approved</t>
  </si>
  <si>
    <t>VP Academic</t>
  </si>
  <si>
    <t>VP Operations</t>
  </si>
  <si>
    <t>Operational Budgeting 2011-2012</t>
  </si>
  <si>
    <r>
      <t>201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/201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
</t>
    </r>
    <r>
      <rPr>
        <b/>
        <sz val="8.5"/>
        <color indexed="8"/>
        <rFont val="Calibri"/>
        <family val="2"/>
      </rPr>
      <t>Budget Total</t>
    </r>
  </si>
  <si>
    <t>GENERAL MANAGER EXPENSES</t>
  </si>
  <si>
    <t>Cleaning Supplies</t>
  </si>
  <si>
    <t>Brushes, sponges, gloves, etc</t>
  </si>
  <si>
    <t>Senior Appreciation</t>
  </si>
  <si>
    <t>Tea/Coffee, Tim Hortan Timbits</t>
  </si>
  <si>
    <t>Volunteer Apreciation</t>
  </si>
  <si>
    <t>T-shirts, Lunch, Drinks &amp; Snacks</t>
  </si>
  <si>
    <t>500g Tim Hortons</t>
  </si>
  <si>
    <t>Last Year Budgeted</t>
  </si>
  <si>
    <t>Last Year Actual</t>
  </si>
  <si>
    <t>Last Year Budgeted</t>
  </si>
  <si>
    <t>Last Year Actual</t>
  </si>
  <si>
    <t>40 Pack from Tim Hortons</t>
  </si>
  <si>
    <t>Building Materials</t>
  </si>
  <si>
    <t>CEEC Tickets</t>
  </si>
  <si>
    <r>
      <rPr>
        <b/>
        <sz val="8"/>
        <color indexed="8"/>
        <rFont val="Calibri"/>
        <family val="2"/>
      </rPr>
      <t>(if applicable)</t>
    </r>
    <r>
      <rPr>
        <b/>
        <sz val="11"/>
        <color indexed="8"/>
        <rFont val="Calibri"/>
        <family val="2"/>
      </rPr>
      <t xml:space="preserve">
Quantity</t>
    </r>
  </si>
  <si>
    <r>
      <t xml:space="preserve">2010/2011
</t>
    </r>
    <r>
      <rPr>
        <b/>
        <sz val="8.5"/>
        <color indexed="8"/>
        <rFont val="Calibri"/>
        <family val="2"/>
      </rPr>
      <t>Budget Total</t>
    </r>
  </si>
  <si>
    <t>Council Candy</t>
  </si>
  <si>
    <t>For Jacket Bursaries</t>
  </si>
  <si>
    <r>
      <t xml:space="preserve">OPERATIONS, </t>
    </r>
    <r>
      <rPr>
        <b/>
        <sz val="20"/>
        <color indexed="8"/>
        <rFont val="Calibri"/>
        <family val="2"/>
      </rPr>
      <t>Claire Wunker</t>
    </r>
  </si>
  <si>
    <t>Operational Budgeting 2011-2012</t>
  </si>
  <si>
    <t>6 people</t>
  </si>
  <si>
    <t>FROSH WEEK GIVEAWAY</t>
  </si>
  <si>
    <t>Button Maker</t>
  </si>
  <si>
    <t>Admin</t>
  </si>
  <si>
    <t>Banking</t>
  </si>
  <si>
    <t>MISCELLANEOUS INCOME</t>
  </si>
  <si>
    <t>Summer BBQ revenue</t>
  </si>
  <si>
    <t>Photocopier revenue</t>
  </si>
  <si>
    <t>Moneris service charges</t>
  </si>
  <si>
    <t>Imaginus poster sale</t>
  </si>
  <si>
    <t>less HST</t>
  </si>
  <si>
    <t>QUESSI</t>
  </si>
  <si>
    <t>Management fees</t>
  </si>
  <si>
    <t>STUDENT FEES</t>
  </si>
  <si>
    <t>First installment</t>
  </si>
  <si>
    <t>Second installment</t>
  </si>
  <si>
    <t>ENGENDA SALES</t>
  </si>
  <si>
    <t>Operational Budgeting 2011-2012</t>
  </si>
  <si>
    <t>Debit/Credit Machine</t>
  </si>
  <si>
    <t>Moneris rental &amp; service pack</t>
  </si>
  <si>
    <t>Secure deposit to BMO</t>
  </si>
  <si>
    <t>G4S weekly pickup</t>
  </si>
  <si>
    <t>Buddy Ski Trip</t>
  </si>
  <si>
    <t>Lift Tickets</t>
  </si>
  <si>
    <t>Charter Bus</t>
  </si>
  <si>
    <t>MOVEMBER</t>
  </si>
  <si>
    <t>Moustaches For Selling @ Ritual</t>
  </si>
  <si>
    <t>Tattoo and Rub On</t>
  </si>
  <si>
    <t>Paid to Queen's Financial Services</t>
  </si>
  <si>
    <t>POSITION TOTAL</t>
  </si>
  <si>
    <t>Particulars</t>
  </si>
  <si>
    <t>Operational Budgeting 2010-2011</t>
  </si>
  <si>
    <t>Expense</t>
  </si>
  <si>
    <t>Specifics</t>
  </si>
  <si>
    <r>
      <rPr>
        <b/>
        <sz val="8"/>
        <color indexed="8"/>
        <rFont val="Calibri"/>
        <family val="2"/>
      </rPr>
      <t>(if applicable)</t>
    </r>
    <r>
      <rPr>
        <b/>
        <sz val="11"/>
        <color indexed="8"/>
        <rFont val="Calibri"/>
        <family val="2"/>
      </rPr>
      <t xml:space="preserve">
Unit Price</t>
    </r>
  </si>
  <si>
    <r>
      <rPr>
        <b/>
        <sz val="8"/>
        <color indexed="8"/>
        <rFont val="Calibri"/>
        <family val="2"/>
      </rPr>
      <t>(if applicable)</t>
    </r>
    <r>
      <rPr>
        <b/>
        <sz val="11"/>
        <color indexed="8"/>
        <rFont val="Calibri"/>
        <family val="2"/>
      </rPr>
      <t xml:space="preserve">
Quantity</t>
    </r>
  </si>
  <si>
    <t>Budget
Subtotal</t>
  </si>
  <si>
    <r>
      <t xml:space="preserve">
</t>
    </r>
    <r>
      <rPr>
        <b/>
        <sz val="9"/>
        <color indexed="8"/>
        <rFont val="Calibri"/>
        <family val="2"/>
      </rPr>
      <t>Tax</t>
    </r>
  </si>
  <si>
    <r>
      <t xml:space="preserve">2010/2011
</t>
    </r>
    <r>
      <rPr>
        <b/>
        <sz val="8.5"/>
        <color indexed="8"/>
        <rFont val="Calibri"/>
        <family val="2"/>
      </rPr>
      <t>Budget Total</t>
    </r>
  </si>
  <si>
    <t>APPRECIATION</t>
  </si>
  <si>
    <t>Clark Hall Tab Night</t>
  </si>
  <si>
    <t>For involved volunteers</t>
  </si>
  <si>
    <t>Banquet Tickets</t>
  </si>
  <si>
    <t>EXECUTIVE/DIRECTOR</t>
  </si>
  <si>
    <t>Marketing</t>
  </si>
  <si>
    <t>Business Cards</t>
  </si>
  <si>
    <t>Uniform</t>
  </si>
  <si>
    <t>Ruggers</t>
  </si>
  <si>
    <t>JOHN ORR</t>
  </si>
  <si>
    <t>Rooms</t>
  </si>
  <si>
    <t>Thank-you Cards/Gifts</t>
  </si>
  <si>
    <t>OFFICER TRAINING</t>
  </si>
  <si>
    <t>Party size pizzas</t>
  </si>
  <si>
    <t>1 Coke and 2 Mixed (Costco)</t>
  </si>
  <si>
    <t>CONFERENCES</t>
  </si>
  <si>
    <t>$8 per board member per meeting</t>
  </si>
  <si>
    <t>Food</t>
  </si>
  <si>
    <t>BOARD OF DIRECTORS</t>
  </si>
  <si>
    <t>9 cents per debit transaction</t>
  </si>
  <si>
    <t>Moneris transaction fees, debit</t>
  </si>
  <si>
    <t>1.79% on cards</t>
  </si>
  <si>
    <t>For Ticket Printing</t>
  </si>
  <si>
    <t>Boat Rental</t>
  </si>
  <si>
    <t>Donation to QFA</t>
  </si>
  <si>
    <t>Buses</t>
  </si>
  <si>
    <t>StuCons</t>
  </si>
  <si>
    <t xml:space="preserve">Licensing </t>
  </si>
  <si>
    <t>Pizza (80 people)</t>
  </si>
  <si>
    <t>Course Fee</t>
  </si>
  <si>
    <t>DECEMBER 6TH MEMORIAL SERVICE</t>
  </si>
  <si>
    <t>Posters/Flyers</t>
  </si>
  <si>
    <t>Rose Ceremony + Vigil</t>
  </si>
  <si>
    <t>Candles + Labels</t>
  </si>
  <si>
    <t>Exec Dinner</t>
  </si>
  <si>
    <t>Dinner (1 ea.) for incoming/outgoing</t>
  </si>
  <si>
    <t>Roses</t>
  </si>
  <si>
    <t>Food Serving Fee</t>
  </si>
  <si>
    <t>ADMINISTRATION &amp; LEGAL</t>
  </si>
  <si>
    <t xml:space="preserve">VP(OPS) </t>
  </si>
  <si>
    <t>Volunteer Apprecation</t>
  </si>
  <si>
    <t>EngSoc Banquet</t>
  </si>
  <si>
    <t>Volunteer Apprecation Fall Motivation</t>
  </si>
  <si>
    <t>Fall Dinner</t>
  </si>
  <si>
    <t>Thank you Cards</t>
  </si>
  <si>
    <t>(revenue)</t>
  </si>
  <si>
    <t>One semester Tution for a 5th Year</t>
  </si>
  <si>
    <t>TRANSITION NIGHT</t>
  </si>
  <si>
    <t>Posters for debates</t>
  </si>
  <si>
    <t xml:space="preserve">Advertising </t>
  </si>
  <si>
    <t>Each Candidate gets $30 to spend</t>
  </si>
  <si>
    <t>Candidate Refunds</t>
  </si>
  <si>
    <t>Food for StuCons</t>
  </si>
  <si>
    <t>3 XL Large Pizzas from PizzaPizza</t>
  </si>
  <si>
    <t>DJ</t>
  </si>
  <si>
    <t>SOCAN Fee</t>
  </si>
  <si>
    <t>Damage Deposit</t>
  </si>
  <si>
    <t>REVENUE</t>
  </si>
  <si>
    <t>Engenda Editor</t>
  </si>
  <si>
    <t>CPP</t>
  </si>
  <si>
    <t>Based on salaries</t>
  </si>
  <si>
    <t>EI</t>
  </si>
  <si>
    <t>Yearbook Printing</t>
  </si>
  <si>
    <t>PRINTING</t>
  </si>
  <si>
    <t>ENGLINKS</t>
  </si>
  <si>
    <t>For End of Year Meeting</t>
  </si>
  <si>
    <t>Bristol Board</t>
  </si>
  <si>
    <t>Markers</t>
  </si>
  <si>
    <t>Glue</t>
  </si>
  <si>
    <t>ACCOUNTING COURSE</t>
  </si>
  <si>
    <t>Financial Review</t>
  </si>
  <si>
    <t>Staff/Management Dossier</t>
  </si>
  <si>
    <t>Folders</t>
  </si>
  <si>
    <t>Labels</t>
  </si>
  <si>
    <t>MANAGER TRAINING</t>
  </si>
  <si>
    <t>Soft Drinks (18 pack)</t>
  </si>
  <si>
    <t>EXPECTED REVENUE</t>
  </si>
  <si>
    <t>TOTAL INCOME</t>
  </si>
  <si>
    <t>T-Shirts</t>
  </si>
  <si>
    <t xml:space="preserve"> Appreciation</t>
  </si>
  <si>
    <t>Icon Social</t>
  </si>
  <si>
    <t>Karaoke</t>
  </si>
  <si>
    <t>Night</t>
  </si>
  <si>
    <r>
      <t>S</t>
    </r>
    <r>
      <rPr>
        <b/>
        <sz val="10"/>
        <color indexed="8"/>
        <rFont val="Calibri"/>
        <family val="2"/>
      </rPr>
      <t>uperSmash</t>
    </r>
    <r>
      <rPr>
        <b/>
        <sz val="11"/>
        <color indexed="8"/>
        <rFont val="Calibri"/>
        <family val="2"/>
      </rPr>
      <t xml:space="preserve"> Bros</t>
    </r>
  </si>
  <si>
    <t>Tournament</t>
  </si>
  <si>
    <t>Mechanical</t>
  </si>
  <si>
    <t>Mining</t>
  </si>
  <si>
    <t>Apple Math</t>
  </si>
  <si>
    <t>EngPhys</t>
  </si>
  <si>
    <t>payroll?</t>
  </si>
  <si>
    <t>Based on Salaries</t>
  </si>
  <si>
    <t>For 2 BED meetings</t>
  </si>
  <si>
    <t>Pop</t>
  </si>
  <si>
    <t>12 pack for 2 meetings</t>
  </si>
  <si>
    <t>Game Consoles</t>
  </si>
  <si>
    <t>24 Packs For End of Year Meeting</t>
  </si>
  <si>
    <t>SEED</t>
  </si>
  <si>
    <r>
      <t xml:space="preserve">2 for 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SEED meetings</t>
    </r>
  </si>
  <si>
    <t>DESIGN TEAMS</t>
  </si>
  <si>
    <t>Team Space</t>
  </si>
  <si>
    <t>Supplies, upkeep</t>
  </si>
  <si>
    <t>GENERAL/OTHER</t>
  </si>
  <si>
    <t>Volunteer Appreciation</t>
  </si>
  <si>
    <r>
      <t xml:space="preserve">SOCIETY AFFAIRS,  </t>
    </r>
    <r>
      <rPr>
        <b/>
        <sz val="20"/>
        <color indexed="8"/>
        <rFont val="Calibri"/>
        <family val="2"/>
      </rPr>
      <t>Max Howarth</t>
    </r>
  </si>
  <si>
    <t>Through Hub International</t>
  </si>
  <si>
    <t>Insurance on land</t>
  </si>
  <si>
    <t xml:space="preserve">Donations from Beard Shaving </t>
  </si>
  <si>
    <t>ESSCO CONFERENCES</t>
  </si>
  <si>
    <t>BBQ Expenses</t>
  </si>
  <si>
    <t>Referees</t>
  </si>
  <si>
    <t>Mouthguards</t>
  </si>
  <si>
    <t>$1 per student</t>
  </si>
  <si>
    <t>Civil</t>
  </si>
  <si>
    <t>AGM</t>
  </si>
  <si>
    <t>Delegate Travel</t>
  </si>
  <si>
    <t>Delegate Fees</t>
  </si>
  <si>
    <t>Tattoos</t>
  </si>
  <si>
    <t>Stickers</t>
  </si>
  <si>
    <t>Frisbees</t>
  </si>
  <si>
    <t>ED MERCH</t>
  </si>
  <si>
    <t>Baseball Hats</t>
  </si>
  <si>
    <t>Paid to the City of Kingston</t>
  </si>
  <si>
    <t>Property taxes</t>
  </si>
  <si>
    <t>ESARCK</t>
  </si>
  <si>
    <t>ENGENDAS</t>
  </si>
  <si>
    <t xml:space="preserve"> sold by bookstore</t>
  </si>
  <si>
    <t>OPERATIONAL BUDGET</t>
  </si>
  <si>
    <t>To be borrowed from someone</t>
  </si>
  <si>
    <t>Ticket Sales</t>
  </si>
  <si>
    <t>Director Dinner</t>
  </si>
  <si>
    <t>WINTER DINNER FOR E/D</t>
  </si>
  <si>
    <t>Dinner</t>
  </si>
  <si>
    <t>Money Moved from Transition Dinner</t>
  </si>
  <si>
    <t>BED FUND</t>
  </si>
  <si>
    <t>Pizza</t>
  </si>
  <si>
    <t>Bookkeeping</t>
  </si>
  <si>
    <t>ACCOUNTING &amp; LEGAL</t>
  </si>
  <si>
    <t>Party size pizzas, ~$150 per Fair</t>
  </si>
  <si>
    <t>Drinks</t>
  </si>
  <si>
    <t>1 Coke, 1 Mixed, (Costco) each Fair</t>
  </si>
  <si>
    <t>Posters</t>
  </si>
  <si>
    <t>$1000 starter money</t>
  </si>
  <si>
    <t>Sci 14</t>
  </si>
  <si>
    <t>BANKING</t>
  </si>
  <si>
    <t>Lounge Improvements</t>
  </si>
  <si>
    <t xml:space="preserve"> </t>
  </si>
  <si>
    <t>For alumni members, out of town</t>
  </si>
  <si>
    <t>Travel subsidies</t>
  </si>
  <si>
    <t>Participant Fees</t>
  </si>
  <si>
    <t>Passcrests</t>
  </si>
  <si>
    <t>Propane</t>
  </si>
  <si>
    <t>Coffee</t>
  </si>
  <si>
    <t>Queen's Shinerama</t>
  </si>
  <si>
    <t>Side Walk Sale</t>
  </si>
  <si>
    <t>Dean`s Donation</t>
  </si>
  <si>
    <r>
      <t>MANAGER</t>
    </r>
    <r>
      <rPr>
        <b/>
        <sz val="11"/>
        <color indexed="8"/>
        <rFont val="Calibri"/>
        <family val="2"/>
      </rPr>
      <t>/EDITOR WINTER TERM SOCIAL</t>
    </r>
  </si>
  <si>
    <t>Revenue</t>
  </si>
  <si>
    <t>Expenses</t>
  </si>
  <si>
    <t>Total</t>
  </si>
  <si>
    <t>Piano Rental</t>
  </si>
  <si>
    <t>Movember Brokerage Duties</t>
  </si>
  <si>
    <t>ILC CHILI</t>
  </si>
  <si>
    <t>T-Shirts</t>
  </si>
  <si>
    <t>TD Waterhouse Parking</t>
  </si>
  <si>
    <t>Queen's Wears Green</t>
  </si>
  <si>
    <t>Cameron Bruce Bars</t>
  </si>
  <si>
    <t>Frosh Week Bracelets</t>
  </si>
  <si>
    <t>CHEM NOTES</t>
  </si>
  <si>
    <t>131 Notes Printing</t>
  </si>
  <si>
    <t>132 Notes Printing</t>
  </si>
  <si>
    <t>131 Notes Revenue</t>
  </si>
  <si>
    <t>132 Notes Revenue</t>
  </si>
  <si>
    <t>Tax was not taken into account</t>
  </si>
  <si>
    <t>Included in Rent</t>
  </si>
  <si>
    <t>From the AMS &amp; Hub International</t>
  </si>
  <si>
    <t>QUESSI Charge</t>
  </si>
  <si>
    <t>Other</t>
  </si>
  <si>
    <t>big changes in reallocation - not worth mentioning</t>
  </si>
  <si>
    <t>Combined Dinner &amp; Wine</t>
  </si>
  <si>
    <t>Tearoom</t>
  </si>
  <si>
    <t>Dodgeball Tourny</t>
  </si>
  <si>
    <t>Brokerage for Bracelets</t>
  </si>
  <si>
    <t>First Year Conference</t>
  </si>
  <si>
    <t>Gifts for Speakers</t>
  </si>
  <si>
    <t>Volenteer T-Shirts for FYC</t>
  </si>
  <si>
    <t>Misc. Expenses</t>
  </si>
  <si>
    <t>Nametags and Pamphlets</t>
  </si>
  <si>
    <t>Domain from Expiry</t>
  </si>
  <si>
    <t>Webdomain</t>
  </si>
  <si>
    <t>Hiring Posters</t>
  </si>
  <si>
    <t>Printing Costs</t>
  </si>
  <si>
    <t>ESSCO CONFERENCE</t>
  </si>
  <si>
    <t>TOTAL EXPENSE</t>
  </si>
  <si>
    <t>Paint for Crests</t>
  </si>
  <si>
    <t>SUMMER EXPENSES</t>
  </si>
  <si>
    <r>
      <t xml:space="preserve">PRESIDENT,  </t>
    </r>
    <r>
      <rPr>
        <b/>
        <sz val="20"/>
        <color indexed="8"/>
        <rFont val="Calibri"/>
        <family val="2"/>
      </rPr>
      <t>Derrick Dodgson</t>
    </r>
  </si>
  <si>
    <r>
      <t xml:space="preserve">ACADEMICS,  </t>
    </r>
    <r>
      <rPr>
        <b/>
        <sz val="20"/>
        <color indexed="8"/>
        <rFont val="Calibri"/>
        <family val="2"/>
      </rPr>
      <t>Josh Randall</t>
    </r>
  </si>
  <si>
    <r>
      <t xml:space="preserve">INFORMATION TECHNOLOGY, </t>
    </r>
    <r>
      <rPr>
        <b/>
        <sz val="20"/>
        <color indexed="8"/>
        <rFont val="Calibri"/>
        <family val="2"/>
      </rPr>
      <t>Joey</t>
    </r>
  </si>
  <si>
    <r>
      <t xml:space="preserve">PROFESSIONAL DEVELOPMENT, </t>
    </r>
    <r>
      <rPr>
        <b/>
        <sz val="20"/>
        <color indexed="8"/>
        <rFont val="Calibri"/>
        <family val="2"/>
      </rPr>
      <t xml:space="preserve">Ross Chaudhry </t>
    </r>
  </si>
  <si>
    <r>
      <t xml:space="preserve">SERVICES, </t>
    </r>
    <r>
      <rPr>
        <b/>
        <sz val="20"/>
        <color indexed="8"/>
        <rFont val="Calibri"/>
        <family val="2"/>
      </rPr>
      <t>Andrew Smith</t>
    </r>
  </si>
  <si>
    <r>
      <t xml:space="preserve">EXTERNAL COMMUNICATIONS, </t>
    </r>
    <r>
      <rPr>
        <b/>
        <sz val="20"/>
        <color indexed="8"/>
        <rFont val="Calibri"/>
        <family val="2"/>
      </rPr>
      <t>Hayden Paititch</t>
    </r>
  </si>
  <si>
    <r>
      <t xml:space="preserve">EVENTS, </t>
    </r>
    <r>
      <rPr>
        <b/>
        <sz val="20"/>
        <color indexed="8"/>
        <rFont val="Calibri"/>
        <family val="2"/>
      </rPr>
      <t>Alanna Hedden</t>
    </r>
  </si>
  <si>
    <r>
      <t xml:space="preserve">FINANCE, </t>
    </r>
    <r>
      <rPr>
        <b/>
        <sz val="20"/>
        <color indexed="8"/>
        <rFont val="Calibri"/>
        <family val="2"/>
      </rPr>
      <t>Elizabeth Philp</t>
    </r>
  </si>
  <si>
    <r>
      <t xml:space="preserve">FIRST YEAR, </t>
    </r>
    <r>
      <rPr>
        <b/>
        <sz val="20"/>
        <color indexed="8"/>
        <rFont val="Calibri"/>
        <family val="2"/>
      </rPr>
      <t>Aleen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</si>
</sst>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$-1009]#,##0.00"/>
  </numFmts>
  <fonts count="6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sz val="11"/>
      <color indexed="63"/>
      <name val="Lucida Grande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</font>
    <font>
      <sz val="8"/>
      <name val="Verdana"/>
      <family val="0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0"/>
    </font>
    <font>
      <sz val="11"/>
      <name val="Lucida Grande"/>
      <family val="0"/>
    </font>
    <font>
      <sz val="11"/>
      <color indexed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11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11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11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1"/>
      </bottom>
    </border>
    <border>
      <left style="thin"/>
      <right>
        <color indexed="63"/>
      </right>
      <top style="thin">
        <color indexed="11"/>
      </top>
      <bottom>
        <color indexed="63"/>
      </bottom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/>
      <right>
        <color indexed="63"/>
      </right>
      <top style="thin">
        <color indexed="11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2" fillId="0" borderId="10" xfId="58" applyNumberFormat="1" applyFont="1" applyFill="1" applyBorder="1" applyAlignment="1">
      <alignment horizontal="right"/>
      <protection/>
    </xf>
    <xf numFmtId="17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" fillId="0" borderId="12" xfId="58" applyNumberFormat="1" applyFont="1" applyFill="1" applyBorder="1" applyAlignment="1">
      <alignment horizontal="right"/>
      <protection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4" xfId="58" applyNumberFormat="1" applyFont="1" applyFill="1" applyBorder="1" applyAlignment="1">
      <alignment horizontal="right"/>
      <protection/>
    </xf>
    <xf numFmtId="0" fontId="2" fillId="0" borderId="15" xfId="58" applyNumberFormat="1" applyFont="1" applyFill="1" applyBorder="1" applyAlignment="1">
      <alignment horizontal="right"/>
      <protection/>
    </xf>
    <xf numFmtId="172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17" xfId="58" applyNumberFormat="1" applyFont="1" applyFill="1" applyBorder="1" applyAlignment="1">
      <alignment horizontal="right"/>
      <protection/>
    </xf>
    <xf numFmtId="0" fontId="2" fillId="0" borderId="0" xfId="58" applyNumberFormat="1" applyFont="1" applyFill="1" applyBorder="1" applyAlignment="1">
      <alignment horizontal="right"/>
      <protection/>
    </xf>
    <xf numFmtId="172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2" fillId="0" borderId="19" xfId="58" applyNumberFormat="1" applyFont="1" applyFill="1" applyBorder="1" applyAlignment="1">
      <alignment horizontal="right"/>
      <protection/>
    </xf>
    <xf numFmtId="0" fontId="5" fillId="0" borderId="18" xfId="0" applyFont="1" applyFill="1" applyBorder="1" applyAlignment="1">
      <alignment horizontal="center" wrapText="1"/>
    </xf>
    <xf numFmtId="4" fontId="0" fillId="0" borderId="20" xfId="0" applyNumberFormat="1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14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17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14" xfId="0" applyBorder="1" applyAlignment="1">
      <alignment/>
    </xf>
    <xf numFmtId="166" fontId="0" fillId="0" borderId="16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172" fontId="5" fillId="0" borderId="18" xfId="0" applyNumberFormat="1" applyFont="1" applyFill="1" applyBorder="1" applyAlignment="1">
      <alignment horizontal="center" wrapText="1"/>
    </xf>
    <xf numFmtId="0" fontId="2" fillId="0" borderId="14" xfId="58" applyNumberFormat="1" applyFont="1" applyBorder="1" applyAlignment="1">
      <alignment horizontal="right"/>
      <protection/>
    </xf>
    <xf numFmtId="0" fontId="2" fillId="0" borderId="15" xfId="58" applyNumberFormat="1" applyFont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172" fontId="0" fillId="0" borderId="15" xfId="0" applyNumberFormat="1" applyFill="1" applyBorder="1" applyAlignment="1">
      <alignment/>
    </xf>
    <xf numFmtId="172" fontId="0" fillId="0" borderId="16" xfId="0" applyNumberFormat="1" applyBorder="1" applyAlignment="1" quotePrefix="1">
      <alignment/>
    </xf>
    <xf numFmtId="0" fontId="4" fillId="0" borderId="20" xfId="58" applyFont="1" applyFill="1" applyBorder="1" applyAlignment="1">
      <alignment horizontal="right"/>
      <protection/>
    </xf>
    <xf numFmtId="166" fontId="0" fillId="0" borderId="0" xfId="0" applyNumberFormat="1" applyAlignment="1">
      <alignment/>
    </xf>
    <xf numFmtId="0" fontId="1" fillId="0" borderId="23" xfId="58" applyFont="1" applyFill="1" applyBorder="1" applyAlignment="1">
      <alignment horizontal="right"/>
      <protection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3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6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2" fillId="0" borderId="19" xfId="58" applyNumberFormat="1" applyFont="1" applyBorder="1" applyAlignment="1">
      <alignment horizontal="right"/>
      <protection/>
    </xf>
    <xf numFmtId="172" fontId="0" fillId="0" borderId="24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0" xfId="0" applyAlignment="1">
      <alignment wrapText="1"/>
    </xf>
    <xf numFmtId="39" fontId="0" fillId="0" borderId="11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6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11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23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22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4" fillId="0" borderId="17" xfId="58" applyFont="1" applyFill="1" applyBorder="1" applyAlignment="1">
      <alignment horizontal="right"/>
      <protection/>
    </xf>
    <xf numFmtId="0" fontId="4" fillId="0" borderId="10" xfId="58" applyFont="1" applyFill="1" applyBorder="1" applyAlignment="1">
      <alignment horizontal="right"/>
      <protection/>
    </xf>
    <xf numFmtId="0" fontId="4" fillId="0" borderId="14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0" fontId="4" fillId="0" borderId="15" xfId="58" applyFont="1" applyFill="1" applyBorder="1" applyAlignment="1">
      <alignment horizontal="right"/>
      <protection/>
    </xf>
    <xf numFmtId="0" fontId="4" fillId="0" borderId="24" xfId="58" applyFont="1" applyFill="1" applyBorder="1" applyAlignment="1">
      <alignment horizontal="right"/>
      <protection/>
    </xf>
    <xf numFmtId="0" fontId="1" fillId="0" borderId="21" xfId="58" applyFont="1" applyFill="1" applyBorder="1" applyAlignment="1">
      <alignment horizontal="right"/>
      <protection/>
    </xf>
    <xf numFmtId="0" fontId="4" fillId="0" borderId="19" xfId="58" applyFont="1" applyFill="1" applyBorder="1" applyAlignment="1">
      <alignment horizontal="right"/>
      <protection/>
    </xf>
    <xf numFmtId="172" fontId="5" fillId="0" borderId="20" xfId="0" applyNumberFormat="1" applyFont="1" applyBorder="1" applyAlignment="1">
      <alignment horizontal="right"/>
    </xf>
    <xf numFmtId="0" fontId="1" fillId="0" borderId="22" xfId="58" applyFont="1" applyFill="1" applyBorder="1" applyAlignment="1">
      <alignment horizontal="right"/>
      <protection/>
    </xf>
    <xf numFmtId="172" fontId="4" fillId="0" borderId="23" xfId="58" applyNumberFormat="1" applyFont="1" applyFill="1" applyBorder="1" applyAlignment="1">
      <alignment horizontal="right"/>
      <protection/>
    </xf>
    <xf numFmtId="172" fontId="4" fillId="0" borderId="20" xfId="58" applyNumberFormat="1" applyFont="1" applyFill="1" applyBorder="1" applyAlignment="1">
      <alignment horizontal="right"/>
      <protection/>
    </xf>
    <xf numFmtId="172" fontId="4" fillId="0" borderId="21" xfId="58" applyNumberFormat="1" applyFont="1" applyFill="1" applyBorder="1" applyAlignment="1">
      <alignment horizontal="right"/>
      <protection/>
    </xf>
    <xf numFmtId="172" fontId="4" fillId="0" borderId="22" xfId="58" applyNumberFormat="1" applyFont="1" applyFill="1" applyBorder="1" applyAlignment="1">
      <alignment horizontal="right"/>
      <protection/>
    </xf>
    <xf numFmtId="4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4" xfId="58" applyNumberFormat="1" applyFont="1" applyFill="1" applyBorder="1" applyAlignment="1">
      <alignment horizontal="right"/>
      <protection/>
    </xf>
    <xf numFmtId="0" fontId="2" fillId="0" borderId="15" xfId="58" applyNumberFormat="1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0" fontId="2" fillId="0" borderId="17" xfId="58" applyNumberFormat="1" applyFont="1" applyFill="1" applyBorder="1" applyAlignment="1">
      <alignment horizontal="right"/>
      <protection/>
    </xf>
    <xf numFmtId="0" fontId="4" fillId="0" borderId="20" xfId="58" applyFont="1" applyFill="1" applyBorder="1" applyAlignment="1">
      <alignment horizontal="right"/>
      <protection/>
    </xf>
    <xf numFmtId="0" fontId="4" fillId="0" borderId="22" xfId="58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0" xfId="0" applyFont="1" applyAlignment="1">
      <alignment/>
    </xf>
    <xf numFmtId="172" fontId="5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8" fillId="0" borderId="14" xfId="65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8" fillId="0" borderId="15" xfId="65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16" xfId="0" applyNumberFormat="1" applyFont="1" applyFill="1" applyBorder="1" applyAlignment="1" quotePrefix="1">
      <alignment/>
    </xf>
    <xf numFmtId="0" fontId="18" fillId="0" borderId="17" xfId="65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8" fillId="0" borderId="12" xfId="65" applyNumberFormat="1" applyFont="1" applyFill="1" applyBorder="1" applyAlignment="1">
      <alignment/>
    </xf>
    <xf numFmtId="0" fontId="18" fillId="0" borderId="10" xfId="65" applyNumberFormat="1" applyFont="1" applyFill="1" applyBorder="1" applyAlignment="1">
      <alignment/>
    </xf>
    <xf numFmtId="0" fontId="18" fillId="0" borderId="0" xfId="65" applyNumberFormat="1" applyFont="1" applyFill="1" applyBorder="1" applyAlignment="1">
      <alignment/>
    </xf>
    <xf numFmtId="0" fontId="18" fillId="0" borderId="19" xfId="65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2" fontId="0" fillId="0" borderId="22" xfId="0" applyNumberFormat="1" applyBorder="1" applyAlignment="1">
      <alignment/>
    </xf>
    <xf numFmtId="172" fontId="5" fillId="0" borderId="21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172" fontId="0" fillId="0" borderId="20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0" fontId="2" fillId="0" borderId="14" xfId="58" applyNumberFormat="1" applyFont="1" applyBorder="1" applyAlignment="1">
      <alignment horizontal="right"/>
      <protection/>
    </xf>
    <xf numFmtId="0" fontId="2" fillId="0" borderId="15" xfId="58" applyNumberFormat="1" applyFont="1" applyBorder="1" applyAlignment="1">
      <alignment horizontal="right"/>
      <protection/>
    </xf>
    <xf numFmtId="0" fontId="2" fillId="0" borderId="17" xfId="58" applyNumberFormat="1" applyFont="1" applyBorder="1" applyAlignment="1">
      <alignment horizontal="right"/>
      <protection/>
    </xf>
    <xf numFmtId="0" fontId="2" fillId="0" borderId="19" xfId="58" applyNumberFormat="1" applyFont="1" applyFill="1" applyBorder="1" applyAlignment="1">
      <alignment horizontal="right"/>
      <protection/>
    </xf>
    <xf numFmtId="39" fontId="0" fillId="0" borderId="23" xfId="0" applyNumberFormat="1" applyBorder="1" applyAlignment="1">
      <alignment/>
    </xf>
    <xf numFmtId="166" fontId="0" fillId="0" borderId="19" xfId="0" applyNumberFormat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39" fontId="0" fillId="0" borderId="25" xfId="0" applyNumberFormat="1" applyFont="1" applyFill="1" applyBorder="1" applyAlignment="1">
      <alignment/>
    </xf>
    <xf numFmtId="39" fontId="0" fillId="0" borderId="26" xfId="0" applyNumberFormat="1" applyFont="1" applyFill="1" applyBorder="1" applyAlignment="1">
      <alignment/>
    </xf>
    <xf numFmtId="39" fontId="0" fillId="0" borderId="27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17" fillId="0" borderId="15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17" fillId="0" borderId="17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/>
    </xf>
    <xf numFmtId="0" fontId="17" fillId="0" borderId="28" xfId="0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/>
    </xf>
    <xf numFmtId="39" fontId="0" fillId="0" borderId="2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39" fontId="0" fillId="0" borderId="1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39" fontId="0" fillId="0" borderId="16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right"/>
    </xf>
    <xf numFmtId="0" fontId="17" fillId="0" borderId="10" xfId="0" applyNumberFormat="1" applyFont="1" applyFill="1" applyBorder="1" applyAlignment="1">
      <alignment horizontal="right"/>
    </xf>
    <xf numFmtId="39" fontId="0" fillId="0" borderId="20" xfId="0" applyNumberFormat="1" applyFont="1" applyFill="1" applyBorder="1" applyAlignment="1">
      <alignment/>
    </xf>
    <xf numFmtId="39" fontId="0" fillId="0" borderId="21" xfId="0" applyNumberFormat="1" applyFont="1" applyFill="1" applyBorder="1" applyAlignment="1">
      <alignment/>
    </xf>
    <xf numFmtId="0" fontId="17" fillId="0" borderId="24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39" fontId="0" fillId="0" borderId="24" xfId="0" applyNumberFormat="1" applyFont="1" applyFill="1" applyBorder="1" applyAlignment="1">
      <alignment/>
    </xf>
    <xf numFmtId="4" fontId="4" fillId="0" borderId="20" xfId="58" applyNumberFormat="1" applyFont="1" applyBorder="1" applyAlignment="1">
      <alignment horizontal="right"/>
      <protection/>
    </xf>
    <xf numFmtId="4" fontId="4" fillId="0" borderId="22" xfId="58" applyNumberFormat="1" applyFont="1" applyBorder="1" applyAlignment="1">
      <alignment horizontal="right"/>
      <protection/>
    </xf>
    <xf numFmtId="172" fontId="4" fillId="0" borderId="23" xfId="58" applyNumberFormat="1" applyFont="1" applyBorder="1" applyAlignment="1">
      <alignment horizontal="right"/>
      <protection/>
    </xf>
    <xf numFmtId="0" fontId="2" fillId="0" borderId="19" xfId="58" applyNumberFormat="1" applyFont="1" applyBorder="1" applyAlignment="1">
      <alignment horizontal="right"/>
      <protection/>
    </xf>
    <xf numFmtId="4" fontId="4" fillId="0" borderId="21" xfId="58" applyNumberFormat="1" applyFont="1" applyBorder="1" applyAlignment="1">
      <alignment horizontal="right"/>
      <protection/>
    </xf>
    <xf numFmtId="172" fontId="0" fillId="0" borderId="0" xfId="0" applyNumberFormat="1" applyAlignment="1">
      <alignment/>
    </xf>
    <xf numFmtId="0" fontId="2" fillId="0" borderId="14" xfId="58" applyNumberFormat="1" applyFont="1" applyBorder="1" applyAlignment="1">
      <alignment horizontal="right"/>
      <protection/>
    </xf>
    <xf numFmtId="0" fontId="2" fillId="0" borderId="15" xfId="58" applyNumberFormat="1" applyFont="1" applyBorder="1" applyAlignment="1">
      <alignment horizontal="right"/>
      <protection/>
    </xf>
    <xf numFmtId="0" fontId="2" fillId="0" borderId="17" xfId="58" applyNumberFormat="1" applyFont="1" applyBorder="1" applyAlignment="1">
      <alignment horizontal="right"/>
      <protection/>
    </xf>
    <xf numFmtId="0" fontId="2" fillId="0" borderId="14" xfId="58" applyNumberFormat="1" applyFont="1" applyFill="1" applyBorder="1" applyAlignment="1">
      <alignment horizontal="right"/>
      <protection/>
    </xf>
    <xf numFmtId="0" fontId="2" fillId="0" borderId="17" xfId="58" applyNumberFormat="1" applyFont="1" applyFill="1" applyBorder="1" applyAlignment="1">
      <alignment horizontal="right"/>
      <protection/>
    </xf>
    <xf numFmtId="0" fontId="2" fillId="0" borderId="15" xfId="58" applyNumberFormat="1" applyFont="1" applyFill="1" applyBorder="1" applyAlignment="1">
      <alignment horizontal="right"/>
      <protection/>
    </xf>
    <xf numFmtId="172" fontId="4" fillId="0" borderId="24" xfId="58" applyNumberFormat="1" applyFont="1" applyFill="1" applyBorder="1" applyAlignment="1">
      <alignment horizontal="right"/>
      <protection/>
    </xf>
    <xf numFmtId="0" fontId="2" fillId="0" borderId="19" xfId="58" applyNumberFormat="1" applyFont="1" applyFill="1" applyBorder="1" applyAlignment="1">
      <alignment horizontal="right"/>
      <protection/>
    </xf>
    <xf numFmtId="172" fontId="0" fillId="0" borderId="18" xfId="0" applyNumberFormat="1" applyFont="1" applyFill="1" applyBorder="1" applyAlignment="1">
      <alignment/>
    </xf>
    <xf numFmtId="172" fontId="19" fillId="0" borderId="18" xfId="0" applyNumberFormat="1" applyFont="1" applyFill="1" applyBorder="1" applyAlignment="1">
      <alignment/>
    </xf>
    <xf numFmtId="0" fontId="2" fillId="0" borderId="14" xfId="58" applyFont="1" applyFill="1" applyBorder="1" applyAlignment="1">
      <alignment horizontal="right"/>
      <protection/>
    </xf>
    <xf numFmtId="0" fontId="2" fillId="0" borderId="15" xfId="58" applyFont="1" applyFill="1" applyBorder="1" applyAlignment="1">
      <alignment horizontal="right"/>
      <protection/>
    </xf>
    <xf numFmtId="0" fontId="2" fillId="0" borderId="17" xfId="58" applyFont="1" applyFill="1" applyBorder="1" applyAlignment="1">
      <alignment horizontal="right"/>
      <protection/>
    </xf>
    <xf numFmtId="172" fontId="0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172" fontId="4" fillId="0" borderId="20" xfId="58" applyNumberFormat="1" applyFont="1" applyFill="1" applyBorder="1" applyAlignment="1">
      <alignment horizontal="right"/>
      <protection/>
    </xf>
    <xf numFmtId="172" fontId="4" fillId="0" borderId="21" xfId="58" applyNumberFormat="1" applyFont="1" applyFill="1" applyBorder="1" applyAlignment="1">
      <alignment horizontal="right"/>
      <protection/>
    </xf>
    <xf numFmtId="172" fontId="4" fillId="0" borderId="22" xfId="58" applyNumberFormat="1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172" fontId="4" fillId="0" borderId="0" xfId="58" applyNumberFormat="1" applyFont="1" applyFill="1" applyBorder="1" applyAlignment="1">
      <alignment horizontal="right"/>
      <protection/>
    </xf>
    <xf numFmtId="0" fontId="2" fillId="0" borderId="0" xfId="58" applyNumberFormat="1" applyFont="1" applyFill="1" applyBorder="1" applyAlignment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4" fillId="0" borderId="23" xfId="0" applyNumberFormat="1" applyFont="1" applyBorder="1" applyAlignment="1">
      <alignment horizontal="right"/>
    </xf>
    <xf numFmtId="172" fontId="0" fillId="0" borderId="18" xfId="0" applyNumberFormat="1" applyFont="1" applyBorder="1" applyAlignment="1">
      <alignment/>
    </xf>
    <xf numFmtId="172" fontId="4" fillId="0" borderId="20" xfId="58" applyNumberFormat="1" applyFont="1" applyFill="1" applyBorder="1" applyAlignment="1">
      <alignment horizontal="right"/>
      <protection/>
    </xf>
    <xf numFmtId="172" fontId="4" fillId="0" borderId="21" xfId="58" applyNumberFormat="1" applyFont="1" applyFill="1" applyBorder="1" applyAlignment="1">
      <alignment horizontal="right"/>
      <protection/>
    </xf>
    <xf numFmtId="172" fontId="4" fillId="0" borderId="22" xfId="58" applyNumberFormat="1" applyFont="1" applyFill="1" applyBorder="1" applyAlignment="1">
      <alignment horizontal="right"/>
      <protection/>
    </xf>
    <xf numFmtId="172" fontId="4" fillId="0" borderId="10" xfId="58" applyNumberFormat="1" applyFont="1" applyFill="1" applyBorder="1" applyAlignment="1">
      <alignment horizontal="right"/>
      <protection/>
    </xf>
    <xf numFmtId="172" fontId="4" fillId="0" borderId="0" xfId="58" applyNumberFormat="1" applyFont="1" applyFill="1" applyBorder="1" applyAlignment="1">
      <alignment horizontal="right"/>
      <protection/>
    </xf>
    <xf numFmtId="172" fontId="4" fillId="0" borderId="12" xfId="58" applyNumberFormat="1" applyFont="1" applyFill="1" applyBorder="1" applyAlignment="1">
      <alignment horizontal="right"/>
      <protection/>
    </xf>
    <xf numFmtId="172" fontId="4" fillId="0" borderId="10" xfId="58" applyNumberFormat="1" applyFont="1" applyFill="1" applyBorder="1" applyAlignment="1">
      <alignment horizontal="right"/>
      <protection/>
    </xf>
    <xf numFmtId="172" fontId="4" fillId="0" borderId="12" xfId="58" applyNumberFormat="1" applyFont="1" applyFill="1" applyBorder="1" applyAlignment="1">
      <alignment horizontal="right"/>
      <protection/>
    </xf>
    <xf numFmtId="172" fontId="4" fillId="0" borderId="24" xfId="58" applyNumberFormat="1" applyFont="1" applyFill="1" applyBorder="1" applyAlignment="1">
      <alignment horizontal="right"/>
      <protection/>
    </xf>
    <xf numFmtId="172" fontId="0" fillId="0" borderId="20" xfId="0" applyNumberFormat="1" applyFont="1" applyFill="1" applyBorder="1" applyAlignment="1">
      <alignment horizontal="right"/>
    </xf>
    <xf numFmtId="172" fontId="0" fillId="0" borderId="21" xfId="0" applyNumberFormat="1" applyFont="1" applyFill="1" applyBorder="1" applyAlignment="1">
      <alignment horizontal="right"/>
    </xf>
    <xf numFmtId="172" fontId="0" fillId="0" borderId="22" xfId="0" applyNumberFormat="1" applyFont="1" applyFill="1" applyBorder="1" applyAlignment="1">
      <alignment horizontal="right"/>
    </xf>
    <xf numFmtId="172" fontId="0" fillId="0" borderId="30" xfId="0" applyNumberFormat="1" applyFont="1" applyFill="1" applyBorder="1" applyAlignment="1">
      <alignment horizontal="right"/>
    </xf>
    <xf numFmtId="172" fontId="0" fillId="0" borderId="21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172" fontId="4" fillId="0" borderId="20" xfId="58" applyNumberFormat="1" applyFont="1" applyBorder="1" applyAlignment="1">
      <alignment horizontal="right"/>
      <protection/>
    </xf>
    <xf numFmtId="172" fontId="4" fillId="0" borderId="21" xfId="58" applyNumberFormat="1" applyFont="1" applyBorder="1" applyAlignment="1">
      <alignment horizontal="right"/>
      <protection/>
    </xf>
    <xf numFmtId="172" fontId="14" fillId="0" borderId="10" xfId="58" applyNumberFormat="1" applyFont="1" applyFill="1" applyBorder="1" applyAlignment="1">
      <alignment horizontal="right"/>
      <protection/>
    </xf>
    <xf numFmtId="172" fontId="4" fillId="0" borderId="23" xfId="58" applyNumberFormat="1" applyFont="1" applyBorder="1" applyAlignment="1">
      <alignment horizontal="right"/>
      <protection/>
    </xf>
    <xf numFmtId="172" fontId="4" fillId="0" borderId="10" xfId="58" applyNumberFormat="1" applyFont="1" applyBorder="1" applyAlignment="1">
      <alignment horizontal="right"/>
      <protection/>
    </xf>
    <xf numFmtId="172" fontId="4" fillId="0" borderId="0" xfId="58" applyNumberFormat="1" applyFont="1" applyBorder="1" applyAlignment="1">
      <alignment horizontal="right"/>
      <protection/>
    </xf>
    <xf numFmtId="172" fontId="4" fillId="0" borderId="12" xfId="58" applyNumberFormat="1" applyFont="1" applyBorder="1" applyAlignment="1">
      <alignment horizontal="right"/>
      <protection/>
    </xf>
    <xf numFmtId="172" fontId="4" fillId="0" borderId="24" xfId="58" applyNumberFormat="1" applyFont="1" applyFill="1" applyBorder="1" applyAlignment="1">
      <alignment horizontal="right"/>
      <protection/>
    </xf>
    <xf numFmtId="39" fontId="4" fillId="0" borderId="21" xfId="58" applyNumberFormat="1" applyFont="1" applyFill="1" applyBorder="1" applyAlignment="1">
      <alignment horizontal="right"/>
      <protection/>
    </xf>
    <xf numFmtId="0" fontId="2" fillId="0" borderId="15" xfId="58" applyNumberFormat="1" applyFont="1" applyFill="1" applyBorder="1" applyAlignment="1">
      <alignment horizontal="right"/>
      <protection/>
    </xf>
    <xf numFmtId="39" fontId="4" fillId="0" borderId="22" xfId="58" applyNumberFormat="1" applyFont="1" applyFill="1" applyBorder="1" applyAlignment="1">
      <alignment horizontal="right"/>
      <protection/>
    </xf>
    <xf numFmtId="0" fontId="2" fillId="0" borderId="17" xfId="58" applyNumberFormat="1" applyFont="1" applyFill="1" applyBorder="1" applyAlignment="1">
      <alignment horizontal="right"/>
      <protection/>
    </xf>
    <xf numFmtId="0" fontId="4" fillId="0" borderId="2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2" fontId="0" fillId="0" borderId="11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166" fontId="0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4" xfId="58" applyNumberFormat="1" applyFont="1" applyBorder="1" applyAlignment="1">
      <alignment horizontal="right"/>
      <protection/>
    </xf>
    <xf numFmtId="0" fontId="2" fillId="0" borderId="15" xfId="58" applyNumberFormat="1" applyFont="1" applyBorder="1" applyAlignment="1">
      <alignment horizontal="right"/>
      <protection/>
    </xf>
    <xf numFmtId="0" fontId="2" fillId="0" borderId="14" xfId="58" applyNumberFormat="1" applyFont="1" applyFill="1" applyBorder="1" applyAlignment="1">
      <alignment horizontal="right"/>
      <protection/>
    </xf>
    <xf numFmtId="0" fontId="2" fillId="0" borderId="19" xfId="58" applyNumberFormat="1" applyFont="1" applyBorder="1" applyAlignment="1">
      <alignment horizontal="right"/>
      <protection/>
    </xf>
    <xf numFmtId="172" fontId="4" fillId="0" borderId="20" xfId="0" applyNumberFormat="1" applyFont="1" applyBorder="1" applyAlignment="1">
      <alignment horizontal="right"/>
    </xf>
    <xf numFmtId="172" fontId="4" fillId="0" borderId="21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172" fontId="4" fillId="0" borderId="22" xfId="0" applyNumberFormat="1" applyFont="1" applyBorder="1" applyAlignment="1">
      <alignment horizontal="right"/>
    </xf>
    <xf numFmtId="172" fontId="4" fillId="0" borderId="20" xfId="58" applyNumberFormat="1" applyFont="1" applyBorder="1" applyAlignment="1">
      <alignment horizontal="right"/>
      <protection/>
    </xf>
    <xf numFmtId="172" fontId="4" fillId="0" borderId="21" xfId="58" applyNumberFormat="1" applyFont="1" applyBorder="1" applyAlignment="1">
      <alignment horizontal="right"/>
      <protection/>
    </xf>
    <xf numFmtId="172" fontId="4" fillId="0" borderId="10" xfId="58" applyNumberFormat="1" applyFont="1" applyFill="1" applyBorder="1" applyAlignment="1">
      <alignment horizontal="right"/>
      <protection/>
    </xf>
    <xf numFmtId="172" fontId="4" fillId="0" borderId="0" xfId="58" applyNumberFormat="1" applyFont="1" applyFill="1" applyBorder="1" applyAlignment="1">
      <alignment horizontal="right"/>
      <protection/>
    </xf>
    <xf numFmtId="172" fontId="4" fillId="0" borderId="12" xfId="58" applyNumberFormat="1" applyFont="1" applyFill="1" applyBorder="1" applyAlignment="1">
      <alignment horizontal="right"/>
      <protection/>
    </xf>
    <xf numFmtId="172" fontId="4" fillId="0" borderId="23" xfId="58" applyNumberFormat="1" applyFont="1" applyBorder="1" applyAlignment="1">
      <alignment horizontal="right"/>
      <protection/>
    </xf>
    <xf numFmtId="172" fontId="14" fillId="0" borderId="20" xfId="58" applyNumberFormat="1" applyFont="1" applyFill="1" applyBorder="1" applyAlignment="1">
      <alignment horizontal="right"/>
      <protection/>
    </xf>
    <xf numFmtId="172" fontId="18" fillId="0" borderId="20" xfId="65" applyNumberFormat="1" applyFont="1" applyFill="1" applyBorder="1" applyAlignment="1">
      <alignment/>
    </xf>
    <xf numFmtId="172" fontId="18" fillId="0" borderId="21" xfId="65" applyNumberFormat="1" applyFont="1" applyFill="1" applyBorder="1" applyAlignment="1">
      <alignment/>
    </xf>
    <xf numFmtId="172" fontId="18" fillId="0" borderId="22" xfId="65" applyNumberFormat="1" applyFont="1" applyFill="1" applyBorder="1" applyAlignment="1">
      <alignment/>
    </xf>
    <xf numFmtId="172" fontId="18" fillId="0" borderId="22" xfId="65" applyNumberFormat="1" applyFont="1" applyFill="1" applyBorder="1" applyAlignment="1">
      <alignment horizontal="center"/>
    </xf>
    <xf numFmtId="172" fontId="18" fillId="0" borderId="10" xfId="65" applyNumberFormat="1" applyFont="1" applyFill="1" applyBorder="1" applyAlignment="1">
      <alignment/>
    </xf>
    <xf numFmtId="172" fontId="18" fillId="0" borderId="12" xfId="65" applyNumberFormat="1" applyFont="1" applyFill="1" applyBorder="1" applyAlignment="1">
      <alignment/>
    </xf>
    <xf numFmtId="172" fontId="0" fillId="0" borderId="20" xfId="46" applyNumberFormat="1" applyFont="1" applyFill="1" applyBorder="1" applyAlignment="1">
      <alignment/>
    </xf>
    <xf numFmtId="172" fontId="0" fillId="0" borderId="21" xfId="46" applyNumberFormat="1" applyFont="1" applyFill="1" applyBorder="1" applyAlignment="1">
      <alignment/>
    </xf>
    <xf numFmtId="172" fontId="0" fillId="0" borderId="22" xfId="46" applyNumberFormat="1" applyFont="1" applyFill="1" applyBorder="1" applyAlignment="1">
      <alignment/>
    </xf>
    <xf numFmtId="172" fontId="0" fillId="0" borderId="23" xfId="46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2" fillId="0" borderId="12" xfId="58" applyNumberFormat="1" applyFont="1" applyFill="1" applyBorder="1" applyAlignment="1">
      <alignment horizontal="right"/>
      <protection/>
    </xf>
    <xf numFmtId="4" fontId="4" fillId="0" borderId="22" xfId="58" applyNumberFormat="1" applyFont="1" applyFill="1" applyBorder="1" applyAlignment="1">
      <alignment horizontal="right"/>
      <protection/>
    </xf>
    <xf numFmtId="0" fontId="2" fillId="0" borderId="0" xfId="58" applyNumberFormat="1" applyFont="1" applyFill="1" applyBorder="1" applyAlignment="1">
      <alignment horizontal="right"/>
      <protection/>
    </xf>
    <xf numFmtId="4" fontId="4" fillId="0" borderId="21" xfId="58" applyNumberFormat="1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0" fontId="2" fillId="0" borderId="10" xfId="58" applyNumberFormat="1" applyFont="1" applyFill="1" applyBorder="1" applyAlignment="1">
      <alignment horizontal="right"/>
      <protection/>
    </xf>
    <xf numFmtId="4" fontId="4" fillId="0" borderId="20" xfId="58" applyNumberFormat="1" applyFont="1" applyFill="1" applyBorder="1" applyAlignment="1">
      <alignment horizontal="right"/>
      <protection/>
    </xf>
    <xf numFmtId="4" fontId="0" fillId="0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15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4" fontId="0" fillId="0" borderId="10" xfId="0" applyNumberFormat="1" applyFill="1" applyBorder="1" applyAlignment="1">
      <alignment/>
    </xf>
    <xf numFmtId="0" fontId="2" fillId="0" borderId="17" xfId="58" applyNumberFormat="1" applyFont="1" applyFill="1" applyBorder="1" applyAlignment="1">
      <alignment horizontal="right"/>
      <protection/>
    </xf>
    <xf numFmtId="0" fontId="2" fillId="0" borderId="15" xfId="58" applyNumberFormat="1" applyFont="1" applyFill="1" applyBorder="1" applyAlignment="1">
      <alignment horizontal="right"/>
      <protection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24" xfId="5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5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32" xfId="0" applyBorder="1" applyAlignment="1">
      <alignment/>
    </xf>
    <xf numFmtId="166" fontId="0" fillId="0" borderId="22" xfId="0" applyNumberFormat="1" applyBorder="1" applyAlignment="1">
      <alignment/>
    </xf>
    <xf numFmtId="172" fontId="0" fillId="0" borderId="33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0" fillId="0" borderId="35" xfId="0" applyNumberFormat="1" applyFont="1" applyFill="1" applyBorder="1" applyAlignment="1">
      <alignment/>
    </xf>
    <xf numFmtId="172" fontId="0" fillId="0" borderId="36" xfId="0" applyNumberFormat="1" applyFont="1" applyFill="1" applyBorder="1" applyAlignment="1">
      <alignment/>
    </xf>
    <xf numFmtId="0" fontId="14" fillId="0" borderId="0" xfId="0" applyFont="1" applyAlignment="1">
      <alignment/>
    </xf>
    <xf numFmtId="173" fontId="22" fillId="0" borderId="18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0" fillId="0" borderId="23" xfId="0" applyNumberFormat="1" applyFont="1" applyFill="1" applyBorder="1" applyAlignment="1">
      <alignment/>
    </xf>
    <xf numFmtId="173" fontId="22" fillId="0" borderId="11" xfId="0" applyNumberFormat="1" applyFont="1" applyFill="1" applyBorder="1" applyAlignment="1">
      <alignment/>
    </xf>
    <xf numFmtId="173" fontId="22" fillId="0" borderId="16" xfId="0" applyNumberFormat="1" applyFont="1" applyFill="1" applyBorder="1" applyAlignment="1">
      <alignment/>
    </xf>
    <xf numFmtId="173" fontId="14" fillId="0" borderId="16" xfId="0" applyNumberFormat="1" applyFont="1" applyBorder="1" applyAlignment="1">
      <alignment/>
    </xf>
    <xf numFmtId="173" fontId="14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/>
    </xf>
    <xf numFmtId="166" fontId="0" fillId="33" borderId="16" xfId="0" applyNumberFormat="1" applyFill="1" applyBorder="1" applyAlignment="1">
      <alignment/>
    </xf>
    <xf numFmtId="172" fontId="0" fillId="33" borderId="16" xfId="0" applyNumberFormat="1" applyFill="1" applyBorder="1" applyAlignment="1">
      <alignment/>
    </xf>
    <xf numFmtId="166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0" fillId="33" borderId="13" xfId="0" applyNumberFormat="1" applyFill="1" applyBorder="1" applyAlignment="1">
      <alignment/>
    </xf>
    <xf numFmtId="172" fontId="23" fillId="0" borderId="16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172" fontId="0" fillId="34" borderId="20" xfId="46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172" fontId="0" fillId="34" borderId="11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172" fontId="0" fillId="34" borderId="21" xfId="46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172" fontId="0" fillId="34" borderId="16" xfId="0" applyNumberFormat="1" applyFont="1" applyFill="1" applyBorder="1" applyAlignment="1">
      <alignment/>
    </xf>
    <xf numFmtId="172" fontId="0" fillId="34" borderId="22" xfId="46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72" fontId="0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172" fontId="0" fillId="35" borderId="20" xfId="46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172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172" fontId="0" fillId="35" borderId="21" xfId="46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72" fontId="0" fillId="35" borderId="16" xfId="0" applyNumberFormat="1" applyFill="1" applyBorder="1" applyAlignment="1">
      <alignment/>
    </xf>
    <xf numFmtId="172" fontId="0" fillId="35" borderId="22" xfId="46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172" fontId="0" fillId="35" borderId="13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0" fontId="26" fillId="0" borderId="14" xfId="58" applyNumberFormat="1" applyFont="1" applyFill="1" applyBorder="1" applyAlignment="1">
      <alignment horizontal="right"/>
      <protection/>
    </xf>
    <xf numFmtId="0" fontId="26" fillId="0" borderId="15" xfId="58" applyNumberFormat="1" applyFont="1" applyFill="1" applyBorder="1" applyAlignment="1">
      <alignment horizontal="right"/>
      <protection/>
    </xf>
    <xf numFmtId="4" fontId="27" fillId="0" borderId="21" xfId="58" applyNumberFormat="1" applyFont="1" applyFill="1" applyBorder="1" applyAlignment="1">
      <alignment horizontal="right"/>
      <protection/>
    </xf>
    <xf numFmtId="0" fontId="26" fillId="0" borderId="12" xfId="58" applyNumberFormat="1" applyFont="1" applyFill="1" applyBorder="1" applyAlignment="1">
      <alignment horizontal="right"/>
      <protection/>
    </xf>
    <xf numFmtId="0" fontId="4" fillId="0" borderId="22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21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0" fontId="4" fillId="0" borderId="17" xfId="58" applyFont="1" applyFill="1" applyBorder="1" applyAlignment="1">
      <alignment horizontal="right"/>
      <protection/>
    </xf>
    <xf numFmtId="0" fontId="16" fillId="0" borderId="2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4" borderId="21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72" fontId="14" fillId="0" borderId="16" xfId="0" applyNumberFormat="1" applyFont="1" applyFill="1" applyBorder="1" applyAlignment="1">
      <alignment/>
    </xf>
    <xf numFmtId="4" fontId="4" fillId="0" borderId="23" xfId="58" applyNumberFormat="1" applyFont="1" applyFill="1" applyBorder="1" applyAlignment="1">
      <alignment horizontal="right"/>
      <protection/>
    </xf>
    <xf numFmtId="0" fontId="2" fillId="0" borderId="24" xfId="58" applyNumberFormat="1" applyFont="1" applyFill="1" applyBorder="1" applyAlignment="1">
      <alignment horizontal="right"/>
      <protection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2" fontId="5" fillId="0" borderId="22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172" fontId="0" fillId="0" borderId="0" xfId="0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1" fillId="0" borderId="22" xfId="58" applyFont="1" applyFill="1" applyBorder="1" applyAlignment="1">
      <alignment horizontal="right"/>
      <protection/>
    </xf>
    <xf numFmtId="0" fontId="1" fillId="0" borderId="21" xfId="58" applyFont="1" applyFill="1" applyBorder="1" applyAlignment="1">
      <alignment horizontal="right"/>
      <protection/>
    </xf>
    <xf numFmtId="0" fontId="1" fillId="36" borderId="23" xfId="58" applyFont="1" applyFill="1" applyBorder="1" applyAlignment="1">
      <alignment horizontal="right"/>
      <protection/>
    </xf>
    <xf numFmtId="172" fontId="4" fillId="36" borderId="23" xfId="58" applyNumberFormat="1" applyFont="1" applyFill="1" applyBorder="1" applyAlignment="1">
      <alignment horizontal="right"/>
      <protection/>
    </xf>
    <xf numFmtId="0" fontId="2" fillId="36" borderId="19" xfId="58" applyNumberFormat="1" applyFont="1" applyFill="1" applyBorder="1" applyAlignment="1">
      <alignment horizontal="right"/>
      <protection/>
    </xf>
    <xf numFmtId="166" fontId="0" fillId="36" borderId="18" xfId="0" applyNumberFormat="1" applyFill="1" applyBorder="1" applyAlignment="1">
      <alignment/>
    </xf>
    <xf numFmtId="39" fontId="0" fillId="36" borderId="18" xfId="0" applyNumberFormat="1" applyFill="1" applyBorder="1" applyAlignment="1">
      <alignment/>
    </xf>
    <xf numFmtId="166" fontId="0" fillId="36" borderId="23" xfId="0" applyNumberFormat="1" applyFill="1" applyBorder="1" applyAlignment="1">
      <alignment/>
    </xf>
    <xf numFmtId="173" fontId="22" fillId="36" borderId="16" xfId="0" applyNumberFormat="1" applyFont="1" applyFill="1" applyBorder="1" applyAlignment="1">
      <alignment/>
    </xf>
    <xf numFmtId="0" fontId="1" fillId="0" borderId="0" xfId="58" applyFont="1" applyFill="1" applyBorder="1" applyAlignment="1">
      <alignment horizontal="right"/>
      <protection/>
    </xf>
    <xf numFmtId="172" fontId="5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left"/>
    </xf>
    <xf numFmtId="172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172" fontId="5" fillId="0" borderId="11" xfId="0" applyNumberFormat="1" applyFont="1" applyBorder="1" applyAlignment="1">
      <alignment horizontal="right"/>
    </xf>
    <xf numFmtId="0" fontId="4" fillId="0" borderId="22" xfId="58" applyFont="1" applyBorder="1" applyAlignment="1">
      <alignment horizontal="right"/>
      <protection/>
    </xf>
    <xf numFmtId="0" fontId="4" fillId="0" borderId="12" xfId="58" applyFont="1" applyBorder="1" applyAlignment="1">
      <alignment horizontal="right"/>
      <protection/>
    </xf>
    <xf numFmtId="9" fontId="4" fillId="0" borderId="12" xfId="58" applyNumberFormat="1" applyFont="1" applyBorder="1" applyAlignment="1">
      <alignment horizontal="right"/>
      <protection/>
    </xf>
    <xf numFmtId="9" fontId="4" fillId="0" borderId="17" xfId="58" applyNumberFormat="1" applyFont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20" xfId="58" applyFont="1" applyBorder="1" applyAlignment="1">
      <alignment horizontal="right"/>
      <protection/>
    </xf>
    <xf numFmtId="0" fontId="4" fillId="0" borderId="10" xfId="58" applyFont="1" applyBorder="1" applyAlignment="1">
      <alignment horizontal="right"/>
      <protection/>
    </xf>
    <xf numFmtId="9" fontId="4" fillId="0" borderId="10" xfId="58" applyNumberFormat="1" applyFont="1" applyBorder="1" applyAlignment="1">
      <alignment horizontal="right"/>
      <protection/>
    </xf>
    <xf numFmtId="9" fontId="4" fillId="0" borderId="14" xfId="58" applyNumberFormat="1" applyFont="1" applyBorder="1" applyAlignment="1">
      <alignment horizontal="right"/>
      <protection/>
    </xf>
    <xf numFmtId="0" fontId="4" fillId="0" borderId="23" xfId="58" applyFont="1" applyBorder="1" applyAlignment="1">
      <alignment horizontal="right"/>
      <protection/>
    </xf>
    <xf numFmtId="0" fontId="4" fillId="0" borderId="24" xfId="58" applyFont="1" applyBorder="1" applyAlignment="1">
      <alignment horizontal="right"/>
      <protection/>
    </xf>
    <xf numFmtId="9" fontId="4" fillId="0" borderId="24" xfId="58" applyNumberFormat="1" applyFont="1" applyBorder="1" applyAlignment="1">
      <alignment horizontal="right"/>
      <protection/>
    </xf>
    <xf numFmtId="9" fontId="4" fillId="0" borderId="19" xfId="58" applyNumberFormat="1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4" fillId="0" borderId="21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72" fontId="5" fillId="0" borderId="23" xfId="0" applyNumberFormat="1" applyFont="1" applyBorder="1" applyAlignment="1">
      <alignment horizontal="right"/>
    </xf>
    <xf numFmtId="172" fontId="5" fillId="0" borderId="19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8" xfId="0" applyFont="1" applyBorder="1" applyAlignment="1">
      <alignment horizontal="left"/>
    </xf>
    <xf numFmtId="172" fontId="5" fillId="0" borderId="18" xfId="0" applyNumberFormat="1" applyFont="1" applyBorder="1" applyAlignment="1">
      <alignment horizontal="right"/>
    </xf>
    <xf numFmtId="0" fontId="4" fillId="0" borderId="14" xfId="58" applyFont="1" applyBorder="1" applyAlignment="1">
      <alignment horizontal="right"/>
      <protection/>
    </xf>
    <xf numFmtId="0" fontId="4" fillId="0" borderId="17" xfId="58" applyFont="1" applyBorder="1" applyAlignment="1">
      <alignment horizontal="right"/>
      <protection/>
    </xf>
    <xf numFmtId="0" fontId="5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7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72" fontId="5" fillId="0" borderId="23" xfId="0" applyNumberFormat="1" applyFont="1" applyBorder="1" applyAlignment="1">
      <alignment horizontal="right"/>
    </xf>
    <xf numFmtId="172" fontId="5" fillId="0" borderId="19" xfId="0" applyNumberFormat="1" applyFont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23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4" fillId="0" borderId="20" xfId="58" applyFont="1" applyFill="1" applyBorder="1" applyAlignment="1">
      <alignment horizontal="right"/>
      <protection/>
    </xf>
    <xf numFmtId="0" fontId="4" fillId="0" borderId="10" xfId="58" applyFont="1" applyFill="1" applyBorder="1" applyAlignment="1">
      <alignment horizontal="right"/>
      <protection/>
    </xf>
    <xf numFmtId="0" fontId="4" fillId="0" borderId="14" xfId="58" applyFont="1" applyFill="1" applyBorder="1" applyAlignment="1">
      <alignment horizontal="right"/>
      <protection/>
    </xf>
    <xf numFmtId="0" fontId="4" fillId="0" borderId="22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4" fillId="0" borderId="17" xfId="58" applyFont="1" applyFill="1" applyBorder="1" applyAlignment="1">
      <alignment horizontal="right"/>
      <protection/>
    </xf>
    <xf numFmtId="0" fontId="5" fillId="0" borderId="18" xfId="0" applyFont="1" applyFill="1" applyBorder="1" applyAlignment="1">
      <alignment horizontal="left"/>
    </xf>
    <xf numFmtId="172" fontId="21" fillId="0" borderId="11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72" fontId="5" fillId="0" borderId="23" xfId="0" applyNumberFormat="1" applyFont="1" applyFill="1" applyBorder="1" applyAlignment="1">
      <alignment horizontal="right"/>
    </xf>
    <xf numFmtId="172" fontId="5" fillId="0" borderId="19" xfId="0" applyNumberFormat="1" applyFont="1" applyFill="1" applyBorder="1" applyAlignment="1">
      <alignment horizontal="right"/>
    </xf>
    <xf numFmtId="0" fontId="4" fillId="0" borderId="23" xfId="58" applyFont="1" applyFill="1" applyBorder="1" applyAlignment="1">
      <alignment horizontal="right"/>
      <protection/>
    </xf>
    <xf numFmtId="0" fontId="4" fillId="0" borderId="24" xfId="58" applyFont="1" applyFill="1" applyBorder="1" applyAlignment="1">
      <alignment horizontal="right"/>
      <protection/>
    </xf>
    <xf numFmtId="172" fontId="5" fillId="0" borderId="18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4" fillId="0" borderId="21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172" fontId="5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2" fontId="7" fillId="0" borderId="2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2" fontId="21" fillId="0" borderId="11" xfId="0" applyNumberFormat="1" applyFont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72" fontId="7" fillId="0" borderId="2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0" xfId="0" applyFill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2" fontId="5" fillId="0" borderId="11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10" xfId="58" applyFont="1" applyFill="1" applyBorder="1" applyAlignment="1">
      <alignment horizontal="right"/>
      <protection/>
    </xf>
    <xf numFmtId="0" fontId="4" fillId="0" borderId="14" xfId="58" applyFont="1" applyFill="1" applyBorder="1" applyAlignment="1">
      <alignment horizontal="right"/>
      <protection/>
    </xf>
    <xf numFmtId="0" fontId="5" fillId="0" borderId="24" xfId="0" applyFont="1" applyFill="1" applyBorder="1" applyAlignment="1">
      <alignment horizontal="center"/>
    </xf>
    <xf numFmtId="0" fontId="4" fillId="0" borderId="22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0" fontId="4" fillId="0" borderId="15" xfId="58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0" fontId="4" fillId="0" borderId="20" xfId="58" applyFont="1" applyFill="1" applyBorder="1" applyAlignment="1">
      <alignment horizontal="right"/>
      <protection/>
    </xf>
    <xf numFmtId="0" fontId="4" fillId="0" borderId="17" xfId="58" applyFont="1" applyFill="1" applyBorder="1" applyAlignment="1">
      <alignment horizontal="right"/>
      <protection/>
    </xf>
    <xf numFmtId="172" fontId="5" fillId="0" borderId="23" xfId="0" applyNumberFormat="1" applyFont="1" applyFill="1" applyBorder="1" applyAlignment="1">
      <alignment horizontal="right"/>
    </xf>
    <xf numFmtId="172" fontId="5" fillId="0" borderId="1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right"/>
    </xf>
    <xf numFmtId="172" fontId="5" fillId="0" borderId="14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0" xfId="58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2" fontId="7" fillId="0" borderId="20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3" xfId="58" applyFont="1" applyFill="1" applyBorder="1" applyAlignment="1">
      <alignment horizontal="right"/>
      <protection/>
    </xf>
    <xf numFmtId="0" fontId="4" fillId="0" borderId="19" xfId="58" applyFont="1" applyFill="1" applyBorder="1" applyAlignment="1">
      <alignment horizontal="right"/>
      <protection/>
    </xf>
    <xf numFmtId="172" fontId="20" fillId="0" borderId="23" xfId="0" applyNumberFormat="1" applyFont="1" applyFill="1" applyBorder="1" applyAlignment="1">
      <alignment horizontal="right"/>
    </xf>
    <xf numFmtId="172" fontId="20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4" fillId="0" borderId="20" xfId="58" applyFont="1" applyFill="1" applyBorder="1" applyAlignment="1">
      <alignment horizontal="right"/>
      <protection/>
    </xf>
    <xf numFmtId="0" fontId="4" fillId="0" borderId="20" xfId="58" applyFont="1" applyFill="1" applyBorder="1">
      <alignment/>
      <protection/>
    </xf>
    <xf numFmtId="0" fontId="4" fillId="0" borderId="10" xfId="58" applyFont="1" applyFill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22" xfId="58" applyFont="1" applyFill="1" applyBorder="1">
      <alignment/>
      <protection/>
    </xf>
    <xf numFmtId="0" fontId="4" fillId="0" borderId="12" xfId="58" applyFont="1" applyFill="1" applyBorder="1">
      <alignment/>
      <protection/>
    </xf>
    <xf numFmtId="0" fontId="0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58" applyFont="1" applyFill="1" applyBorder="1">
      <alignment/>
      <protection/>
    </xf>
    <xf numFmtId="0" fontId="0" fillId="0" borderId="21" xfId="0" applyFill="1" applyBorder="1" applyAlignment="1">
      <alignment/>
    </xf>
    <xf numFmtId="0" fontId="0" fillId="0" borderId="0" xfId="0" applyAlignment="1">
      <alignment horizontal="right"/>
    </xf>
    <xf numFmtId="0" fontId="4" fillId="0" borderId="19" xfId="58" applyFont="1" applyFill="1" applyBorder="1" applyAlignment="1">
      <alignment horizontal="right"/>
      <protection/>
    </xf>
    <xf numFmtId="0" fontId="0" fillId="0" borderId="2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172" fontId="5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0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left" vertical="top"/>
      <protection/>
    </xf>
    <xf numFmtId="0" fontId="4" fillId="0" borderId="0" xfId="58" applyFont="1" applyFill="1" applyBorder="1" applyAlignment="1">
      <alignment horizontal="left" vertical="top"/>
      <protection/>
    </xf>
    <xf numFmtId="0" fontId="4" fillId="0" borderId="23" xfId="58" applyFont="1" applyFill="1" applyBorder="1" applyAlignment="1">
      <alignment horizontal="right"/>
      <protection/>
    </xf>
    <xf numFmtId="0" fontId="4" fillId="0" borderId="24" xfId="58" applyFont="1" applyFill="1" applyBorder="1" applyAlignment="1">
      <alignment horizontal="right"/>
      <protection/>
    </xf>
    <xf numFmtId="0" fontId="4" fillId="0" borderId="24" xfId="58" applyFont="1" applyFill="1" applyBorder="1" applyAlignment="1">
      <alignment horizontal="right"/>
      <protection/>
    </xf>
    <xf numFmtId="0" fontId="4" fillId="0" borderId="20" xfId="58" applyFont="1" applyFill="1" applyBorder="1" applyAlignment="1">
      <alignment horizontal="right"/>
      <protection/>
    </xf>
    <xf numFmtId="0" fontId="4" fillId="0" borderId="10" xfId="58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0" fontId="4" fillId="0" borderId="15" xfId="58" applyFont="1" applyFill="1" applyBorder="1" applyAlignment="1">
      <alignment horizontal="right"/>
      <protection/>
    </xf>
    <xf numFmtId="0" fontId="4" fillId="0" borderId="10" xfId="58" applyFont="1" applyFill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20" xfId="58" applyFont="1" applyFill="1" applyBorder="1">
      <alignment/>
      <protection/>
    </xf>
    <xf numFmtId="0" fontId="4" fillId="0" borderId="22" xfId="58" applyFont="1" applyFill="1" applyBorder="1">
      <alignment/>
      <protection/>
    </xf>
    <xf numFmtId="0" fontId="4" fillId="0" borderId="12" xfId="58" applyFont="1" applyFill="1" applyBorder="1">
      <alignment/>
      <protection/>
    </xf>
    <xf numFmtId="0" fontId="4" fillId="0" borderId="17" xfId="58" applyFont="1" applyFill="1" applyBorder="1">
      <alignment/>
      <protection/>
    </xf>
    <xf numFmtId="0" fontId="4" fillId="0" borderId="22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4" fillId="0" borderId="17" xfId="58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/>
    </xf>
    <xf numFmtId="0" fontId="27" fillId="0" borderId="0" xfId="58" applyFont="1" applyFill="1" applyBorder="1" applyAlignment="1">
      <alignment horizontal="right"/>
      <protection/>
    </xf>
    <xf numFmtId="0" fontId="23" fillId="0" borderId="15" xfId="0" applyFont="1" applyBorder="1" applyAlignment="1">
      <alignment horizontal="right"/>
    </xf>
    <xf numFmtId="0" fontId="4" fillId="0" borderId="14" xfId="58" applyFont="1" applyFill="1" applyBorder="1" applyAlignment="1">
      <alignment horizontal="right"/>
      <protection/>
    </xf>
    <xf numFmtId="0" fontId="27" fillId="0" borderId="21" xfId="58" applyFont="1" applyFill="1" applyBorder="1" applyAlignment="1">
      <alignment horizontal="right"/>
      <protection/>
    </xf>
    <xf numFmtId="0" fontId="23" fillId="0" borderId="0" xfId="0" applyFont="1" applyAlignment="1">
      <alignment horizontal="right"/>
    </xf>
    <xf numFmtId="0" fontId="4" fillId="0" borderId="12" xfId="58" applyFont="1" applyFill="1" applyBorder="1" applyAlignment="1">
      <alignment horizontal="right" wrapText="1"/>
      <protection/>
    </xf>
    <xf numFmtId="0" fontId="4" fillId="0" borderId="17" xfId="58" applyFont="1" applyFill="1" applyBorder="1" applyAlignment="1">
      <alignment horizontal="right" wrapText="1"/>
      <protection/>
    </xf>
    <xf numFmtId="0" fontId="5" fillId="0" borderId="14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58" applyFont="1" applyFill="1" applyBorder="1" applyAlignment="1">
      <alignment horizontal="right"/>
      <protection/>
    </xf>
    <xf numFmtId="0" fontId="4" fillId="0" borderId="15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4" fillId="0" borderId="17" xfId="58" applyFont="1" applyFill="1" applyBorder="1" applyAlignment="1">
      <alignment horizontal="right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right"/>
      <protection/>
    </xf>
    <xf numFmtId="0" fontId="4" fillId="0" borderId="14" xfId="58" applyFont="1" applyFill="1" applyBorder="1" applyAlignment="1">
      <alignment horizontal="right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2" xfId="58" applyFont="1" applyFill="1" applyBorder="1" applyAlignment="1">
      <alignment horizontal="right"/>
      <protection/>
    </xf>
    <xf numFmtId="0" fontId="4" fillId="0" borderId="21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" fillId="0" borderId="15" xfId="58" applyFont="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2" fontId="5" fillId="0" borderId="20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4" fillId="0" borderId="20" xfId="58" applyFont="1" applyBorder="1" applyAlignment="1">
      <alignment horizontal="right"/>
      <protection/>
    </xf>
    <xf numFmtId="0" fontId="4" fillId="0" borderId="10" xfId="58" applyFont="1" applyBorder="1" applyAlignment="1">
      <alignment horizontal="right"/>
      <protection/>
    </xf>
    <xf numFmtId="0" fontId="4" fillId="0" borderId="14" xfId="58" applyFont="1" applyBorder="1" applyAlignment="1">
      <alignment horizontal="right"/>
      <protection/>
    </xf>
    <xf numFmtId="0" fontId="1" fillId="0" borderId="23" xfId="58" applyFont="1" applyFill="1" applyBorder="1" applyAlignment="1">
      <alignment horizontal="right"/>
      <protection/>
    </xf>
    <xf numFmtId="0" fontId="1" fillId="0" borderId="24" xfId="58" applyFont="1" applyFill="1" applyBorder="1" applyAlignment="1">
      <alignment horizontal="right"/>
      <protection/>
    </xf>
    <xf numFmtId="0" fontId="4" fillId="0" borderId="24" xfId="58" applyFont="1" applyBorder="1" applyAlignment="1">
      <alignment horizontal="right"/>
      <protection/>
    </xf>
    <xf numFmtId="0" fontId="4" fillId="0" borderId="19" xfId="58" applyFont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4" fillId="0" borderId="22" xfId="58" applyFont="1" applyBorder="1" applyAlignment="1">
      <alignment horizontal="right"/>
      <protection/>
    </xf>
    <xf numFmtId="0" fontId="4" fillId="0" borderId="12" xfId="58" applyFont="1" applyBorder="1" applyAlignment="1">
      <alignment horizontal="right"/>
      <protection/>
    </xf>
    <xf numFmtId="0" fontId="4" fillId="0" borderId="17" xfId="58" applyFont="1" applyBorder="1" applyAlignment="1">
      <alignment horizontal="right"/>
      <protection/>
    </xf>
    <xf numFmtId="0" fontId="4" fillId="0" borderId="15" xfId="58" applyFont="1" applyFill="1" applyBorder="1" applyAlignment="1">
      <alignment horizontal="right"/>
      <protection/>
    </xf>
    <xf numFmtId="0" fontId="1" fillId="0" borderId="22" xfId="58" applyFont="1" applyFill="1" applyBorder="1" applyAlignment="1">
      <alignment horizontal="right"/>
      <protection/>
    </xf>
    <xf numFmtId="0" fontId="1" fillId="0" borderId="12" xfId="58" applyFont="1" applyFill="1" applyBorder="1" applyAlignment="1">
      <alignment horizontal="right"/>
      <protection/>
    </xf>
    <xf numFmtId="0" fontId="4" fillId="0" borderId="12" xfId="58" applyFont="1" applyBorder="1" applyAlignment="1">
      <alignment horizontal="right"/>
      <protection/>
    </xf>
    <xf numFmtId="0" fontId="4" fillId="0" borderId="17" xfId="58" applyFont="1" applyBorder="1" applyAlignment="1">
      <alignment horizontal="right"/>
      <protection/>
    </xf>
    <xf numFmtId="0" fontId="1" fillId="0" borderId="23" xfId="58" applyFont="1" applyFill="1" applyBorder="1" applyAlignment="1">
      <alignment horizontal="right"/>
      <protection/>
    </xf>
    <xf numFmtId="0" fontId="1" fillId="0" borderId="24" xfId="58" applyFont="1" applyFill="1" applyBorder="1" applyAlignment="1">
      <alignment horizontal="right"/>
      <protection/>
    </xf>
    <xf numFmtId="0" fontId="4" fillId="0" borderId="24" xfId="58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0" fontId="1" fillId="0" borderId="20" xfId="58" applyFont="1" applyFill="1" applyBorder="1" applyAlignment="1">
      <alignment horizontal="right"/>
      <protection/>
    </xf>
    <xf numFmtId="0" fontId="1" fillId="0" borderId="10" xfId="58" applyFont="1" applyFill="1" applyBorder="1" applyAlignment="1">
      <alignment horizontal="right"/>
      <protection/>
    </xf>
    <xf numFmtId="0" fontId="4" fillId="0" borderId="10" xfId="58" applyFont="1" applyBorder="1" applyAlignment="1">
      <alignment horizontal="right"/>
      <protection/>
    </xf>
    <xf numFmtId="0" fontId="4" fillId="0" borderId="14" xfId="58" applyFont="1" applyBorder="1" applyAlignment="1">
      <alignment horizontal="right"/>
      <protection/>
    </xf>
    <xf numFmtId="0" fontId="1" fillId="0" borderId="21" xfId="58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" fillId="0" borderId="15" xfId="58" applyFont="1" applyBorder="1" applyAlignment="1">
      <alignment horizontal="right"/>
      <protection/>
    </xf>
    <xf numFmtId="0" fontId="4" fillId="0" borderId="20" xfId="58" applyFont="1" applyFill="1" applyBorder="1" applyAlignment="1">
      <alignment horizontal="right"/>
      <protection/>
    </xf>
    <xf numFmtId="0" fontId="4" fillId="0" borderId="10" xfId="58" applyFont="1" applyFill="1" applyBorder="1" applyAlignment="1">
      <alignment horizontal="right"/>
      <protection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20" xfId="58" applyFont="1" applyFill="1" applyBorder="1" applyAlignment="1">
      <alignment horizontal="right"/>
      <protection/>
    </xf>
    <xf numFmtId="0" fontId="1" fillId="0" borderId="10" xfId="58" applyFont="1" applyFill="1" applyBorder="1" applyAlignment="1">
      <alignment horizontal="right"/>
      <protection/>
    </xf>
    <xf numFmtId="0" fontId="4" fillId="0" borderId="10" xfId="58" applyFont="1" applyBorder="1" applyAlignment="1">
      <alignment horizontal="right"/>
      <protection/>
    </xf>
    <xf numFmtId="0" fontId="4" fillId="0" borderId="14" xfId="58" applyFont="1" applyBorder="1" applyAlignment="1">
      <alignment horizontal="right"/>
      <protection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21" xfId="58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right"/>
      <protection/>
    </xf>
    <xf numFmtId="0" fontId="4" fillId="0" borderId="15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0" fontId="4" fillId="0" borderId="17" xfId="58" applyFont="1" applyFill="1" applyBorder="1" applyAlignment="1">
      <alignment horizontal="right"/>
      <protection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6" borderId="24" xfId="58" applyFont="1" applyFill="1" applyBorder="1" applyAlignment="1">
      <alignment horizontal="right"/>
      <protection/>
    </xf>
    <xf numFmtId="0" fontId="4" fillId="36" borderId="19" xfId="58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right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1" fillId="0" borderId="23" xfId="58" applyFont="1" applyFill="1" applyBorder="1" applyAlignment="1">
      <alignment horizontal="right"/>
      <protection/>
    </xf>
    <xf numFmtId="0" fontId="1" fillId="0" borderId="24" xfId="58" applyFont="1" applyFill="1" applyBorder="1" applyAlignment="1">
      <alignment horizontal="right"/>
      <protection/>
    </xf>
    <xf numFmtId="173" fontId="21" fillId="0" borderId="11" xfId="0" applyNumberFormat="1" applyFont="1" applyBorder="1" applyAlignment="1">
      <alignment horizontal="center" vertical="center"/>
    </xf>
    <xf numFmtId="173" fontId="21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72" fontId="5" fillId="0" borderId="37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0" xfId="58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right"/>
      <protection/>
    </xf>
    <xf numFmtId="0" fontId="4" fillId="0" borderId="20" xfId="58" applyFont="1" applyFill="1" applyBorder="1" applyAlignment="1">
      <alignment horizontal="right"/>
      <protection/>
    </xf>
    <xf numFmtId="0" fontId="1" fillId="0" borderId="10" xfId="58" applyFont="1" applyFill="1" applyBorder="1" applyAlignment="1">
      <alignment horizontal="right"/>
      <protection/>
    </xf>
    <xf numFmtId="0" fontId="5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5" fillId="0" borderId="24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8" fillId="0" borderId="20" xfId="65" applyNumberFormat="1" applyFont="1" applyFill="1" applyBorder="1" applyAlignment="1">
      <alignment horizontal="right"/>
    </xf>
    <xf numFmtId="0" fontId="18" fillId="0" borderId="10" xfId="65" applyNumberFormat="1" applyFont="1" applyFill="1" applyBorder="1" applyAlignment="1">
      <alignment horizontal="right"/>
    </xf>
    <xf numFmtId="0" fontId="18" fillId="0" borderId="22" xfId="65" applyNumberFormat="1" applyFont="1" applyFill="1" applyBorder="1" applyAlignment="1">
      <alignment horizontal="right"/>
    </xf>
    <xf numFmtId="0" fontId="18" fillId="0" borderId="12" xfId="65" applyNumberFormat="1" applyFont="1" applyFill="1" applyBorder="1" applyAlignment="1">
      <alignment horizontal="right"/>
    </xf>
    <xf numFmtId="0" fontId="18" fillId="0" borderId="14" xfId="65" applyNumberFormat="1" applyFont="1" applyFill="1" applyBorder="1" applyAlignment="1">
      <alignment horizontal="right"/>
    </xf>
    <xf numFmtId="0" fontId="18" fillId="0" borderId="17" xfId="65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23" xfId="65" applyNumberFormat="1" applyFont="1" applyFill="1" applyBorder="1" applyAlignment="1">
      <alignment horizontal="right"/>
    </xf>
    <xf numFmtId="0" fontId="18" fillId="0" borderId="24" xfId="65" applyNumberFormat="1" applyFont="1" applyFill="1" applyBorder="1" applyAlignment="1">
      <alignment horizontal="right"/>
    </xf>
    <xf numFmtId="0" fontId="18" fillId="0" borderId="19" xfId="65" applyNumberFormat="1" applyFont="1" applyFill="1" applyBorder="1" applyAlignment="1">
      <alignment horizontal="right"/>
    </xf>
    <xf numFmtId="0" fontId="18" fillId="0" borderId="21" xfId="65" applyNumberFormat="1" applyFont="1" applyFill="1" applyBorder="1" applyAlignment="1">
      <alignment horizontal="right"/>
    </xf>
    <xf numFmtId="0" fontId="18" fillId="0" borderId="0" xfId="65" applyNumberFormat="1" applyFont="1" applyFill="1" applyBorder="1" applyAlignment="1">
      <alignment horizontal="right"/>
    </xf>
    <xf numFmtId="0" fontId="18" fillId="0" borderId="15" xfId="65" applyNumberFormat="1" applyFont="1" applyFill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2" fontId="5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6" fillId="0" borderId="2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21" xfId="0" applyFont="1" applyFill="1" applyBorder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2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172" fontId="5" fillId="34" borderId="23" xfId="0" applyNumberFormat="1" applyFont="1" applyFill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2" fontId="5" fillId="35" borderId="23" xfId="0" applyNumberFormat="1" applyFont="1" applyFill="1" applyBorder="1" applyAlignment="1">
      <alignment horizontal="right"/>
    </xf>
    <xf numFmtId="0" fontId="5" fillId="35" borderId="19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4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0" fontId="0" fillId="35" borderId="21" xfId="0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4" borderId="22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35" borderId="23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0" fillId="0" borderId="2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2" fontId="5" fillId="0" borderId="23" xfId="0" applyNumberFormat="1" applyFont="1" applyFill="1" applyBorder="1" applyAlignment="1" quotePrefix="1">
      <alignment horizontal="right"/>
    </xf>
    <xf numFmtId="172" fontId="5" fillId="0" borderId="19" xfId="0" applyNumberFormat="1" applyFont="1" applyFill="1" applyBorder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0" xfId="0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_President" xfId="61"/>
    <cellStyle name="Normal 3" xfId="62"/>
    <cellStyle name="Normal 3 2" xfId="63"/>
    <cellStyle name="Normal 3_President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125" zoomScaleNormal="125" zoomScalePageLayoutView="0" workbookViewId="0" topLeftCell="A6">
      <selection activeCell="B10" sqref="B10:D10"/>
    </sheetView>
  </sheetViews>
  <sheetFormatPr defaultColWidth="8.8515625" defaultRowHeight="15"/>
  <cols>
    <col min="1" max="1" width="17.421875" style="0" customWidth="1"/>
    <col min="2" max="8" width="8.8515625" style="0" customWidth="1"/>
    <col min="9" max="9" width="11.28125" style="0" bestFit="1" customWidth="1"/>
  </cols>
  <sheetData>
    <row r="1" ht="15">
      <c r="A1" t="s">
        <v>623</v>
      </c>
    </row>
    <row r="2" ht="15">
      <c r="A2" t="s">
        <v>209</v>
      </c>
    </row>
    <row r="4" spans="1:9" ht="15">
      <c r="A4" s="440" t="s">
        <v>554</v>
      </c>
      <c r="B4" s="440"/>
      <c r="C4" s="440"/>
      <c r="D4" s="440"/>
      <c r="E4" s="440"/>
      <c r="F4" s="440"/>
      <c r="G4" s="440"/>
      <c r="H4" s="440"/>
      <c r="I4" s="440"/>
    </row>
    <row r="5" spans="2:6" ht="15">
      <c r="B5" s="436" t="s">
        <v>210</v>
      </c>
      <c r="C5" s="436"/>
      <c r="D5" s="436"/>
      <c r="E5" s="438">
        <f>REVENUE!I1</f>
        <v>282676.66359999997</v>
      </c>
      <c r="F5" s="438"/>
    </row>
    <row r="6" spans="1:9" ht="15">
      <c r="A6" s="429"/>
      <c r="B6" s="429"/>
      <c r="C6" s="429"/>
      <c r="D6" s="429"/>
      <c r="E6" s="429"/>
      <c r="F6" s="429"/>
      <c r="G6" s="429"/>
      <c r="H6" s="429"/>
      <c r="I6" s="429"/>
    </row>
    <row r="7" spans="2:9" ht="15">
      <c r="B7" s="440" t="s">
        <v>211</v>
      </c>
      <c r="C7" s="440"/>
      <c r="D7" s="440"/>
      <c r="E7" s="431">
        <f>SUM(E5)</f>
        <v>282676.66359999997</v>
      </c>
      <c r="F7" s="432"/>
      <c r="G7" s="437">
        <f>REVENUE!K2</f>
        <v>294360.55999999994</v>
      </c>
      <c r="H7" s="439"/>
      <c r="I7" s="439"/>
    </row>
    <row r="8" spans="1:9" ht="15">
      <c r="A8" s="429"/>
      <c r="B8" s="429"/>
      <c r="C8" s="429"/>
      <c r="D8" s="429"/>
      <c r="E8" s="429"/>
      <c r="F8" s="429"/>
      <c r="G8" s="429"/>
      <c r="H8" s="429"/>
      <c r="I8" s="429"/>
    </row>
    <row r="9" spans="1:9" ht="15">
      <c r="A9" s="430" t="s">
        <v>212</v>
      </c>
      <c r="B9" s="430"/>
      <c r="C9" s="430"/>
      <c r="D9" s="430"/>
      <c r="E9" s="430"/>
      <c r="F9" s="430"/>
      <c r="G9" s="430"/>
      <c r="H9" s="430"/>
      <c r="I9" s="430"/>
    </row>
    <row r="10" spans="2:9" ht="15">
      <c r="B10" s="436" t="s">
        <v>213</v>
      </c>
      <c r="C10" s="436"/>
      <c r="D10" s="436"/>
      <c r="E10" s="438">
        <f>President!I1</f>
        <v>8638.83</v>
      </c>
      <c r="F10" s="438"/>
      <c r="G10" s="437">
        <f>President!K1</f>
        <v>9106.44</v>
      </c>
      <c r="H10" s="437"/>
      <c r="I10" s="437"/>
    </row>
    <row r="11" spans="2:9" ht="15">
      <c r="B11" s="436" t="s">
        <v>74</v>
      </c>
      <c r="C11" s="436"/>
      <c r="D11" s="436"/>
      <c r="E11" s="438">
        <f>Academics!I1</f>
        <v>452.0019</v>
      </c>
      <c r="F11" s="438"/>
      <c r="G11" s="437">
        <f>Academics!K1</f>
        <v>0</v>
      </c>
      <c r="H11" s="437"/>
      <c r="I11" s="437"/>
    </row>
    <row r="12" spans="2:9" ht="15">
      <c r="B12" s="436" t="s">
        <v>210</v>
      </c>
      <c r="C12" s="436"/>
      <c r="D12" s="436"/>
      <c r="E12" s="438">
        <f>Operations!I1</f>
        <v>193974.543</v>
      </c>
      <c r="F12" s="438"/>
      <c r="G12" s="437">
        <f>Operations!K1</f>
        <v>167695.03999999995</v>
      </c>
      <c r="H12" s="437"/>
      <c r="I12" s="437"/>
    </row>
    <row r="13" spans="2:9" ht="15">
      <c r="B13" s="436" t="s">
        <v>202</v>
      </c>
      <c r="C13" s="436"/>
      <c r="D13" s="436"/>
      <c r="E13" s="438">
        <f>'Society Affairs'!I1</f>
        <v>5442.791300000001</v>
      </c>
      <c r="F13" s="438"/>
      <c r="G13" s="437">
        <f>'Society Affairs'!K1</f>
        <v>1498.1299999999999</v>
      </c>
      <c r="H13" s="437"/>
      <c r="I13" s="437"/>
    </row>
    <row r="14" spans="2:9" ht="15">
      <c r="B14" s="436" t="s">
        <v>203</v>
      </c>
      <c r="C14" s="436"/>
      <c r="D14" s="436"/>
      <c r="E14" s="438">
        <f>'Student Development'!I1</f>
        <v>9795</v>
      </c>
      <c r="F14" s="438"/>
      <c r="G14" s="437">
        <f>'Student Development'!K1</f>
        <v>7947.350000000001</v>
      </c>
      <c r="H14" s="437"/>
      <c r="I14" s="437"/>
    </row>
    <row r="15" spans="2:9" ht="15">
      <c r="B15" s="436" t="s">
        <v>204</v>
      </c>
      <c r="C15" s="436"/>
      <c r="D15" s="436"/>
      <c r="E15" s="438">
        <f>'External Communications'!I1</f>
        <v>11715.911399999999</v>
      </c>
      <c r="F15" s="438"/>
      <c r="G15" s="437">
        <f>'External Communications'!K1</f>
        <v>10373.4</v>
      </c>
      <c r="H15" s="437"/>
      <c r="I15" s="437"/>
    </row>
    <row r="16" spans="2:9" ht="15">
      <c r="B16" s="436" t="s">
        <v>205</v>
      </c>
      <c r="C16" s="436"/>
      <c r="D16" s="436"/>
      <c r="E16" s="438">
        <f>Events!I1</f>
        <v>5822.309300000003</v>
      </c>
      <c r="F16" s="438"/>
      <c r="G16" s="437">
        <f>Events!K1</f>
        <v>6430.48</v>
      </c>
      <c r="H16" s="437"/>
      <c r="I16" s="437"/>
    </row>
    <row r="17" spans="2:9" ht="15">
      <c r="B17" s="436" t="s">
        <v>206</v>
      </c>
      <c r="C17" s="436"/>
      <c r="D17" s="436"/>
      <c r="E17" s="438">
        <f>Finance!I1</f>
        <v>76.7609</v>
      </c>
      <c r="F17" s="438"/>
      <c r="G17" s="437">
        <f>Finance!K1</f>
        <v>50</v>
      </c>
      <c r="H17" s="437"/>
      <c r="I17" s="437"/>
    </row>
    <row r="18" spans="2:9" ht="15">
      <c r="B18" s="436" t="s">
        <v>207</v>
      </c>
      <c r="C18" s="436"/>
      <c r="D18" s="436"/>
      <c r="E18" s="438">
        <f>'First Year'!I1</f>
        <v>802.2988</v>
      </c>
      <c r="F18" s="438"/>
      <c r="G18" s="437">
        <f>'First Year'!K1</f>
        <v>571.98</v>
      </c>
      <c r="H18" s="437"/>
      <c r="I18" s="437"/>
    </row>
    <row r="19" spans="2:9" ht="15">
      <c r="B19" s="436" t="s">
        <v>59</v>
      </c>
      <c r="C19" s="436"/>
      <c r="D19" s="436"/>
      <c r="E19" s="438">
        <f>'Information Technology'!I1</f>
        <v>4858.42</v>
      </c>
      <c r="F19" s="438"/>
      <c r="G19" s="437">
        <f>'Information Technology'!K1</f>
        <v>2179.92</v>
      </c>
      <c r="H19" s="437"/>
      <c r="I19" s="437"/>
    </row>
    <row r="20" spans="2:9" ht="15">
      <c r="B20" s="436" t="s">
        <v>60</v>
      </c>
      <c r="C20" s="436"/>
      <c r="D20" s="436"/>
      <c r="E20" s="438">
        <f>'Internal Affairs'!I1</f>
        <v>9121.8139</v>
      </c>
      <c r="F20" s="438"/>
      <c r="G20" s="437">
        <f>'Internal Affairs'!K1</f>
        <v>9288.199999999999</v>
      </c>
      <c r="H20" s="437"/>
      <c r="I20" s="437"/>
    </row>
    <row r="21" spans="2:9" ht="15">
      <c r="B21" s="436" t="s">
        <v>61</v>
      </c>
      <c r="C21" s="436"/>
      <c r="D21" s="436"/>
      <c r="E21" s="438">
        <f>'Professional Development'!I1</f>
        <v>905.6</v>
      </c>
      <c r="F21" s="438"/>
      <c r="G21" s="437">
        <f>'Professional Development'!K1</f>
        <v>271.12999999999994</v>
      </c>
      <c r="H21" s="437"/>
      <c r="I21" s="437"/>
    </row>
    <row r="22" spans="2:9" ht="15">
      <c r="B22" s="436" t="s">
        <v>62</v>
      </c>
      <c r="C22" s="436"/>
      <c r="D22" s="436"/>
      <c r="E22" s="438">
        <f>Services!I1</f>
        <v>2879.0188</v>
      </c>
      <c r="F22" s="438"/>
      <c r="G22" s="437">
        <f>Services!K1</f>
        <v>1989.1599999999999</v>
      </c>
      <c r="H22" s="439"/>
      <c r="I22" s="439"/>
    </row>
    <row r="23" spans="1:9" ht="15">
      <c r="A23" s="108"/>
      <c r="B23" s="436" t="s">
        <v>691</v>
      </c>
      <c r="C23" s="436"/>
      <c r="D23" s="436"/>
      <c r="E23" s="438"/>
      <c r="F23" s="438"/>
      <c r="G23" s="437">
        <v>34829.26</v>
      </c>
      <c r="H23" s="439"/>
      <c r="I23" s="439"/>
    </row>
    <row r="24" spans="2:9" ht="15">
      <c r="B24" s="440" t="s">
        <v>63</v>
      </c>
      <c r="C24" s="440"/>
      <c r="D24" s="440"/>
      <c r="E24" s="431">
        <f>SUM(E10:F22)</f>
        <v>254485.2993</v>
      </c>
      <c r="F24" s="431"/>
      <c r="I24" s="427">
        <f>SUM(G10:I23)</f>
        <v>252230.49000000002</v>
      </c>
    </row>
    <row r="25" spans="1:9" ht="15">
      <c r="A25" s="429"/>
      <c r="B25" s="429"/>
      <c r="C25" s="429"/>
      <c r="D25" s="429"/>
      <c r="E25" s="429"/>
      <c r="F25" s="429"/>
      <c r="G25" s="429"/>
      <c r="H25" s="429"/>
      <c r="I25" s="429"/>
    </row>
    <row r="26" spans="1:9" ht="15">
      <c r="A26" s="430" t="s">
        <v>64</v>
      </c>
      <c r="B26" s="430"/>
      <c r="C26" s="430"/>
      <c r="D26" s="430"/>
      <c r="E26" s="430"/>
      <c r="F26" s="430"/>
      <c r="G26" s="430"/>
      <c r="H26" s="430"/>
      <c r="I26" s="430"/>
    </row>
    <row r="27" spans="2:6" ht="15">
      <c r="B27" s="433" t="s">
        <v>65</v>
      </c>
      <c r="C27" s="433"/>
      <c r="D27" s="433"/>
      <c r="E27" s="434">
        <f>E24*0.1</f>
        <v>25448.529930000004</v>
      </c>
      <c r="F27" s="435"/>
    </row>
    <row r="28" spans="1:9" ht="15">
      <c r="A28" s="429"/>
      <c r="B28" s="429"/>
      <c r="C28" s="429"/>
      <c r="D28" s="429"/>
      <c r="E28" s="429"/>
      <c r="F28" s="429"/>
      <c r="G28" s="429"/>
      <c r="H28" s="429"/>
      <c r="I28" s="429"/>
    </row>
    <row r="29" spans="1:9" ht="15">
      <c r="A29" s="430" t="s">
        <v>66</v>
      </c>
      <c r="B29" s="430"/>
      <c r="C29" s="430"/>
      <c r="D29" s="430"/>
      <c r="E29" s="430"/>
      <c r="F29" s="430"/>
      <c r="G29" s="430"/>
      <c r="H29" s="430"/>
      <c r="I29" s="430"/>
    </row>
    <row r="30" spans="2:9" ht="15">
      <c r="B30" s="436"/>
      <c r="C30" s="436"/>
      <c r="D30" s="436"/>
      <c r="E30" s="431">
        <f>E24+E27</f>
        <v>279933.82923000003</v>
      </c>
      <c r="F30" s="432"/>
      <c r="I30" s="191">
        <f>G7-I24</f>
        <v>42130.06999999992</v>
      </c>
    </row>
    <row r="31" spans="1:9" ht="15">
      <c r="A31" s="429"/>
      <c r="B31" s="429"/>
      <c r="C31" s="429"/>
      <c r="D31" s="429"/>
      <c r="E31" s="429"/>
      <c r="F31" s="429"/>
      <c r="G31" s="429"/>
      <c r="H31" s="429"/>
      <c r="I31" s="429"/>
    </row>
    <row r="32" spans="1:9" ht="15">
      <c r="A32" s="430" t="s">
        <v>67</v>
      </c>
      <c r="B32" s="430"/>
      <c r="C32" s="430"/>
      <c r="D32" s="430"/>
      <c r="E32" s="430"/>
      <c r="F32" s="430"/>
      <c r="G32" s="430"/>
      <c r="H32" s="430"/>
      <c r="I32" s="430"/>
    </row>
    <row r="33" spans="5:9" ht="15">
      <c r="E33" s="431">
        <f>E7-E30</f>
        <v>2742.8343699999386</v>
      </c>
      <c r="F33" s="432"/>
      <c r="I33" s="191">
        <f>G7-I24</f>
        <v>42130.06999999992</v>
      </c>
    </row>
  </sheetData>
  <sheetProtection/>
  <mergeCells count="64">
    <mergeCell ref="G14:I14"/>
    <mergeCell ref="G13:I13"/>
    <mergeCell ref="B23:D23"/>
    <mergeCell ref="E23:F23"/>
    <mergeCell ref="G23:I23"/>
    <mergeCell ref="G20:I20"/>
    <mergeCell ref="G19:I19"/>
    <mergeCell ref="G18:I18"/>
    <mergeCell ref="G17:I17"/>
    <mergeCell ref="G16:I16"/>
    <mergeCell ref="G15:I15"/>
    <mergeCell ref="A8:I8"/>
    <mergeCell ref="A4:I4"/>
    <mergeCell ref="B5:D5"/>
    <mergeCell ref="E5:F5"/>
    <mergeCell ref="A6:I6"/>
    <mergeCell ref="B7:D7"/>
    <mergeCell ref="E7:F7"/>
    <mergeCell ref="G7:I7"/>
    <mergeCell ref="A9:I9"/>
    <mergeCell ref="B10:D10"/>
    <mergeCell ref="E10:F10"/>
    <mergeCell ref="G10:I10"/>
    <mergeCell ref="B12:D12"/>
    <mergeCell ref="E12:F12"/>
    <mergeCell ref="G12:I12"/>
    <mergeCell ref="B11:D11"/>
    <mergeCell ref="E11:F11"/>
    <mergeCell ref="G11:I11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G21:I21"/>
    <mergeCell ref="A29:I29"/>
    <mergeCell ref="B22:D22"/>
    <mergeCell ref="E22:F22"/>
    <mergeCell ref="G22:I22"/>
    <mergeCell ref="B24:D24"/>
    <mergeCell ref="E24:F24"/>
    <mergeCell ref="A31:I31"/>
    <mergeCell ref="A32:I32"/>
    <mergeCell ref="E33:F33"/>
    <mergeCell ref="A25:I25"/>
    <mergeCell ref="A26:I26"/>
    <mergeCell ref="B27:D27"/>
    <mergeCell ref="E27:F27"/>
    <mergeCell ref="A28:I28"/>
    <mergeCell ref="B30:D30"/>
    <mergeCell ref="E30:F3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3" sqref="B3:H3"/>
    </sheetView>
  </sheetViews>
  <sheetFormatPr defaultColWidth="8.8515625" defaultRowHeight="15"/>
  <cols>
    <col min="1" max="1" width="4.7109375" style="0" customWidth="1"/>
    <col min="2" max="2" width="15.7109375" style="0" customWidth="1"/>
    <col min="3" max="4" width="17.421875" style="0" customWidth="1"/>
    <col min="5" max="5" width="16.7109375" style="0" customWidth="1"/>
    <col min="6" max="8" width="10.7109375" style="0" customWidth="1"/>
    <col min="9" max="9" width="9.421875" style="0" customWidth="1"/>
    <col min="10" max="10" width="11.7109375" style="0" customWidth="1"/>
    <col min="11" max="11" width="9.28125" style="0" customWidth="1"/>
    <col min="12" max="12" width="16.00390625" style="0" customWidth="1"/>
    <col min="13" max="13" width="11.140625" style="0" customWidth="1"/>
  </cols>
  <sheetData>
    <row r="1" spans="1:11" ht="15">
      <c r="A1" s="429"/>
      <c r="B1" s="560" t="s">
        <v>699</v>
      </c>
      <c r="C1" s="561"/>
      <c r="D1" s="561"/>
      <c r="E1" s="561"/>
      <c r="F1" s="561"/>
      <c r="G1" s="561"/>
      <c r="H1" s="561"/>
      <c r="I1" s="557">
        <f>SUM(I8,I12)</f>
        <v>76.7609</v>
      </c>
      <c r="J1" s="482"/>
      <c r="K1" s="547">
        <f>SUM(K8+K12)</f>
        <v>50</v>
      </c>
    </row>
    <row r="2" spans="1:11" ht="15">
      <c r="A2" s="429"/>
      <c r="B2" s="562"/>
      <c r="C2" s="563"/>
      <c r="D2" s="563"/>
      <c r="E2" s="563"/>
      <c r="F2" s="563"/>
      <c r="G2" s="563"/>
      <c r="H2" s="563"/>
      <c r="I2" s="483"/>
      <c r="J2" s="484"/>
      <c r="K2" s="548"/>
    </row>
    <row r="3" spans="1:13" ht="15">
      <c r="A3" s="429"/>
      <c r="B3" s="475"/>
      <c r="C3" s="476"/>
      <c r="D3" s="476"/>
      <c r="E3" s="476"/>
      <c r="F3" s="476"/>
      <c r="G3" s="476"/>
      <c r="H3" s="476"/>
      <c r="I3" s="558" t="s">
        <v>487</v>
      </c>
      <c r="J3" s="559"/>
      <c r="K3" s="313" t="s">
        <v>108</v>
      </c>
      <c r="L3" s="310" t="s">
        <v>445</v>
      </c>
      <c r="M3" s="311">
        <v>1759.95</v>
      </c>
    </row>
    <row r="4" spans="2:13" ht="15">
      <c r="B4" s="800"/>
      <c r="C4" s="800"/>
      <c r="D4" s="800"/>
      <c r="E4" s="800"/>
      <c r="F4" s="800"/>
      <c r="G4" s="800"/>
      <c r="H4" s="800"/>
      <c r="I4" s="800"/>
      <c r="J4" s="800"/>
      <c r="K4" s="117"/>
      <c r="L4" s="310" t="s">
        <v>446</v>
      </c>
      <c r="M4" s="311">
        <v>0</v>
      </c>
    </row>
    <row r="5" spans="2:11" ht="15">
      <c r="B5" s="487" t="s">
        <v>488</v>
      </c>
      <c r="C5" s="487"/>
      <c r="D5" s="487"/>
      <c r="E5" s="487"/>
      <c r="F5" s="488" t="s">
        <v>435</v>
      </c>
      <c r="G5" s="488"/>
      <c r="H5" s="488"/>
      <c r="I5" s="488"/>
      <c r="J5" s="488"/>
      <c r="K5" s="117"/>
    </row>
    <row r="6" spans="2:11" ht="45">
      <c r="B6" s="553" t="s">
        <v>490</v>
      </c>
      <c r="C6" s="553"/>
      <c r="D6" s="553" t="s">
        <v>491</v>
      </c>
      <c r="E6" s="553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148</v>
      </c>
      <c r="K6" s="317" t="s">
        <v>110</v>
      </c>
    </row>
    <row r="7" spans="2:10" ht="15">
      <c r="B7" s="714"/>
      <c r="C7" s="714"/>
      <c r="D7" s="714"/>
      <c r="E7" s="714"/>
      <c r="F7" s="714"/>
      <c r="G7" s="714"/>
      <c r="H7" s="714"/>
      <c r="I7" s="714"/>
      <c r="J7" s="714"/>
    </row>
    <row r="8" spans="2:11" ht="15">
      <c r="B8" s="464" t="s">
        <v>3</v>
      </c>
      <c r="C8" s="490"/>
      <c r="D8" s="490"/>
      <c r="E8" s="490"/>
      <c r="F8" s="490"/>
      <c r="G8" s="490"/>
      <c r="H8" s="491"/>
      <c r="I8" s="492">
        <f>SUM(J9:J10)</f>
        <v>54.1835</v>
      </c>
      <c r="J8" s="799"/>
      <c r="K8" s="21">
        <f>SUM((K9:K10))</f>
        <v>50</v>
      </c>
    </row>
    <row r="9" spans="1:11" s="33" customFormat="1" ht="15">
      <c r="A9" s="33">
        <v>313</v>
      </c>
      <c r="B9" s="552" t="s">
        <v>4</v>
      </c>
      <c r="C9" s="531"/>
      <c r="D9" s="531"/>
      <c r="E9" s="556"/>
      <c r="F9" s="28">
        <v>9.99</v>
      </c>
      <c r="G9" s="29">
        <v>4</v>
      </c>
      <c r="H9" s="16">
        <f>F9*G9</f>
        <v>39.96</v>
      </c>
      <c r="I9" s="17">
        <f>H9*0.13</f>
        <v>5.1948</v>
      </c>
      <c r="J9" s="16">
        <f>H9+I9</f>
        <v>45.1548</v>
      </c>
      <c r="K9" s="14">
        <v>50</v>
      </c>
    </row>
    <row r="10" spans="1:11" ht="15">
      <c r="A10">
        <v>314</v>
      </c>
      <c r="B10" s="801" t="s">
        <v>5</v>
      </c>
      <c r="C10" s="447"/>
      <c r="D10" s="447" t="s">
        <v>6</v>
      </c>
      <c r="E10" s="463"/>
      <c r="F10" s="38">
        <v>7.99</v>
      </c>
      <c r="G10" s="37">
        <v>1</v>
      </c>
      <c r="H10" s="18">
        <f>F10*G10</f>
        <v>7.99</v>
      </c>
      <c r="I10" s="19">
        <f>H10*0.13</f>
        <v>1.0387</v>
      </c>
      <c r="J10" s="18">
        <f>H10+I10</f>
        <v>9.0287</v>
      </c>
      <c r="K10" s="5"/>
    </row>
    <row r="11" spans="2:11" ht="15">
      <c r="B11" s="714"/>
      <c r="C11" s="714"/>
      <c r="D11" s="714"/>
      <c r="E11" s="714"/>
      <c r="F11" s="714"/>
      <c r="G11" s="714"/>
      <c r="H11" s="714"/>
      <c r="I11" s="714"/>
      <c r="J11" s="714"/>
      <c r="K11" s="191"/>
    </row>
    <row r="12" spans="2:11" ht="15">
      <c r="B12" s="489" t="s">
        <v>86</v>
      </c>
      <c r="C12" s="490"/>
      <c r="D12" s="490"/>
      <c r="E12" s="490"/>
      <c r="F12" s="490"/>
      <c r="G12" s="490"/>
      <c r="H12" s="491"/>
      <c r="I12" s="492">
        <f>SUM(J13:J13)</f>
        <v>22.5774</v>
      </c>
      <c r="J12" s="799"/>
      <c r="K12" s="21">
        <f>K13</f>
        <v>0</v>
      </c>
    </row>
    <row r="13" spans="1:11" ht="15">
      <c r="A13">
        <v>315</v>
      </c>
      <c r="B13" s="802" t="s">
        <v>631</v>
      </c>
      <c r="C13" s="457"/>
      <c r="D13" s="457" t="s">
        <v>134</v>
      </c>
      <c r="E13" s="469"/>
      <c r="F13" s="25">
        <v>9.99</v>
      </c>
      <c r="G13" s="26">
        <v>2</v>
      </c>
      <c r="H13" s="14">
        <f>F13*G13</f>
        <v>19.98</v>
      </c>
      <c r="I13" s="15">
        <f>H13*0.13</f>
        <v>2.5974</v>
      </c>
      <c r="J13" s="14">
        <f>H13+I13</f>
        <v>22.5774</v>
      </c>
      <c r="K13" s="21">
        <v>0</v>
      </c>
    </row>
    <row r="14" spans="2:10" ht="15">
      <c r="B14" s="714"/>
      <c r="C14" s="714"/>
      <c r="D14" s="714"/>
      <c r="E14" s="714"/>
      <c r="F14" s="714"/>
      <c r="G14" s="714"/>
      <c r="H14" s="714"/>
      <c r="I14" s="714"/>
      <c r="J14" s="714"/>
    </row>
  </sheetData>
  <sheetProtection/>
  <mergeCells count="24">
    <mergeCell ref="B6:C6"/>
    <mergeCell ref="D6:E6"/>
    <mergeCell ref="B1:H2"/>
    <mergeCell ref="I1:J2"/>
    <mergeCell ref="I3:J3"/>
    <mergeCell ref="B5:E5"/>
    <mergeCell ref="F5:J5"/>
    <mergeCell ref="B3:H3"/>
    <mergeCell ref="K1:K2"/>
    <mergeCell ref="A1:A3"/>
    <mergeCell ref="B4:J4"/>
    <mergeCell ref="B14:J14"/>
    <mergeCell ref="B10:C10"/>
    <mergeCell ref="D10:E10"/>
    <mergeCell ref="B11:J11"/>
    <mergeCell ref="B12:H12"/>
    <mergeCell ref="I12:J12"/>
    <mergeCell ref="B13:C13"/>
    <mergeCell ref="D13:E13"/>
    <mergeCell ref="B7:J7"/>
    <mergeCell ref="B8:H8"/>
    <mergeCell ref="I8:J8"/>
    <mergeCell ref="B9:C9"/>
    <mergeCell ref="D9:E9"/>
  </mergeCells>
  <printOptions/>
  <pageMargins left="0.25" right="0.25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3" sqref="B3:H3"/>
    </sheetView>
  </sheetViews>
  <sheetFormatPr defaultColWidth="8.8515625" defaultRowHeight="15"/>
  <cols>
    <col min="1" max="1" width="4.7109375" style="0" customWidth="1"/>
    <col min="2" max="2" width="15.7109375" style="0" customWidth="1"/>
    <col min="3" max="4" width="17.421875" style="0" customWidth="1"/>
    <col min="5" max="5" width="16.7109375" style="0" customWidth="1"/>
    <col min="6" max="8" width="10.7109375" style="0" customWidth="1"/>
    <col min="9" max="9" width="9.7109375" style="0" customWidth="1"/>
    <col min="10" max="11" width="11.7109375" style="0" customWidth="1"/>
    <col min="12" max="12" width="15.421875" style="0" customWidth="1"/>
    <col min="13" max="13" width="11.140625" style="0" customWidth="1"/>
  </cols>
  <sheetData>
    <row r="1" spans="1:11" ht="15">
      <c r="A1" s="429"/>
      <c r="B1" s="560" t="s">
        <v>700</v>
      </c>
      <c r="C1" s="561"/>
      <c r="D1" s="561"/>
      <c r="E1" s="561"/>
      <c r="F1" s="561"/>
      <c r="G1" s="561"/>
      <c r="H1" s="561"/>
      <c r="I1" s="557">
        <f>SUM(I8,I13,I18,I22)</f>
        <v>802.2988</v>
      </c>
      <c r="J1" s="482"/>
      <c r="K1" s="547">
        <f>SUM(K8+K13+K18+K22+K27)</f>
        <v>571.98</v>
      </c>
    </row>
    <row r="2" spans="1:11" ht="15">
      <c r="A2" s="429"/>
      <c r="B2" s="562"/>
      <c r="C2" s="563"/>
      <c r="D2" s="563"/>
      <c r="E2" s="563"/>
      <c r="F2" s="563"/>
      <c r="G2" s="563"/>
      <c r="H2" s="563"/>
      <c r="I2" s="483"/>
      <c r="J2" s="484"/>
      <c r="K2" s="548"/>
    </row>
    <row r="3" spans="1:13" ht="15">
      <c r="A3" s="429"/>
      <c r="B3" s="475"/>
      <c r="C3" s="476"/>
      <c r="D3" s="476"/>
      <c r="E3" s="476"/>
      <c r="F3" s="476"/>
      <c r="G3" s="476"/>
      <c r="H3" s="476"/>
      <c r="I3" s="558" t="s">
        <v>487</v>
      </c>
      <c r="J3" s="559"/>
      <c r="K3" s="313" t="s">
        <v>108</v>
      </c>
      <c r="L3" s="310" t="s">
        <v>445</v>
      </c>
      <c r="M3" s="311">
        <v>620.79</v>
      </c>
    </row>
    <row r="4" spans="2:13" ht="15">
      <c r="B4" s="800"/>
      <c r="C4" s="800"/>
      <c r="D4" s="800"/>
      <c r="E4" s="800"/>
      <c r="F4" s="800"/>
      <c r="G4" s="800"/>
      <c r="H4" s="800"/>
      <c r="I4" s="800"/>
      <c r="J4" s="800"/>
      <c r="K4" s="117"/>
      <c r="L4" s="310" t="s">
        <v>446</v>
      </c>
      <c r="M4" s="311">
        <v>172.37</v>
      </c>
    </row>
    <row r="5" spans="2:11" ht="15">
      <c r="B5" s="487" t="s">
        <v>488</v>
      </c>
      <c r="C5" s="487"/>
      <c r="D5" s="487"/>
      <c r="E5" s="487"/>
      <c r="F5" s="488" t="s">
        <v>435</v>
      </c>
      <c r="G5" s="488"/>
      <c r="H5" s="488"/>
      <c r="I5" s="488"/>
      <c r="J5" s="488"/>
      <c r="K5" s="117"/>
    </row>
    <row r="6" spans="2:11" ht="30">
      <c r="B6" s="553" t="s">
        <v>490</v>
      </c>
      <c r="C6" s="553"/>
      <c r="D6" s="553" t="s">
        <v>491</v>
      </c>
      <c r="E6" s="553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148</v>
      </c>
      <c r="K6" s="317" t="s">
        <v>110</v>
      </c>
    </row>
    <row r="7" spans="2:10" ht="15">
      <c r="B7" s="800"/>
      <c r="C7" s="800"/>
      <c r="D7" s="800"/>
      <c r="E7" s="800"/>
      <c r="F7" s="800"/>
      <c r="G7" s="800"/>
      <c r="H7" s="800"/>
      <c r="I7" s="800"/>
      <c r="J7" s="800"/>
    </row>
    <row r="8" spans="2:11" ht="15">
      <c r="B8" s="755" t="s">
        <v>266</v>
      </c>
      <c r="C8" s="549"/>
      <c r="D8" s="549"/>
      <c r="E8" s="549"/>
      <c r="F8" s="490"/>
      <c r="G8" s="490"/>
      <c r="H8" s="491"/>
      <c r="I8" s="492">
        <f>SUM(J9:J11)</f>
        <v>374.69669999999996</v>
      </c>
      <c r="J8" s="493"/>
      <c r="K8" s="312">
        <f>SUM(K9:K11)</f>
        <v>141.9</v>
      </c>
    </row>
    <row r="9" spans="1:11" ht="15">
      <c r="A9">
        <v>316</v>
      </c>
      <c r="B9" s="564" t="s">
        <v>267</v>
      </c>
      <c r="C9" s="554"/>
      <c r="D9" s="554" t="s">
        <v>133</v>
      </c>
      <c r="E9" s="555"/>
      <c r="F9" s="112">
        <v>16.49</v>
      </c>
      <c r="G9" s="26">
        <v>8</v>
      </c>
      <c r="H9" s="14">
        <f>F9*G9</f>
        <v>131.92</v>
      </c>
      <c r="I9" s="14">
        <f>H9*0.13</f>
        <v>17.1496</v>
      </c>
      <c r="J9" s="14">
        <f>H9+I9</f>
        <v>149.06959999999998</v>
      </c>
      <c r="K9" s="318"/>
    </row>
    <row r="10" spans="1:11" ht="15">
      <c r="A10">
        <f>A9+1</f>
        <v>317</v>
      </c>
      <c r="B10" s="552" t="s">
        <v>268</v>
      </c>
      <c r="C10" s="531"/>
      <c r="D10" s="531" t="s">
        <v>297</v>
      </c>
      <c r="E10" s="556"/>
      <c r="F10" s="56">
        <v>19.39</v>
      </c>
      <c r="G10" s="29">
        <v>8</v>
      </c>
      <c r="H10" s="16">
        <f>F10*G10</f>
        <v>155.12</v>
      </c>
      <c r="I10" s="16">
        <f>H10*0.13</f>
        <v>20.1656</v>
      </c>
      <c r="J10" s="16">
        <f>H10+I10</f>
        <v>175.28560000000002</v>
      </c>
      <c r="K10" s="320"/>
    </row>
    <row r="11" spans="1:11" ht="15">
      <c r="A11">
        <f>A10+1</f>
        <v>318</v>
      </c>
      <c r="B11" s="550" t="s">
        <v>589</v>
      </c>
      <c r="C11" s="530"/>
      <c r="D11" s="530" t="s">
        <v>269</v>
      </c>
      <c r="E11" s="551"/>
      <c r="F11" s="113">
        <v>2.97</v>
      </c>
      <c r="G11" s="32">
        <v>15</v>
      </c>
      <c r="H11" s="18">
        <f>F11*G11</f>
        <v>44.550000000000004</v>
      </c>
      <c r="I11" s="18">
        <f>H11*0.13</f>
        <v>5.791500000000001</v>
      </c>
      <c r="J11" s="18">
        <f>H11+I11</f>
        <v>50.3415</v>
      </c>
      <c r="K11" s="319">
        <v>141.9</v>
      </c>
    </row>
    <row r="12" spans="2:10" ht="15">
      <c r="B12" s="800"/>
      <c r="C12" s="800"/>
      <c r="D12" s="800"/>
      <c r="E12" s="800"/>
      <c r="F12" s="800"/>
      <c r="G12" s="800"/>
      <c r="H12" s="800"/>
      <c r="I12" s="800"/>
      <c r="J12" s="800"/>
    </row>
    <row r="13" spans="2:11" ht="15">
      <c r="B13" s="755" t="s">
        <v>127</v>
      </c>
      <c r="C13" s="549"/>
      <c r="D13" s="549"/>
      <c r="E13" s="549"/>
      <c r="F13" s="490"/>
      <c r="G13" s="490"/>
      <c r="H13" s="491"/>
      <c r="I13" s="492">
        <f>SUM(J14:J17)</f>
        <v>138.4137</v>
      </c>
      <c r="J13" s="493"/>
      <c r="K13" s="312">
        <v>23.95</v>
      </c>
    </row>
    <row r="14" spans="1:11" ht="15">
      <c r="A14">
        <v>319</v>
      </c>
      <c r="B14" s="564" t="s">
        <v>267</v>
      </c>
      <c r="C14" s="554"/>
      <c r="D14" s="554" t="s">
        <v>133</v>
      </c>
      <c r="E14" s="555"/>
      <c r="F14" s="112">
        <v>16.49</v>
      </c>
      <c r="G14" s="26">
        <v>3</v>
      </c>
      <c r="H14" s="14">
        <f>F14*G14</f>
        <v>49.47</v>
      </c>
      <c r="I14" s="14">
        <f>H14*0.13</f>
        <v>6.4311</v>
      </c>
      <c r="J14" s="14">
        <f>H14+I14</f>
        <v>55.9011</v>
      </c>
      <c r="K14" s="318"/>
    </row>
    <row r="15" spans="1:11" ht="15">
      <c r="A15">
        <v>320</v>
      </c>
      <c r="B15" s="552" t="s">
        <v>268</v>
      </c>
      <c r="C15" s="531"/>
      <c r="D15" s="531" t="s">
        <v>133</v>
      </c>
      <c r="E15" s="556"/>
      <c r="F15" s="56">
        <v>19.39</v>
      </c>
      <c r="G15" s="29">
        <v>3</v>
      </c>
      <c r="H15" s="16">
        <f>F15*G15</f>
        <v>58.17</v>
      </c>
      <c r="I15" s="16">
        <f>H15*0.13</f>
        <v>7.5621</v>
      </c>
      <c r="J15" s="16">
        <f>H15+I15</f>
        <v>65.7321</v>
      </c>
      <c r="K15" s="320"/>
    </row>
    <row r="16" spans="1:11" ht="15">
      <c r="A16">
        <v>321</v>
      </c>
      <c r="B16" s="550" t="s">
        <v>589</v>
      </c>
      <c r="C16" s="530"/>
      <c r="D16" s="530" t="s">
        <v>269</v>
      </c>
      <c r="E16" s="551"/>
      <c r="F16" s="113">
        <v>2.97</v>
      </c>
      <c r="G16" s="32">
        <v>5</v>
      </c>
      <c r="H16" s="18">
        <f>F16*G16</f>
        <v>14.850000000000001</v>
      </c>
      <c r="I16" s="18">
        <f>H16*0.13</f>
        <v>1.9305000000000003</v>
      </c>
      <c r="J16" s="18">
        <f>H16+I16</f>
        <v>16.780500000000004</v>
      </c>
      <c r="K16" s="319"/>
    </row>
    <row r="17" spans="2:10" ht="15">
      <c r="B17" s="81"/>
      <c r="C17" s="81"/>
      <c r="D17" s="81"/>
      <c r="E17" s="81"/>
      <c r="F17" s="81"/>
      <c r="G17" s="81"/>
      <c r="H17" s="81"/>
      <c r="I17" s="81"/>
      <c r="J17" s="81"/>
    </row>
    <row r="18" spans="2:11" ht="15">
      <c r="B18" s="702" t="s">
        <v>298</v>
      </c>
      <c r="C18" s="549"/>
      <c r="D18" s="549"/>
      <c r="E18" s="549"/>
      <c r="F18" s="490"/>
      <c r="G18" s="490"/>
      <c r="H18" s="491"/>
      <c r="I18" s="492">
        <f>SUM(J19:J21)</f>
        <v>39.1884</v>
      </c>
      <c r="J18" s="493"/>
      <c r="K18" s="312">
        <f>K19+K20</f>
        <v>97.4</v>
      </c>
    </row>
    <row r="19" spans="1:11" ht="15">
      <c r="A19">
        <v>322</v>
      </c>
      <c r="B19" s="564" t="s">
        <v>299</v>
      </c>
      <c r="C19" s="554"/>
      <c r="D19" s="554" t="s">
        <v>444</v>
      </c>
      <c r="E19" s="555"/>
      <c r="F19" s="112">
        <v>4.96</v>
      </c>
      <c r="G19" s="26">
        <v>2</v>
      </c>
      <c r="H19" s="14">
        <f>F19*G19</f>
        <v>9.92</v>
      </c>
      <c r="I19" s="14">
        <f>H19*0.13</f>
        <v>1.2896</v>
      </c>
      <c r="J19" s="14">
        <f>H19+I19</f>
        <v>11.2096</v>
      </c>
      <c r="K19" s="318">
        <v>73.45</v>
      </c>
    </row>
    <row r="20" spans="1:11" ht="15">
      <c r="A20">
        <v>323</v>
      </c>
      <c r="B20" s="550" t="s">
        <v>300</v>
      </c>
      <c r="C20" s="530"/>
      <c r="D20" s="530" t="s">
        <v>449</v>
      </c>
      <c r="E20" s="551"/>
      <c r="F20" s="113">
        <v>6.19</v>
      </c>
      <c r="G20" s="32">
        <v>4</v>
      </c>
      <c r="H20" s="18">
        <f>F20*G20</f>
        <v>24.76</v>
      </c>
      <c r="I20" s="18">
        <f>H20*0.13</f>
        <v>3.2188000000000003</v>
      </c>
      <c r="J20" s="18">
        <f>H20+I20</f>
        <v>27.978800000000003</v>
      </c>
      <c r="K20" s="319">
        <v>23.95</v>
      </c>
    </row>
    <row r="22" spans="2:11" ht="15">
      <c r="B22" s="464" t="s">
        <v>497</v>
      </c>
      <c r="C22" s="465"/>
      <c r="D22" s="465"/>
      <c r="E22" s="465"/>
      <c r="F22" s="465"/>
      <c r="G22" s="465"/>
      <c r="H22" s="466"/>
      <c r="I22" s="467">
        <f>SUM(J24)</f>
        <v>250</v>
      </c>
      <c r="J22" s="805"/>
      <c r="K22" s="322">
        <f>SUM(K23)</f>
        <v>157.06</v>
      </c>
    </row>
    <row r="23" spans="1:11" ht="15">
      <c r="A23">
        <v>324</v>
      </c>
      <c r="B23" s="803" t="s">
        <v>646</v>
      </c>
      <c r="C23" s="740"/>
      <c r="D23" s="740"/>
      <c r="E23" s="804"/>
      <c r="F23" s="219"/>
      <c r="G23" s="215"/>
      <c r="H23" s="220">
        <f>F23*G23</f>
        <v>0</v>
      </c>
      <c r="I23" s="220"/>
      <c r="J23" s="220">
        <f>H23+I23</f>
        <v>0</v>
      </c>
      <c r="K23" s="312">
        <v>157.06</v>
      </c>
    </row>
    <row r="24" spans="1:11" ht="15">
      <c r="A24">
        <v>324</v>
      </c>
      <c r="B24" s="806" t="s">
        <v>500</v>
      </c>
      <c r="C24" s="740"/>
      <c r="D24" s="740"/>
      <c r="E24" s="804"/>
      <c r="F24" s="219">
        <v>25</v>
      </c>
      <c r="G24" s="215">
        <v>10</v>
      </c>
      <c r="H24" s="220">
        <f>F24*G24</f>
        <v>250</v>
      </c>
      <c r="I24" s="220"/>
      <c r="J24" s="220">
        <f>H24+I24</f>
        <v>250</v>
      </c>
      <c r="K24" s="312"/>
    </row>
    <row r="27" spans="2:11" ht="15">
      <c r="B27" s="755" t="s">
        <v>679</v>
      </c>
      <c r="C27" s="549"/>
      <c r="D27" s="549"/>
      <c r="E27" s="549"/>
      <c r="F27" s="490"/>
      <c r="G27" s="490"/>
      <c r="H27" s="491"/>
      <c r="I27" s="492">
        <f>SUM(J28:J31)</f>
        <v>0</v>
      </c>
      <c r="J27" s="493"/>
      <c r="K27" s="312">
        <f>SUM(K28:K34)</f>
        <v>151.67000000000007</v>
      </c>
    </row>
    <row r="28" spans="1:11" ht="15">
      <c r="A28">
        <v>319</v>
      </c>
      <c r="B28" s="564" t="s">
        <v>514</v>
      </c>
      <c r="C28" s="554"/>
      <c r="D28" s="554"/>
      <c r="E28" s="555"/>
      <c r="F28" s="112"/>
      <c r="G28" s="26"/>
      <c r="H28" s="14">
        <f>F28*G28</f>
        <v>0</v>
      </c>
      <c r="I28" s="14">
        <f>H28*0.13</f>
        <v>0</v>
      </c>
      <c r="J28" s="14">
        <f>H28+I28</f>
        <v>0</v>
      </c>
      <c r="K28" s="318">
        <v>342.28</v>
      </c>
    </row>
    <row r="29" spans="1:11" ht="15">
      <c r="A29">
        <v>320</v>
      </c>
      <c r="B29" s="552" t="s">
        <v>647</v>
      </c>
      <c r="C29" s="531"/>
      <c r="D29" s="531"/>
      <c r="E29" s="556"/>
      <c r="F29" s="56"/>
      <c r="G29" s="29"/>
      <c r="H29" s="16">
        <f>F29*G29</f>
        <v>0</v>
      </c>
      <c r="I29" s="16">
        <f>H29*0.13</f>
        <v>0</v>
      </c>
      <c r="J29" s="16">
        <f>H29+I29</f>
        <v>0</v>
      </c>
      <c r="K29" s="320">
        <v>15.24</v>
      </c>
    </row>
    <row r="30" spans="1:11" ht="15">
      <c r="A30">
        <v>321</v>
      </c>
      <c r="B30" s="550" t="s">
        <v>680</v>
      </c>
      <c r="C30" s="530"/>
      <c r="D30" s="530"/>
      <c r="E30" s="551"/>
      <c r="F30" s="113"/>
      <c r="G30" s="32"/>
      <c r="H30" s="18">
        <f>F30*G30</f>
        <v>0</v>
      </c>
      <c r="I30" s="18">
        <f>H30*0.13</f>
        <v>0</v>
      </c>
      <c r="J30" s="18">
        <f>H30+I30</f>
        <v>0</v>
      </c>
      <c r="K30" s="319">
        <v>39.9</v>
      </c>
    </row>
    <row r="31" spans="1:11" ht="15">
      <c r="A31">
        <v>319</v>
      </c>
      <c r="B31" s="564" t="s">
        <v>681</v>
      </c>
      <c r="C31" s="554"/>
      <c r="D31" s="554"/>
      <c r="E31" s="555"/>
      <c r="F31" s="112"/>
      <c r="G31" s="26"/>
      <c r="H31" s="14">
        <f>F31*G31</f>
        <v>0</v>
      </c>
      <c r="I31" s="14">
        <f>H31*0.13</f>
        <v>0</v>
      </c>
      <c r="J31" s="14">
        <f>H31+I31</f>
        <v>0</v>
      </c>
      <c r="K31" s="318">
        <v>218.08</v>
      </c>
    </row>
    <row r="32" spans="2:11" ht="15">
      <c r="B32" s="395"/>
      <c r="C32" s="394" t="s">
        <v>683</v>
      </c>
      <c r="D32" s="394"/>
      <c r="E32" s="396"/>
      <c r="F32" s="56"/>
      <c r="G32" s="29"/>
      <c r="H32" s="16"/>
      <c r="I32" s="16"/>
      <c r="J32" s="16"/>
      <c r="K32" s="320">
        <v>19.2</v>
      </c>
    </row>
    <row r="33" spans="1:11" ht="15">
      <c r="A33">
        <v>320</v>
      </c>
      <c r="B33" s="552" t="s">
        <v>682</v>
      </c>
      <c r="C33" s="531"/>
      <c r="D33" s="531"/>
      <c r="E33" s="556"/>
      <c r="F33" s="56"/>
      <c r="G33" s="29"/>
      <c r="H33" s="16">
        <f>F33*G33</f>
        <v>0</v>
      </c>
      <c r="I33" s="16">
        <f>H33*0.13</f>
        <v>0</v>
      </c>
      <c r="J33" s="16">
        <f>H33+I33</f>
        <v>0</v>
      </c>
      <c r="K33" s="320">
        <v>26.97</v>
      </c>
    </row>
    <row r="34" spans="1:11" ht="15">
      <c r="A34">
        <v>321</v>
      </c>
      <c r="B34" s="550" t="s">
        <v>554</v>
      </c>
      <c r="C34" s="530"/>
      <c r="D34" s="530"/>
      <c r="E34" s="551"/>
      <c r="F34" s="113"/>
      <c r="G34" s="32"/>
      <c r="H34" s="18">
        <f>F34*G34</f>
        <v>0</v>
      </c>
      <c r="I34" s="18">
        <f>H34*0.13</f>
        <v>0</v>
      </c>
      <c r="J34" s="18">
        <f>H34+I34</f>
        <v>0</v>
      </c>
      <c r="K34" s="319">
        <v>-510</v>
      </c>
    </row>
  </sheetData>
  <sheetProtection/>
  <mergeCells count="55">
    <mergeCell ref="B22:H22"/>
    <mergeCell ref="I22:J22"/>
    <mergeCell ref="B24:C24"/>
    <mergeCell ref="D24:E24"/>
    <mergeCell ref="B18:H18"/>
    <mergeCell ref="I18:J18"/>
    <mergeCell ref="B19:C19"/>
    <mergeCell ref="D19:E19"/>
    <mergeCell ref="B20:C20"/>
    <mergeCell ref="D20:E20"/>
    <mergeCell ref="B7:J7"/>
    <mergeCell ref="B8:H8"/>
    <mergeCell ref="I8:J8"/>
    <mergeCell ref="B9:C9"/>
    <mergeCell ref="D9:E9"/>
    <mergeCell ref="B10:C10"/>
    <mergeCell ref="I13:J13"/>
    <mergeCell ref="B14:C14"/>
    <mergeCell ref="D14:E14"/>
    <mergeCell ref="B16:C16"/>
    <mergeCell ref="D16:E16"/>
    <mergeCell ref="B11:C11"/>
    <mergeCell ref="D11:E11"/>
    <mergeCell ref="A1:A3"/>
    <mergeCell ref="B4:J4"/>
    <mergeCell ref="B1:H2"/>
    <mergeCell ref="B5:E5"/>
    <mergeCell ref="F5:J5"/>
    <mergeCell ref="B3:H3"/>
    <mergeCell ref="K1:K2"/>
    <mergeCell ref="I1:J2"/>
    <mergeCell ref="I3:J3"/>
    <mergeCell ref="B15:C15"/>
    <mergeCell ref="D15:E15"/>
    <mergeCell ref="B6:C6"/>
    <mergeCell ref="D6:E6"/>
    <mergeCell ref="D10:E10"/>
    <mergeCell ref="B12:J12"/>
    <mergeCell ref="B13:H13"/>
    <mergeCell ref="B27:H27"/>
    <mergeCell ref="I27:J27"/>
    <mergeCell ref="B28:C28"/>
    <mergeCell ref="D28:E28"/>
    <mergeCell ref="B29:C29"/>
    <mergeCell ref="D29:E29"/>
    <mergeCell ref="B34:C34"/>
    <mergeCell ref="D34:E34"/>
    <mergeCell ref="B23:C23"/>
    <mergeCell ref="D23:E23"/>
    <mergeCell ref="B30:C30"/>
    <mergeCell ref="D30:E30"/>
    <mergeCell ref="B31:C31"/>
    <mergeCell ref="D31:E31"/>
    <mergeCell ref="B33:C33"/>
    <mergeCell ref="D33:E33"/>
  </mergeCells>
  <printOptions/>
  <pageMargins left="0.25" right="0.25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B3" sqref="B3:H3"/>
    </sheetView>
  </sheetViews>
  <sheetFormatPr defaultColWidth="8.8515625" defaultRowHeight="15"/>
  <cols>
    <col min="1" max="1" width="4.7109375" style="0" customWidth="1"/>
    <col min="2" max="2" width="15.7109375" style="0" customWidth="1"/>
    <col min="3" max="4" width="17.421875" style="0" customWidth="1"/>
    <col min="5" max="5" width="16.7109375" style="0" customWidth="1"/>
    <col min="6" max="8" width="10.7109375" style="0" customWidth="1"/>
    <col min="9" max="9" width="9.7109375" style="0" customWidth="1"/>
    <col min="10" max="10" width="11.7109375" style="0" customWidth="1"/>
    <col min="11" max="11" width="12.7109375" style="0" bestFit="1" customWidth="1"/>
    <col min="12" max="12" width="15.28125" style="0" customWidth="1"/>
    <col min="13" max="13" width="11.8515625" style="0" customWidth="1"/>
  </cols>
  <sheetData>
    <row r="1" spans="1:11" ht="15">
      <c r="A1" s="429"/>
      <c r="B1" s="537" t="s">
        <v>694</v>
      </c>
      <c r="C1" s="538"/>
      <c r="D1" s="538"/>
      <c r="E1" s="538"/>
      <c r="F1" s="538"/>
      <c r="G1" s="538"/>
      <c r="H1" s="538"/>
      <c r="I1" s="557">
        <f>SUM(I8,I14,I19,I25,I29)</f>
        <v>4858.42</v>
      </c>
      <c r="J1" s="482"/>
      <c r="K1" s="547">
        <f>SUM(K8+K14+K19+K25+K29+K32)</f>
        <v>2179.92</v>
      </c>
    </row>
    <row r="2" spans="1:11" ht="15">
      <c r="A2" s="429"/>
      <c r="B2" s="539"/>
      <c r="C2" s="540"/>
      <c r="D2" s="540"/>
      <c r="E2" s="540"/>
      <c r="F2" s="540"/>
      <c r="G2" s="540"/>
      <c r="H2" s="540"/>
      <c r="I2" s="483"/>
      <c r="J2" s="484"/>
      <c r="K2" s="548"/>
    </row>
    <row r="3" spans="1:13" ht="15">
      <c r="A3" s="429"/>
      <c r="B3" s="475"/>
      <c r="C3" s="476"/>
      <c r="D3" s="476"/>
      <c r="E3" s="476"/>
      <c r="F3" s="476"/>
      <c r="G3" s="476"/>
      <c r="H3" s="476"/>
      <c r="I3" s="558" t="s">
        <v>487</v>
      </c>
      <c r="J3" s="559"/>
      <c r="K3" s="313" t="s">
        <v>108</v>
      </c>
      <c r="L3" s="310" t="s">
        <v>445</v>
      </c>
      <c r="M3" s="311">
        <v>13625.93</v>
      </c>
    </row>
    <row r="4" spans="11:13" ht="15">
      <c r="K4" s="117"/>
      <c r="L4" s="310" t="s">
        <v>446</v>
      </c>
      <c r="M4" s="311">
        <v>7892.88</v>
      </c>
    </row>
    <row r="5" spans="2:11" ht="15">
      <c r="B5" s="487" t="s">
        <v>488</v>
      </c>
      <c r="C5" s="487"/>
      <c r="D5" s="487"/>
      <c r="E5" s="487"/>
      <c r="F5" s="488" t="s">
        <v>435</v>
      </c>
      <c r="G5" s="488"/>
      <c r="H5" s="488"/>
      <c r="I5" s="488"/>
      <c r="J5" s="488"/>
      <c r="K5" s="117"/>
    </row>
    <row r="6" spans="2:11" ht="30">
      <c r="B6" s="553" t="s">
        <v>490</v>
      </c>
      <c r="C6" s="553"/>
      <c r="D6" s="553" t="s">
        <v>491</v>
      </c>
      <c r="E6" s="553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148</v>
      </c>
      <c r="K6" s="317" t="s">
        <v>110</v>
      </c>
    </row>
    <row r="7" spans="2:10" ht="15">
      <c r="B7" s="714"/>
      <c r="C7" s="714"/>
      <c r="D7" s="714"/>
      <c r="E7" s="714"/>
      <c r="F7" s="714"/>
      <c r="G7" s="714"/>
      <c r="H7" s="714"/>
      <c r="I7" s="714"/>
      <c r="J7" s="714"/>
    </row>
    <row r="8" spans="2:11" ht="15">
      <c r="B8" s="464" t="s">
        <v>246</v>
      </c>
      <c r="C8" s="490"/>
      <c r="D8" s="490"/>
      <c r="E8" s="490"/>
      <c r="F8" s="549"/>
      <c r="G8" s="549"/>
      <c r="H8" s="756"/>
      <c r="I8" s="704">
        <f>SUM(J9:J12)</f>
        <v>2071.92</v>
      </c>
      <c r="J8" s="705"/>
      <c r="K8" s="21">
        <f>SUM(K9:K12)</f>
        <v>1661.8999999999999</v>
      </c>
    </row>
    <row r="9" spans="1:11" ht="15">
      <c r="A9">
        <v>325</v>
      </c>
      <c r="B9" s="812" t="s">
        <v>55</v>
      </c>
      <c r="C9" s="813"/>
      <c r="D9" s="549"/>
      <c r="E9" s="549"/>
      <c r="F9" s="146">
        <v>1503.88</v>
      </c>
      <c r="G9" s="141">
        <v>1</v>
      </c>
      <c r="H9" s="146">
        <f>F9*G9</f>
        <v>1503.88</v>
      </c>
      <c r="I9" s="92"/>
      <c r="J9" s="145">
        <f>H9</f>
        <v>1503.88</v>
      </c>
      <c r="K9" s="2">
        <v>1531.1</v>
      </c>
    </row>
    <row r="10" spans="1:11" ht="15">
      <c r="A10">
        <v>326</v>
      </c>
      <c r="B10" s="814" t="s">
        <v>56</v>
      </c>
      <c r="C10" s="815"/>
      <c r="D10" s="620" t="s">
        <v>167</v>
      </c>
      <c r="E10" s="620"/>
      <c r="F10" s="147">
        <v>250</v>
      </c>
      <c r="G10" s="142">
        <v>1</v>
      </c>
      <c r="H10" s="147">
        <f>F10*G10</f>
        <v>250</v>
      </c>
      <c r="I10" s="144"/>
      <c r="J10" s="148">
        <f>H10</f>
        <v>250</v>
      </c>
      <c r="K10" s="10">
        <f>21+21+21</f>
        <v>63</v>
      </c>
    </row>
    <row r="11" spans="1:11" ht="15">
      <c r="A11">
        <v>327</v>
      </c>
      <c r="B11" s="811"/>
      <c r="C11" s="436"/>
      <c r="D11" s="620" t="s">
        <v>58</v>
      </c>
      <c r="E11" s="620"/>
      <c r="F11" s="147">
        <v>250</v>
      </c>
      <c r="G11" s="142">
        <v>1</v>
      </c>
      <c r="H11" s="147">
        <f>F11*G11</f>
        <v>250</v>
      </c>
      <c r="I11" s="144"/>
      <c r="J11" s="148">
        <f>H11</f>
        <v>250</v>
      </c>
      <c r="K11" s="10">
        <v>0</v>
      </c>
    </row>
    <row r="12" spans="1:11" ht="15">
      <c r="A12" s="20">
        <v>328</v>
      </c>
      <c r="B12" s="511"/>
      <c r="C12" s="512"/>
      <c r="D12" s="512" t="s">
        <v>57</v>
      </c>
      <c r="E12" s="512"/>
      <c r="F12" s="223">
        <v>68.04</v>
      </c>
      <c r="G12" s="4">
        <v>1</v>
      </c>
      <c r="H12" s="143">
        <f>F12*G12</f>
        <v>68.04</v>
      </c>
      <c r="I12" s="38"/>
      <c r="J12" s="5">
        <f>H12+I12</f>
        <v>68.04</v>
      </c>
      <c r="K12" s="5">
        <v>67.8</v>
      </c>
    </row>
    <row r="13" spans="2:11" ht="15">
      <c r="B13" s="701"/>
      <c r="C13" s="701"/>
      <c r="D13" s="701"/>
      <c r="E13" s="701"/>
      <c r="F13" s="701"/>
      <c r="G13" s="701"/>
      <c r="H13" s="701"/>
      <c r="I13" s="701"/>
      <c r="J13" s="701"/>
      <c r="K13" s="191"/>
    </row>
    <row r="14" spans="2:11" ht="15">
      <c r="B14" s="755" t="s">
        <v>497</v>
      </c>
      <c r="C14" s="549"/>
      <c r="D14" s="549"/>
      <c r="E14" s="549"/>
      <c r="F14" s="549"/>
      <c r="G14" s="549"/>
      <c r="H14" s="756"/>
      <c r="I14" s="704">
        <f>SUM(J15:J17)</f>
        <v>696</v>
      </c>
      <c r="J14" s="705"/>
      <c r="K14" s="21">
        <f>SUM(K15:K17)</f>
        <v>58.17</v>
      </c>
    </row>
    <row r="15" spans="1:11" ht="15">
      <c r="A15">
        <v>329</v>
      </c>
      <c r="B15" s="508" t="s">
        <v>247</v>
      </c>
      <c r="C15" s="509"/>
      <c r="D15" s="509" t="s">
        <v>248</v>
      </c>
      <c r="E15" s="510"/>
      <c r="F15" s="95">
        <v>7</v>
      </c>
      <c r="G15" s="1">
        <v>18</v>
      </c>
      <c r="H15" s="2">
        <f>F15*G15</f>
        <v>126</v>
      </c>
      <c r="I15" s="2"/>
      <c r="J15" s="2">
        <f>H15+I15</f>
        <v>126</v>
      </c>
      <c r="K15" s="2">
        <v>0</v>
      </c>
    </row>
    <row r="16" spans="1:11" ht="15">
      <c r="A16">
        <v>330</v>
      </c>
      <c r="B16" s="527" t="s">
        <v>631</v>
      </c>
      <c r="C16" s="528"/>
      <c r="D16" s="528" t="s">
        <v>128</v>
      </c>
      <c r="E16" s="718"/>
      <c r="F16" s="96">
        <v>15</v>
      </c>
      <c r="G16" s="13">
        <v>8</v>
      </c>
      <c r="H16" s="10">
        <f>F16*G16</f>
        <v>120</v>
      </c>
      <c r="I16" s="10"/>
      <c r="J16" s="10">
        <f>H16+I16</f>
        <v>120</v>
      </c>
      <c r="K16" s="10">
        <v>58.17</v>
      </c>
    </row>
    <row r="17" spans="1:11" ht="15">
      <c r="A17">
        <v>331</v>
      </c>
      <c r="B17" s="511" t="s">
        <v>500</v>
      </c>
      <c r="C17" s="512"/>
      <c r="D17" s="512"/>
      <c r="E17" s="513"/>
      <c r="F17" s="97">
        <v>25</v>
      </c>
      <c r="G17" s="4">
        <v>18</v>
      </c>
      <c r="H17" s="5">
        <f>F17*G17</f>
        <v>450</v>
      </c>
      <c r="I17" s="5"/>
      <c r="J17" s="5">
        <f>H17+I17</f>
        <v>450</v>
      </c>
      <c r="K17" s="5"/>
    </row>
    <row r="18" spans="2:11" ht="15">
      <c r="B18" s="701"/>
      <c r="C18" s="701"/>
      <c r="D18" s="701"/>
      <c r="E18" s="701"/>
      <c r="F18" s="701"/>
      <c r="G18" s="701"/>
      <c r="H18" s="701"/>
      <c r="I18" s="701"/>
      <c r="J18" s="701"/>
      <c r="K18" s="191"/>
    </row>
    <row r="19" spans="2:11" ht="15">
      <c r="B19" s="489" t="s">
        <v>129</v>
      </c>
      <c r="C19" s="490"/>
      <c r="D19" s="490"/>
      <c r="E19" s="490"/>
      <c r="F19" s="490"/>
      <c r="G19" s="490"/>
      <c r="H19" s="756"/>
      <c r="I19" s="704">
        <f>SUM(J20:J23)</f>
        <v>1808</v>
      </c>
      <c r="J19" s="705"/>
      <c r="K19" s="21">
        <f>SUM(K20:K23)</f>
        <v>126.13</v>
      </c>
    </row>
    <row r="20" spans="1:11" ht="15">
      <c r="A20">
        <v>332</v>
      </c>
      <c r="B20" s="508" t="s">
        <v>249</v>
      </c>
      <c r="C20" s="509"/>
      <c r="D20" s="509" t="s">
        <v>208</v>
      </c>
      <c r="E20" s="510"/>
      <c r="F20" s="95">
        <v>500</v>
      </c>
      <c r="G20" s="1">
        <v>2</v>
      </c>
      <c r="H20" s="2">
        <f>F20*G20</f>
        <v>1000</v>
      </c>
      <c r="I20" s="3">
        <f>H20*0.13</f>
        <v>130</v>
      </c>
      <c r="J20" s="2">
        <f>H20+I20</f>
        <v>1130</v>
      </c>
      <c r="K20" s="2">
        <v>0</v>
      </c>
    </row>
    <row r="21" spans="1:11" ht="15">
      <c r="A21">
        <v>333</v>
      </c>
      <c r="B21" s="527" t="s">
        <v>250</v>
      </c>
      <c r="C21" s="528"/>
      <c r="D21" s="528" t="s">
        <v>197</v>
      </c>
      <c r="E21" s="718"/>
      <c r="F21" s="96">
        <v>40</v>
      </c>
      <c r="G21" s="13">
        <v>4</v>
      </c>
      <c r="H21" s="10">
        <f>F21*G21</f>
        <v>160</v>
      </c>
      <c r="I21" s="11">
        <f>H21*0.13</f>
        <v>20.8</v>
      </c>
      <c r="J21" s="10">
        <f>H21+I21</f>
        <v>180.8</v>
      </c>
      <c r="K21" s="10">
        <f>60.54+16.99</f>
        <v>77.53</v>
      </c>
    </row>
    <row r="22" spans="1:11" ht="15">
      <c r="A22">
        <v>334</v>
      </c>
      <c r="B22" s="527" t="s">
        <v>251</v>
      </c>
      <c r="C22" s="528"/>
      <c r="D22" s="528" t="s">
        <v>198</v>
      </c>
      <c r="E22" s="718"/>
      <c r="F22" s="96">
        <v>80</v>
      </c>
      <c r="G22" s="13">
        <v>2</v>
      </c>
      <c r="H22" s="10">
        <f>F22*G22</f>
        <v>160</v>
      </c>
      <c r="I22" s="11">
        <f>H22*0.13</f>
        <v>20.8</v>
      </c>
      <c r="J22" s="10">
        <f>H22+I22</f>
        <v>180.8</v>
      </c>
      <c r="K22" s="10">
        <v>48.6</v>
      </c>
    </row>
    <row r="23" spans="1:11" ht="15">
      <c r="A23">
        <v>335</v>
      </c>
      <c r="B23" s="527" t="s">
        <v>252</v>
      </c>
      <c r="C23" s="528"/>
      <c r="D23" s="528" t="s">
        <v>199</v>
      </c>
      <c r="E23" s="718"/>
      <c r="F23" s="96">
        <v>40</v>
      </c>
      <c r="G23" s="9">
        <v>7</v>
      </c>
      <c r="H23" s="5">
        <f>F23*G23</f>
        <v>280</v>
      </c>
      <c r="I23" s="6">
        <f>H23*0.13</f>
        <v>36.4</v>
      </c>
      <c r="J23" s="5">
        <f>H23+I23</f>
        <v>316.4</v>
      </c>
      <c r="K23" s="5">
        <v>0</v>
      </c>
    </row>
    <row r="24" spans="2:11" ht="15">
      <c r="B24" s="714"/>
      <c r="C24" s="714"/>
      <c r="D24" s="714"/>
      <c r="E24" s="714"/>
      <c r="F24" s="714"/>
      <c r="G24" s="714"/>
      <c r="H24" s="701"/>
      <c r="I24" s="701"/>
      <c r="J24" s="701"/>
      <c r="K24" s="191"/>
    </row>
    <row r="25" spans="2:11" ht="15">
      <c r="B25" s="702" t="s">
        <v>200</v>
      </c>
      <c r="C25" s="549"/>
      <c r="D25" s="549"/>
      <c r="E25" s="549"/>
      <c r="F25" s="549"/>
      <c r="G25" s="549"/>
      <c r="H25" s="756"/>
      <c r="I25" s="704">
        <f>SUM(J26:J27)</f>
        <v>169.5</v>
      </c>
      <c r="J25" s="705"/>
      <c r="K25" s="21">
        <f>SUM(K26:K27)</f>
        <v>33.31</v>
      </c>
    </row>
    <row r="26" spans="1:11" ht="15">
      <c r="A26">
        <v>336</v>
      </c>
      <c r="B26" s="809" t="s">
        <v>201</v>
      </c>
      <c r="C26" s="810"/>
      <c r="D26" s="509" t="s">
        <v>192</v>
      </c>
      <c r="E26" s="510"/>
      <c r="F26" s="274">
        <v>10</v>
      </c>
      <c r="G26" s="8">
        <v>10</v>
      </c>
      <c r="H26" s="2">
        <f>F26*G26</f>
        <v>100</v>
      </c>
      <c r="I26" s="3">
        <f>H26*0.13</f>
        <v>13</v>
      </c>
      <c r="J26" s="2">
        <f>H26+I26</f>
        <v>113</v>
      </c>
      <c r="K26" s="2">
        <v>33.31</v>
      </c>
    </row>
    <row r="27" spans="1:11" ht="15">
      <c r="A27">
        <v>337</v>
      </c>
      <c r="B27" s="511" t="s">
        <v>191</v>
      </c>
      <c r="C27" s="512"/>
      <c r="D27" s="512" t="s">
        <v>193</v>
      </c>
      <c r="E27" s="513"/>
      <c r="F27" s="97">
        <v>25</v>
      </c>
      <c r="G27" s="12">
        <v>2</v>
      </c>
      <c r="H27" s="5">
        <f>F27*G27</f>
        <v>50</v>
      </c>
      <c r="I27" s="6">
        <f>H27*0.13</f>
        <v>6.5</v>
      </c>
      <c r="J27" s="5">
        <f>H27+I27</f>
        <v>56.5</v>
      </c>
      <c r="K27" s="5">
        <v>0</v>
      </c>
    </row>
    <row r="28" spans="9:11" ht="15">
      <c r="I28" s="64"/>
      <c r="K28" s="191"/>
    </row>
    <row r="29" spans="2:11" ht="15">
      <c r="B29" s="464" t="s">
        <v>54</v>
      </c>
      <c r="C29" s="490"/>
      <c r="D29" s="490"/>
      <c r="E29" s="490"/>
      <c r="F29" s="490"/>
      <c r="G29" s="490"/>
      <c r="H29" s="491"/>
      <c r="I29" s="492">
        <f>SUM(J30:J30)</f>
        <v>113</v>
      </c>
      <c r="J29" s="493"/>
      <c r="K29" s="21">
        <f>SUM(K30)</f>
        <v>122.94</v>
      </c>
    </row>
    <row r="30" spans="1:11" ht="15">
      <c r="A30">
        <v>338</v>
      </c>
      <c r="B30" s="608" t="s">
        <v>524</v>
      </c>
      <c r="C30" s="524"/>
      <c r="D30" s="524"/>
      <c r="E30" s="626"/>
      <c r="F30" s="94">
        <v>100</v>
      </c>
      <c r="G30" s="23">
        <v>1</v>
      </c>
      <c r="H30" s="21">
        <f>F30*G30</f>
        <v>100</v>
      </c>
      <c r="I30" s="22">
        <f>H30*0.13</f>
        <v>13</v>
      </c>
      <c r="J30" s="21">
        <f>H30+I30</f>
        <v>113</v>
      </c>
      <c r="K30" s="21">
        <v>122.94</v>
      </c>
    </row>
    <row r="31" spans="3:11" ht="15">
      <c r="C31" s="33"/>
      <c r="F31" s="33"/>
      <c r="K31" s="191"/>
    </row>
    <row r="32" spans="2:11" ht="15">
      <c r="B32" s="489" t="s">
        <v>430</v>
      </c>
      <c r="C32" s="490"/>
      <c r="D32" s="490"/>
      <c r="E32" s="490"/>
      <c r="F32" s="490"/>
      <c r="G32" s="490"/>
      <c r="H32" s="756"/>
      <c r="I32" s="704">
        <f>SUM(J33:J35)</f>
        <v>0</v>
      </c>
      <c r="J32" s="705"/>
      <c r="K32" s="21">
        <f>SUM(K33:K35)</f>
        <v>177.47000000000003</v>
      </c>
    </row>
    <row r="33" spans="1:11" ht="15">
      <c r="A33">
        <v>332</v>
      </c>
      <c r="B33" s="613" t="s">
        <v>684</v>
      </c>
      <c r="C33" s="509"/>
      <c r="D33" s="807" t="s">
        <v>685</v>
      </c>
      <c r="E33" s="510"/>
      <c r="F33" s="95"/>
      <c r="G33" s="1"/>
      <c r="H33" s="2">
        <f>F33*G33</f>
        <v>0</v>
      </c>
      <c r="I33" s="3">
        <f>H33*0.13</f>
        <v>0</v>
      </c>
      <c r="J33" s="2">
        <f>H33+I33</f>
        <v>0</v>
      </c>
      <c r="K33" s="2">
        <v>16.17</v>
      </c>
    </row>
    <row r="34" spans="1:11" ht="15">
      <c r="A34">
        <v>333</v>
      </c>
      <c r="B34" s="808" t="s">
        <v>672</v>
      </c>
      <c r="C34" s="528"/>
      <c r="D34" s="528"/>
      <c r="E34" s="718"/>
      <c r="F34" s="96"/>
      <c r="G34" s="13"/>
      <c r="H34" s="10">
        <f>F34*G34</f>
        <v>0</v>
      </c>
      <c r="I34" s="11">
        <f>H34*0.13</f>
        <v>0</v>
      </c>
      <c r="J34" s="10">
        <f>H34+I34</f>
        <v>0</v>
      </c>
      <c r="K34" s="10">
        <v>150</v>
      </c>
    </row>
    <row r="35" spans="1:11" ht="15">
      <c r="A35">
        <v>334</v>
      </c>
      <c r="B35" s="697" t="s">
        <v>682</v>
      </c>
      <c r="C35" s="512"/>
      <c r="D35" s="512"/>
      <c r="E35" s="513"/>
      <c r="F35" s="97"/>
      <c r="G35" s="4"/>
      <c r="H35" s="5">
        <f>F35*G35</f>
        <v>0</v>
      </c>
      <c r="I35" s="6">
        <f>H35*0.13</f>
        <v>0</v>
      </c>
      <c r="J35" s="5">
        <f>H35+I35</f>
        <v>0</v>
      </c>
      <c r="K35" s="5">
        <v>11.3</v>
      </c>
    </row>
  </sheetData>
  <sheetProtection/>
  <mergeCells count="60">
    <mergeCell ref="B6:C6"/>
    <mergeCell ref="D6:E6"/>
    <mergeCell ref="B15:C15"/>
    <mergeCell ref="D15:E15"/>
    <mergeCell ref="B7:J7"/>
    <mergeCell ref="B8:H8"/>
    <mergeCell ref="I8:J8"/>
    <mergeCell ref="B12:C12"/>
    <mergeCell ref="D12:E12"/>
    <mergeCell ref="B13:J13"/>
    <mergeCell ref="B14:H14"/>
    <mergeCell ref="I14:J14"/>
    <mergeCell ref="B9:C9"/>
    <mergeCell ref="B10:C10"/>
    <mergeCell ref="D9:E9"/>
    <mergeCell ref="D10:E10"/>
    <mergeCell ref="B1:H2"/>
    <mergeCell ref="I1:J2"/>
    <mergeCell ref="I3:J3"/>
    <mergeCell ref="B5:E5"/>
    <mergeCell ref="F5:J5"/>
    <mergeCell ref="B3:H3"/>
    <mergeCell ref="B30:C30"/>
    <mergeCell ref="D30:E30"/>
    <mergeCell ref="B27:C27"/>
    <mergeCell ref="D27:E27"/>
    <mergeCell ref="B11:C11"/>
    <mergeCell ref="D11:E11"/>
    <mergeCell ref="B18:J18"/>
    <mergeCell ref="B19:H19"/>
    <mergeCell ref="I19:J19"/>
    <mergeCell ref="D17:E17"/>
    <mergeCell ref="B20:C20"/>
    <mergeCell ref="D20:E20"/>
    <mergeCell ref="B29:H29"/>
    <mergeCell ref="I29:J29"/>
    <mergeCell ref="K1:K2"/>
    <mergeCell ref="A1:A3"/>
    <mergeCell ref="B26:C26"/>
    <mergeCell ref="D26:E26"/>
    <mergeCell ref="B23:C23"/>
    <mergeCell ref="D23:E23"/>
    <mergeCell ref="B16:C16"/>
    <mergeCell ref="D16:E16"/>
    <mergeCell ref="B17:C17"/>
    <mergeCell ref="B24:J24"/>
    <mergeCell ref="B25:H25"/>
    <mergeCell ref="I25:J25"/>
    <mergeCell ref="B22:C22"/>
    <mergeCell ref="D22:E22"/>
    <mergeCell ref="B21:C21"/>
    <mergeCell ref="D21:E21"/>
    <mergeCell ref="B35:C35"/>
    <mergeCell ref="D35:E35"/>
    <mergeCell ref="B32:H32"/>
    <mergeCell ref="I32:J32"/>
    <mergeCell ref="B33:C33"/>
    <mergeCell ref="D33:E33"/>
    <mergeCell ref="B34:C34"/>
    <mergeCell ref="D34:E34"/>
  </mergeCells>
  <printOptions/>
  <pageMargins left="0.25" right="0.25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1" sqref="B1:H2"/>
    </sheetView>
  </sheetViews>
  <sheetFormatPr defaultColWidth="8.8515625" defaultRowHeight="15"/>
  <cols>
    <col min="1" max="1" width="4.7109375" style="117" customWidth="1"/>
    <col min="2" max="2" width="15.7109375" style="117" customWidth="1"/>
    <col min="3" max="4" width="17.421875" style="117" customWidth="1"/>
    <col min="5" max="5" width="16.7109375" style="117" customWidth="1"/>
    <col min="6" max="8" width="10.7109375" style="117" customWidth="1"/>
    <col min="9" max="9" width="9.7109375" style="117" customWidth="1"/>
    <col min="10" max="10" width="11.7109375" style="117" customWidth="1"/>
    <col min="11" max="11" width="12.7109375" style="117" bestFit="1" customWidth="1"/>
    <col min="12" max="12" width="15.7109375" style="117" customWidth="1"/>
    <col min="13" max="13" width="11.421875" style="117" customWidth="1"/>
    <col min="14" max="16384" width="8.8515625" style="117" customWidth="1"/>
  </cols>
  <sheetData>
    <row r="1" spans="1:11" ht="13.5" customHeight="1">
      <c r="A1" s="841"/>
      <c r="B1" s="842" t="s">
        <v>96</v>
      </c>
      <c r="C1" s="843"/>
      <c r="D1" s="843"/>
      <c r="E1" s="843"/>
      <c r="F1" s="843"/>
      <c r="G1" s="843"/>
      <c r="H1" s="843"/>
      <c r="I1" s="481">
        <f>SUM(I8,I22,I36,I43,I46,I51,I55)</f>
        <v>9121.8139</v>
      </c>
      <c r="J1" s="644"/>
      <c r="K1" s="547">
        <f>SUM(K8+K22+K36+K43+K46+K51+K55)</f>
        <v>9288.199999999999</v>
      </c>
    </row>
    <row r="2" spans="1:11" ht="13.5" customHeight="1">
      <c r="A2" s="841"/>
      <c r="B2" s="844"/>
      <c r="C2" s="845"/>
      <c r="D2" s="845"/>
      <c r="E2" s="845"/>
      <c r="F2" s="845"/>
      <c r="G2" s="845"/>
      <c r="H2" s="845"/>
      <c r="I2" s="635"/>
      <c r="J2" s="637"/>
      <c r="K2" s="548"/>
    </row>
    <row r="3" spans="1:13" ht="15">
      <c r="A3" s="841"/>
      <c r="B3" s="846"/>
      <c r="C3" s="847"/>
      <c r="D3" s="847"/>
      <c r="E3" s="847"/>
      <c r="F3" s="847"/>
      <c r="G3" s="847"/>
      <c r="H3" s="847"/>
      <c r="I3" s="485" t="s">
        <v>487</v>
      </c>
      <c r="J3" s="486"/>
      <c r="K3" s="313" t="s">
        <v>108</v>
      </c>
      <c r="L3" s="310" t="s">
        <v>445</v>
      </c>
      <c r="M3" s="311">
        <v>9201.91</v>
      </c>
    </row>
    <row r="4" spans="2:13" ht="15">
      <c r="B4" s="825"/>
      <c r="C4" s="825"/>
      <c r="D4" s="825"/>
      <c r="E4" s="825"/>
      <c r="F4" s="825"/>
      <c r="G4" s="825"/>
      <c r="H4" s="825"/>
      <c r="I4" s="825"/>
      <c r="J4" s="825"/>
      <c r="L4" s="310" t="s">
        <v>446</v>
      </c>
      <c r="M4" s="311">
        <v>8154.56</v>
      </c>
    </row>
    <row r="5" spans="2:10" ht="15">
      <c r="B5" s="839" t="s">
        <v>488</v>
      </c>
      <c r="C5" s="839"/>
      <c r="D5" s="839"/>
      <c r="E5" s="839"/>
      <c r="F5" s="840" t="s">
        <v>435</v>
      </c>
      <c r="G5" s="840"/>
      <c r="H5" s="840"/>
      <c r="I5" s="840"/>
      <c r="J5" s="840"/>
    </row>
    <row r="6" spans="2:11" ht="60">
      <c r="B6" s="474" t="s">
        <v>490</v>
      </c>
      <c r="C6" s="474"/>
      <c r="D6" s="474" t="s">
        <v>491</v>
      </c>
      <c r="E6" s="474"/>
      <c r="F6" s="118" t="s">
        <v>244</v>
      </c>
      <c r="G6" s="119" t="s">
        <v>397</v>
      </c>
      <c r="H6" s="118" t="s">
        <v>494</v>
      </c>
      <c r="I6" s="118" t="s">
        <v>398</v>
      </c>
      <c r="J6" s="118" t="s">
        <v>245</v>
      </c>
      <c r="K6" s="317" t="s">
        <v>110</v>
      </c>
    </row>
    <row r="7" spans="2:10" ht="15">
      <c r="B7" s="825"/>
      <c r="C7" s="825"/>
      <c r="D7" s="825"/>
      <c r="E7" s="825"/>
      <c r="F7" s="825"/>
      <c r="G7" s="825"/>
      <c r="H7" s="825"/>
      <c r="I7" s="825"/>
      <c r="J7" s="825"/>
    </row>
    <row r="8" spans="2:11" ht="15">
      <c r="B8" s="464" t="s">
        <v>394</v>
      </c>
      <c r="C8" s="465"/>
      <c r="D8" s="465"/>
      <c r="E8" s="465"/>
      <c r="F8" s="465"/>
      <c r="G8" s="465"/>
      <c r="H8" s="466"/>
      <c r="I8" s="467">
        <f>SUM(J9:J20)</f>
        <v>6322.5</v>
      </c>
      <c r="J8" s="817"/>
      <c r="K8" s="342">
        <f>SUM(K9:K20)</f>
        <v>7341.150000000001</v>
      </c>
    </row>
    <row r="9" spans="1:12" ht="15">
      <c r="A9" s="117">
        <v>340</v>
      </c>
      <c r="B9" s="818" t="s">
        <v>628</v>
      </c>
      <c r="C9" s="819"/>
      <c r="D9" s="819"/>
      <c r="E9" s="822"/>
      <c r="F9" s="275">
        <v>5000</v>
      </c>
      <c r="G9" s="120">
        <v>1</v>
      </c>
      <c r="H9" s="121">
        <f aca="true" t="shared" si="0" ref="H9:H20">F9*G9</f>
        <v>5000</v>
      </c>
      <c r="I9" s="122">
        <f>H9*0.13</f>
        <v>650</v>
      </c>
      <c r="J9" s="121">
        <f aca="true" t="shared" si="1" ref="J9:J20">H9+I9</f>
        <v>5650</v>
      </c>
      <c r="K9" s="342">
        <v>7812.71</v>
      </c>
      <c r="L9" s="399" t="s">
        <v>675</v>
      </c>
    </row>
    <row r="10" spans="1:11" ht="15">
      <c r="A10" s="117">
        <f>A9+1</f>
        <v>341</v>
      </c>
      <c r="B10" s="829" t="s">
        <v>393</v>
      </c>
      <c r="C10" s="830"/>
      <c r="D10" s="830"/>
      <c r="E10" s="831"/>
      <c r="F10" s="276">
        <v>1000</v>
      </c>
      <c r="G10" s="123">
        <v>1</v>
      </c>
      <c r="H10" s="124">
        <f t="shared" si="0"/>
        <v>1000</v>
      </c>
      <c r="I10" s="125"/>
      <c r="J10" s="124">
        <f t="shared" si="1"/>
        <v>1000</v>
      </c>
      <c r="K10" s="342"/>
    </row>
    <row r="11" spans="1:11" ht="15">
      <c r="A11" s="117">
        <f aca="true" t="shared" si="2" ref="A11:A20">A10+1</f>
        <v>342</v>
      </c>
      <c r="B11" s="829" t="s">
        <v>625</v>
      </c>
      <c r="C11" s="830"/>
      <c r="D11" s="830"/>
      <c r="E11" s="831"/>
      <c r="F11" s="276">
        <v>-25</v>
      </c>
      <c r="G11" s="123">
        <v>125</v>
      </c>
      <c r="H11" s="124">
        <f t="shared" si="0"/>
        <v>-3125</v>
      </c>
      <c r="I11" s="125"/>
      <c r="J11" s="124">
        <f t="shared" si="1"/>
        <v>-3125</v>
      </c>
      <c r="K11" s="342">
        <v>-670</v>
      </c>
    </row>
    <row r="12" spans="1:11" ht="15">
      <c r="A12" s="117">
        <f t="shared" si="2"/>
        <v>343</v>
      </c>
      <c r="B12" s="829" t="s">
        <v>392</v>
      </c>
      <c r="C12" s="830"/>
      <c r="D12" s="830" t="s">
        <v>391</v>
      </c>
      <c r="E12" s="831"/>
      <c r="F12" s="276">
        <v>35</v>
      </c>
      <c r="G12" s="123">
        <v>1</v>
      </c>
      <c r="H12" s="124">
        <f t="shared" si="0"/>
        <v>35</v>
      </c>
      <c r="I12" s="125"/>
      <c r="J12" s="124">
        <f t="shared" si="1"/>
        <v>35</v>
      </c>
      <c r="K12" s="342"/>
    </row>
    <row r="13" spans="1:11" ht="15">
      <c r="A13" s="117">
        <f t="shared" si="2"/>
        <v>344</v>
      </c>
      <c r="B13" s="829" t="s">
        <v>390</v>
      </c>
      <c r="C13" s="830"/>
      <c r="D13" s="830" t="s">
        <v>389</v>
      </c>
      <c r="E13" s="831"/>
      <c r="F13" s="276">
        <v>35</v>
      </c>
      <c r="G13" s="123">
        <v>50</v>
      </c>
      <c r="H13" s="124">
        <f t="shared" si="0"/>
        <v>1750</v>
      </c>
      <c r="I13" s="125">
        <f>H13*0.13</f>
        <v>227.5</v>
      </c>
      <c r="J13" s="124">
        <f t="shared" si="1"/>
        <v>1977.5</v>
      </c>
      <c r="K13" s="342">
        <v>0</v>
      </c>
    </row>
    <row r="14" spans="1:11" ht="15">
      <c r="A14" s="117">
        <f t="shared" si="2"/>
        <v>345</v>
      </c>
      <c r="B14" s="829" t="s">
        <v>240</v>
      </c>
      <c r="C14" s="830"/>
      <c r="D14" s="830" t="s">
        <v>239</v>
      </c>
      <c r="E14" s="831"/>
      <c r="F14" s="276">
        <v>300</v>
      </c>
      <c r="G14" s="123">
        <v>1</v>
      </c>
      <c r="H14" s="124">
        <f t="shared" si="0"/>
        <v>300</v>
      </c>
      <c r="I14" s="125"/>
      <c r="J14" s="124">
        <f t="shared" si="1"/>
        <v>300</v>
      </c>
      <c r="K14" s="342">
        <v>153.68</v>
      </c>
    </row>
    <row r="15" spans="1:11" s="99" customFormat="1" ht="15">
      <c r="A15" s="117">
        <f t="shared" si="2"/>
        <v>346</v>
      </c>
      <c r="B15" s="829" t="s">
        <v>238</v>
      </c>
      <c r="C15" s="830"/>
      <c r="D15" s="830"/>
      <c r="E15" s="831"/>
      <c r="F15" s="276">
        <v>25</v>
      </c>
      <c r="G15" s="123">
        <v>5</v>
      </c>
      <c r="H15" s="124">
        <f t="shared" si="0"/>
        <v>125</v>
      </c>
      <c r="I15" s="125"/>
      <c r="J15" s="126">
        <f t="shared" si="1"/>
        <v>125</v>
      </c>
      <c r="K15" s="342">
        <v>0</v>
      </c>
    </row>
    <row r="16" spans="1:11" s="99" customFormat="1" ht="15">
      <c r="A16" s="117">
        <f t="shared" si="2"/>
        <v>347</v>
      </c>
      <c r="B16" s="829" t="s">
        <v>237</v>
      </c>
      <c r="C16" s="830"/>
      <c r="D16" s="830"/>
      <c r="E16" s="831"/>
      <c r="F16" s="276">
        <v>25</v>
      </c>
      <c r="G16" s="123">
        <v>8</v>
      </c>
      <c r="H16" s="124">
        <f t="shared" si="0"/>
        <v>200</v>
      </c>
      <c r="I16" s="125"/>
      <c r="J16" s="126">
        <f t="shared" si="1"/>
        <v>200</v>
      </c>
      <c r="K16" s="342">
        <v>0</v>
      </c>
    </row>
    <row r="17" spans="1:11" s="99" customFormat="1" ht="15">
      <c r="A17" s="117">
        <f t="shared" si="2"/>
        <v>348</v>
      </c>
      <c r="B17" s="829" t="s">
        <v>236</v>
      </c>
      <c r="C17" s="830"/>
      <c r="D17" s="830"/>
      <c r="E17" s="831"/>
      <c r="F17" s="276">
        <v>25</v>
      </c>
      <c r="G17" s="123">
        <v>2</v>
      </c>
      <c r="H17" s="124">
        <f t="shared" si="0"/>
        <v>50</v>
      </c>
      <c r="I17" s="125"/>
      <c r="J17" s="126">
        <f t="shared" si="1"/>
        <v>50</v>
      </c>
      <c r="K17" s="342">
        <v>0</v>
      </c>
    </row>
    <row r="18" spans="1:11" ht="15">
      <c r="A18" s="117">
        <f t="shared" si="2"/>
        <v>349</v>
      </c>
      <c r="B18" s="829" t="s">
        <v>343</v>
      </c>
      <c r="C18" s="830"/>
      <c r="D18" s="830"/>
      <c r="E18" s="831"/>
      <c r="F18" s="276">
        <v>50</v>
      </c>
      <c r="G18" s="123">
        <v>1</v>
      </c>
      <c r="H18" s="124">
        <f t="shared" si="0"/>
        <v>50</v>
      </c>
      <c r="I18" s="125"/>
      <c r="J18" s="124">
        <f t="shared" si="1"/>
        <v>50</v>
      </c>
      <c r="K18" s="342">
        <v>0</v>
      </c>
    </row>
    <row r="19" spans="1:11" ht="15">
      <c r="A19" s="117">
        <f t="shared" si="2"/>
        <v>350</v>
      </c>
      <c r="B19" s="829" t="s">
        <v>235</v>
      </c>
      <c r="C19" s="830"/>
      <c r="D19" s="830"/>
      <c r="E19" s="831"/>
      <c r="F19" s="276">
        <v>30</v>
      </c>
      <c r="G19" s="123">
        <v>1</v>
      </c>
      <c r="H19" s="124">
        <f t="shared" si="0"/>
        <v>30</v>
      </c>
      <c r="I19" s="125"/>
      <c r="J19" s="124">
        <f t="shared" si="1"/>
        <v>30</v>
      </c>
      <c r="K19" s="342">
        <v>0</v>
      </c>
    </row>
    <row r="20" spans="1:11" ht="15">
      <c r="A20" s="117">
        <f t="shared" si="2"/>
        <v>351</v>
      </c>
      <c r="B20" s="820" t="s">
        <v>339</v>
      </c>
      <c r="C20" s="821"/>
      <c r="D20" s="821" t="s">
        <v>234</v>
      </c>
      <c r="E20" s="823"/>
      <c r="F20" s="277">
        <v>30</v>
      </c>
      <c r="G20" s="127">
        <v>1</v>
      </c>
      <c r="H20" s="111">
        <f t="shared" si="0"/>
        <v>30</v>
      </c>
      <c r="I20" s="128"/>
      <c r="J20" s="111">
        <f t="shared" si="1"/>
        <v>30</v>
      </c>
      <c r="K20" s="342">
        <v>44.76</v>
      </c>
    </row>
    <row r="21" spans="2:10" ht="15">
      <c r="B21" s="825"/>
      <c r="C21" s="825"/>
      <c r="D21" s="825"/>
      <c r="E21" s="825"/>
      <c r="F21" s="825"/>
      <c r="G21" s="825"/>
      <c r="H21" s="825"/>
      <c r="I21" s="825"/>
      <c r="J21" s="825"/>
    </row>
    <row r="22" spans="2:11" ht="15">
      <c r="B22" s="464" t="s">
        <v>138</v>
      </c>
      <c r="C22" s="465"/>
      <c r="D22" s="465"/>
      <c r="E22" s="465"/>
      <c r="F22" s="465"/>
      <c r="G22" s="465"/>
      <c r="H22" s="466"/>
      <c r="I22" s="467">
        <f>SUM(J24:J34)</f>
        <v>1114.7828</v>
      </c>
      <c r="J22" s="817"/>
      <c r="K22" s="342">
        <f>SUM(K24:K34)</f>
        <v>1143.94</v>
      </c>
    </row>
    <row r="23" spans="2:11" ht="15">
      <c r="B23" s="404"/>
      <c r="C23" s="409" t="s">
        <v>682</v>
      </c>
      <c r="D23" s="405"/>
      <c r="E23" s="405"/>
      <c r="F23" s="405"/>
      <c r="G23" s="405"/>
      <c r="H23" s="406"/>
      <c r="I23" s="407"/>
      <c r="J23" s="408"/>
      <c r="K23" s="342">
        <f>6.72+3.39</f>
        <v>10.11</v>
      </c>
    </row>
    <row r="24" spans="1:12" ht="15">
      <c r="A24" s="117">
        <v>352</v>
      </c>
      <c r="B24" s="820" t="s">
        <v>137</v>
      </c>
      <c r="C24" s="821"/>
      <c r="D24" s="821" t="s">
        <v>136</v>
      </c>
      <c r="E24" s="823"/>
      <c r="F24" s="277">
        <v>50</v>
      </c>
      <c r="G24" s="129">
        <v>12</v>
      </c>
      <c r="H24" s="111">
        <f aca="true" t="shared" si="3" ref="H24:H34">F24*G24</f>
        <v>600</v>
      </c>
      <c r="I24" s="128">
        <v>0</v>
      </c>
      <c r="J24" s="111">
        <f aca="true" t="shared" si="4" ref="J24:J34">H24+I24</f>
        <v>600</v>
      </c>
      <c r="K24" s="342">
        <v>600</v>
      </c>
      <c r="L24" s="117" t="s">
        <v>586</v>
      </c>
    </row>
    <row r="25" spans="1:12" ht="15">
      <c r="A25" s="117">
        <v>353</v>
      </c>
      <c r="B25" s="818" t="s">
        <v>135</v>
      </c>
      <c r="C25" s="819"/>
      <c r="D25" s="819" t="s">
        <v>631</v>
      </c>
      <c r="E25" s="822"/>
      <c r="F25" s="275">
        <v>9.99</v>
      </c>
      <c r="G25" s="130">
        <v>7</v>
      </c>
      <c r="H25" s="121">
        <f t="shared" si="3"/>
        <v>69.93</v>
      </c>
      <c r="I25" s="122">
        <f aca="true" t="shared" si="5" ref="I25:I34">H25*0.13</f>
        <v>9.090900000000001</v>
      </c>
      <c r="J25" s="121">
        <f t="shared" si="4"/>
        <v>79.02090000000001</v>
      </c>
      <c r="K25" s="342">
        <v>96.19</v>
      </c>
      <c r="L25" s="117" t="s">
        <v>19</v>
      </c>
    </row>
    <row r="26" spans="1:11" ht="15">
      <c r="A26" s="117">
        <v>354</v>
      </c>
      <c r="B26" s="834"/>
      <c r="C26" s="835"/>
      <c r="D26" s="821" t="s">
        <v>290</v>
      </c>
      <c r="E26" s="823"/>
      <c r="F26" s="277">
        <v>6.99</v>
      </c>
      <c r="G26" s="129">
        <v>3</v>
      </c>
      <c r="H26" s="111">
        <f t="shared" si="3"/>
        <v>20.97</v>
      </c>
      <c r="I26" s="128">
        <f t="shared" si="5"/>
        <v>2.7260999999999997</v>
      </c>
      <c r="J26" s="111">
        <f t="shared" si="4"/>
        <v>23.696099999999998</v>
      </c>
      <c r="K26" s="342"/>
    </row>
    <row r="27" spans="1:11" ht="15">
      <c r="A27" s="308">
        <v>355</v>
      </c>
      <c r="B27" s="834" t="s">
        <v>395</v>
      </c>
      <c r="C27" s="835"/>
      <c r="D27" s="821" t="s">
        <v>289</v>
      </c>
      <c r="E27" s="823"/>
      <c r="F27" s="277">
        <v>40</v>
      </c>
      <c r="G27" s="129">
        <v>1</v>
      </c>
      <c r="H27" s="111">
        <f t="shared" si="3"/>
        <v>40</v>
      </c>
      <c r="I27" s="128">
        <f t="shared" si="5"/>
        <v>5.2</v>
      </c>
      <c r="J27" s="111">
        <f t="shared" si="4"/>
        <v>45.2</v>
      </c>
      <c r="K27" s="342">
        <v>29.24</v>
      </c>
    </row>
    <row r="28" spans="1:11" ht="15">
      <c r="A28" s="308">
        <v>356</v>
      </c>
      <c r="B28" s="818" t="s">
        <v>610</v>
      </c>
      <c r="C28" s="819"/>
      <c r="D28" s="819" t="s">
        <v>525</v>
      </c>
      <c r="E28" s="822"/>
      <c r="F28" s="275">
        <v>9.99</v>
      </c>
      <c r="G28" s="130">
        <v>10</v>
      </c>
      <c r="H28" s="121">
        <f t="shared" si="3"/>
        <v>99.9</v>
      </c>
      <c r="I28" s="122">
        <f t="shared" si="5"/>
        <v>12.987000000000002</v>
      </c>
      <c r="J28" s="121">
        <f t="shared" si="4"/>
        <v>112.887</v>
      </c>
      <c r="K28" s="342">
        <v>159.31</v>
      </c>
    </row>
    <row r="29" spans="1:11" ht="15">
      <c r="A29" s="308">
        <v>357</v>
      </c>
      <c r="B29" s="834"/>
      <c r="C29" s="835"/>
      <c r="D29" s="821" t="s">
        <v>589</v>
      </c>
      <c r="E29" s="823"/>
      <c r="F29" s="277">
        <v>6.99</v>
      </c>
      <c r="G29" s="129">
        <v>4</v>
      </c>
      <c r="H29" s="111">
        <f t="shared" si="3"/>
        <v>27.96</v>
      </c>
      <c r="I29" s="128">
        <f t="shared" si="5"/>
        <v>3.6348000000000003</v>
      </c>
      <c r="J29" s="111">
        <f t="shared" si="4"/>
        <v>31.5948</v>
      </c>
      <c r="K29" s="342">
        <v>37.22</v>
      </c>
    </row>
    <row r="30" spans="1:11" ht="15">
      <c r="A30" s="308">
        <v>358</v>
      </c>
      <c r="B30" s="818" t="s">
        <v>166</v>
      </c>
      <c r="C30" s="819"/>
      <c r="D30" s="819" t="s">
        <v>631</v>
      </c>
      <c r="E30" s="822"/>
      <c r="F30" s="275">
        <v>9.99</v>
      </c>
      <c r="G30" s="130">
        <v>7</v>
      </c>
      <c r="H30" s="121">
        <f t="shared" si="3"/>
        <v>69.93</v>
      </c>
      <c r="I30" s="122">
        <f t="shared" si="5"/>
        <v>9.090900000000001</v>
      </c>
      <c r="J30" s="121">
        <f t="shared" si="4"/>
        <v>79.02090000000001</v>
      </c>
      <c r="K30" s="342">
        <v>61.48</v>
      </c>
    </row>
    <row r="31" spans="1:11" ht="15">
      <c r="A31" s="308">
        <v>359</v>
      </c>
      <c r="B31" s="837"/>
      <c r="C31" s="838"/>
      <c r="D31" s="830" t="s">
        <v>589</v>
      </c>
      <c r="E31" s="831"/>
      <c r="F31" s="276">
        <v>6.99</v>
      </c>
      <c r="G31" s="131">
        <v>3</v>
      </c>
      <c r="H31" s="124">
        <f t="shared" si="3"/>
        <v>20.97</v>
      </c>
      <c r="I31" s="125">
        <f t="shared" si="5"/>
        <v>2.7260999999999997</v>
      </c>
      <c r="J31" s="124">
        <f t="shared" si="4"/>
        <v>23.696099999999998</v>
      </c>
      <c r="K31" s="342">
        <v>20.31</v>
      </c>
    </row>
    <row r="32" spans="1:11" ht="15">
      <c r="A32" s="308">
        <v>360</v>
      </c>
      <c r="B32" s="834"/>
      <c r="C32" s="835"/>
      <c r="D32" s="821" t="s">
        <v>343</v>
      </c>
      <c r="E32" s="823"/>
      <c r="F32" s="277">
        <v>15</v>
      </c>
      <c r="G32" s="129">
        <v>1</v>
      </c>
      <c r="H32" s="111">
        <f t="shared" si="3"/>
        <v>15</v>
      </c>
      <c r="I32" s="128">
        <f t="shared" si="5"/>
        <v>1.9500000000000002</v>
      </c>
      <c r="J32" s="111">
        <f t="shared" si="4"/>
        <v>16.95</v>
      </c>
      <c r="K32" s="342">
        <v>3.38</v>
      </c>
    </row>
    <row r="33" spans="1:12" ht="15">
      <c r="A33" s="308">
        <v>361</v>
      </c>
      <c r="B33" s="818" t="s">
        <v>165</v>
      </c>
      <c r="C33" s="819"/>
      <c r="D33" s="819" t="s">
        <v>631</v>
      </c>
      <c r="E33" s="822"/>
      <c r="F33" s="275">
        <v>9.99</v>
      </c>
      <c r="G33" s="130">
        <v>7</v>
      </c>
      <c r="H33" s="121">
        <f t="shared" si="3"/>
        <v>69.93</v>
      </c>
      <c r="I33" s="122">
        <f t="shared" si="5"/>
        <v>9.090900000000001</v>
      </c>
      <c r="J33" s="121">
        <f t="shared" si="4"/>
        <v>79.02090000000001</v>
      </c>
      <c r="K33" s="342">
        <v>131.16</v>
      </c>
      <c r="L33" s="117" t="s">
        <v>20</v>
      </c>
    </row>
    <row r="34" spans="1:11" ht="15">
      <c r="A34" s="308">
        <v>362</v>
      </c>
      <c r="B34" s="834"/>
      <c r="C34" s="835"/>
      <c r="D34" s="821" t="s">
        <v>589</v>
      </c>
      <c r="E34" s="823"/>
      <c r="F34" s="277">
        <v>6.99</v>
      </c>
      <c r="G34" s="129">
        <v>3</v>
      </c>
      <c r="H34" s="111">
        <f t="shared" si="3"/>
        <v>20.97</v>
      </c>
      <c r="I34" s="128">
        <f t="shared" si="5"/>
        <v>2.7260999999999997</v>
      </c>
      <c r="J34" s="111">
        <f t="shared" si="4"/>
        <v>23.696099999999998</v>
      </c>
      <c r="K34" s="342">
        <v>5.65</v>
      </c>
    </row>
    <row r="35" spans="2:10" ht="15">
      <c r="B35" s="825"/>
      <c r="C35" s="825"/>
      <c r="D35" s="825"/>
      <c r="E35" s="825"/>
      <c r="F35" s="825"/>
      <c r="G35" s="825"/>
      <c r="H35" s="825"/>
      <c r="I35" s="825"/>
      <c r="J35" s="825"/>
    </row>
    <row r="36" spans="2:11" ht="15">
      <c r="B36" s="702" t="s">
        <v>48</v>
      </c>
      <c r="C36" s="462"/>
      <c r="D36" s="462"/>
      <c r="E36" s="462"/>
      <c r="F36" s="462"/>
      <c r="G36" s="462"/>
      <c r="H36" s="703"/>
      <c r="I36" s="836">
        <f>SUM(J37:J41)</f>
        <v>515.3276000000001</v>
      </c>
      <c r="J36" s="833"/>
      <c r="K36" s="313">
        <f>SUM(K37:K41)</f>
        <v>550.05</v>
      </c>
    </row>
    <row r="37" spans="1:14" ht="15">
      <c r="A37" s="308">
        <v>363</v>
      </c>
      <c r="B37" s="818" t="s">
        <v>548</v>
      </c>
      <c r="C37" s="819"/>
      <c r="D37" s="819" t="s">
        <v>547</v>
      </c>
      <c r="E37" s="819"/>
      <c r="F37" s="275">
        <v>26.55</v>
      </c>
      <c r="G37" s="120">
        <v>12</v>
      </c>
      <c r="H37" s="121">
        <f>F37*G37</f>
        <v>318.6</v>
      </c>
      <c r="I37" s="122">
        <f>H37*0.13</f>
        <v>41.418000000000006</v>
      </c>
      <c r="J37" s="121">
        <f>H37+I37</f>
        <v>360.01800000000003</v>
      </c>
      <c r="K37" s="314">
        <f>38.99+43.23+27.12+49.9+41.88</f>
        <v>201.12</v>
      </c>
      <c r="L37" s="117" t="s">
        <v>344</v>
      </c>
      <c r="N37" s="117">
        <f>80+50*(2+2+1+2+2)</f>
        <v>530</v>
      </c>
    </row>
    <row r="38" spans="1:11" ht="15">
      <c r="A38" s="308">
        <v>364</v>
      </c>
      <c r="B38" s="829" t="s">
        <v>546</v>
      </c>
      <c r="C38" s="830"/>
      <c r="D38" s="830" t="s">
        <v>545</v>
      </c>
      <c r="E38" s="830"/>
      <c r="F38" s="276">
        <v>65</v>
      </c>
      <c r="G38" s="123">
        <v>1</v>
      </c>
      <c r="H38" s="124">
        <f>F38*G38</f>
        <v>65</v>
      </c>
      <c r="I38" s="125"/>
      <c r="J38" s="124">
        <f>H38+I38</f>
        <v>65</v>
      </c>
      <c r="K38" s="398">
        <f>41.88+49.9</f>
        <v>91.78</v>
      </c>
    </row>
    <row r="39" spans="1:11" ht="15">
      <c r="A39" s="308">
        <v>365</v>
      </c>
      <c r="B39" s="829" t="s">
        <v>631</v>
      </c>
      <c r="C39" s="830"/>
      <c r="D39" s="830" t="s">
        <v>164</v>
      </c>
      <c r="E39" s="830"/>
      <c r="F39" s="276">
        <v>9.99</v>
      </c>
      <c r="G39" s="123">
        <v>8</v>
      </c>
      <c r="H39" s="124">
        <f>F39*G39</f>
        <v>79.92</v>
      </c>
      <c r="I39" s="125">
        <f>H39*0.13</f>
        <v>10.3896</v>
      </c>
      <c r="J39" s="124">
        <f>H39+I39</f>
        <v>90.3096</v>
      </c>
      <c r="K39" s="313">
        <f>101.32+155.83</f>
        <v>257.15</v>
      </c>
    </row>
    <row r="40" spans="1:12" ht="15">
      <c r="A40" s="308">
        <v>366</v>
      </c>
      <c r="B40" s="829" t="s">
        <v>163</v>
      </c>
      <c r="C40" s="830"/>
      <c r="D40" s="830"/>
      <c r="E40" s="830"/>
      <c r="F40" s="276">
        <v>0</v>
      </c>
      <c r="G40" s="123">
        <v>0</v>
      </c>
      <c r="H40" s="124">
        <f>F40*G40</f>
        <v>0</v>
      </c>
      <c r="I40" s="125">
        <f>H40*0.13</f>
        <v>0</v>
      </c>
      <c r="J40" s="124">
        <f>H40+I40</f>
        <v>0</v>
      </c>
      <c r="K40" s="313">
        <v>0</v>
      </c>
      <c r="L40" s="310" t="s">
        <v>242</v>
      </c>
    </row>
    <row r="41" spans="1:12" ht="15">
      <c r="A41" s="308">
        <v>367</v>
      </c>
      <c r="B41" s="829" t="s">
        <v>162</v>
      </c>
      <c r="C41" s="830"/>
      <c r="D41" s="830"/>
      <c r="E41" s="830"/>
      <c r="F41" s="276">
        <v>0</v>
      </c>
      <c r="G41" s="123">
        <v>0</v>
      </c>
      <c r="H41" s="124">
        <f>F41*G41</f>
        <v>0</v>
      </c>
      <c r="I41" s="125">
        <f>H41*0.13</f>
        <v>0</v>
      </c>
      <c r="J41" s="124">
        <f>H41+I41</f>
        <v>0</v>
      </c>
      <c r="K41" s="313">
        <v>0</v>
      </c>
      <c r="L41" s="310" t="s">
        <v>243</v>
      </c>
    </row>
    <row r="42" spans="1:10" ht="15">
      <c r="A42" s="308"/>
      <c r="B42" s="825"/>
      <c r="C42" s="825"/>
      <c r="D42" s="825"/>
      <c r="E42" s="825"/>
      <c r="F42" s="825"/>
      <c r="G42" s="825"/>
      <c r="H42" s="825"/>
      <c r="I42" s="825"/>
      <c r="J42" s="825"/>
    </row>
    <row r="43" spans="2:11" ht="15">
      <c r="B43" s="464" t="s">
        <v>161</v>
      </c>
      <c r="C43" s="465"/>
      <c r="D43" s="465"/>
      <c r="E43" s="465"/>
      <c r="F43" s="465"/>
      <c r="G43" s="465"/>
      <c r="H43" s="466"/>
      <c r="I43" s="832">
        <f>SUM(J44)</f>
        <v>141.25</v>
      </c>
      <c r="J43" s="833"/>
      <c r="K43" s="313">
        <f>K44</f>
        <v>145.91</v>
      </c>
    </row>
    <row r="44" spans="1:11" ht="15">
      <c r="A44" s="308">
        <v>368</v>
      </c>
      <c r="B44" s="826" t="s">
        <v>184</v>
      </c>
      <c r="C44" s="827"/>
      <c r="D44" s="827" t="s">
        <v>100</v>
      </c>
      <c r="E44" s="828"/>
      <c r="F44" s="278">
        <v>125</v>
      </c>
      <c r="G44" s="132">
        <v>1</v>
      </c>
      <c r="H44" s="133">
        <f>F44*G44</f>
        <v>125</v>
      </c>
      <c r="I44" s="134">
        <f>H44*0.13</f>
        <v>16.25</v>
      </c>
      <c r="J44" s="133">
        <f>H44+I44</f>
        <v>141.25</v>
      </c>
      <c r="K44" s="313">
        <v>145.91</v>
      </c>
    </row>
    <row r="45" spans="1:10" ht="15">
      <c r="A45" s="308"/>
      <c r="B45" s="825"/>
      <c r="C45" s="825"/>
      <c r="D45" s="825"/>
      <c r="E45" s="825"/>
      <c r="F45" s="825"/>
      <c r="G45" s="825"/>
      <c r="H45" s="825"/>
      <c r="I45" s="825"/>
      <c r="J45" s="825"/>
    </row>
    <row r="46" spans="2:11" ht="15">
      <c r="B46" s="464" t="s">
        <v>497</v>
      </c>
      <c r="C46" s="465"/>
      <c r="D46" s="465"/>
      <c r="E46" s="465"/>
      <c r="F46" s="465"/>
      <c r="G46" s="465"/>
      <c r="H46" s="466"/>
      <c r="I46" s="467">
        <f>SUM(J47:J49)</f>
        <v>353.0535</v>
      </c>
      <c r="J46" s="817"/>
      <c r="K46" s="313"/>
    </row>
    <row r="47" spans="1:11" ht="15">
      <c r="A47" s="117">
        <v>369</v>
      </c>
      <c r="B47" s="818" t="s">
        <v>631</v>
      </c>
      <c r="C47" s="819"/>
      <c r="D47" s="819" t="s">
        <v>73</v>
      </c>
      <c r="E47" s="822"/>
      <c r="F47" s="275">
        <v>9.99</v>
      </c>
      <c r="G47" s="135">
        <v>4</v>
      </c>
      <c r="H47" s="121">
        <f>F47*G47</f>
        <v>39.96</v>
      </c>
      <c r="I47" s="122">
        <f>H47*0.13</f>
        <v>5.1948</v>
      </c>
      <c r="J47" s="121">
        <f>H47+I47</f>
        <v>45.1548</v>
      </c>
      <c r="K47" s="313"/>
    </row>
    <row r="48" spans="1:11" ht="15">
      <c r="A48" s="117">
        <v>370</v>
      </c>
      <c r="B48" s="829" t="s">
        <v>589</v>
      </c>
      <c r="C48" s="830"/>
      <c r="D48" s="830" t="s">
        <v>72</v>
      </c>
      <c r="E48" s="831"/>
      <c r="F48" s="276">
        <v>6.99</v>
      </c>
      <c r="G48" s="136">
        <v>1</v>
      </c>
      <c r="H48" s="124">
        <f>F48*G48</f>
        <v>6.99</v>
      </c>
      <c r="I48" s="125">
        <f>H48*0.13</f>
        <v>0.9087000000000001</v>
      </c>
      <c r="J48" s="124">
        <f>H48+I48</f>
        <v>7.8987</v>
      </c>
      <c r="K48" s="313"/>
    </row>
    <row r="49" spans="1:11" ht="15">
      <c r="A49" s="308">
        <v>371</v>
      </c>
      <c r="B49" s="820" t="s">
        <v>500</v>
      </c>
      <c r="C49" s="821"/>
      <c r="D49" s="821" t="s">
        <v>71</v>
      </c>
      <c r="E49" s="823"/>
      <c r="F49" s="277">
        <v>25</v>
      </c>
      <c r="G49" s="137">
        <v>12</v>
      </c>
      <c r="H49" s="111">
        <f>F49*G49</f>
        <v>300</v>
      </c>
      <c r="I49" s="128">
        <v>0</v>
      </c>
      <c r="J49" s="111">
        <f>H49+I49</f>
        <v>300</v>
      </c>
      <c r="K49" s="342">
        <v>0</v>
      </c>
    </row>
    <row r="50" spans="2:10" ht="15">
      <c r="B50" s="825"/>
      <c r="C50" s="825"/>
      <c r="D50" s="825"/>
      <c r="E50" s="825"/>
      <c r="F50" s="825"/>
      <c r="G50" s="825"/>
      <c r="H50" s="825"/>
      <c r="I50" s="825"/>
      <c r="J50" s="825"/>
    </row>
    <row r="51" spans="2:11" ht="15">
      <c r="B51" s="702" t="s">
        <v>70</v>
      </c>
      <c r="C51" s="462"/>
      <c r="D51" s="462"/>
      <c r="E51" s="462"/>
      <c r="F51" s="465"/>
      <c r="G51" s="465"/>
      <c r="H51" s="466"/>
      <c r="I51" s="816">
        <f>SUM(J52:J53)</f>
        <v>187.1</v>
      </c>
      <c r="J51" s="817"/>
      <c r="K51" s="313">
        <f>SUM(K52:K53)</f>
        <v>107.14999999999999</v>
      </c>
    </row>
    <row r="52" spans="1:11" ht="15">
      <c r="A52" s="308">
        <v>372</v>
      </c>
      <c r="B52" s="818" t="s">
        <v>69</v>
      </c>
      <c r="C52" s="819"/>
      <c r="D52" s="819" t="s">
        <v>68</v>
      </c>
      <c r="E52" s="822"/>
      <c r="F52" s="279">
        <v>70</v>
      </c>
      <c r="G52" s="138">
        <v>1</v>
      </c>
      <c r="H52" s="139">
        <f>F52*G52</f>
        <v>70</v>
      </c>
      <c r="I52" s="122">
        <f>H52*0.13</f>
        <v>9.1</v>
      </c>
      <c r="J52" s="121">
        <f>H52+I52</f>
        <v>79.1</v>
      </c>
      <c r="K52" s="313">
        <f>11.1+96.05</f>
        <v>107.14999999999999</v>
      </c>
    </row>
    <row r="53" spans="1:11" ht="15">
      <c r="A53" s="308">
        <v>373</v>
      </c>
      <c r="B53" s="820" t="s">
        <v>352</v>
      </c>
      <c r="C53" s="821"/>
      <c r="D53" s="821" t="s">
        <v>132</v>
      </c>
      <c r="E53" s="823"/>
      <c r="F53" s="280">
        <v>9</v>
      </c>
      <c r="G53" s="137">
        <v>12</v>
      </c>
      <c r="H53" s="140">
        <f>F53*G53</f>
        <v>108</v>
      </c>
      <c r="I53" s="128">
        <v>0</v>
      </c>
      <c r="J53" s="111">
        <f>H53+I53</f>
        <v>108</v>
      </c>
      <c r="K53" s="313">
        <v>0</v>
      </c>
    </row>
    <row r="54" spans="2:10" ht="15">
      <c r="B54" s="824"/>
      <c r="C54" s="824"/>
      <c r="D54" s="824"/>
      <c r="E54" s="824"/>
      <c r="F54" s="825"/>
      <c r="G54" s="825"/>
      <c r="H54" s="825"/>
      <c r="I54" s="825"/>
      <c r="J54" s="825"/>
    </row>
    <row r="55" spans="2:11" ht="15">
      <c r="B55" s="702" t="s">
        <v>131</v>
      </c>
      <c r="C55" s="462"/>
      <c r="D55" s="462"/>
      <c r="E55" s="462"/>
      <c r="F55" s="462"/>
      <c r="G55" s="462"/>
      <c r="H55" s="466"/>
      <c r="I55" s="816">
        <f>SUM(J56:J57)</f>
        <v>487.8</v>
      </c>
      <c r="J55" s="817"/>
      <c r="K55" s="313"/>
    </row>
    <row r="56" spans="1:11" ht="15">
      <c r="A56" s="117">
        <v>374</v>
      </c>
      <c r="B56" s="818" t="s">
        <v>631</v>
      </c>
      <c r="C56" s="819"/>
      <c r="D56" s="819"/>
      <c r="E56" s="819"/>
      <c r="F56" s="275">
        <v>20</v>
      </c>
      <c r="G56" s="120">
        <v>3</v>
      </c>
      <c r="H56" s="121">
        <f>F56*G56</f>
        <v>60</v>
      </c>
      <c r="I56" s="122">
        <f>H56*0.13</f>
        <v>7.800000000000001</v>
      </c>
      <c r="J56" s="121">
        <f>H56+I56</f>
        <v>67.8</v>
      </c>
      <c r="K56" s="313">
        <v>89.76</v>
      </c>
    </row>
    <row r="57" spans="1:11" ht="15">
      <c r="A57" s="308">
        <v>375</v>
      </c>
      <c r="B57" s="820" t="s">
        <v>130</v>
      </c>
      <c r="C57" s="821"/>
      <c r="D57" s="821"/>
      <c r="E57" s="821"/>
      <c r="F57" s="277">
        <v>30</v>
      </c>
      <c r="G57" s="127">
        <v>14</v>
      </c>
      <c r="H57" s="111">
        <f>F57*G57</f>
        <v>420</v>
      </c>
      <c r="I57" s="128"/>
      <c r="J57" s="111">
        <f>H57+I57</f>
        <v>420</v>
      </c>
      <c r="K57" s="313"/>
    </row>
  </sheetData>
  <sheetProtection/>
  <mergeCells count="104">
    <mergeCell ref="K1:K2"/>
    <mergeCell ref="A1:A3"/>
    <mergeCell ref="B1:H2"/>
    <mergeCell ref="I1:J2"/>
    <mergeCell ref="B3:H3"/>
    <mergeCell ref="I3:J3"/>
    <mergeCell ref="B4:J4"/>
    <mergeCell ref="B9:C9"/>
    <mergeCell ref="D9:E9"/>
    <mergeCell ref="B10:C10"/>
    <mergeCell ref="D10:E10"/>
    <mergeCell ref="B11:C11"/>
    <mergeCell ref="D11:E11"/>
    <mergeCell ref="B5:E5"/>
    <mergeCell ref="F5:J5"/>
    <mergeCell ref="B6:C6"/>
    <mergeCell ref="D6:E6"/>
    <mergeCell ref="B7:J7"/>
    <mergeCell ref="B8:H8"/>
    <mergeCell ref="I8:J8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21:J21"/>
    <mergeCell ref="B22:H22"/>
    <mergeCell ref="I22:J22"/>
    <mergeCell ref="B24:C24"/>
    <mergeCell ref="D24:E24"/>
    <mergeCell ref="B25:C25"/>
    <mergeCell ref="D25:E25"/>
    <mergeCell ref="B18:C18"/>
    <mergeCell ref="D18:E18"/>
    <mergeCell ref="B19:C19"/>
    <mergeCell ref="D19:E19"/>
    <mergeCell ref="B20:C20"/>
    <mergeCell ref="D20:E20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35:J35"/>
    <mergeCell ref="B36:H36"/>
    <mergeCell ref="I36:J36"/>
    <mergeCell ref="B37:C37"/>
    <mergeCell ref="D37:E37"/>
    <mergeCell ref="B38:C38"/>
    <mergeCell ref="D38:E38"/>
    <mergeCell ref="B39:C39"/>
    <mergeCell ref="D39:E39"/>
    <mergeCell ref="B40:C40"/>
    <mergeCell ref="D40:E40"/>
    <mergeCell ref="B32:C32"/>
    <mergeCell ref="D32:E32"/>
    <mergeCell ref="B33:C33"/>
    <mergeCell ref="D33:E33"/>
    <mergeCell ref="B34:C34"/>
    <mergeCell ref="D34:E34"/>
    <mergeCell ref="B49:C49"/>
    <mergeCell ref="D49:E49"/>
    <mergeCell ref="B50:J50"/>
    <mergeCell ref="B51:H51"/>
    <mergeCell ref="I51:J51"/>
    <mergeCell ref="B41:C41"/>
    <mergeCell ref="D41:E41"/>
    <mergeCell ref="B42:J42"/>
    <mergeCell ref="B43:H43"/>
    <mergeCell ref="I43:J43"/>
    <mergeCell ref="B55:H55"/>
    <mergeCell ref="B44:C44"/>
    <mergeCell ref="D44:E44"/>
    <mergeCell ref="B45:J45"/>
    <mergeCell ref="B46:H46"/>
    <mergeCell ref="I46:J46"/>
    <mergeCell ref="B47:C47"/>
    <mergeCell ref="D47:E47"/>
    <mergeCell ref="B48:C48"/>
    <mergeCell ref="D48:E48"/>
    <mergeCell ref="I55:J55"/>
    <mergeCell ref="B56:C56"/>
    <mergeCell ref="D56:E56"/>
    <mergeCell ref="B57:C57"/>
    <mergeCell ref="D57:E57"/>
    <mergeCell ref="B52:C52"/>
    <mergeCell ref="D52:E52"/>
    <mergeCell ref="B53:C53"/>
    <mergeCell ref="D53:E53"/>
    <mergeCell ref="B54:J54"/>
  </mergeCells>
  <printOptions/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zoomScalePageLayoutView="0" workbookViewId="0" topLeftCell="A1">
      <selection activeCell="B3" sqref="B3:H3"/>
    </sheetView>
  </sheetViews>
  <sheetFormatPr defaultColWidth="8.8515625" defaultRowHeight="15"/>
  <cols>
    <col min="1" max="1" width="4.7109375" style="0" customWidth="1"/>
    <col min="2" max="2" width="15.7109375" style="0" customWidth="1"/>
    <col min="3" max="4" width="17.421875" style="0" customWidth="1"/>
    <col min="5" max="5" width="16.7109375" style="0" customWidth="1"/>
    <col min="6" max="7" width="10.421875" style="0" customWidth="1"/>
    <col min="8" max="8" width="11.00390625" style="0" bestFit="1" customWidth="1"/>
    <col min="9" max="9" width="9.7109375" style="0" customWidth="1"/>
    <col min="10" max="10" width="11.7109375" style="0" customWidth="1"/>
    <col min="11" max="11" width="11.00390625" style="0" customWidth="1"/>
    <col min="12" max="12" width="15.421875" style="0" customWidth="1"/>
    <col min="13" max="13" width="12.8515625" style="0" customWidth="1"/>
  </cols>
  <sheetData>
    <row r="1" spans="1:11" ht="15">
      <c r="A1" s="429"/>
      <c r="B1" s="560" t="s">
        <v>695</v>
      </c>
      <c r="C1" s="561"/>
      <c r="D1" s="561"/>
      <c r="E1" s="561"/>
      <c r="F1" s="561"/>
      <c r="G1" s="561"/>
      <c r="H1" s="561"/>
      <c r="I1" s="557">
        <f>SUM(I8,I21,I24)</f>
        <v>905.6</v>
      </c>
      <c r="J1" s="482"/>
      <c r="K1" s="547">
        <f>K8+K14+K21+K24</f>
        <v>271.12999999999994</v>
      </c>
    </row>
    <row r="2" spans="1:11" ht="15">
      <c r="A2" s="429"/>
      <c r="B2" s="562"/>
      <c r="C2" s="563"/>
      <c r="D2" s="563"/>
      <c r="E2" s="563"/>
      <c r="F2" s="563"/>
      <c r="G2" s="563"/>
      <c r="H2" s="563"/>
      <c r="I2" s="483"/>
      <c r="J2" s="484"/>
      <c r="K2" s="548"/>
    </row>
    <row r="3" spans="1:13" ht="15">
      <c r="A3" s="429"/>
      <c r="B3" s="475"/>
      <c r="C3" s="476"/>
      <c r="D3" s="476"/>
      <c r="E3" s="476"/>
      <c r="F3" s="476"/>
      <c r="G3" s="476"/>
      <c r="H3" s="476"/>
      <c r="I3" s="558" t="s">
        <v>487</v>
      </c>
      <c r="J3" s="559"/>
      <c r="K3" s="313" t="s">
        <v>108</v>
      </c>
      <c r="L3" s="310" t="s">
        <v>445</v>
      </c>
      <c r="M3" s="311">
        <v>775.39</v>
      </c>
    </row>
    <row r="4" spans="11:13" ht="15">
      <c r="K4" s="117"/>
      <c r="L4" s="310" t="s">
        <v>446</v>
      </c>
      <c r="M4" s="311">
        <v>398.08</v>
      </c>
    </row>
    <row r="5" spans="2:11" ht="15">
      <c r="B5" s="487" t="s">
        <v>488</v>
      </c>
      <c r="C5" s="487"/>
      <c r="D5" s="487"/>
      <c r="E5" s="487"/>
      <c r="F5" s="488" t="s">
        <v>435</v>
      </c>
      <c r="G5" s="488"/>
      <c r="H5" s="488"/>
      <c r="I5" s="488"/>
      <c r="J5" s="488"/>
      <c r="K5" s="117"/>
    </row>
    <row r="6" spans="2:11" ht="30">
      <c r="B6" s="553" t="s">
        <v>490</v>
      </c>
      <c r="C6" s="553"/>
      <c r="D6" s="553" t="s">
        <v>491</v>
      </c>
      <c r="E6" s="553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496</v>
      </c>
      <c r="K6" s="317" t="s">
        <v>110</v>
      </c>
    </row>
    <row r="7" spans="2:10" ht="15">
      <c r="B7" s="714"/>
      <c r="C7" s="714"/>
      <c r="D7" s="714"/>
      <c r="E7" s="714"/>
      <c r="F7" s="714"/>
      <c r="G7" s="714"/>
      <c r="H7" s="714"/>
      <c r="I7" s="714"/>
      <c r="J7" s="714"/>
    </row>
    <row r="8" spans="2:11" ht="15">
      <c r="B8" s="755" t="s">
        <v>321</v>
      </c>
      <c r="C8" s="549"/>
      <c r="D8" s="549"/>
      <c r="E8" s="549"/>
      <c r="F8" s="549"/>
      <c r="G8" s="549"/>
      <c r="H8" s="756"/>
      <c r="I8" s="704">
        <f>SUM(J9:J12)</f>
        <v>10</v>
      </c>
      <c r="J8" s="863"/>
      <c r="K8" s="312">
        <f>SUM(K9:K12)</f>
        <v>-153.96000000000004</v>
      </c>
    </row>
    <row r="9" spans="1:11" ht="15">
      <c r="A9">
        <v>376</v>
      </c>
      <c r="B9" s="868" t="s">
        <v>320</v>
      </c>
      <c r="C9" s="864"/>
      <c r="D9" s="864" t="s">
        <v>50</v>
      </c>
      <c r="E9" s="864"/>
      <c r="F9" s="281">
        <v>27</v>
      </c>
      <c r="G9" s="110">
        <v>30</v>
      </c>
      <c r="H9" s="2">
        <f>F9*G9</f>
        <v>810</v>
      </c>
      <c r="I9" s="98"/>
      <c r="J9" s="2">
        <f>H9+I9</f>
        <v>810</v>
      </c>
      <c r="K9" s="312">
        <v>376.82</v>
      </c>
    </row>
    <row r="10" spans="1:11" ht="15">
      <c r="A10">
        <v>377</v>
      </c>
      <c r="B10" s="869" t="s">
        <v>241</v>
      </c>
      <c r="C10" s="865"/>
      <c r="D10" s="865"/>
      <c r="E10" s="865"/>
      <c r="F10" s="282">
        <v>4000</v>
      </c>
      <c r="G10" s="7">
        <v>1</v>
      </c>
      <c r="H10" s="10">
        <f>F10*G10</f>
        <v>4000</v>
      </c>
      <c r="I10" s="115"/>
      <c r="J10" s="10">
        <f>H10+I10</f>
        <v>4000</v>
      </c>
      <c r="K10" s="312">
        <v>4500</v>
      </c>
    </row>
    <row r="11" spans="2:11" ht="15">
      <c r="B11" s="387"/>
      <c r="C11" s="388" t="s">
        <v>648</v>
      </c>
      <c r="D11" s="388"/>
      <c r="E11" s="388"/>
      <c r="F11" s="282"/>
      <c r="G11" s="7"/>
      <c r="H11" s="10"/>
      <c r="I11" s="115"/>
      <c r="J11" s="10"/>
      <c r="K11" s="312">
        <v>33.2</v>
      </c>
    </row>
    <row r="12" spans="1:11" ht="15">
      <c r="A12">
        <v>378</v>
      </c>
      <c r="B12" s="801" t="s">
        <v>526</v>
      </c>
      <c r="C12" s="447"/>
      <c r="D12" s="447" t="s">
        <v>542</v>
      </c>
      <c r="E12" s="447"/>
      <c r="F12" s="283">
        <v>-160</v>
      </c>
      <c r="G12" s="114">
        <v>30</v>
      </c>
      <c r="H12" s="5">
        <f>F12*G12</f>
        <v>-4800</v>
      </c>
      <c r="I12" s="116"/>
      <c r="J12" s="5">
        <f>H12+I12</f>
        <v>-4800</v>
      </c>
      <c r="K12" s="312">
        <f>-(4290+495+330+113.98)+165</f>
        <v>-5063.98</v>
      </c>
    </row>
    <row r="13" spans="2:10" ht="15">
      <c r="B13" s="714"/>
      <c r="C13" s="714"/>
      <c r="D13" s="714"/>
      <c r="E13" s="714"/>
      <c r="F13" s="701"/>
      <c r="G13" s="701"/>
      <c r="H13" s="701"/>
      <c r="I13" s="701"/>
      <c r="J13" s="701"/>
    </row>
    <row r="14" spans="2:11" ht="15">
      <c r="B14" s="884" t="s">
        <v>21</v>
      </c>
      <c r="C14" s="885"/>
      <c r="D14" s="885"/>
      <c r="E14" s="885"/>
      <c r="F14" s="885"/>
      <c r="G14" s="885"/>
      <c r="H14" s="886"/>
      <c r="I14" s="870">
        <f>SUM(J15:J19)</f>
        <v>744.55</v>
      </c>
      <c r="J14" s="871"/>
      <c r="K14" s="365">
        <f>SUM(K15:K19)</f>
        <v>88.59</v>
      </c>
    </row>
    <row r="15" spans="1:11" ht="15">
      <c r="A15">
        <v>379</v>
      </c>
      <c r="B15" s="876" t="s">
        <v>541</v>
      </c>
      <c r="C15" s="872"/>
      <c r="D15" s="872"/>
      <c r="E15" s="873"/>
      <c r="F15" s="366">
        <v>3.5</v>
      </c>
      <c r="G15" s="367">
        <v>10</v>
      </c>
      <c r="H15" s="368">
        <f>F15*G15</f>
        <v>35</v>
      </c>
      <c r="I15" s="369">
        <f>H15*0.13</f>
        <v>4.55</v>
      </c>
      <c r="J15" s="368">
        <f>H15+I15</f>
        <v>39.55</v>
      </c>
      <c r="K15" s="365"/>
    </row>
    <row r="16" spans="1:11" ht="15">
      <c r="A16">
        <v>380</v>
      </c>
      <c r="B16" s="877" t="s">
        <v>450</v>
      </c>
      <c r="C16" s="866"/>
      <c r="D16" s="866" t="s">
        <v>155</v>
      </c>
      <c r="E16" s="867"/>
      <c r="F16" s="370">
        <v>400</v>
      </c>
      <c r="G16" s="371">
        <v>1</v>
      </c>
      <c r="H16" s="372">
        <f>F16*G16</f>
        <v>400</v>
      </c>
      <c r="I16" s="369"/>
      <c r="J16" s="372">
        <f>H16+I16</f>
        <v>400</v>
      </c>
      <c r="K16" s="365"/>
    </row>
    <row r="17" spans="1:11" ht="15">
      <c r="A17">
        <v>381</v>
      </c>
      <c r="B17" s="877" t="s">
        <v>194</v>
      </c>
      <c r="C17" s="879"/>
      <c r="D17" s="866" t="s">
        <v>156</v>
      </c>
      <c r="E17" s="867"/>
      <c r="F17" s="370">
        <v>95</v>
      </c>
      <c r="G17" s="371">
        <v>1</v>
      </c>
      <c r="H17" s="372">
        <f>F17*G17</f>
        <v>95</v>
      </c>
      <c r="I17" s="369"/>
      <c r="J17" s="372">
        <f>H17+I17</f>
        <v>95</v>
      </c>
      <c r="K17" s="365">
        <v>88.59</v>
      </c>
    </row>
    <row r="18" spans="1:11" ht="15">
      <c r="A18" s="20">
        <v>382</v>
      </c>
      <c r="B18" s="877" t="s">
        <v>540</v>
      </c>
      <c r="C18" s="866"/>
      <c r="D18" s="866" t="s">
        <v>539</v>
      </c>
      <c r="E18" s="867"/>
      <c r="F18" s="370">
        <v>10</v>
      </c>
      <c r="G18" s="371">
        <v>6</v>
      </c>
      <c r="H18" s="372">
        <f>F18*G18</f>
        <v>60</v>
      </c>
      <c r="I18" s="369"/>
      <c r="J18" s="372">
        <f>H18+I18</f>
        <v>60</v>
      </c>
      <c r="K18" s="365"/>
    </row>
    <row r="19" spans="1:11" ht="15">
      <c r="A19" s="20">
        <v>383</v>
      </c>
      <c r="B19" s="878" t="s">
        <v>538</v>
      </c>
      <c r="C19" s="874"/>
      <c r="D19" s="874" t="s">
        <v>537</v>
      </c>
      <c r="E19" s="875"/>
      <c r="F19" s="373">
        <v>25</v>
      </c>
      <c r="G19" s="374">
        <v>6</v>
      </c>
      <c r="H19" s="375">
        <f>F19*G19</f>
        <v>150</v>
      </c>
      <c r="I19" s="376"/>
      <c r="J19" s="375">
        <f>H19+I19</f>
        <v>150</v>
      </c>
      <c r="K19" s="365"/>
    </row>
    <row r="20" spans="2:10" ht="15">
      <c r="B20" s="714"/>
      <c r="C20" s="714"/>
      <c r="D20" s="714"/>
      <c r="E20" s="714"/>
      <c r="F20" s="701"/>
      <c r="G20" s="701"/>
      <c r="H20" s="701"/>
      <c r="I20" s="701"/>
      <c r="J20" s="701"/>
    </row>
    <row r="21" spans="2:11" ht="15">
      <c r="B21" s="489" t="s">
        <v>396</v>
      </c>
      <c r="C21" s="490"/>
      <c r="D21" s="490"/>
      <c r="E21" s="490"/>
      <c r="F21" s="490"/>
      <c r="G21" s="490"/>
      <c r="H21" s="491"/>
      <c r="I21" s="492">
        <f>SUM(J22:J22)</f>
        <v>135.6</v>
      </c>
      <c r="J21" s="799"/>
      <c r="K21" s="312">
        <f>SUM(K22)</f>
        <v>87.46</v>
      </c>
    </row>
    <row r="22" spans="1:11" ht="15">
      <c r="A22">
        <v>384</v>
      </c>
      <c r="B22" s="883" t="s">
        <v>514</v>
      </c>
      <c r="C22" s="881"/>
      <c r="D22" s="881" t="s">
        <v>157</v>
      </c>
      <c r="E22" s="882"/>
      <c r="F22" s="284">
        <v>12</v>
      </c>
      <c r="G22" s="66">
        <v>10</v>
      </c>
      <c r="H22" s="21">
        <f>F22*G22</f>
        <v>120</v>
      </c>
      <c r="I22" s="67">
        <f>H22*0.13</f>
        <v>15.600000000000001</v>
      </c>
      <c r="J22" s="21">
        <f>H22+I22</f>
        <v>135.6</v>
      </c>
      <c r="K22" s="312">
        <f>87.46</f>
        <v>87.46</v>
      </c>
    </row>
    <row r="24" spans="2:11" ht="15">
      <c r="B24" s="855" t="s">
        <v>21</v>
      </c>
      <c r="C24" s="856"/>
      <c r="D24" s="856"/>
      <c r="E24" s="856"/>
      <c r="F24" s="856"/>
      <c r="G24" s="856"/>
      <c r="H24" s="857"/>
      <c r="I24" s="858">
        <f>SUM(J25:J30)</f>
        <v>760</v>
      </c>
      <c r="J24" s="859"/>
      <c r="K24" s="353">
        <f>SUM(K25:K31)</f>
        <v>249.03999999999996</v>
      </c>
    </row>
    <row r="25" spans="2:11" ht="15">
      <c r="B25" s="860" t="s">
        <v>49</v>
      </c>
      <c r="C25" s="861"/>
      <c r="D25" s="861"/>
      <c r="E25" s="862"/>
      <c r="F25" s="354">
        <v>50</v>
      </c>
      <c r="G25" s="355">
        <v>3</v>
      </c>
      <c r="H25" s="356">
        <f>F25*G25</f>
        <v>150</v>
      </c>
      <c r="I25" s="357"/>
      <c r="J25" s="356">
        <f>H25+I25</f>
        <v>150</v>
      </c>
      <c r="K25" s="353">
        <v>75</v>
      </c>
    </row>
    <row r="26" spans="2:11" ht="15">
      <c r="B26" s="848" t="s">
        <v>51</v>
      </c>
      <c r="C26" s="850"/>
      <c r="D26" s="850" t="s">
        <v>52</v>
      </c>
      <c r="E26" s="851"/>
      <c r="F26" s="358">
        <v>350</v>
      </c>
      <c r="G26" s="359">
        <v>1</v>
      </c>
      <c r="H26" s="360">
        <f>F26*G26</f>
        <v>350</v>
      </c>
      <c r="I26" s="357"/>
      <c r="J26" s="360">
        <f>H26+I26</f>
        <v>350</v>
      </c>
      <c r="K26" s="353">
        <f>129.2+127.14+13.16+27.8+51.04</f>
        <v>348.34000000000003</v>
      </c>
    </row>
    <row r="27" spans="2:11" ht="15">
      <c r="B27" s="848" t="s">
        <v>53</v>
      </c>
      <c r="C27" s="849"/>
      <c r="D27" s="850"/>
      <c r="E27" s="851"/>
      <c r="F27" s="358">
        <v>50</v>
      </c>
      <c r="G27" s="359">
        <v>1</v>
      </c>
      <c r="H27" s="360">
        <f>F27*G27</f>
        <v>50</v>
      </c>
      <c r="I27" s="357"/>
      <c r="J27" s="360">
        <f>H27+I27</f>
        <v>50</v>
      </c>
      <c r="K27" s="353">
        <f>9.89+27.81</f>
        <v>37.7</v>
      </c>
    </row>
    <row r="28" spans="2:11" ht="15">
      <c r="B28" s="848" t="s">
        <v>540</v>
      </c>
      <c r="C28" s="850"/>
      <c r="D28" s="850" t="s">
        <v>539</v>
      </c>
      <c r="E28" s="851"/>
      <c r="F28" s="358">
        <v>10</v>
      </c>
      <c r="G28" s="359">
        <v>6</v>
      </c>
      <c r="H28" s="360">
        <f>F28*G28</f>
        <v>60</v>
      </c>
      <c r="I28" s="357"/>
      <c r="J28" s="360">
        <f>H28+I28</f>
        <v>60</v>
      </c>
      <c r="K28" s="353">
        <v>113</v>
      </c>
    </row>
    <row r="29" spans="2:11" ht="15">
      <c r="B29" s="389"/>
      <c r="C29" s="390" t="s">
        <v>649</v>
      </c>
      <c r="D29" s="390"/>
      <c r="E29" s="391" t="s">
        <v>650</v>
      </c>
      <c r="F29" s="358"/>
      <c r="G29" s="359"/>
      <c r="H29" s="360"/>
      <c r="I29" s="357"/>
      <c r="J29" s="360"/>
      <c r="K29" s="353">
        <v>75</v>
      </c>
    </row>
    <row r="30" spans="2:11" ht="15">
      <c r="B30" s="852" t="s">
        <v>538</v>
      </c>
      <c r="C30" s="853"/>
      <c r="D30" s="853" t="s">
        <v>537</v>
      </c>
      <c r="E30" s="854"/>
      <c r="F30" s="361">
        <v>25</v>
      </c>
      <c r="G30" s="362">
        <v>6</v>
      </c>
      <c r="H30" s="363">
        <f>F30*G30</f>
        <v>150</v>
      </c>
      <c r="I30" s="364"/>
      <c r="J30" s="363">
        <f>H30+I30</f>
        <v>150</v>
      </c>
      <c r="K30" s="353"/>
    </row>
    <row r="31" spans="2:11" ht="15">
      <c r="B31" s="880" t="s">
        <v>651</v>
      </c>
      <c r="C31" s="853"/>
      <c r="D31" s="853"/>
      <c r="E31" s="854"/>
      <c r="F31" s="361"/>
      <c r="G31" s="362"/>
      <c r="H31" s="363"/>
      <c r="I31" s="364"/>
      <c r="J31" s="363"/>
      <c r="K31" s="353">
        <v>-400</v>
      </c>
    </row>
  </sheetData>
  <sheetProtection/>
  <mergeCells count="51">
    <mergeCell ref="B31:C31"/>
    <mergeCell ref="D31:E31"/>
    <mergeCell ref="K1:K2"/>
    <mergeCell ref="B21:H21"/>
    <mergeCell ref="I21:J21"/>
    <mergeCell ref="D22:E22"/>
    <mergeCell ref="B22:C22"/>
    <mergeCell ref="B20:J20"/>
    <mergeCell ref="B13:J13"/>
    <mergeCell ref="B14:H14"/>
    <mergeCell ref="I14:J14"/>
    <mergeCell ref="D15:E15"/>
    <mergeCell ref="D16:E16"/>
    <mergeCell ref="D18:E18"/>
    <mergeCell ref="D19:E19"/>
    <mergeCell ref="B15:C15"/>
    <mergeCell ref="B16:C16"/>
    <mergeCell ref="B18:C18"/>
    <mergeCell ref="B19:C19"/>
    <mergeCell ref="B17:C17"/>
    <mergeCell ref="D17:E17"/>
    <mergeCell ref="D12:E12"/>
    <mergeCell ref="B9:C9"/>
    <mergeCell ref="B10:C10"/>
    <mergeCell ref="B12:C12"/>
    <mergeCell ref="B8:H8"/>
    <mergeCell ref="I8:J8"/>
    <mergeCell ref="D9:E9"/>
    <mergeCell ref="D10:E10"/>
    <mergeCell ref="B6:C6"/>
    <mergeCell ref="D6:E6"/>
    <mergeCell ref="B7:J7"/>
    <mergeCell ref="A1:A3"/>
    <mergeCell ref="B1:H2"/>
    <mergeCell ref="I1:J2"/>
    <mergeCell ref="I3:J3"/>
    <mergeCell ref="B5:E5"/>
    <mergeCell ref="F5:J5"/>
    <mergeCell ref="B3:H3"/>
    <mergeCell ref="B24:H24"/>
    <mergeCell ref="I24:J24"/>
    <mergeCell ref="B25:C25"/>
    <mergeCell ref="D25:E25"/>
    <mergeCell ref="B26:C26"/>
    <mergeCell ref="D26:E26"/>
    <mergeCell ref="B27:C27"/>
    <mergeCell ref="D27:E27"/>
    <mergeCell ref="B28:C28"/>
    <mergeCell ref="D28:E28"/>
    <mergeCell ref="B30:C30"/>
    <mergeCell ref="D30:E30"/>
  </mergeCells>
  <printOptions/>
  <pageMargins left="0.25" right="0.25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="125" zoomScaleNormal="125" zoomScalePageLayoutView="0" workbookViewId="0" topLeftCell="A1">
      <selection activeCell="B3" sqref="B3:H3"/>
    </sheetView>
  </sheetViews>
  <sheetFormatPr defaultColWidth="8.8515625" defaultRowHeight="15"/>
  <cols>
    <col min="1" max="1" width="4.7109375" style="0" customWidth="1"/>
    <col min="2" max="2" width="15.421875" style="0" customWidth="1"/>
    <col min="3" max="4" width="17.28125" style="0" customWidth="1"/>
    <col min="5" max="5" width="16.7109375" style="0" customWidth="1"/>
    <col min="6" max="8" width="10.421875" style="0" customWidth="1"/>
    <col min="9" max="9" width="9.7109375" style="0" customWidth="1"/>
    <col min="10" max="10" width="11.7109375" style="0" customWidth="1"/>
    <col min="11" max="11" width="12.7109375" style="0" bestFit="1" customWidth="1"/>
    <col min="12" max="12" width="16.140625" style="0" customWidth="1"/>
    <col min="13" max="13" width="11.00390625" style="0" customWidth="1"/>
  </cols>
  <sheetData>
    <row r="1" spans="1:11" ht="15">
      <c r="A1" s="429"/>
      <c r="B1" s="560" t="s">
        <v>696</v>
      </c>
      <c r="C1" s="561"/>
      <c r="D1" s="561"/>
      <c r="E1" s="561"/>
      <c r="F1" s="561"/>
      <c r="G1" s="561"/>
      <c r="H1" s="561"/>
      <c r="I1" s="557">
        <f>SUM(I8,I13,I18,I22,,I27,I34)</f>
        <v>2879.0188</v>
      </c>
      <c r="J1" s="482"/>
      <c r="K1" s="547">
        <f>SUM(K8+K13+K18+K22+K27+K34)</f>
        <v>1989.1599999999999</v>
      </c>
    </row>
    <row r="2" spans="1:11" ht="15">
      <c r="A2" s="429"/>
      <c r="B2" s="562"/>
      <c r="C2" s="563"/>
      <c r="D2" s="563"/>
      <c r="E2" s="563"/>
      <c r="F2" s="563"/>
      <c r="G2" s="563"/>
      <c r="H2" s="563"/>
      <c r="I2" s="483"/>
      <c r="J2" s="484"/>
      <c r="K2" s="548"/>
    </row>
    <row r="3" spans="1:13" ht="15">
      <c r="A3" s="429"/>
      <c r="B3" s="475"/>
      <c r="C3" s="476"/>
      <c r="D3" s="476"/>
      <c r="E3" s="476"/>
      <c r="F3" s="476"/>
      <c r="G3" s="476"/>
      <c r="H3" s="476"/>
      <c r="I3" s="558" t="s">
        <v>487</v>
      </c>
      <c r="J3" s="559"/>
      <c r="K3" s="313" t="s">
        <v>108</v>
      </c>
      <c r="L3" s="310" t="s">
        <v>445</v>
      </c>
      <c r="M3" s="311">
        <v>2639.23</v>
      </c>
    </row>
    <row r="4" spans="2:13" ht="15">
      <c r="B4" s="800"/>
      <c r="C4" s="800"/>
      <c r="D4" s="800"/>
      <c r="E4" s="800"/>
      <c r="F4" s="800"/>
      <c r="G4" s="800"/>
      <c r="H4" s="800"/>
      <c r="I4" s="800"/>
      <c r="J4" s="800"/>
      <c r="K4" s="117"/>
      <c r="L4" s="310" t="s">
        <v>446</v>
      </c>
      <c r="M4" s="311">
        <v>1367.9</v>
      </c>
    </row>
    <row r="5" spans="2:11" ht="15">
      <c r="B5" s="487" t="s">
        <v>488</v>
      </c>
      <c r="C5" s="487"/>
      <c r="D5" s="487"/>
      <c r="E5" s="487"/>
      <c r="F5" s="488" t="s">
        <v>435</v>
      </c>
      <c r="G5" s="488"/>
      <c r="H5" s="488"/>
      <c r="I5" s="488"/>
      <c r="J5" s="488"/>
      <c r="K5" s="117"/>
    </row>
    <row r="6" spans="2:11" ht="30">
      <c r="B6" s="553" t="s">
        <v>490</v>
      </c>
      <c r="C6" s="553"/>
      <c r="D6" s="553" t="s">
        <v>491</v>
      </c>
      <c r="E6" s="553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148</v>
      </c>
      <c r="K6" s="317" t="s">
        <v>110</v>
      </c>
    </row>
    <row r="7" spans="2:10" ht="15">
      <c r="B7" s="714"/>
      <c r="C7" s="714"/>
      <c r="D7" s="714"/>
      <c r="E7" s="714"/>
      <c r="F7" s="714"/>
      <c r="G7" s="714"/>
      <c r="H7" s="714"/>
      <c r="I7" s="714"/>
      <c r="J7" s="714"/>
    </row>
    <row r="8" spans="2:11" ht="15">
      <c r="B8" s="489" t="s">
        <v>322</v>
      </c>
      <c r="C8" s="490"/>
      <c r="D8" s="490"/>
      <c r="E8" s="490"/>
      <c r="F8" s="490"/>
      <c r="G8" s="490"/>
      <c r="H8" s="491"/>
      <c r="I8" s="704">
        <f>SUM(J9:J11)</f>
        <v>796.1415</v>
      </c>
      <c r="J8" s="799"/>
      <c r="K8" s="341">
        <f>SUM(K9:K11)</f>
        <v>576.5899999999999</v>
      </c>
    </row>
    <row r="9" spans="1:11" ht="15">
      <c r="A9">
        <v>385</v>
      </c>
      <c r="B9" s="802" t="s">
        <v>323</v>
      </c>
      <c r="C9" s="457"/>
      <c r="D9" s="457" t="s">
        <v>324</v>
      </c>
      <c r="E9" s="469"/>
      <c r="F9" s="75">
        <v>165.9</v>
      </c>
      <c r="G9" s="26">
        <v>2</v>
      </c>
      <c r="H9" s="75">
        <f>F9*G9</f>
        <v>331.8</v>
      </c>
      <c r="I9" s="15">
        <f>H9*0.13</f>
        <v>43.134</v>
      </c>
      <c r="J9" s="59">
        <f>H9+I9</f>
        <v>374.934</v>
      </c>
      <c r="K9" s="341">
        <f>130.52</f>
        <v>130.52</v>
      </c>
    </row>
    <row r="10" spans="1:11" ht="15">
      <c r="A10">
        <v>386</v>
      </c>
      <c r="B10" s="890" t="s">
        <v>158</v>
      </c>
      <c r="C10" s="625"/>
      <c r="D10" s="460" t="s">
        <v>159</v>
      </c>
      <c r="E10" s="461"/>
      <c r="F10" s="76">
        <v>1.05</v>
      </c>
      <c r="G10" s="29">
        <v>30</v>
      </c>
      <c r="H10" s="76">
        <f>F10*G10</f>
        <v>31.5</v>
      </c>
      <c r="I10" s="17">
        <f>H10*0.13</f>
        <v>4.095</v>
      </c>
      <c r="J10" s="46">
        <f>I10+H10</f>
        <v>35.595</v>
      </c>
      <c r="K10" s="341">
        <v>24.86</v>
      </c>
    </row>
    <row r="11" spans="1:11" ht="15">
      <c r="A11">
        <v>387</v>
      </c>
      <c r="B11" s="801" t="s">
        <v>139</v>
      </c>
      <c r="C11" s="447"/>
      <c r="D11" s="447" t="s">
        <v>140</v>
      </c>
      <c r="E11" s="463"/>
      <c r="F11" s="143">
        <v>341.25</v>
      </c>
      <c r="G11" s="37">
        <v>1</v>
      </c>
      <c r="H11" s="77">
        <f>F11*G11</f>
        <v>341.25</v>
      </c>
      <c r="I11" s="19">
        <f>H11*0.13</f>
        <v>44.362500000000004</v>
      </c>
      <c r="J11" s="60">
        <f>H11+I11</f>
        <v>385.6125</v>
      </c>
      <c r="K11" s="341">
        <v>421.21</v>
      </c>
    </row>
    <row r="12" spans="2:10" ht="15">
      <c r="B12" s="701"/>
      <c r="C12" s="701"/>
      <c r="D12" s="701"/>
      <c r="E12" s="701"/>
      <c r="F12" s="701"/>
      <c r="G12" s="701"/>
      <c r="H12" s="701"/>
      <c r="I12" s="701"/>
      <c r="J12" s="701"/>
    </row>
    <row r="13" spans="2:11" ht="15">
      <c r="B13" s="755" t="s">
        <v>497</v>
      </c>
      <c r="C13" s="549"/>
      <c r="D13" s="549"/>
      <c r="E13" s="549"/>
      <c r="F13" s="549"/>
      <c r="G13" s="549"/>
      <c r="H13" s="756"/>
      <c r="I13" s="704">
        <f>SUM(J14:J16)</f>
        <v>1575</v>
      </c>
      <c r="J13" s="863"/>
      <c r="K13" s="341">
        <f>SUM(K14:K16)</f>
        <v>1009.48</v>
      </c>
    </row>
    <row r="14" spans="1:11" ht="15">
      <c r="A14">
        <v>388</v>
      </c>
      <c r="B14" s="899" t="s">
        <v>141</v>
      </c>
      <c r="C14" s="897"/>
      <c r="D14" s="897" t="s">
        <v>500</v>
      </c>
      <c r="E14" s="898"/>
      <c r="F14" s="285">
        <v>25</v>
      </c>
      <c r="G14" s="39">
        <v>19</v>
      </c>
      <c r="H14" s="14">
        <f>F14*G14</f>
        <v>475</v>
      </c>
      <c r="I14" s="15"/>
      <c r="J14" s="14">
        <f>H14+I14</f>
        <v>475</v>
      </c>
      <c r="K14" s="341">
        <v>0</v>
      </c>
    </row>
    <row r="15" spans="1:11" ht="15">
      <c r="A15">
        <v>389</v>
      </c>
      <c r="B15" s="552" t="s">
        <v>577</v>
      </c>
      <c r="C15" s="895"/>
      <c r="D15" s="896"/>
      <c r="E15" s="461"/>
      <c r="F15" s="286">
        <v>500</v>
      </c>
      <c r="G15" s="65">
        <v>1</v>
      </c>
      <c r="H15" s="16">
        <f>F15*G15</f>
        <v>500</v>
      </c>
      <c r="I15" s="17"/>
      <c r="J15" s="16">
        <f>H15+I15</f>
        <v>500</v>
      </c>
      <c r="K15" s="341">
        <v>498.78</v>
      </c>
    </row>
    <row r="16" spans="1:11" ht="15">
      <c r="A16" s="20">
        <v>390</v>
      </c>
      <c r="B16" s="887" t="s">
        <v>142</v>
      </c>
      <c r="C16" s="888"/>
      <c r="D16" s="888" t="s">
        <v>628</v>
      </c>
      <c r="E16" s="889"/>
      <c r="F16" s="143">
        <v>30</v>
      </c>
      <c r="G16" s="37">
        <v>20</v>
      </c>
      <c r="H16" s="18">
        <f>F16*G16</f>
        <v>600</v>
      </c>
      <c r="I16" s="19"/>
      <c r="J16" s="18">
        <f>H16+I16</f>
        <v>600</v>
      </c>
      <c r="K16" s="341">
        <v>510.7</v>
      </c>
    </row>
    <row r="17" spans="2:10" ht="15">
      <c r="B17" s="701"/>
      <c r="C17" s="701"/>
      <c r="D17" s="701"/>
      <c r="E17" s="701"/>
      <c r="F17" s="701"/>
      <c r="G17" s="701"/>
      <c r="H17" s="701"/>
      <c r="I17" s="701"/>
      <c r="J17" s="701"/>
    </row>
    <row r="18" spans="2:11" ht="15">
      <c r="B18" s="489" t="s">
        <v>379</v>
      </c>
      <c r="C18" s="490"/>
      <c r="D18" s="490"/>
      <c r="E18" s="490"/>
      <c r="F18" s="490"/>
      <c r="G18" s="490"/>
      <c r="H18" s="491"/>
      <c r="I18" s="492">
        <f>SUM(J19:J20)</f>
        <v>25.086000000000002</v>
      </c>
      <c r="J18" s="799"/>
      <c r="K18" s="312">
        <v>0</v>
      </c>
    </row>
    <row r="19" spans="1:11" ht="15">
      <c r="A19">
        <v>391</v>
      </c>
      <c r="B19" s="891" t="s">
        <v>568</v>
      </c>
      <c r="C19" s="892"/>
      <c r="D19" s="554" t="s">
        <v>569</v>
      </c>
      <c r="E19" s="555"/>
      <c r="F19" s="285">
        <v>0.1</v>
      </c>
      <c r="G19" s="26">
        <v>185</v>
      </c>
      <c r="H19" s="46">
        <f>F19*G19</f>
        <v>18.5</v>
      </c>
      <c r="I19" s="17">
        <f>H19*0.13</f>
        <v>2.4050000000000002</v>
      </c>
      <c r="J19" s="16">
        <f>H19+I19</f>
        <v>20.905</v>
      </c>
      <c r="K19" s="312">
        <v>0</v>
      </c>
    </row>
    <row r="20" spans="1:11" ht="15">
      <c r="A20">
        <v>392</v>
      </c>
      <c r="B20" s="550"/>
      <c r="C20" s="530"/>
      <c r="D20" s="530" t="s">
        <v>570</v>
      </c>
      <c r="E20" s="551"/>
      <c r="F20" s="143">
        <v>0.02</v>
      </c>
      <c r="G20" s="32">
        <v>185</v>
      </c>
      <c r="H20" s="60">
        <f>F20*G20</f>
        <v>3.7</v>
      </c>
      <c r="I20" s="19">
        <f>H20*0.13</f>
        <v>0.48100000000000004</v>
      </c>
      <c r="J20" s="18">
        <f>H20+I20</f>
        <v>4.181</v>
      </c>
      <c r="K20" s="312">
        <v>0</v>
      </c>
    </row>
    <row r="21" spans="2:10" ht="15">
      <c r="B21" s="701"/>
      <c r="C21" s="701"/>
      <c r="D21" s="701"/>
      <c r="E21" s="701"/>
      <c r="F21" s="701"/>
      <c r="G21" s="701"/>
      <c r="H21" s="701"/>
      <c r="I21" s="701"/>
      <c r="J21" s="701"/>
    </row>
    <row r="22" spans="2:11" ht="15">
      <c r="B22" s="489" t="s">
        <v>571</v>
      </c>
      <c r="C22" s="490"/>
      <c r="D22" s="490"/>
      <c r="E22" s="490"/>
      <c r="F22" s="490"/>
      <c r="G22" s="490"/>
      <c r="H22" s="491"/>
      <c r="I22" s="492">
        <f>SUM(J23:J25)</f>
        <v>138.5945</v>
      </c>
      <c r="J22" s="799"/>
      <c r="K22" s="312">
        <f>SUM(K23:K25)</f>
        <v>145.53</v>
      </c>
    </row>
    <row r="23" spans="1:11" ht="15">
      <c r="A23">
        <v>393</v>
      </c>
      <c r="B23" s="802" t="s">
        <v>631</v>
      </c>
      <c r="C23" s="457"/>
      <c r="D23" s="457"/>
      <c r="E23" s="469"/>
      <c r="F23" s="285">
        <v>19.34</v>
      </c>
      <c r="G23" s="39">
        <v>5</v>
      </c>
      <c r="H23" s="14">
        <f>F23*G23</f>
        <v>96.7</v>
      </c>
      <c r="I23" s="15">
        <f>H23*0.13</f>
        <v>12.571000000000002</v>
      </c>
      <c r="J23" s="14">
        <f>H23+I23</f>
        <v>109.271</v>
      </c>
      <c r="K23" s="312">
        <f>67.12+67.12</f>
        <v>134.24</v>
      </c>
    </row>
    <row r="24" spans="1:11" ht="15">
      <c r="A24">
        <v>394</v>
      </c>
      <c r="B24" s="890" t="s">
        <v>572</v>
      </c>
      <c r="C24" s="460"/>
      <c r="D24" s="460"/>
      <c r="E24" s="461"/>
      <c r="F24" s="286">
        <v>7.99</v>
      </c>
      <c r="G24" s="65">
        <v>1</v>
      </c>
      <c r="H24" s="16">
        <f>F24*G24</f>
        <v>7.99</v>
      </c>
      <c r="I24" s="17">
        <f>H24*0.13</f>
        <v>1.0387</v>
      </c>
      <c r="J24" s="16">
        <f>H24+I24</f>
        <v>9.0287</v>
      </c>
      <c r="K24" s="312">
        <v>11.29</v>
      </c>
    </row>
    <row r="25" spans="1:11" ht="15">
      <c r="A25">
        <v>395</v>
      </c>
      <c r="B25" s="801" t="s">
        <v>76</v>
      </c>
      <c r="C25" s="447"/>
      <c r="D25" s="447"/>
      <c r="E25" s="463"/>
      <c r="F25" s="143">
        <v>4.49</v>
      </c>
      <c r="G25" s="37">
        <v>4</v>
      </c>
      <c r="H25" s="18">
        <f>F25*G25</f>
        <v>17.96</v>
      </c>
      <c r="I25" s="19">
        <f>H25*0.13</f>
        <v>2.3348</v>
      </c>
      <c r="J25" s="18">
        <f>H25+I25</f>
        <v>20.294800000000002</v>
      </c>
      <c r="K25" s="312">
        <v>0</v>
      </c>
    </row>
    <row r="26" spans="2:10" ht="15">
      <c r="B26" s="701"/>
      <c r="C26" s="701"/>
      <c r="D26" s="701"/>
      <c r="E26" s="701"/>
      <c r="F26" s="701"/>
      <c r="G26" s="701"/>
      <c r="H26" s="701"/>
      <c r="I26" s="701"/>
      <c r="J26" s="701"/>
    </row>
    <row r="27" spans="2:11" ht="15">
      <c r="B27" s="489" t="s">
        <v>652</v>
      </c>
      <c r="C27" s="490"/>
      <c r="D27" s="490"/>
      <c r="E27" s="490"/>
      <c r="F27" s="490"/>
      <c r="G27" s="490"/>
      <c r="H27" s="756"/>
      <c r="I27" s="704">
        <f>SUM(J28:J32)</f>
        <v>94.19680000000001</v>
      </c>
      <c r="J27" s="863"/>
      <c r="K27" s="312">
        <f>SUM(K28:K32)</f>
        <v>14.22</v>
      </c>
    </row>
    <row r="28" spans="1:11" ht="15">
      <c r="A28">
        <v>396</v>
      </c>
      <c r="B28" s="802" t="s">
        <v>160</v>
      </c>
      <c r="C28" s="457"/>
      <c r="D28" s="457" t="s">
        <v>92</v>
      </c>
      <c r="E28" s="469"/>
      <c r="F28" s="285">
        <v>9.99</v>
      </c>
      <c r="G28" s="110">
        <v>4</v>
      </c>
      <c r="H28" s="75">
        <f>F28*G28</f>
        <v>39.96</v>
      </c>
      <c r="I28" s="25">
        <f>H28*0.13</f>
        <v>5.1948</v>
      </c>
      <c r="J28" s="14">
        <f>H28+I28</f>
        <v>45.1548</v>
      </c>
      <c r="K28" s="312">
        <f>9.82+4.4</f>
        <v>14.22</v>
      </c>
    </row>
    <row r="29" spans="1:11" ht="15">
      <c r="A29">
        <v>397</v>
      </c>
      <c r="B29" s="890" t="s">
        <v>88</v>
      </c>
      <c r="C29" s="625"/>
      <c r="D29" s="460" t="s">
        <v>92</v>
      </c>
      <c r="E29" s="461"/>
      <c r="F29" s="286">
        <v>2.49</v>
      </c>
      <c r="G29" s="7">
        <v>4</v>
      </c>
      <c r="H29" s="76">
        <f>F29*G29</f>
        <v>9.96</v>
      </c>
      <c r="I29" s="28">
        <f>H29*0.13</f>
        <v>1.2948000000000002</v>
      </c>
      <c r="J29" s="16">
        <f>H29+I29</f>
        <v>11.254800000000001</v>
      </c>
      <c r="K29" s="312"/>
    </row>
    <row r="30" spans="1:11" ht="15">
      <c r="A30" s="20">
        <v>398</v>
      </c>
      <c r="B30" s="890" t="s">
        <v>89</v>
      </c>
      <c r="C30" s="625"/>
      <c r="D30" s="460" t="s">
        <v>93</v>
      </c>
      <c r="E30" s="461"/>
      <c r="F30" s="286">
        <v>7.49</v>
      </c>
      <c r="G30" s="7">
        <v>1</v>
      </c>
      <c r="H30" s="76">
        <f>F30*G30</f>
        <v>7.49</v>
      </c>
      <c r="I30" s="28">
        <f>H30*0.13</f>
        <v>0.9737</v>
      </c>
      <c r="J30" s="16">
        <f>H30+I30</f>
        <v>8.4637</v>
      </c>
      <c r="K30" s="312"/>
    </row>
    <row r="31" spans="1:11" ht="15">
      <c r="A31" s="20">
        <v>399</v>
      </c>
      <c r="B31" s="890" t="s">
        <v>90</v>
      </c>
      <c r="C31" s="460"/>
      <c r="D31" s="460"/>
      <c r="E31" s="461"/>
      <c r="F31" s="286">
        <v>4.49</v>
      </c>
      <c r="G31" s="7">
        <v>4</v>
      </c>
      <c r="H31" s="76">
        <f>F31*G31</f>
        <v>17.96</v>
      </c>
      <c r="I31" s="28">
        <f>H31*0.13</f>
        <v>2.3348</v>
      </c>
      <c r="J31" s="16">
        <f>H31+I31</f>
        <v>20.294800000000002</v>
      </c>
      <c r="K31" s="312"/>
    </row>
    <row r="32" spans="1:11" ht="15">
      <c r="A32" s="20">
        <v>400</v>
      </c>
      <c r="B32" s="801" t="s">
        <v>91</v>
      </c>
      <c r="C32" s="447"/>
      <c r="D32" s="447"/>
      <c r="E32" s="463"/>
      <c r="F32" s="143">
        <v>7.99</v>
      </c>
      <c r="G32" s="114">
        <v>1</v>
      </c>
      <c r="H32" s="77">
        <f>F32*G32</f>
        <v>7.99</v>
      </c>
      <c r="I32" s="31">
        <f>H32*0.13</f>
        <v>1.0387</v>
      </c>
      <c r="J32" s="18">
        <f>H32+I32</f>
        <v>9.0287</v>
      </c>
      <c r="K32" s="312"/>
    </row>
    <row r="34" spans="2:11" ht="15">
      <c r="B34" s="587" t="s">
        <v>94</v>
      </c>
      <c r="C34" s="519"/>
      <c r="D34" s="519"/>
      <c r="E34" s="519"/>
      <c r="F34" s="519"/>
      <c r="G34" s="519"/>
      <c r="H34" s="520"/>
      <c r="I34" s="893">
        <f>J35</f>
        <v>250</v>
      </c>
      <c r="J34" s="894"/>
      <c r="K34" s="312">
        <f>SUM(K35)</f>
        <v>243.33999999999997</v>
      </c>
    </row>
    <row r="35" spans="1:11" ht="15">
      <c r="A35">
        <v>401</v>
      </c>
      <c r="B35" s="883" t="s">
        <v>95</v>
      </c>
      <c r="C35" s="881"/>
      <c r="D35" s="881"/>
      <c r="E35" s="882"/>
      <c r="F35" s="287">
        <v>250</v>
      </c>
      <c r="G35" s="66">
        <v>1</v>
      </c>
      <c r="H35" s="63">
        <f>F35*G35</f>
        <v>250</v>
      </c>
      <c r="I35" s="67"/>
      <c r="J35" s="63">
        <f>H35+I35</f>
        <v>250</v>
      </c>
      <c r="K35" s="312">
        <f>42.94+14.92+95.22+90.26</f>
        <v>243.33999999999997</v>
      </c>
    </row>
  </sheetData>
  <sheetProtection/>
  <mergeCells count="62">
    <mergeCell ref="K1:K2"/>
    <mergeCell ref="I27:J27"/>
    <mergeCell ref="B27:H27"/>
    <mergeCell ref="B35:C35"/>
    <mergeCell ref="D35:E35"/>
    <mergeCell ref="D29:E29"/>
    <mergeCell ref="D30:E30"/>
    <mergeCell ref="B32:C32"/>
    <mergeCell ref="D32:E32"/>
    <mergeCell ref="B29:C29"/>
    <mergeCell ref="B30:C30"/>
    <mergeCell ref="B34:H34"/>
    <mergeCell ref="B28:C28"/>
    <mergeCell ref="D28:E28"/>
    <mergeCell ref="B31:C31"/>
    <mergeCell ref="D31:E31"/>
    <mergeCell ref="I34:J34"/>
    <mergeCell ref="B15:C15"/>
    <mergeCell ref="D15:E15"/>
    <mergeCell ref="D14:E14"/>
    <mergeCell ref="B11:C11"/>
    <mergeCell ref="D11:E11"/>
    <mergeCell ref="B13:H13"/>
    <mergeCell ref="B14:C14"/>
    <mergeCell ref="B26:J26"/>
    <mergeCell ref="B21:J21"/>
    <mergeCell ref="B22:H22"/>
    <mergeCell ref="I22:J22"/>
    <mergeCell ref="B23:C23"/>
    <mergeCell ref="D23:E23"/>
    <mergeCell ref="B24:C24"/>
    <mergeCell ref="D24:E24"/>
    <mergeCell ref="B1:H2"/>
    <mergeCell ref="I1:J2"/>
    <mergeCell ref="I3:J3"/>
    <mergeCell ref="B5:E5"/>
    <mergeCell ref="F5:J5"/>
    <mergeCell ref="B4:J4"/>
    <mergeCell ref="B3:H3"/>
    <mergeCell ref="B9:C9"/>
    <mergeCell ref="D9:E9"/>
    <mergeCell ref="B6:C6"/>
    <mergeCell ref="D6:E6"/>
    <mergeCell ref="B7:J7"/>
    <mergeCell ref="B8:H8"/>
    <mergeCell ref="I8:J8"/>
    <mergeCell ref="A1:A3"/>
    <mergeCell ref="B25:C25"/>
    <mergeCell ref="D25:E25"/>
    <mergeCell ref="B17:J17"/>
    <mergeCell ref="B18:H18"/>
    <mergeCell ref="I18:J18"/>
    <mergeCell ref="B19:C19"/>
    <mergeCell ref="D19:E19"/>
    <mergeCell ref="B20:C20"/>
    <mergeCell ref="D20:E20"/>
    <mergeCell ref="B16:C16"/>
    <mergeCell ref="D16:E16"/>
    <mergeCell ref="B12:J12"/>
    <mergeCell ref="B10:C10"/>
    <mergeCell ref="D10:E10"/>
    <mergeCell ref="I13:J13"/>
  </mergeCells>
  <printOptions/>
  <pageMargins left="0.25" right="0.2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1" sqref="B1:H2"/>
    </sheetView>
  </sheetViews>
  <sheetFormatPr defaultColWidth="8.8515625" defaultRowHeight="15"/>
  <cols>
    <col min="1" max="1" width="4.7109375" style="0" customWidth="1"/>
    <col min="2" max="2" width="15.7109375" style="0" customWidth="1"/>
    <col min="3" max="4" width="17.421875" style="0" customWidth="1"/>
    <col min="5" max="5" width="16.7109375" style="0" customWidth="1"/>
    <col min="6" max="6" width="11.421875" style="0" customWidth="1"/>
    <col min="7" max="7" width="9.8515625" style="0" customWidth="1"/>
    <col min="8" max="8" width="11.140625" style="0" customWidth="1"/>
    <col min="9" max="9" width="11.00390625" style="0" customWidth="1"/>
    <col min="10" max="10" width="11.7109375" style="0" customWidth="1"/>
    <col min="11" max="11" width="12.8515625" style="0" customWidth="1"/>
  </cols>
  <sheetData>
    <row r="1" spans="1:10" ht="15">
      <c r="A1" s="429"/>
      <c r="B1" s="477" t="s">
        <v>573</v>
      </c>
      <c r="C1" s="478"/>
      <c r="D1" s="478"/>
      <c r="E1" s="478"/>
      <c r="F1" s="478"/>
      <c r="G1" s="478"/>
      <c r="H1" s="478"/>
      <c r="I1" s="481">
        <f>SUM(I8,I15,I23,I31,I35,I12)</f>
        <v>282676.66359999997</v>
      </c>
      <c r="J1" s="482"/>
    </row>
    <row r="2" spans="1:11" ht="15">
      <c r="A2" s="429"/>
      <c r="B2" s="479"/>
      <c r="C2" s="480"/>
      <c r="D2" s="480"/>
      <c r="E2" s="480"/>
      <c r="F2" s="480"/>
      <c r="G2" s="480"/>
      <c r="H2" s="480"/>
      <c r="I2" s="483"/>
      <c r="J2" s="484"/>
      <c r="K2">
        <f>SUM(K8:K37)</f>
        <v>294360.55999999994</v>
      </c>
    </row>
    <row r="3" spans="1:10" ht="15">
      <c r="A3" s="429"/>
      <c r="B3" s="475"/>
      <c r="C3" s="476"/>
      <c r="D3" s="476"/>
      <c r="E3" s="476"/>
      <c r="F3" s="476"/>
      <c r="G3" s="476"/>
      <c r="H3" s="476"/>
      <c r="I3" s="485" t="s">
        <v>574</v>
      </c>
      <c r="J3" s="486"/>
    </row>
    <row r="4" spans="2:10" ht="15">
      <c r="B4" s="462"/>
      <c r="C4" s="462"/>
      <c r="D4" s="462"/>
      <c r="E4" s="462"/>
      <c r="F4" s="462"/>
      <c r="G4" s="462"/>
      <c r="H4" s="462"/>
      <c r="I4" s="462"/>
      <c r="J4" s="462"/>
    </row>
    <row r="5" spans="2:10" ht="15">
      <c r="B5" s="487" t="s">
        <v>488</v>
      </c>
      <c r="C5" s="487"/>
      <c r="D5" s="487"/>
      <c r="E5" s="487"/>
      <c r="F5" s="488" t="s">
        <v>489</v>
      </c>
      <c r="G5" s="488"/>
      <c r="H5" s="488"/>
      <c r="I5" s="488"/>
      <c r="J5" s="488"/>
    </row>
    <row r="6" spans="2:10" ht="42" customHeight="1">
      <c r="B6" s="474" t="s">
        <v>554</v>
      </c>
      <c r="C6" s="474"/>
      <c r="D6" s="474" t="s">
        <v>491</v>
      </c>
      <c r="E6" s="474"/>
      <c r="F6" s="119" t="s">
        <v>215</v>
      </c>
      <c r="G6" s="119" t="s">
        <v>452</v>
      </c>
      <c r="H6" s="119" t="s">
        <v>494</v>
      </c>
      <c r="I6" s="119" t="s">
        <v>398</v>
      </c>
      <c r="J6" s="119" t="s">
        <v>453</v>
      </c>
    </row>
    <row r="7" spans="2:10" ht="15">
      <c r="B7" s="462"/>
      <c r="C7" s="462"/>
      <c r="D7" s="462"/>
      <c r="E7" s="462"/>
      <c r="F7" s="462"/>
      <c r="G7" s="462"/>
      <c r="H7" s="462"/>
      <c r="I7" s="462"/>
      <c r="J7" s="462"/>
    </row>
    <row r="8" spans="2:10" ht="15">
      <c r="B8" s="470" t="s">
        <v>314</v>
      </c>
      <c r="C8" s="470"/>
      <c r="D8" s="470"/>
      <c r="E8" s="470"/>
      <c r="F8" s="441"/>
      <c r="G8" s="441"/>
      <c r="H8" s="470"/>
      <c r="I8" s="471">
        <f>SUM(J9:J10)</f>
        <v>26000</v>
      </c>
      <c r="J8" s="471"/>
    </row>
    <row r="9" spans="2:11" ht="15">
      <c r="B9" s="449" t="s">
        <v>315</v>
      </c>
      <c r="C9" s="450"/>
      <c r="D9" s="450" t="s">
        <v>316</v>
      </c>
      <c r="E9" s="472"/>
      <c r="F9" s="186">
        <v>10000</v>
      </c>
      <c r="G9" s="39">
        <v>1</v>
      </c>
      <c r="H9" s="27">
        <f>F9*G9</f>
        <v>10000</v>
      </c>
      <c r="I9" s="2"/>
      <c r="J9" s="2">
        <f>H9+I9</f>
        <v>10000</v>
      </c>
      <c r="K9">
        <f>7437.5+2632.5</f>
        <v>10070</v>
      </c>
    </row>
    <row r="10" spans="2:11" ht="15">
      <c r="B10" s="443" t="s">
        <v>317</v>
      </c>
      <c r="C10" s="444"/>
      <c r="D10" s="444" t="s">
        <v>318</v>
      </c>
      <c r="E10" s="473"/>
      <c r="F10" s="187">
        <v>16000</v>
      </c>
      <c r="G10" s="37">
        <v>1</v>
      </c>
      <c r="H10" s="27">
        <f>F10*G10</f>
        <v>16000</v>
      </c>
      <c r="I10" s="5"/>
      <c r="J10" s="5">
        <f>H10+I10</f>
        <v>16000</v>
      </c>
      <c r="K10">
        <f>12067.5</f>
        <v>12067.5</v>
      </c>
    </row>
    <row r="11" spans="2:10" ht="15">
      <c r="B11" s="448"/>
      <c r="C11" s="448"/>
      <c r="D11" s="448"/>
      <c r="E11" s="448"/>
      <c r="F11" s="448"/>
      <c r="G11" s="448"/>
      <c r="H11" s="448"/>
      <c r="I11" s="448"/>
      <c r="J11" s="448"/>
    </row>
    <row r="12" spans="2:10" ht="15">
      <c r="B12" s="464" t="s">
        <v>474</v>
      </c>
      <c r="C12" s="465"/>
      <c r="D12" s="465"/>
      <c r="E12" s="465"/>
      <c r="F12" s="465"/>
      <c r="G12" s="465"/>
      <c r="H12" s="466"/>
      <c r="I12" s="467">
        <f>J13</f>
        <v>900</v>
      </c>
      <c r="J12" s="468"/>
    </row>
    <row r="13" spans="2:11" ht="15">
      <c r="B13" s="453" t="s">
        <v>621</v>
      </c>
      <c r="C13" s="454"/>
      <c r="D13" s="455" t="s">
        <v>622</v>
      </c>
      <c r="E13" s="456"/>
      <c r="F13" s="188">
        <v>4.5</v>
      </c>
      <c r="G13" s="189">
        <v>200</v>
      </c>
      <c r="H13" s="21">
        <f>F13*G13</f>
        <v>900</v>
      </c>
      <c r="I13" s="21"/>
      <c r="J13" s="21">
        <f>H13+I13</f>
        <v>900</v>
      </c>
      <c r="K13">
        <f>200</f>
        <v>200</v>
      </c>
    </row>
    <row r="14" spans="2:10" ht="15">
      <c r="B14" s="462"/>
      <c r="C14" s="462"/>
      <c r="D14" s="462"/>
      <c r="E14" s="462"/>
      <c r="F14" s="462"/>
      <c r="G14" s="462"/>
      <c r="H14" s="462"/>
      <c r="I14" s="462"/>
      <c r="J14" s="462"/>
    </row>
    <row r="15" spans="2:10" ht="15">
      <c r="B15" s="441" t="s">
        <v>319</v>
      </c>
      <c r="C15" s="441"/>
      <c r="D15" s="441"/>
      <c r="E15" s="441"/>
      <c r="F15" s="441"/>
      <c r="G15" s="441"/>
      <c r="H15" s="441"/>
      <c r="I15" s="442">
        <f>SUM(J16:J21)</f>
        <v>67202.34</v>
      </c>
      <c r="J15" s="442"/>
    </row>
    <row r="16" spans="2:11" ht="15">
      <c r="B16" s="449" t="s">
        <v>361</v>
      </c>
      <c r="C16" s="450"/>
      <c r="D16" s="457"/>
      <c r="E16" s="469"/>
      <c r="F16" s="186">
        <v>1610</v>
      </c>
      <c r="G16" s="39">
        <v>12</v>
      </c>
      <c r="H16" s="2">
        <f>F16*G16</f>
        <v>19320</v>
      </c>
      <c r="I16" s="2"/>
      <c r="J16" s="2">
        <f aca="true" t="shared" si="0" ref="J16:J21">H16+I16</f>
        <v>19320</v>
      </c>
      <c r="K16">
        <f>27064.75-2563.81-2563.81-2563.81</f>
        <v>19373.319999999996</v>
      </c>
    </row>
    <row r="17" spans="2:11" ht="15">
      <c r="B17" s="458" t="s">
        <v>214</v>
      </c>
      <c r="C17" s="459"/>
      <c r="D17" s="460"/>
      <c r="E17" s="461"/>
      <c r="F17" s="190">
        <v>100</v>
      </c>
      <c r="G17" s="65">
        <v>12</v>
      </c>
      <c r="H17" s="10">
        <f>F17*G17</f>
        <v>1200</v>
      </c>
      <c r="I17" s="10"/>
      <c r="J17" s="10">
        <f t="shared" si="0"/>
        <v>1200</v>
      </c>
      <c r="K17">
        <v>5309.76</v>
      </c>
    </row>
    <row r="18" spans="2:11" ht="15">
      <c r="B18" s="458" t="s">
        <v>461</v>
      </c>
      <c r="C18" s="459"/>
      <c r="D18" s="460" t="s">
        <v>669</v>
      </c>
      <c r="E18" s="461"/>
      <c r="F18" s="190">
        <v>4200</v>
      </c>
      <c r="G18" s="65">
        <v>12</v>
      </c>
      <c r="H18" s="10">
        <f>F18*G18</f>
        <v>50400</v>
      </c>
      <c r="I18" s="10"/>
      <c r="J18" s="10">
        <f t="shared" si="0"/>
        <v>50400</v>
      </c>
      <c r="K18">
        <v>47790.36</v>
      </c>
    </row>
    <row r="19" spans="2:11" ht="15">
      <c r="B19" s="458" t="s">
        <v>365</v>
      </c>
      <c r="C19" s="459"/>
      <c r="D19" s="460" t="s">
        <v>670</v>
      </c>
      <c r="E19" s="461"/>
      <c r="F19" s="190">
        <v>288.22</v>
      </c>
      <c r="G19" s="65">
        <v>12</v>
      </c>
      <c r="H19" s="10">
        <f>F19*G19</f>
        <v>3458.6400000000003</v>
      </c>
      <c r="I19" s="10"/>
      <c r="J19" s="10">
        <f t="shared" si="0"/>
        <v>3458.6400000000003</v>
      </c>
      <c r="K19">
        <v>0</v>
      </c>
    </row>
    <row r="20" spans="2:11" ht="15">
      <c r="B20" s="458" t="s">
        <v>462</v>
      </c>
      <c r="C20" s="459"/>
      <c r="D20" s="460"/>
      <c r="E20" s="461"/>
      <c r="F20" s="190">
        <v>130</v>
      </c>
      <c r="G20" s="65">
        <v>12</v>
      </c>
      <c r="H20" s="10">
        <f>F20*G20</f>
        <v>1560</v>
      </c>
      <c r="I20" s="10"/>
      <c r="J20" s="10">
        <f t="shared" si="0"/>
        <v>1560</v>
      </c>
      <c r="K20">
        <v>810.43</v>
      </c>
    </row>
    <row r="21" spans="2:11" ht="15">
      <c r="B21" s="443"/>
      <c r="C21" s="444"/>
      <c r="D21" s="447" t="s">
        <v>468</v>
      </c>
      <c r="E21" s="463"/>
      <c r="F21" s="187"/>
      <c r="G21" s="37"/>
      <c r="H21" s="5"/>
      <c r="I21" s="5">
        <v>-8736.3</v>
      </c>
      <c r="J21" s="5">
        <f t="shared" si="0"/>
        <v>-8736.3</v>
      </c>
      <c r="K21" s="191"/>
    </row>
    <row r="22" spans="2:11" ht="15">
      <c r="B22" s="462"/>
      <c r="C22" s="462"/>
      <c r="D22" s="462"/>
      <c r="E22" s="462"/>
      <c r="F22" s="462"/>
      <c r="G22" s="462"/>
      <c r="H22" s="462"/>
      <c r="I22" s="462"/>
      <c r="J22" s="462"/>
      <c r="K22" s="191"/>
    </row>
    <row r="23" spans="2:10" ht="15">
      <c r="B23" s="441" t="s">
        <v>463</v>
      </c>
      <c r="C23" s="441"/>
      <c r="D23" s="441"/>
      <c r="E23" s="441"/>
      <c r="F23" s="441"/>
      <c r="G23" s="441"/>
      <c r="H23" s="441"/>
      <c r="I23" s="442">
        <f>SUM(J24:J29)</f>
        <v>11075</v>
      </c>
      <c r="J23" s="442"/>
    </row>
    <row r="24" spans="2:11" ht="15">
      <c r="B24" s="449" t="s">
        <v>464</v>
      </c>
      <c r="C24" s="450"/>
      <c r="D24" s="457"/>
      <c r="E24" s="469"/>
      <c r="F24" s="186">
        <v>150</v>
      </c>
      <c r="G24" s="192">
        <v>14</v>
      </c>
      <c r="H24" s="2">
        <f>F24*G24</f>
        <v>2100</v>
      </c>
      <c r="I24" s="2"/>
      <c r="J24" s="2">
        <f>H24+I24</f>
        <v>2100</v>
      </c>
      <c r="K24" s="33">
        <f>998.4+188.5+255.01+232.75+935.72</f>
        <v>2610.38</v>
      </c>
    </row>
    <row r="25" spans="2:11" ht="15">
      <c r="B25" s="458" t="s">
        <v>465</v>
      </c>
      <c r="C25" s="459"/>
      <c r="D25" s="460"/>
      <c r="E25" s="461"/>
      <c r="F25" s="190">
        <v>0.05</v>
      </c>
      <c r="G25" s="193">
        <v>3500</v>
      </c>
      <c r="H25" s="10">
        <f>F25*G25</f>
        <v>175</v>
      </c>
      <c r="I25" s="10"/>
      <c r="J25" s="10">
        <f>H25+I25</f>
        <v>175</v>
      </c>
      <c r="K25">
        <f>3138.65-1160-1240-225</f>
        <v>513.6500000000001</v>
      </c>
    </row>
    <row r="26" spans="2:11" ht="15">
      <c r="B26" s="458" t="s">
        <v>454</v>
      </c>
      <c r="C26" s="459"/>
      <c r="D26" s="460" t="s">
        <v>455</v>
      </c>
      <c r="E26" s="461"/>
      <c r="F26" s="190">
        <v>20</v>
      </c>
      <c r="G26" s="193">
        <v>12</v>
      </c>
      <c r="H26" s="10">
        <f>F26*G26</f>
        <v>240</v>
      </c>
      <c r="I26" s="10"/>
      <c r="J26" s="10">
        <f>H26+I26</f>
        <v>240</v>
      </c>
      <c r="K26">
        <v>244.15</v>
      </c>
    </row>
    <row r="27" spans="2:11" ht="15">
      <c r="B27" s="458" t="s">
        <v>466</v>
      </c>
      <c r="C27" s="459"/>
      <c r="D27" s="460"/>
      <c r="E27" s="461"/>
      <c r="F27" s="190">
        <v>1</v>
      </c>
      <c r="G27" s="193">
        <v>1600</v>
      </c>
      <c r="H27" s="10">
        <f>F27*G27</f>
        <v>1600</v>
      </c>
      <c r="I27" s="10"/>
      <c r="J27" s="10">
        <f>H27+I27</f>
        <v>1600</v>
      </c>
      <c r="K27">
        <f>225+400</f>
        <v>625</v>
      </c>
    </row>
    <row r="28" spans="2:11" ht="15">
      <c r="B28" s="458" t="s">
        <v>467</v>
      </c>
      <c r="C28" s="459"/>
      <c r="D28" s="460"/>
      <c r="E28" s="461"/>
      <c r="F28" s="190">
        <v>8000</v>
      </c>
      <c r="G28" s="193">
        <v>1</v>
      </c>
      <c r="H28" s="10">
        <f>F28*G28</f>
        <v>8000</v>
      </c>
      <c r="I28" s="10"/>
      <c r="J28" s="10">
        <f>H28+I28</f>
        <v>8000</v>
      </c>
      <c r="K28">
        <v>9040</v>
      </c>
    </row>
    <row r="29" spans="2:10" ht="15">
      <c r="B29" s="443"/>
      <c r="C29" s="444"/>
      <c r="D29" s="447" t="s">
        <v>468</v>
      </c>
      <c r="E29" s="463"/>
      <c r="F29" s="187"/>
      <c r="G29" s="194"/>
      <c r="H29" s="5"/>
      <c r="I29" s="6">
        <f>-H28*0.13</f>
        <v>-1040</v>
      </c>
      <c r="J29" s="5">
        <f>I29</f>
        <v>-1040</v>
      </c>
    </row>
    <row r="30" spans="2:10" ht="15">
      <c r="B30" s="448"/>
      <c r="C30" s="448"/>
      <c r="D30" s="448"/>
      <c r="E30" s="448"/>
      <c r="F30" s="448"/>
      <c r="G30" s="448"/>
      <c r="H30" s="448"/>
      <c r="I30" s="448"/>
      <c r="J30" s="448"/>
    </row>
    <row r="31" spans="2:10" ht="15">
      <c r="B31" s="441" t="s">
        <v>469</v>
      </c>
      <c r="C31" s="441"/>
      <c r="D31" s="441"/>
      <c r="E31" s="441"/>
      <c r="F31" s="441"/>
      <c r="G31" s="441"/>
      <c r="H31" s="441"/>
      <c r="I31" s="442">
        <f>SUM(J32:J33)</f>
        <v>30765.723599999998</v>
      </c>
      <c r="J31" s="442"/>
    </row>
    <row r="32" spans="2:11" ht="15">
      <c r="B32" s="449" t="s">
        <v>470</v>
      </c>
      <c r="C32" s="450"/>
      <c r="D32" s="457"/>
      <c r="E32" s="457"/>
      <c r="F32" s="186">
        <v>2563.81</v>
      </c>
      <c r="G32" s="195">
        <v>12</v>
      </c>
      <c r="H32" s="2">
        <f>F32*G32</f>
        <v>30765.72</v>
      </c>
      <c r="I32" s="3">
        <f>H32*0.13</f>
        <v>3999.5436000000004</v>
      </c>
      <c r="J32" s="2">
        <f>H32+I32</f>
        <v>34765.2636</v>
      </c>
      <c r="K32">
        <v>34765.26</v>
      </c>
    </row>
    <row r="33" spans="2:11" ht="15">
      <c r="B33" s="443"/>
      <c r="C33" s="444"/>
      <c r="D33" s="447" t="s">
        <v>468</v>
      </c>
      <c r="E33" s="447"/>
      <c r="F33" s="187"/>
      <c r="G33" s="196"/>
      <c r="H33" s="5"/>
      <c r="I33" s="6">
        <v>-3999.54</v>
      </c>
      <c r="J33" s="5">
        <f>I33</f>
        <v>-3999.54</v>
      </c>
      <c r="K33">
        <v>-3999.54</v>
      </c>
    </row>
    <row r="34" spans="2:10" ht="15">
      <c r="B34" s="448"/>
      <c r="C34" s="448"/>
      <c r="D34" s="448"/>
      <c r="E34" s="448"/>
      <c r="F34" s="448"/>
      <c r="G34" s="448"/>
      <c r="H34" s="448"/>
      <c r="I34" s="448"/>
      <c r="J34" s="448"/>
    </row>
    <row r="35" spans="2:10" ht="15">
      <c r="B35" s="441" t="s">
        <v>471</v>
      </c>
      <c r="C35" s="441"/>
      <c r="D35" s="441"/>
      <c r="E35" s="441"/>
      <c r="F35" s="441"/>
      <c r="G35" s="441"/>
      <c r="H35" s="441"/>
      <c r="I35" s="442">
        <f>SUM(J36:J37)</f>
        <v>146733.6</v>
      </c>
      <c r="J35" s="442"/>
    </row>
    <row r="36" spans="2:11" ht="15">
      <c r="B36" s="449" t="s">
        <v>472</v>
      </c>
      <c r="C36" s="450"/>
      <c r="D36" s="451">
        <v>0.9</v>
      </c>
      <c r="E36" s="452"/>
      <c r="F36" s="186">
        <v>50.796</v>
      </c>
      <c r="G36" s="192">
        <v>2600</v>
      </c>
      <c r="H36" s="3">
        <f>F36*G36</f>
        <v>132069.6</v>
      </c>
      <c r="I36" s="2"/>
      <c r="J36" s="2">
        <f>H36+I36</f>
        <v>132069.6</v>
      </c>
      <c r="K36" s="68">
        <f>64869.57+65558.37</f>
        <v>130427.94</v>
      </c>
    </row>
    <row r="37" spans="2:11" ht="15">
      <c r="B37" s="443" t="s">
        <v>473</v>
      </c>
      <c r="C37" s="444"/>
      <c r="D37" s="445">
        <v>0.1</v>
      </c>
      <c r="E37" s="446"/>
      <c r="F37" s="187">
        <v>5.64</v>
      </c>
      <c r="G37" s="194">
        <v>2600</v>
      </c>
      <c r="H37" s="6">
        <f>F37*G37</f>
        <v>14664</v>
      </c>
      <c r="I37" s="5"/>
      <c r="J37" s="5">
        <f>H37+I37</f>
        <v>14664</v>
      </c>
      <c r="K37">
        <v>24512.35</v>
      </c>
    </row>
  </sheetData>
  <sheetProtection/>
  <mergeCells count="66">
    <mergeCell ref="B14:J14"/>
    <mergeCell ref="B6:C6"/>
    <mergeCell ref="D6:E6"/>
    <mergeCell ref="B3:H3"/>
    <mergeCell ref="B1:H2"/>
    <mergeCell ref="I1:J2"/>
    <mergeCell ref="I3:J3"/>
    <mergeCell ref="B5:E5"/>
    <mergeCell ref="F5:J5"/>
    <mergeCell ref="B7:J7"/>
    <mergeCell ref="B20:C20"/>
    <mergeCell ref="D20:E20"/>
    <mergeCell ref="B21:C21"/>
    <mergeCell ref="D21:E21"/>
    <mergeCell ref="B8:H8"/>
    <mergeCell ref="I8:J8"/>
    <mergeCell ref="B9:C9"/>
    <mergeCell ref="D9:E9"/>
    <mergeCell ref="B10:C10"/>
    <mergeCell ref="D10:E10"/>
    <mergeCell ref="B29:C29"/>
    <mergeCell ref="D27:E27"/>
    <mergeCell ref="B28:C28"/>
    <mergeCell ref="D28:E28"/>
    <mergeCell ref="B24:C24"/>
    <mergeCell ref="D24:E24"/>
    <mergeCell ref="I12:J12"/>
    <mergeCell ref="B15:H15"/>
    <mergeCell ref="I15:J15"/>
    <mergeCell ref="B16:C16"/>
    <mergeCell ref="D16:E16"/>
    <mergeCell ref="I23:J23"/>
    <mergeCell ref="B18:C18"/>
    <mergeCell ref="D18:E18"/>
    <mergeCell ref="B17:C17"/>
    <mergeCell ref="D17:E17"/>
    <mergeCell ref="B30:J30"/>
    <mergeCell ref="A1:A3"/>
    <mergeCell ref="B4:J4"/>
    <mergeCell ref="B11:J11"/>
    <mergeCell ref="B26:C26"/>
    <mergeCell ref="D26:E26"/>
    <mergeCell ref="B27:C27"/>
    <mergeCell ref="B19:C19"/>
    <mergeCell ref="D19:E19"/>
    <mergeCell ref="B12:H12"/>
    <mergeCell ref="I35:J35"/>
    <mergeCell ref="B13:C13"/>
    <mergeCell ref="D13:E13"/>
    <mergeCell ref="B32:C32"/>
    <mergeCell ref="D32:E32"/>
    <mergeCell ref="B25:C25"/>
    <mergeCell ref="D25:E25"/>
    <mergeCell ref="B22:J22"/>
    <mergeCell ref="B23:H23"/>
    <mergeCell ref="D29:E29"/>
    <mergeCell ref="B31:H31"/>
    <mergeCell ref="I31:J31"/>
    <mergeCell ref="B37:C37"/>
    <mergeCell ref="D37:E37"/>
    <mergeCell ref="B33:C33"/>
    <mergeCell ref="D33:E33"/>
    <mergeCell ref="B34:J34"/>
    <mergeCell ref="B36:C36"/>
    <mergeCell ref="D36:E36"/>
    <mergeCell ref="B35:H35"/>
  </mergeCells>
  <printOptions/>
  <pageMargins left="0.25" right="0.2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B1" sqref="B1:H2"/>
    </sheetView>
  </sheetViews>
  <sheetFormatPr defaultColWidth="8.8515625" defaultRowHeight="15"/>
  <cols>
    <col min="1" max="1" width="4.7109375" style="33" customWidth="1"/>
    <col min="2" max="3" width="15.7109375" style="33" customWidth="1"/>
    <col min="4" max="5" width="17.421875" style="33" customWidth="1"/>
    <col min="6" max="6" width="11.28125" style="33" bestFit="1" customWidth="1"/>
    <col min="7" max="8" width="10.7109375" style="33" customWidth="1"/>
    <col min="9" max="9" width="9.7109375" style="33" customWidth="1"/>
    <col min="10" max="10" width="11.7109375" style="33" customWidth="1"/>
    <col min="11" max="11" width="12.8515625" style="33" bestFit="1" customWidth="1"/>
    <col min="12" max="12" width="17.7109375" style="33" customWidth="1"/>
    <col min="13" max="13" width="11.00390625" style="33" bestFit="1" customWidth="1"/>
    <col min="14" max="16384" width="8.8515625" style="33" customWidth="1"/>
  </cols>
  <sheetData>
    <row r="1" spans="1:11" ht="15">
      <c r="A1" s="536"/>
      <c r="B1" s="537" t="s">
        <v>692</v>
      </c>
      <c r="C1" s="538"/>
      <c r="D1" s="538"/>
      <c r="E1" s="538"/>
      <c r="F1" s="538"/>
      <c r="G1" s="538"/>
      <c r="H1" s="538"/>
      <c r="I1" s="541">
        <f>SUM(I15,I28,I11,I22,I25,I8,I32,I35,I38)</f>
        <v>8638.83</v>
      </c>
      <c r="J1" s="542"/>
      <c r="K1" s="515">
        <f>SUM(K8+K11+K15+K22+K25+K28+K32+K35+K38+K43)</f>
        <v>9106.44</v>
      </c>
    </row>
    <row r="2" spans="1:11" ht="15">
      <c r="A2" s="536"/>
      <c r="B2" s="539"/>
      <c r="C2" s="540"/>
      <c r="D2" s="540"/>
      <c r="E2" s="540"/>
      <c r="F2" s="540"/>
      <c r="G2" s="540"/>
      <c r="H2" s="540"/>
      <c r="I2" s="543"/>
      <c r="J2" s="544"/>
      <c r="K2" s="516"/>
    </row>
    <row r="3" spans="1:13" ht="15">
      <c r="A3" s="536"/>
      <c r="B3" s="534"/>
      <c r="C3" s="535"/>
      <c r="D3" s="535"/>
      <c r="E3" s="535"/>
      <c r="F3" s="535"/>
      <c r="G3" s="535"/>
      <c r="H3" s="535"/>
      <c r="I3" s="545" t="s">
        <v>487</v>
      </c>
      <c r="J3" s="546"/>
      <c r="K3" s="316" t="s">
        <v>109</v>
      </c>
      <c r="L3" s="309" t="s">
        <v>447</v>
      </c>
      <c r="M3" s="34">
        <v>16070.43</v>
      </c>
    </row>
    <row r="4" spans="2:13" ht="15">
      <c r="B4" s="533"/>
      <c r="C4" s="533"/>
      <c r="D4" s="533"/>
      <c r="E4" s="533"/>
      <c r="F4" s="533"/>
      <c r="G4" s="533"/>
      <c r="H4" s="533"/>
      <c r="I4" s="533"/>
      <c r="J4" s="533"/>
      <c r="L4" s="309" t="s">
        <v>448</v>
      </c>
      <c r="M4" s="34">
        <v>13129.99</v>
      </c>
    </row>
    <row r="5" spans="2:10" ht="15">
      <c r="B5" s="488" t="s">
        <v>488</v>
      </c>
      <c r="C5" s="488"/>
      <c r="D5" s="488"/>
      <c r="E5" s="488"/>
      <c r="F5" s="488" t="s">
        <v>435</v>
      </c>
      <c r="G5" s="488"/>
      <c r="H5" s="488"/>
      <c r="I5" s="488"/>
      <c r="J5" s="488"/>
    </row>
    <row r="6" spans="2:11" ht="51" customHeight="1">
      <c r="B6" s="532" t="s">
        <v>490</v>
      </c>
      <c r="C6" s="532"/>
      <c r="D6" s="532" t="s">
        <v>491</v>
      </c>
      <c r="E6" s="532"/>
      <c r="F6" s="24" t="s">
        <v>492</v>
      </c>
      <c r="G6" s="24" t="s">
        <v>493</v>
      </c>
      <c r="H6" s="24" t="s">
        <v>494</v>
      </c>
      <c r="I6" s="24" t="s">
        <v>495</v>
      </c>
      <c r="J6" s="24" t="s">
        <v>436</v>
      </c>
      <c r="K6" s="315" t="s">
        <v>111</v>
      </c>
    </row>
    <row r="7" spans="2:10" ht="15">
      <c r="B7" s="533"/>
      <c r="C7" s="533"/>
      <c r="D7" s="533"/>
      <c r="E7" s="533"/>
      <c r="F7" s="533"/>
      <c r="G7" s="533"/>
      <c r="H7" s="533"/>
      <c r="I7" s="533"/>
      <c r="J7" s="533"/>
    </row>
    <row r="8" spans="2:11" ht="15">
      <c r="B8" s="514" t="s">
        <v>497</v>
      </c>
      <c r="C8" s="514"/>
      <c r="D8" s="514"/>
      <c r="E8" s="514"/>
      <c r="F8" s="526"/>
      <c r="G8" s="526"/>
      <c r="H8" s="526"/>
      <c r="I8" s="529">
        <f>SUM(J9:J9)</f>
        <v>1500</v>
      </c>
      <c r="J8" s="529"/>
      <c r="K8" s="350">
        <f>K9</f>
        <v>1500</v>
      </c>
    </row>
    <row r="9" spans="1:11" ht="15">
      <c r="A9" s="33">
        <f>1</f>
        <v>1</v>
      </c>
      <c r="B9" s="508" t="s">
        <v>498</v>
      </c>
      <c r="C9" s="509"/>
      <c r="D9" s="509" t="s">
        <v>499</v>
      </c>
      <c r="E9" s="509"/>
      <c r="F9" s="95">
        <v>1500</v>
      </c>
      <c r="G9" s="1">
        <v>1</v>
      </c>
      <c r="H9" s="14">
        <f>F9*G9</f>
        <v>1500</v>
      </c>
      <c r="I9" s="15"/>
      <c r="J9" s="14">
        <f>H9+I9</f>
        <v>1500</v>
      </c>
      <c r="K9" s="350">
        <v>1500</v>
      </c>
    </row>
    <row r="10" spans="2:11" ht="15">
      <c r="B10" s="517"/>
      <c r="C10" s="517"/>
      <c r="D10" s="517"/>
      <c r="E10" s="517"/>
      <c r="F10" s="517"/>
      <c r="G10" s="517"/>
      <c r="H10" s="517"/>
      <c r="I10" s="517"/>
      <c r="J10" s="517"/>
      <c r="K10" s="34"/>
    </row>
    <row r="11" spans="2:11" ht="15">
      <c r="B11" s="526" t="s">
        <v>501</v>
      </c>
      <c r="C11" s="526"/>
      <c r="D11" s="526"/>
      <c r="E11" s="526"/>
      <c r="F11" s="526"/>
      <c r="G11" s="526"/>
      <c r="H11" s="526"/>
      <c r="I11" s="529">
        <f>SUM(J12:J13)</f>
        <v>943.43</v>
      </c>
      <c r="J11" s="529"/>
      <c r="K11" s="63">
        <f>K12+K13</f>
        <v>943.43</v>
      </c>
    </row>
    <row r="12" spans="1:11" ht="15">
      <c r="A12" s="33">
        <f>1+A9</f>
        <v>2</v>
      </c>
      <c r="B12" s="508" t="s">
        <v>502</v>
      </c>
      <c r="C12" s="509"/>
      <c r="D12" s="509" t="s">
        <v>503</v>
      </c>
      <c r="E12" s="510"/>
      <c r="F12" s="95">
        <v>43.43</v>
      </c>
      <c r="G12" s="8">
        <v>1</v>
      </c>
      <c r="H12" s="14">
        <f>F12*G12</f>
        <v>43.43</v>
      </c>
      <c r="I12" s="15"/>
      <c r="J12" s="14">
        <f>H12+I12</f>
        <v>43.43</v>
      </c>
      <c r="K12" s="63">
        <v>43.43</v>
      </c>
    </row>
    <row r="13" spans="1:11" ht="15">
      <c r="A13" s="33">
        <f>1+A12</f>
        <v>3</v>
      </c>
      <c r="B13" s="511" t="s">
        <v>504</v>
      </c>
      <c r="C13" s="512"/>
      <c r="D13" s="512" t="s">
        <v>505</v>
      </c>
      <c r="E13" s="513"/>
      <c r="F13" s="97">
        <v>60</v>
      </c>
      <c r="G13" s="12">
        <v>15</v>
      </c>
      <c r="H13" s="18">
        <f>F13*G13</f>
        <v>900</v>
      </c>
      <c r="I13" s="19"/>
      <c r="J13" s="18">
        <f>H13+I13</f>
        <v>900</v>
      </c>
      <c r="K13" s="63">
        <v>900</v>
      </c>
    </row>
    <row r="14" spans="2:11" s="20" customFormat="1" ht="15">
      <c r="B14" s="517"/>
      <c r="C14" s="517"/>
      <c r="D14" s="517"/>
      <c r="E14" s="517"/>
      <c r="F14" s="517"/>
      <c r="G14" s="517"/>
      <c r="H14" s="517"/>
      <c r="I14" s="517"/>
      <c r="J14" s="517"/>
      <c r="K14" s="56"/>
    </row>
    <row r="15" spans="2:11" ht="15">
      <c r="B15" s="514" t="s">
        <v>506</v>
      </c>
      <c r="C15" s="514"/>
      <c r="D15" s="514"/>
      <c r="E15" s="514"/>
      <c r="F15" s="514"/>
      <c r="G15" s="514"/>
      <c r="H15" s="514"/>
      <c r="I15" s="525">
        <f>SUM(J16:J20)</f>
        <v>3555</v>
      </c>
      <c r="J15" s="525"/>
      <c r="K15" s="63">
        <f>SUM(K16:K20)</f>
        <v>3474.25</v>
      </c>
    </row>
    <row r="16" spans="1:11" ht="15">
      <c r="A16" s="33">
        <f>A13+1</f>
        <v>4</v>
      </c>
      <c r="B16" s="508" t="s">
        <v>507</v>
      </c>
      <c r="C16" s="509"/>
      <c r="D16" s="509"/>
      <c r="E16" s="509"/>
      <c r="F16" s="95">
        <v>300</v>
      </c>
      <c r="G16" s="8">
        <v>4</v>
      </c>
      <c r="H16" s="14">
        <f>F16*G16</f>
        <v>1200</v>
      </c>
      <c r="I16" s="15">
        <f>H16*0.13</f>
        <v>156</v>
      </c>
      <c r="J16" s="14">
        <f>H16+I16</f>
        <v>1356</v>
      </c>
      <c r="K16" s="14">
        <f>284.76*3+261.03</f>
        <v>1115.31</v>
      </c>
    </row>
    <row r="17" spans="1:11" ht="15">
      <c r="A17" s="306">
        <f>A16+1</f>
        <v>5</v>
      </c>
      <c r="B17" s="527" t="s">
        <v>31</v>
      </c>
      <c r="C17" s="528"/>
      <c r="D17" s="528"/>
      <c r="E17" s="528"/>
      <c r="F17" s="96">
        <v>0</v>
      </c>
      <c r="G17" s="9">
        <v>0</v>
      </c>
      <c r="H17" s="16">
        <f>F17*G17</f>
        <v>0</v>
      </c>
      <c r="I17" s="17">
        <f>H17*0.13</f>
        <v>0</v>
      </c>
      <c r="J17" s="16">
        <f>H17+I17</f>
        <v>0</v>
      </c>
      <c r="K17" s="16">
        <v>0</v>
      </c>
    </row>
    <row r="18" spans="1:11" ht="15">
      <c r="A18" s="306">
        <f>A17+1</f>
        <v>6</v>
      </c>
      <c r="B18" s="527" t="s">
        <v>32</v>
      </c>
      <c r="C18" s="528"/>
      <c r="D18" s="528"/>
      <c r="E18" s="528"/>
      <c r="F18" s="96">
        <v>100</v>
      </c>
      <c r="G18" s="9">
        <v>3</v>
      </c>
      <c r="H18" s="16">
        <f>F18*G18</f>
        <v>300</v>
      </c>
      <c r="I18" s="17">
        <f>H18*0.13</f>
        <v>39</v>
      </c>
      <c r="J18" s="16">
        <f>H18+I18</f>
        <v>339</v>
      </c>
      <c r="K18" s="16">
        <f>70.36+84.85+59.6+60.1+162.03</f>
        <v>436.93999999999994</v>
      </c>
    </row>
    <row r="19" spans="1:11" ht="15">
      <c r="A19" s="306">
        <f>A18+1</f>
        <v>7</v>
      </c>
      <c r="B19" s="527" t="s">
        <v>33</v>
      </c>
      <c r="C19" s="528"/>
      <c r="D19" s="531"/>
      <c r="E19" s="531"/>
      <c r="F19" s="96">
        <v>20</v>
      </c>
      <c r="G19" s="9">
        <v>3</v>
      </c>
      <c r="H19" s="16">
        <f>F19*G19</f>
        <v>60</v>
      </c>
      <c r="I19" s="17"/>
      <c r="J19" s="16">
        <f>H19+I19</f>
        <v>60</v>
      </c>
      <c r="K19" s="16">
        <f>42+80</f>
        <v>122</v>
      </c>
    </row>
    <row r="20" spans="1:11" ht="15">
      <c r="A20" s="306">
        <f>A19+1</f>
        <v>8</v>
      </c>
      <c r="B20" s="511" t="s">
        <v>34</v>
      </c>
      <c r="C20" s="512"/>
      <c r="D20" s="530" t="s">
        <v>35</v>
      </c>
      <c r="E20" s="530"/>
      <c r="F20" s="97">
        <v>120</v>
      </c>
      <c r="G20" s="12">
        <v>15</v>
      </c>
      <c r="H20" s="18">
        <f>F20*G20</f>
        <v>1800</v>
      </c>
      <c r="I20" s="19"/>
      <c r="J20" s="18">
        <f>H20+I20</f>
        <v>1800</v>
      </c>
      <c r="K20" s="18">
        <v>1800</v>
      </c>
    </row>
    <row r="21" spans="2:11" ht="15">
      <c r="B21" s="517"/>
      <c r="C21" s="517"/>
      <c r="D21" s="517"/>
      <c r="E21" s="517"/>
      <c r="F21" s="517"/>
      <c r="G21" s="517"/>
      <c r="H21" s="517"/>
      <c r="I21" s="517"/>
      <c r="J21" s="517"/>
      <c r="K21" s="34"/>
    </row>
    <row r="22" spans="2:11" ht="15">
      <c r="B22" s="518" t="s">
        <v>217</v>
      </c>
      <c r="C22" s="519"/>
      <c r="D22" s="519"/>
      <c r="E22" s="519"/>
      <c r="F22" s="519"/>
      <c r="G22" s="519"/>
      <c r="H22" s="517"/>
      <c r="I22" s="529">
        <f>SUM(J23:J23)</f>
        <v>90.4</v>
      </c>
      <c r="J22" s="529"/>
      <c r="K22" s="63">
        <f>K23</f>
        <v>0</v>
      </c>
    </row>
    <row r="23" spans="1:11" ht="15">
      <c r="A23" s="33">
        <f>A20+1</f>
        <v>9</v>
      </c>
      <c r="B23" s="494" t="s">
        <v>25</v>
      </c>
      <c r="C23" s="505"/>
      <c r="D23" s="506" t="s">
        <v>218</v>
      </c>
      <c r="E23" s="507"/>
      <c r="F23" s="94">
        <v>40</v>
      </c>
      <c r="G23" s="307">
        <v>2</v>
      </c>
      <c r="H23" s="63">
        <f>F23*G23</f>
        <v>80</v>
      </c>
      <c r="I23" s="67">
        <f>H23*0.13</f>
        <v>10.4</v>
      </c>
      <c r="J23" s="63">
        <f>H23+I23</f>
        <v>90.4</v>
      </c>
      <c r="K23" s="63">
        <v>0</v>
      </c>
    </row>
    <row r="24" spans="2:11" ht="15">
      <c r="B24" s="504"/>
      <c r="C24" s="504"/>
      <c r="D24" s="504"/>
      <c r="E24" s="504"/>
      <c r="F24" s="504"/>
      <c r="G24" s="504"/>
      <c r="H24" s="504"/>
      <c r="I24" s="504"/>
      <c r="J24" s="504"/>
      <c r="K24" s="34"/>
    </row>
    <row r="25" spans="2:11" ht="15">
      <c r="B25" s="514" t="s">
        <v>216</v>
      </c>
      <c r="C25" s="514"/>
      <c r="D25" s="514"/>
      <c r="E25" s="514"/>
      <c r="F25" s="514"/>
      <c r="G25" s="514"/>
      <c r="H25" s="514"/>
      <c r="I25" s="525">
        <f>J26</f>
        <v>0</v>
      </c>
      <c r="J25" s="525"/>
      <c r="K25" s="63">
        <f>K26</f>
        <v>0</v>
      </c>
    </row>
    <row r="26" spans="1:11" ht="15">
      <c r="A26" s="33">
        <f>A23+1</f>
        <v>10</v>
      </c>
      <c r="B26" s="511" t="s">
        <v>147</v>
      </c>
      <c r="C26" s="512"/>
      <c r="D26" s="512" t="s">
        <v>543</v>
      </c>
      <c r="E26" s="513"/>
      <c r="F26" s="94">
        <v>0</v>
      </c>
      <c r="G26" s="23">
        <v>0</v>
      </c>
      <c r="H26" s="63">
        <f>F26*G26</f>
        <v>0</v>
      </c>
      <c r="I26" s="67"/>
      <c r="J26" s="63">
        <f>H26+I26</f>
        <v>0</v>
      </c>
      <c r="K26" s="63">
        <v>0</v>
      </c>
    </row>
    <row r="27" spans="2:11" ht="15">
      <c r="B27" s="504"/>
      <c r="C27" s="504"/>
      <c r="D27" s="504"/>
      <c r="E27" s="504"/>
      <c r="F27" s="517"/>
      <c r="G27" s="517"/>
      <c r="H27" s="517"/>
      <c r="I27" s="517"/>
      <c r="J27" s="517"/>
      <c r="K27" s="34"/>
    </row>
    <row r="28" spans="2:11" ht="15">
      <c r="B28" s="526" t="s">
        <v>544</v>
      </c>
      <c r="C28" s="526"/>
      <c r="D28" s="526"/>
      <c r="E28" s="526"/>
      <c r="F28" s="514"/>
      <c r="G28" s="514"/>
      <c r="H28" s="514"/>
      <c r="I28" s="525">
        <f>SUM(J29:J30)</f>
        <v>2080</v>
      </c>
      <c r="J28" s="525"/>
      <c r="K28" s="350">
        <f>K29+K30</f>
        <v>2044.75</v>
      </c>
    </row>
    <row r="29" spans="1:11" ht="15">
      <c r="A29" s="33">
        <f>A26+1</f>
        <v>11</v>
      </c>
      <c r="B29" s="508" t="s">
        <v>531</v>
      </c>
      <c r="C29" s="509"/>
      <c r="D29" s="509" t="s">
        <v>532</v>
      </c>
      <c r="E29" s="510"/>
      <c r="F29" s="224">
        <v>80</v>
      </c>
      <c r="G29" s="8">
        <v>10</v>
      </c>
      <c r="H29" s="14">
        <f>F29*G29</f>
        <v>800</v>
      </c>
      <c r="I29" s="14"/>
      <c r="J29" s="14">
        <f>H29+I29</f>
        <v>800</v>
      </c>
      <c r="K29" s="343">
        <v>799.72</v>
      </c>
    </row>
    <row r="30" spans="1:11" ht="15">
      <c r="A30" s="33">
        <f>A29+1</f>
        <v>12</v>
      </c>
      <c r="B30" s="511" t="s">
        <v>626</v>
      </c>
      <c r="C30" s="512"/>
      <c r="D30" s="512" t="s">
        <v>532</v>
      </c>
      <c r="E30" s="513"/>
      <c r="F30" s="225">
        <v>80</v>
      </c>
      <c r="G30" s="9">
        <v>16</v>
      </c>
      <c r="H30" s="16">
        <f>F30*G30</f>
        <v>1280</v>
      </c>
      <c r="I30" s="17"/>
      <c r="J30" s="16">
        <f>H30+I30</f>
        <v>1280</v>
      </c>
      <c r="K30" s="351">
        <v>1245.03</v>
      </c>
    </row>
    <row r="31" spans="2:11" ht="15">
      <c r="B31" s="504"/>
      <c r="C31" s="504"/>
      <c r="D31" s="504"/>
      <c r="E31" s="504"/>
      <c r="F31" s="517"/>
      <c r="G31" s="517"/>
      <c r="H31" s="517"/>
      <c r="I31" s="517"/>
      <c r="J31" s="517"/>
      <c r="K31" s="34"/>
    </row>
    <row r="32" spans="2:11" ht="15">
      <c r="B32" s="518" t="s">
        <v>627</v>
      </c>
      <c r="C32" s="519"/>
      <c r="D32" s="519"/>
      <c r="E32" s="519"/>
      <c r="F32" s="519"/>
      <c r="G32" s="519"/>
      <c r="H32" s="520"/>
      <c r="I32" s="521">
        <f>SUM(J33:J33)</f>
        <v>390</v>
      </c>
      <c r="J32" s="522"/>
      <c r="K32" s="63">
        <f>K33</f>
        <v>389.09</v>
      </c>
    </row>
    <row r="33" spans="1:11" ht="15">
      <c r="A33" s="33">
        <f>A30+1</f>
        <v>13</v>
      </c>
      <c r="B33" s="523" t="s">
        <v>628</v>
      </c>
      <c r="C33" s="524"/>
      <c r="D33" s="495" t="s">
        <v>629</v>
      </c>
      <c r="E33" s="496"/>
      <c r="F33" s="226">
        <v>30</v>
      </c>
      <c r="G33" s="12">
        <v>13</v>
      </c>
      <c r="H33" s="18">
        <f>G33*F33</f>
        <v>390</v>
      </c>
      <c r="I33" s="19"/>
      <c r="J33" s="18">
        <f>H33</f>
        <v>390</v>
      </c>
      <c r="K33" s="63">
        <v>389.09</v>
      </c>
    </row>
    <row r="34" ht="15">
      <c r="K34" s="34"/>
    </row>
    <row r="35" spans="2:11" ht="15">
      <c r="B35" s="498" t="s">
        <v>10</v>
      </c>
      <c r="C35" s="499"/>
      <c r="D35" s="499"/>
      <c r="E35" s="499"/>
      <c r="F35" s="500"/>
      <c r="G35" s="500"/>
      <c r="H35" s="501"/>
      <c r="I35" s="502">
        <f>J36</f>
        <v>80</v>
      </c>
      <c r="J35" s="503"/>
      <c r="K35" s="63">
        <f>K36</f>
        <v>92.75</v>
      </c>
    </row>
    <row r="36" spans="1:11" ht="15">
      <c r="A36" s="33">
        <f>A33+1</f>
        <v>14</v>
      </c>
      <c r="B36" s="497" t="s">
        <v>8</v>
      </c>
      <c r="C36" s="497"/>
      <c r="D36" s="497" t="s">
        <v>9</v>
      </c>
      <c r="E36" s="497"/>
      <c r="F36" s="63">
        <v>40</v>
      </c>
      <c r="G36" s="67">
        <v>2</v>
      </c>
      <c r="H36" s="63">
        <v>80</v>
      </c>
      <c r="I36" s="63"/>
      <c r="J36" s="63">
        <v>80</v>
      </c>
      <c r="K36" s="63">
        <v>92.75</v>
      </c>
    </row>
    <row r="37" ht="15">
      <c r="K37" s="34"/>
    </row>
    <row r="38" spans="2:11" ht="15">
      <c r="B38" s="489" t="s">
        <v>430</v>
      </c>
      <c r="C38" s="490"/>
      <c r="D38" s="490"/>
      <c r="E38" s="490"/>
      <c r="F38" s="490"/>
      <c r="G38" s="490"/>
      <c r="H38" s="491"/>
      <c r="I38" s="492">
        <f>SUM(J39:J39)</f>
        <v>0</v>
      </c>
      <c r="J38" s="493"/>
      <c r="K38" s="350">
        <f>SUM(K39:K41)</f>
        <v>457.17</v>
      </c>
    </row>
    <row r="39" spans="1:11" ht="15">
      <c r="A39" s="33">
        <f>A36+1</f>
        <v>15</v>
      </c>
      <c r="B39" s="494" t="s">
        <v>500</v>
      </c>
      <c r="C39" s="495"/>
      <c r="D39" s="495" t="s">
        <v>431</v>
      </c>
      <c r="E39" s="496"/>
      <c r="F39" s="79">
        <v>25</v>
      </c>
      <c r="G39" s="36">
        <v>0</v>
      </c>
      <c r="H39" s="21">
        <f>F39*G39</f>
        <v>0</v>
      </c>
      <c r="I39" s="22"/>
      <c r="J39" s="21">
        <f>H39+I39</f>
        <v>0</v>
      </c>
      <c r="K39" s="350"/>
    </row>
    <row r="40" spans="1:11" ht="15">
      <c r="A40" s="33">
        <v>16</v>
      </c>
      <c r="C40" s="33" t="s">
        <v>660</v>
      </c>
      <c r="K40" s="34">
        <v>30</v>
      </c>
    </row>
    <row r="41" spans="1:11" ht="15">
      <c r="A41" s="33">
        <v>17</v>
      </c>
      <c r="C41" s="33" t="s">
        <v>662</v>
      </c>
      <c r="K41" s="34">
        <v>427.17</v>
      </c>
    </row>
    <row r="43" spans="2:11" ht="15">
      <c r="B43" s="489" t="s">
        <v>661</v>
      </c>
      <c r="C43" s="490"/>
      <c r="D43" s="490"/>
      <c r="E43" s="490"/>
      <c r="F43" s="490"/>
      <c r="G43" s="490"/>
      <c r="H43" s="491"/>
      <c r="I43" s="492">
        <f>SUM(J44:J44)</f>
        <v>0</v>
      </c>
      <c r="J43" s="493"/>
      <c r="K43" s="350">
        <f>K44+K45</f>
        <v>205</v>
      </c>
    </row>
    <row r="44" spans="1:11" ht="15">
      <c r="A44" s="33">
        <v>1</v>
      </c>
      <c r="B44" s="494" t="s">
        <v>659</v>
      </c>
      <c r="C44" s="495"/>
      <c r="D44" s="495"/>
      <c r="E44" s="496"/>
      <c r="F44" s="79"/>
      <c r="G44" s="36">
        <v>0</v>
      </c>
      <c r="H44" s="21">
        <f>F44*G44</f>
        <v>0</v>
      </c>
      <c r="I44" s="22"/>
      <c r="J44" s="21">
        <f>H44+I44</f>
        <v>0</v>
      </c>
      <c r="K44" s="350">
        <v>480</v>
      </c>
    </row>
    <row r="45" spans="1:11" ht="15">
      <c r="A45" s="33">
        <v>2</v>
      </c>
      <c r="C45" s="33" t="s">
        <v>653</v>
      </c>
      <c r="K45" s="33">
        <f>(-255-20)</f>
        <v>-275</v>
      </c>
    </row>
  </sheetData>
  <sheetProtection/>
  <mergeCells count="70">
    <mergeCell ref="A1:A3"/>
    <mergeCell ref="B8:H8"/>
    <mergeCell ref="I8:J8"/>
    <mergeCell ref="B1:H2"/>
    <mergeCell ref="I1:J2"/>
    <mergeCell ref="I3:J3"/>
    <mergeCell ref="B4:J4"/>
    <mergeCell ref="B5:E5"/>
    <mergeCell ref="F5:J5"/>
    <mergeCell ref="B6:C6"/>
    <mergeCell ref="D6:E6"/>
    <mergeCell ref="B7:J7"/>
    <mergeCell ref="B3:H3"/>
    <mergeCell ref="B13:C13"/>
    <mergeCell ref="D13:E13"/>
    <mergeCell ref="B9:C9"/>
    <mergeCell ref="D9:E9"/>
    <mergeCell ref="B10:J10"/>
    <mergeCell ref="B11:H11"/>
    <mergeCell ref="I11:J11"/>
    <mergeCell ref="B12:C12"/>
    <mergeCell ref="D12:E12"/>
    <mergeCell ref="B18:C18"/>
    <mergeCell ref="D18:E18"/>
    <mergeCell ref="B19:C19"/>
    <mergeCell ref="D19:E19"/>
    <mergeCell ref="B14:J14"/>
    <mergeCell ref="B15:H15"/>
    <mergeCell ref="I15:J15"/>
    <mergeCell ref="B16:C16"/>
    <mergeCell ref="D16:E16"/>
    <mergeCell ref="B17:C17"/>
    <mergeCell ref="D17:E17"/>
    <mergeCell ref="B22:H22"/>
    <mergeCell ref="I22:J22"/>
    <mergeCell ref="B20:C20"/>
    <mergeCell ref="D20:E20"/>
    <mergeCell ref="B21:J21"/>
    <mergeCell ref="I25:J25"/>
    <mergeCell ref="B26:C26"/>
    <mergeCell ref="D26:E26"/>
    <mergeCell ref="B27:J27"/>
    <mergeCell ref="B28:H28"/>
    <mergeCell ref="I28:J28"/>
    <mergeCell ref="K1:K2"/>
    <mergeCell ref="B38:H38"/>
    <mergeCell ref="I38:J38"/>
    <mergeCell ref="B39:C39"/>
    <mergeCell ref="D39:E39"/>
    <mergeCell ref="B31:J31"/>
    <mergeCell ref="B32:H32"/>
    <mergeCell ref="I32:J32"/>
    <mergeCell ref="B33:C33"/>
    <mergeCell ref="D33:E33"/>
    <mergeCell ref="B35:H35"/>
    <mergeCell ref="I35:J35"/>
    <mergeCell ref="B24:J24"/>
    <mergeCell ref="B23:C23"/>
    <mergeCell ref="D23:E23"/>
    <mergeCell ref="B29:C29"/>
    <mergeCell ref="D29:E29"/>
    <mergeCell ref="B30:C30"/>
    <mergeCell ref="D30:E30"/>
    <mergeCell ref="B25:H25"/>
    <mergeCell ref="B43:H43"/>
    <mergeCell ref="I43:J43"/>
    <mergeCell ref="B44:C44"/>
    <mergeCell ref="D44:E44"/>
    <mergeCell ref="B36:C36"/>
    <mergeCell ref="D36:E36"/>
  </mergeCells>
  <printOptions/>
  <pageMargins left="0.25" right="0.2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1" sqref="B1:H2"/>
    </sheetView>
  </sheetViews>
  <sheetFormatPr defaultColWidth="8.8515625" defaultRowHeight="15"/>
  <cols>
    <col min="1" max="1" width="4.421875" style="0" customWidth="1"/>
    <col min="2" max="3" width="15.7109375" style="0" customWidth="1"/>
    <col min="4" max="5" width="17.421875" style="0" customWidth="1"/>
    <col min="6" max="8" width="10.7109375" style="0" customWidth="1"/>
    <col min="9" max="9" width="9.7109375" style="0" customWidth="1"/>
    <col min="10" max="10" width="11.7109375" style="0" customWidth="1"/>
    <col min="11" max="11" width="11.421875" style="0" customWidth="1"/>
    <col min="12" max="12" width="15.7109375" style="0" customWidth="1"/>
    <col min="13" max="13" width="12.421875" style="0" customWidth="1"/>
  </cols>
  <sheetData>
    <row r="1" spans="1:11" ht="15">
      <c r="A1" s="429"/>
      <c r="B1" s="560" t="s">
        <v>693</v>
      </c>
      <c r="C1" s="561"/>
      <c r="D1" s="561"/>
      <c r="E1" s="561"/>
      <c r="F1" s="561"/>
      <c r="G1" s="561"/>
      <c r="H1" s="561"/>
      <c r="I1" s="557">
        <f>SUM(I8,I12,I16,I21)</f>
        <v>452.0019</v>
      </c>
      <c r="J1" s="482"/>
      <c r="K1" s="547">
        <f>SUM(K8+K12+K16+K21)</f>
        <v>0</v>
      </c>
    </row>
    <row r="2" spans="1:11" ht="15">
      <c r="A2" s="429"/>
      <c r="B2" s="562"/>
      <c r="C2" s="563"/>
      <c r="D2" s="563"/>
      <c r="E2" s="563"/>
      <c r="F2" s="563"/>
      <c r="G2" s="563"/>
      <c r="H2" s="563"/>
      <c r="I2" s="483"/>
      <c r="J2" s="484"/>
      <c r="K2" s="548"/>
    </row>
    <row r="3" spans="1:13" ht="15">
      <c r="A3" s="429"/>
      <c r="B3" s="475"/>
      <c r="C3" s="476"/>
      <c r="D3" s="476"/>
      <c r="E3" s="476"/>
      <c r="F3" s="476"/>
      <c r="G3" s="476"/>
      <c r="H3" s="476"/>
      <c r="I3" s="558" t="s">
        <v>487</v>
      </c>
      <c r="J3" s="559"/>
      <c r="K3" s="313" t="s">
        <v>108</v>
      </c>
      <c r="L3" s="309" t="s">
        <v>447</v>
      </c>
      <c r="M3" s="34">
        <v>512.95</v>
      </c>
    </row>
    <row r="4" spans="2:13" ht="15">
      <c r="B4" s="490"/>
      <c r="C4" s="490"/>
      <c r="D4" s="490"/>
      <c r="E4" s="490"/>
      <c r="F4" s="490"/>
      <c r="G4" s="490"/>
      <c r="H4" s="490"/>
      <c r="I4" s="490"/>
      <c r="J4" s="490"/>
      <c r="K4" s="117"/>
      <c r="L4" s="309" t="s">
        <v>448</v>
      </c>
      <c r="M4" s="34">
        <v>75</v>
      </c>
    </row>
    <row r="5" spans="2:11" ht="15">
      <c r="B5" s="487" t="s">
        <v>488</v>
      </c>
      <c r="C5" s="487"/>
      <c r="D5" s="487"/>
      <c r="E5" s="487"/>
      <c r="F5" s="488" t="s">
        <v>435</v>
      </c>
      <c r="G5" s="488"/>
      <c r="H5" s="488"/>
      <c r="I5" s="488"/>
      <c r="J5" s="488"/>
      <c r="K5" s="117"/>
    </row>
    <row r="6" spans="2:11" ht="30">
      <c r="B6" s="553" t="s">
        <v>490</v>
      </c>
      <c r="C6" s="553"/>
      <c r="D6" s="553" t="s">
        <v>491</v>
      </c>
      <c r="E6" s="553"/>
      <c r="F6" s="24" t="s">
        <v>492</v>
      </c>
      <c r="G6" s="24" t="s">
        <v>493</v>
      </c>
      <c r="H6" s="24" t="s">
        <v>494</v>
      </c>
      <c r="I6" s="24" t="s">
        <v>495</v>
      </c>
      <c r="J6" s="24" t="s">
        <v>148</v>
      </c>
      <c r="K6" s="317" t="s">
        <v>110</v>
      </c>
    </row>
    <row r="7" spans="2:10" ht="15">
      <c r="B7" s="549"/>
      <c r="C7" s="549"/>
      <c r="D7" s="549"/>
      <c r="E7" s="549"/>
      <c r="F7" s="549"/>
      <c r="G7" s="549"/>
      <c r="H7" s="549"/>
      <c r="I7" s="549"/>
      <c r="J7" s="549"/>
    </row>
    <row r="8" spans="2:11" ht="15">
      <c r="B8" s="565" t="s">
        <v>630</v>
      </c>
      <c r="C8" s="565"/>
      <c r="D8" s="565"/>
      <c r="E8" s="565"/>
      <c r="F8" s="565"/>
      <c r="G8" s="565"/>
      <c r="H8" s="566"/>
      <c r="I8" s="567">
        <f>SUM(J9:J10)</f>
        <v>56.4322</v>
      </c>
      <c r="J8" s="567"/>
      <c r="K8" s="22">
        <v>0</v>
      </c>
    </row>
    <row r="9" spans="1:11" ht="15">
      <c r="A9">
        <f>16</f>
        <v>16</v>
      </c>
      <c r="B9" s="564" t="s">
        <v>631</v>
      </c>
      <c r="C9" s="554"/>
      <c r="D9" s="554" t="s">
        <v>588</v>
      </c>
      <c r="E9" s="555"/>
      <c r="F9" s="75">
        <v>9.99</v>
      </c>
      <c r="G9" s="26">
        <v>4</v>
      </c>
      <c r="H9" s="27">
        <f>F9*G9</f>
        <v>39.96</v>
      </c>
      <c r="I9" s="3">
        <f>H9*0.13</f>
        <v>5.1948</v>
      </c>
      <c r="J9" s="2">
        <f>H9+I9</f>
        <v>45.1548</v>
      </c>
      <c r="K9" s="3">
        <v>0</v>
      </c>
    </row>
    <row r="10" spans="1:11" ht="15">
      <c r="A10">
        <v>17</v>
      </c>
      <c r="B10" s="552" t="s">
        <v>589</v>
      </c>
      <c r="C10" s="531"/>
      <c r="D10" s="531" t="s">
        <v>590</v>
      </c>
      <c r="E10" s="556"/>
      <c r="F10" s="76">
        <v>4.99</v>
      </c>
      <c r="G10" s="29">
        <v>2</v>
      </c>
      <c r="H10" s="30">
        <f>F10*G10</f>
        <v>9.98</v>
      </c>
      <c r="I10" s="11">
        <f>H10*0.13</f>
        <v>1.2974</v>
      </c>
      <c r="J10" s="10">
        <f>H10+I10</f>
        <v>11.2774</v>
      </c>
      <c r="K10" s="6">
        <v>0</v>
      </c>
    </row>
    <row r="11" spans="2:11" ht="15">
      <c r="B11" s="549"/>
      <c r="C11" s="549"/>
      <c r="D11" s="549"/>
      <c r="E11" s="549"/>
      <c r="F11" s="549"/>
      <c r="G11" s="549"/>
      <c r="H11" s="549"/>
      <c r="I11" s="549"/>
      <c r="J11" s="549"/>
      <c r="K11" s="64"/>
    </row>
    <row r="12" spans="2:11" ht="15">
      <c r="B12" s="518" t="s">
        <v>561</v>
      </c>
      <c r="C12" s="519"/>
      <c r="D12" s="519"/>
      <c r="E12" s="519"/>
      <c r="F12" s="519"/>
      <c r="G12" s="519"/>
      <c r="H12" s="520"/>
      <c r="I12" s="492">
        <f>SUM(J13:J14)</f>
        <v>72.2409</v>
      </c>
      <c r="J12" s="493"/>
      <c r="K12" s="22">
        <v>0</v>
      </c>
    </row>
    <row r="13" spans="1:11" ht="15">
      <c r="A13">
        <v>18</v>
      </c>
      <c r="B13" s="564" t="s">
        <v>631</v>
      </c>
      <c r="C13" s="554"/>
      <c r="D13" s="554" t="s">
        <v>562</v>
      </c>
      <c r="E13" s="555"/>
      <c r="F13" s="75">
        <v>9.99</v>
      </c>
      <c r="G13" s="26">
        <v>5</v>
      </c>
      <c r="H13" s="2">
        <f>F13*G13</f>
        <v>49.95</v>
      </c>
      <c r="I13" s="3">
        <f>H13*0.13</f>
        <v>6.493500000000001</v>
      </c>
      <c r="J13" s="2">
        <f>H13+I13</f>
        <v>56.4435</v>
      </c>
      <c r="K13" s="3">
        <v>0</v>
      </c>
    </row>
    <row r="14" spans="1:11" ht="15">
      <c r="A14">
        <v>19</v>
      </c>
      <c r="B14" s="550" t="s">
        <v>589</v>
      </c>
      <c r="C14" s="530"/>
      <c r="D14" s="530" t="s">
        <v>592</v>
      </c>
      <c r="E14" s="551"/>
      <c r="F14" s="77">
        <v>6.99</v>
      </c>
      <c r="G14" s="32">
        <v>2</v>
      </c>
      <c r="H14" s="5">
        <f>F14*G14</f>
        <v>13.98</v>
      </c>
      <c r="I14" s="6">
        <f>H14*0.13</f>
        <v>1.8174000000000001</v>
      </c>
      <c r="J14" s="5">
        <f>H14+I14</f>
        <v>15.7974</v>
      </c>
      <c r="K14" s="6">
        <v>0</v>
      </c>
    </row>
    <row r="15" spans="2:11" ht="15">
      <c r="B15" s="549"/>
      <c r="C15" s="549"/>
      <c r="D15" s="549"/>
      <c r="E15" s="549"/>
      <c r="F15" s="549"/>
      <c r="G15" s="549"/>
      <c r="H15" s="549"/>
      <c r="I15" s="549"/>
      <c r="J15" s="549"/>
      <c r="K15" s="64"/>
    </row>
    <row r="16" spans="2:11" ht="15">
      <c r="B16" s="489" t="s">
        <v>593</v>
      </c>
      <c r="C16" s="490"/>
      <c r="D16" s="490"/>
      <c r="E16" s="490"/>
      <c r="F16" s="490"/>
      <c r="G16" s="490"/>
      <c r="H16" s="491"/>
      <c r="I16" s="492">
        <f>SUM(J17:J19)</f>
        <v>248.3288</v>
      </c>
      <c r="J16" s="493"/>
      <c r="K16" s="22">
        <v>0</v>
      </c>
    </row>
    <row r="17" spans="1:11" ht="15">
      <c r="A17">
        <v>20</v>
      </c>
      <c r="B17" s="564" t="s">
        <v>631</v>
      </c>
      <c r="C17" s="554"/>
      <c r="D17" s="554" t="s">
        <v>594</v>
      </c>
      <c r="E17" s="555"/>
      <c r="F17" s="75">
        <v>9.99</v>
      </c>
      <c r="G17" s="26">
        <v>4</v>
      </c>
      <c r="H17" s="2">
        <f>F17*G17</f>
        <v>39.96</v>
      </c>
      <c r="I17" s="3">
        <f>H17*0.13</f>
        <v>5.1948</v>
      </c>
      <c r="J17" s="2">
        <f>H17+I17</f>
        <v>45.1548</v>
      </c>
      <c r="K17" s="3">
        <v>0</v>
      </c>
    </row>
    <row r="18" spans="1:11" ht="15">
      <c r="A18">
        <v>21</v>
      </c>
      <c r="B18" s="552" t="s">
        <v>589</v>
      </c>
      <c r="C18" s="531"/>
      <c r="D18" s="531" t="s">
        <v>428</v>
      </c>
      <c r="E18" s="556"/>
      <c r="F18" s="76">
        <v>4.99</v>
      </c>
      <c r="G18" s="29">
        <v>4</v>
      </c>
      <c r="H18" s="10">
        <f>F18*G18</f>
        <v>19.96</v>
      </c>
      <c r="I18" s="11">
        <f>H18*0.13</f>
        <v>2.5948</v>
      </c>
      <c r="J18" s="10">
        <f>H18+I18</f>
        <v>22.5548</v>
      </c>
      <c r="K18" s="11">
        <v>0</v>
      </c>
    </row>
    <row r="19" spans="1:11" ht="15">
      <c r="A19">
        <v>22</v>
      </c>
      <c r="B19" s="550" t="s">
        <v>631</v>
      </c>
      <c r="C19" s="530"/>
      <c r="D19" s="530" t="s">
        <v>429</v>
      </c>
      <c r="E19" s="551"/>
      <c r="F19" s="77">
        <v>9.99</v>
      </c>
      <c r="G19" s="32">
        <v>16</v>
      </c>
      <c r="H19" s="5">
        <f>F19*G19</f>
        <v>159.84</v>
      </c>
      <c r="I19" s="6">
        <f>H19*0.13</f>
        <v>20.7792</v>
      </c>
      <c r="J19" s="5">
        <f>H19+I19</f>
        <v>180.6192</v>
      </c>
      <c r="K19" s="6">
        <v>0</v>
      </c>
    </row>
    <row r="20" spans="2:11" ht="15">
      <c r="B20" s="568"/>
      <c r="C20" s="568"/>
      <c r="D20" s="568"/>
      <c r="E20" s="568"/>
      <c r="F20" s="568"/>
      <c r="G20" s="568"/>
      <c r="H20" s="568"/>
      <c r="I20" s="568"/>
      <c r="J20" s="568"/>
      <c r="K20" s="64"/>
    </row>
    <row r="21" spans="2:11" ht="15">
      <c r="B21" s="489" t="s">
        <v>430</v>
      </c>
      <c r="C21" s="490"/>
      <c r="D21" s="490"/>
      <c r="E21" s="490"/>
      <c r="F21" s="490"/>
      <c r="G21" s="490"/>
      <c r="H21" s="491"/>
      <c r="I21" s="492">
        <f>SUM(J22:J22)</f>
        <v>75</v>
      </c>
      <c r="J21" s="493"/>
      <c r="K21" s="22">
        <v>0</v>
      </c>
    </row>
    <row r="22" spans="1:11" ht="15">
      <c r="A22">
        <v>23</v>
      </c>
      <c r="B22" s="494" t="s">
        <v>500</v>
      </c>
      <c r="C22" s="495"/>
      <c r="D22" s="495" t="s">
        <v>431</v>
      </c>
      <c r="E22" s="496"/>
      <c r="F22" s="79">
        <v>25</v>
      </c>
      <c r="G22" s="36">
        <v>3</v>
      </c>
      <c r="H22" s="21">
        <f>F22*G22</f>
        <v>75</v>
      </c>
      <c r="I22" s="22"/>
      <c r="J22" s="21">
        <f>H22+I22</f>
        <v>75</v>
      </c>
      <c r="K22" s="22">
        <v>0</v>
      </c>
    </row>
    <row r="23" spans="3:9" ht="15">
      <c r="C23" s="33"/>
      <c r="D23" s="33"/>
      <c r="E23" s="33"/>
      <c r="F23" s="34"/>
      <c r="G23" s="34"/>
      <c r="H23" s="34"/>
      <c r="I23" s="34"/>
    </row>
    <row r="24" spans="3:9" ht="15">
      <c r="C24" s="33"/>
      <c r="D24" s="33"/>
      <c r="E24" s="33"/>
      <c r="F24" s="34"/>
      <c r="G24" s="34"/>
      <c r="H24" s="34"/>
      <c r="I24" s="34"/>
    </row>
    <row r="25" spans="2:9" ht="15">
      <c r="B25" s="35"/>
      <c r="I25" s="34"/>
    </row>
    <row r="26" spans="3:9" ht="15">
      <c r="C26" s="33"/>
      <c r="D26" s="33"/>
      <c r="E26" s="33"/>
      <c r="F26" s="34"/>
      <c r="G26" s="34"/>
      <c r="H26" s="34"/>
      <c r="I26" s="34"/>
    </row>
    <row r="27" spans="3:9" ht="15">
      <c r="C27" s="33"/>
      <c r="D27" s="33"/>
      <c r="E27" s="33"/>
      <c r="F27" s="34"/>
      <c r="G27" s="34"/>
      <c r="H27" s="34"/>
      <c r="I27" s="34"/>
    </row>
  </sheetData>
  <sheetProtection/>
  <mergeCells count="39">
    <mergeCell ref="D10:E10"/>
    <mergeCell ref="I21:J21"/>
    <mergeCell ref="B22:C22"/>
    <mergeCell ref="D22:E22"/>
    <mergeCell ref="B20:J20"/>
    <mergeCell ref="B19:C19"/>
    <mergeCell ref="D19:E19"/>
    <mergeCell ref="I16:J16"/>
    <mergeCell ref="B17:C17"/>
    <mergeCell ref="B3:H3"/>
    <mergeCell ref="B13:C13"/>
    <mergeCell ref="D13:E13"/>
    <mergeCell ref="B21:H21"/>
    <mergeCell ref="B16:H16"/>
    <mergeCell ref="B7:J7"/>
    <mergeCell ref="B8:H8"/>
    <mergeCell ref="I8:J8"/>
    <mergeCell ref="B9:C9"/>
    <mergeCell ref="D9:E9"/>
    <mergeCell ref="D17:E17"/>
    <mergeCell ref="B18:C18"/>
    <mergeCell ref="D18:E18"/>
    <mergeCell ref="A1:A3"/>
    <mergeCell ref="B4:J4"/>
    <mergeCell ref="I1:J2"/>
    <mergeCell ref="I3:J3"/>
    <mergeCell ref="B5:E5"/>
    <mergeCell ref="D6:E6"/>
    <mergeCell ref="B1:H2"/>
    <mergeCell ref="K1:K2"/>
    <mergeCell ref="B12:H12"/>
    <mergeCell ref="I12:J12"/>
    <mergeCell ref="B15:J15"/>
    <mergeCell ref="B11:J11"/>
    <mergeCell ref="B14:C14"/>
    <mergeCell ref="D14:E14"/>
    <mergeCell ref="B10:C10"/>
    <mergeCell ref="F5:J5"/>
    <mergeCell ref="B6:C6"/>
  </mergeCells>
  <printOptions/>
  <pageMargins left="0.25" right="0.2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K1" sqref="K1"/>
    </sheetView>
  </sheetViews>
  <sheetFormatPr defaultColWidth="8.8515625" defaultRowHeight="15"/>
  <cols>
    <col min="1" max="1" width="4.7109375" style="33" customWidth="1"/>
    <col min="2" max="3" width="15.7109375" style="33" customWidth="1"/>
    <col min="4" max="5" width="17.421875" style="33" customWidth="1"/>
    <col min="6" max="6" width="11.7109375" style="33" customWidth="1"/>
    <col min="7" max="7" width="13.140625" style="33" customWidth="1"/>
    <col min="8" max="8" width="10.7109375" style="33" customWidth="1"/>
    <col min="9" max="9" width="9.7109375" style="33" customWidth="1"/>
    <col min="10" max="10" width="11.7109375" style="33" customWidth="1"/>
    <col min="11" max="11" width="18.8515625" style="33" customWidth="1"/>
    <col min="12" max="12" width="18.28125" style="33" customWidth="1"/>
    <col min="13" max="13" width="16.7109375" style="33" customWidth="1"/>
    <col min="14" max="16384" width="8.8515625" style="33" customWidth="1"/>
  </cols>
  <sheetData>
    <row r="1" spans="1:11" ht="19.5" customHeight="1">
      <c r="A1" s="591"/>
      <c r="B1" s="592" t="s">
        <v>456</v>
      </c>
      <c r="C1" s="593"/>
      <c r="D1" s="593"/>
      <c r="E1" s="593"/>
      <c r="F1" s="593"/>
      <c r="G1" s="593"/>
      <c r="H1" s="593"/>
      <c r="I1" s="596">
        <f>SUM(I8,I13,I16,I28,I35,I41,I56,I60,I65,I69,I73,I77,I85)</f>
        <v>193974.543</v>
      </c>
      <c r="J1" s="597"/>
      <c r="K1" s="34">
        <f>SUM(K8:K100)</f>
        <v>167695.03999999995</v>
      </c>
    </row>
    <row r="2" spans="1:13" ht="13.5" customHeight="1">
      <c r="A2" s="591"/>
      <c r="B2" s="594"/>
      <c r="C2" s="595"/>
      <c r="D2" s="595"/>
      <c r="E2" s="595"/>
      <c r="F2" s="595"/>
      <c r="G2" s="595"/>
      <c r="H2" s="595"/>
      <c r="I2" s="598"/>
      <c r="J2" s="599"/>
      <c r="L2" s="310" t="s">
        <v>445</v>
      </c>
      <c r="M2" s="311">
        <v>202340.13</v>
      </c>
    </row>
    <row r="3" spans="1:13" ht="15">
      <c r="A3" s="591"/>
      <c r="B3" s="606"/>
      <c r="C3" s="607"/>
      <c r="D3" s="607"/>
      <c r="E3" s="607"/>
      <c r="F3" s="607"/>
      <c r="G3" s="607"/>
      <c r="H3" s="607"/>
      <c r="I3" s="581" t="s">
        <v>487</v>
      </c>
      <c r="J3" s="600"/>
      <c r="L3" s="310" t="s">
        <v>446</v>
      </c>
      <c r="M3" s="311">
        <v>204408.65</v>
      </c>
    </row>
    <row r="4" spans="2:10" ht="15">
      <c r="B4" s="588"/>
      <c r="C4" s="588"/>
      <c r="D4" s="588"/>
      <c r="E4" s="588"/>
      <c r="F4" s="588"/>
      <c r="G4" s="588"/>
      <c r="H4" s="588"/>
      <c r="I4" s="588"/>
      <c r="J4" s="588"/>
    </row>
    <row r="5" spans="2:10" ht="15">
      <c r="B5" s="601" t="s">
        <v>488</v>
      </c>
      <c r="C5" s="602"/>
      <c r="D5" s="602"/>
      <c r="E5" s="603"/>
      <c r="F5" s="601" t="s">
        <v>457</v>
      </c>
      <c r="G5" s="602"/>
      <c r="H5" s="602"/>
      <c r="I5" s="602"/>
      <c r="J5" s="603"/>
    </row>
    <row r="6" spans="2:10" ht="30">
      <c r="B6" s="604" t="s">
        <v>490</v>
      </c>
      <c r="C6" s="605"/>
      <c r="D6" s="604" t="s">
        <v>491</v>
      </c>
      <c r="E6" s="605"/>
      <c r="F6" s="118" t="s">
        <v>215</v>
      </c>
      <c r="G6" s="119" t="s">
        <v>452</v>
      </c>
      <c r="H6" s="118" t="s">
        <v>494</v>
      </c>
      <c r="I6" s="118" t="s">
        <v>398</v>
      </c>
      <c r="J6" s="118" t="s">
        <v>405</v>
      </c>
    </row>
    <row r="7" spans="2:10" ht="15">
      <c r="B7" s="588"/>
      <c r="C7" s="588"/>
      <c r="D7" s="588"/>
      <c r="E7" s="588"/>
      <c r="F7" s="588"/>
      <c r="G7" s="588"/>
      <c r="H7" s="588"/>
      <c r="I7" s="588"/>
      <c r="J7" s="588"/>
    </row>
    <row r="8" spans="2:10" ht="15">
      <c r="B8" s="587" t="s">
        <v>633</v>
      </c>
      <c r="C8" s="588"/>
      <c r="D8" s="588"/>
      <c r="E8" s="588"/>
      <c r="F8" s="588"/>
      <c r="G8" s="588"/>
      <c r="H8" s="589"/>
      <c r="I8" s="579">
        <f>SUM(J9:J11)</f>
        <v>22769.4774</v>
      </c>
      <c r="J8" s="580"/>
    </row>
    <row r="9" spans="1:11" ht="15">
      <c r="A9" s="33">
        <v>24</v>
      </c>
      <c r="B9" s="577" t="s">
        <v>632</v>
      </c>
      <c r="C9" s="569"/>
      <c r="D9" s="569"/>
      <c r="E9" s="570"/>
      <c r="F9" s="207">
        <v>35</v>
      </c>
      <c r="G9" s="195">
        <v>450</v>
      </c>
      <c r="H9" s="14">
        <f>F9*G9</f>
        <v>15750</v>
      </c>
      <c r="I9" s="15">
        <f>H9*0.13</f>
        <v>2047.5</v>
      </c>
      <c r="J9" s="14">
        <f>H9+I9</f>
        <v>17797.5</v>
      </c>
      <c r="K9" s="33">
        <v>17785.46</v>
      </c>
    </row>
    <row r="10" spans="1:11" ht="15">
      <c r="A10" s="33">
        <v>25</v>
      </c>
      <c r="B10" s="576" t="s">
        <v>406</v>
      </c>
      <c r="C10" s="574"/>
      <c r="D10" s="574"/>
      <c r="E10" s="575"/>
      <c r="F10" s="208">
        <v>399.98</v>
      </c>
      <c r="G10" s="197">
        <v>1</v>
      </c>
      <c r="H10" s="14">
        <f>F10*G10</f>
        <v>399.98</v>
      </c>
      <c r="I10" s="15">
        <f>H10*0.13</f>
        <v>51.997400000000006</v>
      </c>
      <c r="J10" s="14">
        <f>H10+I10</f>
        <v>451.97740000000005</v>
      </c>
      <c r="K10" s="33">
        <v>451.95</v>
      </c>
    </row>
    <row r="11" spans="1:11" ht="15">
      <c r="A11" s="33">
        <v>26</v>
      </c>
      <c r="B11" s="576" t="s">
        <v>567</v>
      </c>
      <c r="C11" s="574"/>
      <c r="D11" s="574"/>
      <c r="E11" s="575"/>
      <c r="F11" s="208">
        <v>4000</v>
      </c>
      <c r="G11" s="197">
        <v>1</v>
      </c>
      <c r="H11" s="16">
        <f>F11*G11</f>
        <v>4000</v>
      </c>
      <c r="I11" s="17">
        <f>H11*0.13</f>
        <v>520</v>
      </c>
      <c r="J11" s="16">
        <f>H11+I11</f>
        <v>4520</v>
      </c>
      <c r="K11" s="33">
        <v>4520</v>
      </c>
    </row>
    <row r="12" spans="2:10" ht="15">
      <c r="B12" s="571"/>
      <c r="C12" s="571"/>
      <c r="D12" s="571"/>
      <c r="E12" s="571"/>
      <c r="F12" s="571"/>
      <c r="G12" s="571"/>
      <c r="H12" s="571"/>
      <c r="I12" s="571"/>
      <c r="J12" s="571"/>
    </row>
    <row r="13" spans="2:10" ht="15">
      <c r="B13" s="587" t="s">
        <v>566</v>
      </c>
      <c r="C13" s="588"/>
      <c r="D13" s="588"/>
      <c r="E13" s="588"/>
      <c r="F13" s="588"/>
      <c r="G13" s="588"/>
      <c r="H13" s="589"/>
      <c r="I13" s="579">
        <f>J14</f>
        <v>169.5</v>
      </c>
      <c r="J13" s="580"/>
    </row>
    <row r="14" spans="1:11" ht="15">
      <c r="A14" s="20">
        <v>27</v>
      </c>
      <c r="B14" s="608" t="s">
        <v>536</v>
      </c>
      <c r="C14" s="609"/>
      <c r="D14" s="608" t="s">
        <v>254</v>
      </c>
      <c r="E14" s="609"/>
      <c r="F14" s="198">
        <v>150</v>
      </c>
      <c r="G14" s="199">
        <v>1</v>
      </c>
      <c r="H14" s="200">
        <f>G14*F14</f>
        <v>150</v>
      </c>
      <c r="I14" s="201">
        <f>H14*0.13</f>
        <v>19.5</v>
      </c>
      <c r="J14" s="201">
        <f>H14+I14</f>
        <v>169.5</v>
      </c>
      <c r="K14" s="33">
        <v>0</v>
      </c>
    </row>
    <row r="15" spans="2:10" ht="15">
      <c r="B15" s="571"/>
      <c r="C15" s="571"/>
      <c r="D15" s="571"/>
      <c r="E15" s="571"/>
      <c r="F15" s="571"/>
      <c r="G15" s="571"/>
      <c r="H15" s="571"/>
      <c r="I15" s="571"/>
      <c r="J15" s="571"/>
    </row>
    <row r="16" spans="2:10" ht="15">
      <c r="B16" s="587" t="s">
        <v>535</v>
      </c>
      <c r="C16" s="588"/>
      <c r="D16" s="588"/>
      <c r="E16" s="588"/>
      <c r="F16" s="588"/>
      <c r="G16" s="588"/>
      <c r="H16" s="589"/>
      <c r="I16" s="579">
        <f>SUM(J17:J26)</f>
        <v>35521.5328</v>
      </c>
      <c r="J16" s="580"/>
    </row>
    <row r="17" spans="1:11" ht="15">
      <c r="A17" s="33">
        <v>28</v>
      </c>
      <c r="B17" s="577" t="s">
        <v>30</v>
      </c>
      <c r="C17" s="569"/>
      <c r="D17" s="569"/>
      <c r="E17" s="570"/>
      <c r="F17" s="207">
        <f>246.1+14.78</f>
        <v>260.88</v>
      </c>
      <c r="G17" s="195">
        <v>12</v>
      </c>
      <c r="H17" s="14">
        <f aca="true" t="shared" si="0" ref="H17:H26">F17*G17</f>
        <v>3130.56</v>
      </c>
      <c r="I17" s="15">
        <f>H17*0.13</f>
        <v>406.9728</v>
      </c>
      <c r="J17" s="14">
        <f>H17+I17</f>
        <v>3537.5328</v>
      </c>
      <c r="K17" s="33">
        <v>3537.53</v>
      </c>
    </row>
    <row r="18" spans="1:11" ht="15">
      <c r="A18" s="33">
        <v>29</v>
      </c>
      <c r="B18" s="576" t="s">
        <v>255</v>
      </c>
      <c r="C18" s="574"/>
      <c r="D18" s="574" t="s">
        <v>256</v>
      </c>
      <c r="E18" s="575"/>
      <c r="F18" s="208">
        <v>0.012</v>
      </c>
      <c r="G18" s="197">
        <v>50000</v>
      </c>
      <c r="H18" s="14">
        <f t="shared" si="0"/>
        <v>600</v>
      </c>
      <c r="I18" s="15">
        <f>H18*0.13</f>
        <v>78</v>
      </c>
      <c r="J18" s="14">
        <f>H18+I18</f>
        <v>678</v>
      </c>
      <c r="K18" s="33">
        <f>849.84</f>
        <v>849.84</v>
      </c>
    </row>
    <row r="19" spans="1:11" ht="15">
      <c r="A19" s="20">
        <v>30</v>
      </c>
      <c r="B19" s="576" t="s">
        <v>29</v>
      </c>
      <c r="C19" s="574"/>
      <c r="D19" s="574" t="s">
        <v>28</v>
      </c>
      <c r="E19" s="575"/>
      <c r="F19" s="208">
        <v>54</v>
      </c>
      <c r="G19" s="197">
        <v>20</v>
      </c>
      <c r="H19" s="16">
        <f t="shared" si="0"/>
        <v>1080</v>
      </c>
      <c r="I19" s="17">
        <f>H19*0.13</f>
        <v>140.4</v>
      </c>
      <c r="J19" s="16">
        <f aca="true" t="shared" si="1" ref="J19:J25">H19+I19</f>
        <v>1220.4</v>
      </c>
      <c r="K19" s="33">
        <v>900.3</v>
      </c>
    </row>
    <row r="20" spans="1:11" ht="15">
      <c r="A20" s="20">
        <v>31</v>
      </c>
      <c r="B20" s="576" t="s">
        <v>27</v>
      </c>
      <c r="C20" s="574"/>
      <c r="D20" s="574"/>
      <c r="E20" s="575"/>
      <c r="F20" s="208">
        <v>15</v>
      </c>
      <c r="G20" s="197">
        <v>12</v>
      </c>
      <c r="H20" s="16">
        <f t="shared" si="0"/>
        <v>180</v>
      </c>
      <c r="I20" s="17">
        <f>H20*0.13</f>
        <v>23.400000000000002</v>
      </c>
      <c r="J20" s="16">
        <f t="shared" si="1"/>
        <v>203.4</v>
      </c>
      <c r="K20" s="33">
        <f>38+9.65+9.41+28.08+29+46.66+24+33.88+50.78</f>
        <v>269.46000000000004</v>
      </c>
    </row>
    <row r="21" spans="1:11" ht="15">
      <c r="A21" s="20">
        <v>32</v>
      </c>
      <c r="B21" s="576" t="s">
        <v>214</v>
      </c>
      <c r="C21" s="574"/>
      <c r="D21" s="590" t="s">
        <v>671</v>
      </c>
      <c r="E21" s="575"/>
      <c r="F21" s="208">
        <v>3400</v>
      </c>
      <c r="G21" s="197">
        <v>1</v>
      </c>
      <c r="H21" s="16">
        <f t="shared" si="0"/>
        <v>3400</v>
      </c>
      <c r="I21" s="17"/>
      <c r="J21" s="16">
        <f t="shared" si="1"/>
        <v>3400</v>
      </c>
      <c r="K21" s="33">
        <f>3400+1279.8</f>
        <v>4679.8</v>
      </c>
    </row>
    <row r="22" spans="1:11" ht="15">
      <c r="A22" s="20">
        <v>33</v>
      </c>
      <c r="B22" s="576" t="s">
        <v>365</v>
      </c>
      <c r="C22" s="574"/>
      <c r="D22" s="574" t="s">
        <v>363</v>
      </c>
      <c r="E22" s="575"/>
      <c r="F22" s="208">
        <v>407.1</v>
      </c>
      <c r="G22" s="197">
        <v>12</v>
      </c>
      <c r="H22" s="16">
        <f t="shared" si="0"/>
        <v>4885.200000000001</v>
      </c>
      <c r="I22" s="17"/>
      <c r="J22" s="16">
        <f t="shared" si="1"/>
        <v>4885.200000000001</v>
      </c>
      <c r="K22" s="33">
        <f>418.31*12</f>
        <v>5019.72</v>
      </c>
    </row>
    <row r="23" spans="1:11" ht="15">
      <c r="A23" s="20">
        <v>34</v>
      </c>
      <c r="B23" s="576" t="s">
        <v>364</v>
      </c>
      <c r="C23" s="574"/>
      <c r="D23" s="574" t="s">
        <v>363</v>
      </c>
      <c r="E23" s="575"/>
      <c r="F23" s="208">
        <v>25</v>
      </c>
      <c r="G23" s="197">
        <v>12</v>
      </c>
      <c r="H23" s="16">
        <f t="shared" si="0"/>
        <v>300</v>
      </c>
      <c r="I23" s="17"/>
      <c r="J23" s="16">
        <f t="shared" si="1"/>
        <v>300</v>
      </c>
      <c r="K23" s="33">
        <f>385.95</f>
        <v>385.95</v>
      </c>
    </row>
    <row r="24" spans="1:11" ht="15">
      <c r="A24" s="20">
        <v>35</v>
      </c>
      <c r="B24" s="576" t="s">
        <v>362</v>
      </c>
      <c r="C24" s="574"/>
      <c r="D24" s="574"/>
      <c r="E24" s="575"/>
      <c r="F24" s="208">
        <v>50</v>
      </c>
      <c r="G24" s="197">
        <v>4</v>
      </c>
      <c r="H24" s="16">
        <f t="shared" si="0"/>
        <v>200</v>
      </c>
      <c r="I24" s="17">
        <f>H24*0.13</f>
        <v>26</v>
      </c>
      <c r="J24" s="16">
        <f t="shared" si="1"/>
        <v>226</v>
      </c>
      <c r="K24" s="33">
        <f>2183.73-1531.1</f>
        <v>652.6300000000001</v>
      </c>
    </row>
    <row r="25" spans="1:11" ht="15">
      <c r="A25" s="20">
        <v>36</v>
      </c>
      <c r="B25" s="576" t="s">
        <v>361</v>
      </c>
      <c r="C25" s="574"/>
      <c r="D25" s="574" t="s">
        <v>486</v>
      </c>
      <c r="E25" s="575"/>
      <c r="F25" s="208">
        <v>1690</v>
      </c>
      <c r="G25" s="197">
        <v>12</v>
      </c>
      <c r="H25" s="16">
        <f t="shared" si="0"/>
        <v>20280</v>
      </c>
      <c r="I25" s="17"/>
      <c r="J25" s="16">
        <f t="shared" si="1"/>
        <v>20280</v>
      </c>
      <c r="K25" s="33">
        <v>20280</v>
      </c>
    </row>
    <row r="26" spans="1:11" ht="15">
      <c r="A26" s="20">
        <v>37</v>
      </c>
      <c r="B26" s="572" t="s">
        <v>641</v>
      </c>
      <c r="C26" s="573"/>
      <c r="D26" s="573"/>
      <c r="E26" s="578"/>
      <c r="F26" s="209">
        <v>700</v>
      </c>
      <c r="G26" s="196">
        <v>1</v>
      </c>
      <c r="H26" s="18">
        <f t="shared" si="0"/>
        <v>700</v>
      </c>
      <c r="I26" s="17">
        <f>H26*0.13</f>
        <v>91</v>
      </c>
      <c r="J26" s="18">
        <f>H26+I26</f>
        <v>791</v>
      </c>
      <c r="K26" s="33">
        <f>15.9+10.77+12.88+31.52+349.89+176.85</f>
        <v>597.81</v>
      </c>
    </row>
    <row r="27" spans="2:10" ht="15">
      <c r="B27" s="571"/>
      <c r="C27" s="571"/>
      <c r="D27" s="571"/>
      <c r="E27" s="571"/>
      <c r="F27" s="571"/>
      <c r="G27" s="571"/>
      <c r="H27" s="571"/>
      <c r="I27" s="571"/>
      <c r="J27" s="571"/>
    </row>
    <row r="28" spans="2:10" ht="15">
      <c r="B28" s="587" t="s">
        <v>640</v>
      </c>
      <c r="C28" s="588"/>
      <c r="D28" s="588"/>
      <c r="E28" s="588"/>
      <c r="F28" s="588"/>
      <c r="G28" s="588"/>
      <c r="H28" s="589"/>
      <c r="I28" s="579">
        <f>SUM(J29:J33)</f>
        <v>3270.8199999999997</v>
      </c>
      <c r="J28" s="580"/>
    </row>
    <row r="29" spans="1:11" ht="14.25" customHeight="1">
      <c r="A29" s="20">
        <v>38</v>
      </c>
      <c r="B29" s="576" t="s">
        <v>479</v>
      </c>
      <c r="C29" s="574"/>
      <c r="D29" s="574" t="s">
        <v>478</v>
      </c>
      <c r="E29" s="575"/>
      <c r="F29" s="208">
        <v>19</v>
      </c>
      <c r="G29" s="197">
        <v>26</v>
      </c>
      <c r="H29" s="16">
        <f>F29*G29</f>
        <v>494</v>
      </c>
      <c r="I29" s="17">
        <f>H29*0.13</f>
        <v>64.22</v>
      </c>
      <c r="J29" s="16">
        <f>H29+I29</f>
        <v>558.22</v>
      </c>
      <c r="K29" s="33">
        <f>545.55-50.78-33.88-24-46.66-29-28.08-9.41</f>
        <v>323.74</v>
      </c>
    </row>
    <row r="30" spans="1:11" ht="15">
      <c r="A30" s="20">
        <v>39</v>
      </c>
      <c r="B30" s="576" t="s">
        <v>477</v>
      </c>
      <c r="C30" s="574"/>
      <c r="D30" s="574" t="s">
        <v>476</v>
      </c>
      <c r="E30" s="575"/>
      <c r="F30" s="208">
        <v>89.05</v>
      </c>
      <c r="G30" s="197">
        <v>12</v>
      </c>
      <c r="H30" s="16">
        <f>F30*G30</f>
        <v>1068.6</v>
      </c>
      <c r="I30" s="17"/>
      <c r="J30" s="16">
        <f>H30+I30</f>
        <v>1068.6</v>
      </c>
      <c r="K30" s="33">
        <v>3336.43</v>
      </c>
    </row>
    <row r="31" spans="1:10" ht="15">
      <c r="A31" s="20">
        <v>40</v>
      </c>
      <c r="B31" s="576" t="s">
        <v>332</v>
      </c>
      <c r="C31" s="574"/>
      <c r="D31" s="574" t="s">
        <v>326</v>
      </c>
      <c r="E31" s="575"/>
      <c r="F31" s="208">
        <v>30</v>
      </c>
      <c r="G31" s="197">
        <v>3</v>
      </c>
      <c r="H31" s="16">
        <f>F31*G31</f>
        <v>90</v>
      </c>
      <c r="I31" s="17"/>
      <c r="J31" s="16">
        <f>H31+I31</f>
        <v>90</v>
      </c>
    </row>
    <row r="32" spans="1:10" ht="15">
      <c r="A32" s="20">
        <v>41</v>
      </c>
      <c r="B32" s="576" t="s">
        <v>325</v>
      </c>
      <c r="C32" s="574"/>
      <c r="D32" s="574" t="s">
        <v>518</v>
      </c>
      <c r="E32" s="575"/>
      <c r="F32" s="208">
        <v>1500</v>
      </c>
      <c r="G32" s="197">
        <v>1</v>
      </c>
      <c r="H32" s="16">
        <f>F32*G32</f>
        <v>1500</v>
      </c>
      <c r="I32" s="17"/>
      <c r="J32" s="16">
        <f>H32+I32</f>
        <v>1500</v>
      </c>
    </row>
    <row r="33" spans="1:10" ht="15">
      <c r="A33" s="20">
        <v>42</v>
      </c>
      <c r="B33" s="572" t="s">
        <v>517</v>
      </c>
      <c r="C33" s="573"/>
      <c r="D33" s="573" t="s">
        <v>516</v>
      </c>
      <c r="E33" s="578"/>
      <c r="F33" s="209">
        <v>0.09</v>
      </c>
      <c r="G33" s="196">
        <v>600</v>
      </c>
      <c r="H33" s="18">
        <f>F33*G33</f>
        <v>54</v>
      </c>
      <c r="I33" s="19"/>
      <c r="J33" s="18">
        <f>H33+I33</f>
        <v>54</v>
      </c>
    </row>
    <row r="34" spans="2:10" ht="15">
      <c r="B34" s="571"/>
      <c r="C34" s="571"/>
      <c r="D34" s="571"/>
      <c r="E34" s="571"/>
      <c r="F34" s="571"/>
      <c r="G34" s="571"/>
      <c r="H34" s="571"/>
      <c r="I34" s="571"/>
      <c r="J34" s="571"/>
    </row>
    <row r="35" spans="2:10" ht="15">
      <c r="B35" s="587" t="s">
        <v>515</v>
      </c>
      <c r="C35" s="588"/>
      <c r="D35" s="588"/>
      <c r="E35" s="588"/>
      <c r="F35" s="588"/>
      <c r="G35" s="588"/>
      <c r="H35" s="589"/>
      <c r="I35" s="579">
        <f>SUM(J36:J39)</f>
        <v>1830.6</v>
      </c>
      <c r="J35" s="580"/>
    </row>
    <row r="36" spans="1:11" ht="15">
      <c r="A36" s="20">
        <v>43</v>
      </c>
      <c r="B36" s="577" t="s">
        <v>514</v>
      </c>
      <c r="C36" s="569"/>
      <c r="D36" s="569" t="s">
        <v>513</v>
      </c>
      <c r="E36" s="570"/>
      <c r="F36" s="207">
        <v>120</v>
      </c>
      <c r="G36" s="195">
        <v>4.5</v>
      </c>
      <c r="H36" s="14">
        <f>F36*G36</f>
        <v>540</v>
      </c>
      <c r="I36" s="15">
        <f>H36*0.13</f>
        <v>70.2</v>
      </c>
      <c r="J36" s="14">
        <f>H36+I36</f>
        <v>610.2</v>
      </c>
      <c r="K36" s="33">
        <f>92.33+92.33+9.04+10.12+49.3</f>
        <v>253.12</v>
      </c>
    </row>
    <row r="37" spans="1:12" ht="15">
      <c r="A37" s="20">
        <v>44</v>
      </c>
      <c r="B37" s="576" t="s">
        <v>644</v>
      </c>
      <c r="C37" s="574"/>
      <c r="D37" s="574" t="s">
        <v>643</v>
      </c>
      <c r="E37" s="575"/>
      <c r="F37" s="208">
        <v>120</v>
      </c>
      <c r="G37" s="197">
        <v>3</v>
      </c>
      <c r="H37" s="16">
        <f>F37*G37</f>
        <v>360</v>
      </c>
      <c r="I37" s="17">
        <f>H37*0.13</f>
        <v>46.800000000000004</v>
      </c>
      <c r="J37" s="16">
        <f>H37+I37</f>
        <v>406.8</v>
      </c>
      <c r="K37" s="33">
        <v>0</v>
      </c>
      <c r="L37" s="33" t="s">
        <v>642</v>
      </c>
    </row>
    <row r="38" spans="1:11" ht="15">
      <c r="A38" s="20">
        <v>45</v>
      </c>
      <c r="B38" s="576" t="s">
        <v>388</v>
      </c>
      <c r="C38" s="574"/>
      <c r="D38" s="574" t="s">
        <v>387</v>
      </c>
      <c r="E38" s="575"/>
      <c r="F38" s="208">
        <v>30</v>
      </c>
      <c r="G38" s="197">
        <v>22</v>
      </c>
      <c r="H38" s="16">
        <f>F38*G38</f>
        <v>660</v>
      </c>
      <c r="I38" s="17">
        <f>H38*0.13</f>
        <v>85.8</v>
      </c>
      <c r="J38" s="16">
        <f>H38+I38</f>
        <v>745.8</v>
      </c>
      <c r="K38" s="33">
        <v>753.71</v>
      </c>
    </row>
    <row r="39" spans="1:11" ht="15">
      <c r="A39" s="20">
        <v>46</v>
      </c>
      <c r="B39" s="572" t="s">
        <v>386</v>
      </c>
      <c r="C39" s="573"/>
      <c r="D39" s="573" t="s">
        <v>385</v>
      </c>
      <c r="E39" s="578"/>
      <c r="F39" s="209">
        <v>15</v>
      </c>
      <c r="G39" s="196">
        <v>4</v>
      </c>
      <c r="H39" s="18">
        <f>F39*G39</f>
        <v>60</v>
      </c>
      <c r="I39" s="19">
        <f>H39*0.13</f>
        <v>7.800000000000001</v>
      </c>
      <c r="J39" s="18">
        <f>H39+I39</f>
        <v>67.8</v>
      </c>
      <c r="K39" s="33">
        <v>103.6</v>
      </c>
    </row>
    <row r="40" spans="2:10" ht="15">
      <c r="B40" s="571"/>
      <c r="C40" s="571"/>
      <c r="D40" s="571"/>
      <c r="E40" s="571"/>
      <c r="F40" s="571"/>
      <c r="G40" s="571"/>
      <c r="H40" s="571"/>
      <c r="I40" s="571"/>
      <c r="J40" s="571"/>
    </row>
    <row r="41" spans="2:10" ht="15">
      <c r="B41" s="587" t="s">
        <v>384</v>
      </c>
      <c r="C41" s="588"/>
      <c r="D41" s="588"/>
      <c r="E41" s="588"/>
      <c r="F41" s="588"/>
      <c r="G41" s="588"/>
      <c r="H41" s="589"/>
      <c r="I41" s="579">
        <f>SUM(J42:J54)</f>
        <v>5385</v>
      </c>
      <c r="J41" s="580"/>
    </row>
    <row r="42" spans="1:11" ht="15">
      <c r="A42" s="20">
        <v>47</v>
      </c>
      <c r="B42" s="577" t="s">
        <v>409</v>
      </c>
      <c r="C42" s="569"/>
      <c r="D42" s="569" t="s">
        <v>638</v>
      </c>
      <c r="E42" s="570"/>
      <c r="F42" s="207">
        <v>1000</v>
      </c>
      <c r="G42" s="202">
        <v>1</v>
      </c>
      <c r="H42" s="14">
        <f aca="true" t="shared" si="2" ref="H42:H54">F42*G42</f>
        <v>1000</v>
      </c>
      <c r="I42" s="14"/>
      <c r="J42" s="14">
        <f aca="true" t="shared" si="3" ref="J42:J54">H42+I42</f>
        <v>1000</v>
      </c>
      <c r="K42" s="33">
        <v>1000</v>
      </c>
    </row>
    <row r="43" spans="1:11" ht="15">
      <c r="A43" s="20">
        <v>48</v>
      </c>
      <c r="B43" s="552" t="s">
        <v>639</v>
      </c>
      <c r="C43" s="531"/>
      <c r="D43" s="574" t="s">
        <v>608</v>
      </c>
      <c r="E43" s="575"/>
      <c r="F43" s="208">
        <v>1</v>
      </c>
      <c r="G43" s="203">
        <v>684</v>
      </c>
      <c r="H43" s="16">
        <f>F43*G43</f>
        <v>684</v>
      </c>
      <c r="I43" s="16"/>
      <c r="J43" s="16">
        <f t="shared" si="3"/>
        <v>684</v>
      </c>
      <c r="K43" s="33">
        <v>700</v>
      </c>
    </row>
    <row r="44" spans="1:11" ht="15">
      <c r="A44" s="20">
        <v>49</v>
      </c>
      <c r="B44" s="576" t="s">
        <v>232</v>
      </c>
      <c r="C44" s="574"/>
      <c r="D44" s="574" t="s">
        <v>608</v>
      </c>
      <c r="E44" s="575"/>
      <c r="F44" s="208">
        <v>1</v>
      </c>
      <c r="G44" s="203">
        <v>664</v>
      </c>
      <c r="H44" s="16">
        <f>F44*G44</f>
        <v>664</v>
      </c>
      <c r="I44" s="16"/>
      <c r="J44" s="16">
        <f t="shared" si="3"/>
        <v>664</v>
      </c>
      <c r="K44" s="33">
        <v>719</v>
      </c>
    </row>
    <row r="45" spans="1:11" ht="15">
      <c r="A45" s="20">
        <v>50</v>
      </c>
      <c r="B45" s="576" t="s">
        <v>231</v>
      </c>
      <c r="C45" s="574"/>
      <c r="D45" s="574" t="s">
        <v>608</v>
      </c>
      <c r="E45" s="575"/>
      <c r="F45" s="208">
        <v>1</v>
      </c>
      <c r="G45" s="203">
        <v>848</v>
      </c>
      <c r="H45" s="16">
        <f>F45*G45</f>
        <v>848</v>
      </c>
      <c r="I45" s="16"/>
      <c r="J45" s="16">
        <f t="shared" si="3"/>
        <v>848</v>
      </c>
      <c r="K45" s="20">
        <v>676</v>
      </c>
    </row>
    <row r="46" spans="1:11" ht="15">
      <c r="A46" s="20">
        <v>51</v>
      </c>
      <c r="B46" s="576" t="s">
        <v>230</v>
      </c>
      <c r="C46" s="574"/>
      <c r="D46" s="574" t="s">
        <v>608</v>
      </c>
      <c r="E46" s="575"/>
      <c r="F46" s="208">
        <v>1</v>
      </c>
      <c r="G46" s="203">
        <f>41+48+44</f>
        <v>133</v>
      </c>
      <c r="H46" s="16">
        <f t="shared" si="2"/>
        <v>133</v>
      </c>
      <c r="I46" s="16"/>
      <c r="J46" s="16">
        <f t="shared" si="3"/>
        <v>133</v>
      </c>
      <c r="K46" s="20">
        <v>114</v>
      </c>
    </row>
    <row r="47" spans="1:11" ht="15">
      <c r="A47" s="20">
        <v>52</v>
      </c>
      <c r="B47" s="576" t="s">
        <v>229</v>
      </c>
      <c r="C47" s="574"/>
      <c r="D47" s="574" t="s">
        <v>608</v>
      </c>
      <c r="E47" s="575"/>
      <c r="F47" s="208">
        <v>1</v>
      </c>
      <c r="G47" s="203">
        <f>110+100+122</f>
        <v>332</v>
      </c>
      <c r="H47" s="16">
        <f t="shared" si="2"/>
        <v>332</v>
      </c>
      <c r="I47" s="16"/>
      <c r="J47" s="16">
        <f t="shared" si="3"/>
        <v>332</v>
      </c>
      <c r="K47" s="33">
        <v>334</v>
      </c>
    </row>
    <row r="48" spans="1:11" ht="15">
      <c r="A48" s="20">
        <v>53</v>
      </c>
      <c r="B48" s="576" t="s">
        <v>383</v>
      </c>
      <c r="C48" s="574"/>
      <c r="D48" s="574" t="s">
        <v>608</v>
      </c>
      <c r="E48" s="575"/>
      <c r="F48" s="208">
        <v>1</v>
      </c>
      <c r="G48" s="203">
        <f>28+25+48</f>
        <v>101</v>
      </c>
      <c r="H48" s="16">
        <f t="shared" si="2"/>
        <v>101</v>
      </c>
      <c r="I48" s="16"/>
      <c r="J48" s="16">
        <f t="shared" si="3"/>
        <v>101</v>
      </c>
      <c r="K48" s="33">
        <v>96</v>
      </c>
    </row>
    <row r="49" spans="1:11" ht="15">
      <c r="A49" s="20">
        <v>54</v>
      </c>
      <c r="B49" s="576" t="s">
        <v>382</v>
      </c>
      <c r="C49" s="574"/>
      <c r="D49" s="574" t="s">
        <v>608</v>
      </c>
      <c r="E49" s="575"/>
      <c r="F49" s="208">
        <v>1</v>
      </c>
      <c r="G49" s="203">
        <f>49+15+18+57+69+29</f>
        <v>237</v>
      </c>
      <c r="H49" s="16">
        <f t="shared" si="2"/>
        <v>237</v>
      </c>
      <c r="I49" s="16"/>
      <c r="J49" s="16">
        <f t="shared" si="3"/>
        <v>237</v>
      </c>
      <c r="K49" s="33">
        <v>237</v>
      </c>
    </row>
    <row r="50" spans="1:11" ht="15">
      <c r="A50" s="20">
        <v>55</v>
      </c>
      <c r="B50" s="576" t="s">
        <v>585</v>
      </c>
      <c r="C50" s="574"/>
      <c r="D50" s="574" t="s">
        <v>608</v>
      </c>
      <c r="E50" s="575"/>
      <c r="F50" s="208">
        <v>1</v>
      </c>
      <c r="G50" s="203">
        <f>54+65+68</f>
        <v>187</v>
      </c>
      <c r="H50" s="16">
        <f t="shared" si="2"/>
        <v>187</v>
      </c>
      <c r="I50" s="16"/>
      <c r="J50" s="16">
        <f t="shared" si="3"/>
        <v>187</v>
      </c>
      <c r="K50" s="33">
        <v>165</v>
      </c>
    </row>
    <row r="51" spans="1:11" ht="15">
      <c r="A51" s="20">
        <v>56</v>
      </c>
      <c r="B51" s="576" t="s">
        <v>584</v>
      </c>
      <c r="C51" s="574"/>
      <c r="D51" s="574" t="s">
        <v>608</v>
      </c>
      <c r="E51" s="575"/>
      <c r="F51" s="208">
        <v>1</v>
      </c>
      <c r="G51" s="203">
        <f>48+20+29</f>
        <v>97</v>
      </c>
      <c r="H51" s="16">
        <f t="shared" si="2"/>
        <v>97</v>
      </c>
      <c r="I51" s="16"/>
      <c r="J51" s="16">
        <f t="shared" si="3"/>
        <v>97</v>
      </c>
      <c r="K51" s="33">
        <v>75</v>
      </c>
    </row>
    <row r="52" spans="1:11" ht="15">
      <c r="A52" s="20">
        <v>57</v>
      </c>
      <c r="B52" s="576" t="s">
        <v>583</v>
      </c>
      <c r="C52" s="574"/>
      <c r="D52" s="574" t="s">
        <v>608</v>
      </c>
      <c r="E52" s="575"/>
      <c r="F52" s="208">
        <v>1</v>
      </c>
      <c r="G52" s="203">
        <f>71+29+54</f>
        <v>154</v>
      </c>
      <c r="H52" s="16">
        <f t="shared" si="2"/>
        <v>154</v>
      </c>
      <c r="I52" s="16"/>
      <c r="J52" s="16">
        <f t="shared" si="3"/>
        <v>154</v>
      </c>
      <c r="K52" s="33">
        <v>129</v>
      </c>
    </row>
    <row r="53" spans="1:11" ht="15">
      <c r="A53" s="20">
        <v>58</v>
      </c>
      <c r="B53" s="576" t="s">
        <v>582</v>
      </c>
      <c r="C53" s="574"/>
      <c r="D53" s="574" t="s">
        <v>608</v>
      </c>
      <c r="E53" s="575"/>
      <c r="F53" s="208">
        <v>1</v>
      </c>
      <c r="G53" s="203">
        <f>149+183+227</f>
        <v>559</v>
      </c>
      <c r="H53" s="16">
        <f t="shared" si="2"/>
        <v>559</v>
      </c>
      <c r="I53" s="16"/>
      <c r="J53" s="16">
        <f t="shared" si="3"/>
        <v>559</v>
      </c>
      <c r="K53" s="33">
        <v>538</v>
      </c>
    </row>
    <row r="54" spans="1:11" ht="15">
      <c r="A54" s="20">
        <v>59</v>
      </c>
      <c r="B54" s="572" t="s">
        <v>609</v>
      </c>
      <c r="C54" s="573"/>
      <c r="D54" s="573" t="s">
        <v>608</v>
      </c>
      <c r="E54" s="578"/>
      <c r="F54" s="209">
        <v>1</v>
      </c>
      <c r="G54" s="204">
        <f>112+119+158</f>
        <v>389</v>
      </c>
      <c r="H54" s="18">
        <f t="shared" si="2"/>
        <v>389</v>
      </c>
      <c r="I54" s="18"/>
      <c r="J54" s="18">
        <f t="shared" si="3"/>
        <v>389</v>
      </c>
      <c r="K54" s="33">
        <v>404</v>
      </c>
    </row>
    <row r="55" spans="2:10" ht="15">
      <c r="B55" s="571"/>
      <c r="C55" s="571"/>
      <c r="D55" s="571"/>
      <c r="E55" s="571"/>
      <c r="F55" s="571"/>
      <c r="G55" s="571"/>
      <c r="H55" s="571"/>
      <c r="I55" s="571"/>
      <c r="J55" s="571"/>
    </row>
    <row r="56" spans="2:10" ht="15">
      <c r="B56" s="587" t="s">
        <v>620</v>
      </c>
      <c r="C56" s="588"/>
      <c r="D56" s="588"/>
      <c r="E56" s="588"/>
      <c r="F56" s="588"/>
      <c r="G56" s="588"/>
      <c r="H56" s="589"/>
      <c r="I56" s="579">
        <f>SUM(J57:J58)</f>
        <v>1971.1728</v>
      </c>
      <c r="J56" s="580"/>
    </row>
    <row r="57" spans="1:11" ht="15">
      <c r="A57" s="20">
        <v>60</v>
      </c>
      <c r="B57" s="577" t="s">
        <v>619</v>
      </c>
      <c r="C57" s="569"/>
      <c r="D57" s="569" t="s">
        <v>618</v>
      </c>
      <c r="E57" s="570"/>
      <c r="F57" s="207">
        <v>739.97</v>
      </c>
      <c r="G57" s="195">
        <v>1</v>
      </c>
      <c r="H57" s="14">
        <f>F57*G57</f>
        <v>739.97</v>
      </c>
      <c r="I57" s="15"/>
      <c r="J57" s="14">
        <f>H57+I57</f>
        <v>739.97</v>
      </c>
      <c r="K57" s="20">
        <v>729.56</v>
      </c>
    </row>
    <row r="58" spans="1:11" ht="15">
      <c r="A58" s="20">
        <v>61</v>
      </c>
      <c r="B58" s="576" t="s">
        <v>602</v>
      </c>
      <c r="C58" s="574"/>
      <c r="D58" s="574" t="s">
        <v>601</v>
      </c>
      <c r="E58" s="575"/>
      <c r="F58" s="208">
        <v>1089.56</v>
      </c>
      <c r="G58" s="197">
        <v>1</v>
      </c>
      <c r="H58" s="16">
        <f>F58*G58</f>
        <v>1089.56</v>
      </c>
      <c r="I58" s="17">
        <f>H58*0.13</f>
        <v>141.6428</v>
      </c>
      <c r="J58" s="40">
        <f>H58+I58</f>
        <v>1231.2028</v>
      </c>
      <c r="K58" s="33">
        <v>1231.2</v>
      </c>
    </row>
    <row r="59" spans="2:10" ht="15">
      <c r="B59" s="571"/>
      <c r="C59" s="571"/>
      <c r="D59" s="571"/>
      <c r="E59" s="571"/>
      <c r="F59" s="571"/>
      <c r="G59" s="571"/>
      <c r="H59" s="571"/>
      <c r="I59" s="571"/>
      <c r="J59" s="571"/>
    </row>
    <row r="60" spans="2:10" ht="15">
      <c r="B60" s="587" t="s">
        <v>437</v>
      </c>
      <c r="C60" s="588"/>
      <c r="D60" s="588"/>
      <c r="E60" s="588"/>
      <c r="F60" s="588"/>
      <c r="G60" s="588"/>
      <c r="H60" s="589"/>
      <c r="I60" s="579">
        <f>SUM(J61:J63)</f>
        <v>65558.37</v>
      </c>
      <c r="J60" s="580"/>
    </row>
    <row r="61" spans="1:11" ht="15">
      <c r="A61" s="33">
        <v>62</v>
      </c>
      <c r="B61" s="577" t="s">
        <v>427</v>
      </c>
      <c r="C61" s="569"/>
      <c r="D61" s="569" t="s">
        <v>426</v>
      </c>
      <c r="E61" s="570"/>
      <c r="F61" s="207">
        <f>4232.25*1.03</f>
        <v>4359.2175</v>
      </c>
      <c r="G61" s="195">
        <v>12</v>
      </c>
      <c r="H61" s="14">
        <f>F61*G61</f>
        <v>52310.61</v>
      </c>
      <c r="I61" s="15"/>
      <c r="J61" s="14">
        <f>H61+I61</f>
        <v>52310.61</v>
      </c>
      <c r="K61" s="33">
        <v>65558.37</v>
      </c>
    </row>
    <row r="62" spans="1:10" ht="15">
      <c r="A62" s="20">
        <v>63</v>
      </c>
      <c r="B62" s="576" t="s">
        <v>425</v>
      </c>
      <c r="C62" s="574"/>
      <c r="D62" s="574"/>
      <c r="E62" s="575"/>
      <c r="F62" s="208">
        <v>1027.14</v>
      </c>
      <c r="G62" s="197">
        <v>12</v>
      </c>
      <c r="H62" s="16">
        <f>F62*G62</f>
        <v>12325.68</v>
      </c>
      <c r="I62" s="17"/>
      <c r="J62" s="16">
        <f>H62+I62</f>
        <v>12325.68</v>
      </c>
    </row>
    <row r="63" spans="1:11" ht="15">
      <c r="A63" s="20">
        <v>64</v>
      </c>
      <c r="B63" s="572" t="s">
        <v>33</v>
      </c>
      <c r="C63" s="573"/>
      <c r="D63" s="573" t="s">
        <v>424</v>
      </c>
      <c r="E63" s="578"/>
      <c r="F63" s="209">
        <v>922.08</v>
      </c>
      <c r="G63" s="196">
        <v>1</v>
      </c>
      <c r="H63" s="18">
        <f>F63*G63</f>
        <v>922.08</v>
      </c>
      <c r="I63" s="19"/>
      <c r="J63" s="18">
        <f>SUM(H63:I63)</f>
        <v>922.08</v>
      </c>
      <c r="K63" s="33">
        <v>966.15</v>
      </c>
    </row>
    <row r="64" spans="2:10" ht="15">
      <c r="B64" s="571"/>
      <c r="C64" s="571"/>
      <c r="D64" s="571"/>
      <c r="E64" s="571"/>
      <c r="F64" s="571"/>
      <c r="G64" s="571"/>
      <c r="H64" s="571"/>
      <c r="I64" s="571"/>
      <c r="J64" s="571"/>
    </row>
    <row r="65" spans="2:11" ht="15">
      <c r="B65" s="587" t="s">
        <v>423</v>
      </c>
      <c r="C65" s="588"/>
      <c r="D65" s="588"/>
      <c r="E65" s="588"/>
      <c r="F65" s="588"/>
      <c r="G65" s="588"/>
      <c r="H65" s="589"/>
      <c r="I65" s="579">
        <f>SUM(J66:J67)</f>
        <v>750</v>
      </c>
      <c r="J65" s="580"/>
      <c r="K65" s="33">
        <v>1695</v>
      </c>
    </row>
    <row r="66" spans="1:10" ht="15">
      <c r="A66" s="20">
        <v>65</v>
      </c>
      <c r="B66" s="577" t="s">
        <v>422</v>
      </c>
      <c r="C66" s="569"/>
      <c r="D66" s="569" t="s">
        <v>421</v>
      </c>
      <c r="E66" s="570"/>
      <c r="F66" s="75">
        <v>300</v>
      </c>
      <c r="G66" s="26">
        <v>15</v>
      </c>
      <c r="H66" s="14">
        <f>F66*G66</f>
        <v>4500</v>
      </c>
      <c r="I66" s="15"/>
      <c r="J66" s="14">
        <f>H66+I66</f>
        <v>4500</v>
      </c>
    </row>
    <row r="67" spans="1:10" ht="15">
      <c r="A67" s="20">
        <v>66</v>
      </c>
      <c r="B67" s="572" t="s">
        <v>420</v>
      </c>
      <c r="C67" s="573"/>
      <c r="D67" s="573"/>
      <c r="E67" s="578"/>
      <c r="F67" s="77">
        <v>-250</v>
      </c>
      <c r="G67" s="32">
        <v>15</v>
      </c>
      <c r="H67" s="18">
        <f>G67*F67</f>
        <v>-3750</v>
      </c>
      <c r="I67" s="19"/>
      <c r="J67" s="18">
        <f>H67</f>
        <v>-3750</v>
      </c>
    </row>
    <row r="68" spans="2:10" ht="15">
      <c r="B68" s="571"/>
      <c r="C68" s="571"/>
      <c r="D68" s="571"/>
      <c r="E68" s="571"/>
      <c r="F68" s="571"/>
      <c r="G68" s="571"/>
      <c r="H68" s="571"/>
      <c r="I68" s="571"/>
      <c r="J68" s="571"/>
    </row>
    <row r="69" spans="2:10" ht="15">
      <c r="B69" s="587" t="s">
        <v>560</v>
      </c>
      <c r="C69" s="588"/>
      <c r="D69" s="588"/>
      <c r="E69" s="588"/>
      <c r="F69" s="588"/>
      <c r="G69" s="588"/>
      <c r="H69" s="589"/>
      <c r="I69" s="610">
        <f>SUM(J70:J71)</f>
        <v>21470</v>
      </c>
      <c r="J69" s="611"/>
    </row>
    <row r="70" spans="1:11" ht="15">
      <c r="A70" s="33">
        <v>67</v>
      </c>
      <c r="B70" s="577" t="s">
        <v>559</v>
      </c>
      <c r="C70" s="569"/>
      <c r="D70" s="569" t="s">
        <v>415</v>
      </c>
      <c r="E70" s="570"/>
      <c r="F70" s="207">
        <v>11000</v>
      </c>
      <c r="G70" s="195">
        <v>1</v>
      </c>
      <c r="H70" s="205">
        <f>F70*G70</f>
        <v>11000</v>
      </c>
      <c r="I70" s="80">
        <f>H70*0.13</f>
        <v>1430</v>
      </c>
      <c r="J70" s="205">
        <f>H70+I70</f>
        <v>12430</v>
      </c>
      <c r="K70" s="33">
        <v>12234.83</v>
      </c>
    </row>
    <row r="71" spans="1:11" ht="15">
      <c r="A71" s="20">
        <v>68</v>
      </c>
      <c r="B71" s="572" t="s">
        <v>414</v>
      </c>
      <c r="C71" s="573"/>
      <c r="D71" s="573"/>
      <c r="E71" s="578"/>
      <c r="F71" s="209">
        <v>8000</v>
      </c>
      <c r="G71" s="196">
        <v>1</v>
      </c>
      <c r="H71" s="18">
        <f>F71*G71</f>
        <v>8000</v>
      </c>
      <c r="I71" s="19">
        <f>H71*0.13</f>
        <v>1040</v>
      </c>
      <c r="J71" s="18">
        <f>H71+I71</f>
        <v>9040</v>
      </c>
      <c r="K71" s="33">
        <v>11000</v>
      </c>
    </row>
    <row r="72" spans="1:10" ht="15">
      <c r="A72" s="20"/>
      <c r="B72" s="571"/>
      <c r="C72" s="571"/>
      <c r="D72" s="571"/>
      <c r="E72" s="571"/>
      <c r="F72" s="571"/>
      <c r="G72" s="571"/>
      <c r="H72" s="571"/>
      <c r="I72" s="571"/>
      <c r="J72" s="571"/>
    </row>
    <row r="73" spans="2:11" ht="15">
      <c r="B73" s="584" t="s">
        <v>413</v>
      </c>
      <c r="C73" s="585"/>
      <c r="D73" s="585"/>
      <c r="E73" s="585"/>
      <c r="F73" s="588"/>
      <c r="G73" s="588"/>
      <c r="H73" s="589"/>
      <c r="I73" s="579">
        <f>SUM(J74,J75)</f>
        <v>280</v>
      </c>
      <c r="J73" s="580"/>
      <c r="K73" s="33">
        <f>1973.35-108.1</f>
        <v>1865.25</v>
      </c>
    </row>
    <row r="74" spans="1:10" ht="15">
      <c r="A74" s="33">
        <v>69</v>
      </c>
      <c r="B74" s="577" t="s">
        <v>412</v>
      </c>
      <c r="C74" s="569"/>
      <c r="D74" s="569" t="s">
        <v>410</v>
      </c>
      <c r="E74" s="570"/>
      <c r="F74" s="227">
        <v>0.5</v>
      </c>
      <c r="G74" s="195">
        <v>260</v>
      </c>
      <c r="H74" s="205">
        <f>G74*F74</f>
        <v>130</v>
      </c>
      <c r="I74" s="206"/>
      <c r="J74" s="205">
        <f>H74</f>
        <v>130</v>
      </c>
    </row>
    <row r="75" spans="1:10" ht="15">
      <c r="A75" s="20">
        <v>70</v>
      </c>
      <c r="B75" s="572" t="s">
        <v>411</v>
      </c>
      <c r="C75" s="573"/>
      <c r="D75" s="573" t="s">
        <v>410</v>
      </c>
      <c r="E75" s="578"/>
      <c r="F75" s="228">
        <v>0.5</v>
      </c>
      <c r="G75" s="196">
        <v>300</v>
      </c>
      <c r="H75" s="18">
        <f>G75*F75</f>
        <v>150</v>
      </c>
      <c r="I75" s="19"/>
      <c r="J75" s="205">
        <f>H75</f>
        <v>150</v>
      </c>
    </row>
    <row r="76" spans="1:10" ht="15">
      <c r="A76" s="20"/>
      <c r="B76" s="581"/>
      <c r="C76" s="581"/>
      <c r="D76" s="581"/>
      <c r="E76" s="581"/>
      <c r="F76" s="571"/>
      <c r="G76" s="571"/>
      <c r="H76" s="571"/>
      <c r="I76" s="571"/>
      <c r="J76" s="571"/>
    </row>
    <row r="77" spans="1:10" ht="15">
      <c r="A77" s="20"/>
      <c r="B77" s="584" t="s">
        <v>260</v>
      </c>
      <c r="C77" s="585"/>
      <c r="D77" s="585"/>
      <c r="E77" s="585"/>
      <c r="F77" s="585"/>
      <c r="G77" s="585"/>
      <c r="H77" s="586"/>
      <c r="I77" s="582">
        <f>SUM(J78:J83)</f>
        <v>32697.520000000004</v>
      </c>
      <c r="J77" s="583"/>
    </row>
    <row r="78" spans="1:10" ht="15">
      <c r="A78" s="33">
        <v>71</v>
      </c>
      <c r="B78" s="577" t="s">
        <v>403</v>
      </c>
      <c r="C78" s="569"/>
      <c r="D78" s="569" t="s">
        <v>253</v>
      </c>
      <c r="E78" s="570"/>
      <c r="F78" s="227">
        <v>16.07</v>
      </c>
      <c r="G78" s="195">
        <v>560</v>
      </c>
      <c r="H78" s="14">
        <f>F78*G78</f>
        <v>8999.2</v>
      </c>
      <c r="I78" s="15"/>
      <c r="J78" s="14">
        <f>H78+I78</f>
        <v>8999.2</v>
      </c>
    </row>
    <row r="79" spans="1:10" ht="15">
      <c r="A79" s="20">
        <v>72</v>
      </c>
      <c r="B79" s="576" t="s">
        <v>434</v>
      </c>
      <c r="C79" s="574"/>
      <c r="D79" s="574" t="s">
        <v>253</v>
      </c>
      <c r="E79" s="575"/>
      <c r="F79" s="211">
        <v>16.07</v>
      </c>
      <c r="G79" s="197">
        <v>560</v>
      </c>
      <c r="H79" s="16">
        <f>F79*G79</f>
        <v>8999.2</v>
      </c>
      <c r="I79" s="17"/>
      <c r="J79" s="16">
        <f>H79+I79</f>
        <v>8999.2</v>
      </c>
    </row>
    <row r="80" spans="1:10" ht="15">
      <c r="A80" s="20">
        <v>73</v>
      </c>
      <c r="B80" s="576" t="s">
        <v>433</v>
      </c>
      <c r="C80" s="574"/>
      <c r="D80" s="574" t="s">
        <v>253</v>
      </c>
      <c r="E80" s="575"/>
      <c r="F80" s="211">
        <v>16.07</v>
      </c>
      <c r="G80" s="197">
        <v>560</v>
      </c>
      <c r="H80" s="16">
        <f>G80*F80</f>
        <v>8999.2</v>
      </c>
      <c r="I80" s="17"/>
      <c r="J80" s="16">
        <f>H80</f>
        <v>8999.2</v>
      </c>
    </row>
    <row r="81" spans="1:10" ht="15">
      <c r="A81" s="20">
        <v>74</v>
      </c>
      <c r="B81" s="576" t="s">
        <v>555</v>
      </c>
      <c r="C81" s="574"/>
      <c r="D81" s="574" t="s">
        <v>253</v>
      </c>
      <c r="E81" s="575"/>
      <c r="F81" s="211">
        <v>12</v>
      </c>
      <c r="G81" s="197">
        <v>280</v>
      </c>
      <c r="H81" s="16">
        <f>G81*F81</f>
        <v>3360</v>
      </c>
      <c r="I81" s="17"/>
      <c r="J81" s="16">
        <f>H81</f>
        <v>3360</v>
      </c>
    </row>
    <row r="82" spans="1:10" ht="15">
      <c r="A82" s="20">
        <v>75</v>
      </c>
      <c r="B82" s="576" t="s">
        <v>556</v>
      </c>
      <c r="C82" s="574"/>
      <c r="D82" s="574" t="s">
        <v>557</v>
      </c>
      <c r="E82" s="575"/>
      <c r="F82" s="211">
        <v>1300.02</v>
      </c>
      <c r="G82" s="197">
        <v>1</v>
      </c>
      <c r="H82" s="16">
        <f>G82*F82</f>
        <v>1300.02</v>
      </c>
      <c r="I82" s="17"/>
      <c r="J82" s="16">
        <f>H82</f>
        <v>1300.02</v>
      </c>
    </row>
    <row r="83" spans="1:10" ht="15">
      <c r="A83" s="20">
        <v>76</v>
      </c>
      <c r="B83" s="572" t="s">
        <v>558</v>
      </c>
      <c r="C83" s="573"/>
      <c r="D83" s="573" t="s">
        <v>557</v>
      </c>
      <c r="E83" s="578"/>
      <c r="F83" s="228">
        <v>1039.9</v>
      </c>
      <c r="G83" s="196">
        <v>1</v>
      </c>
      <c r="H83" s="16">
        <f>G83*F83</f>
        <v>1039.9</v>
      </c>
      <c r="I83" s="19"/>
      <c r="J83" s="16">
        <f>H83</f>
        <v>1039.9</v>
      </c>
    </row>
    <row r="84" spans="2:10" ht="15">
      <c r="B84" s="581"/>
      <c r="C84" s="581"/>
      <c r="D84" s="581"/>
      <c r="E84" s="581"/>
      <c r="F84" s="581"/>
      <c r="G84" s="581"/>
      <c r="H84" s="581"/>
      <c r="I84" s="581"/>
      <c r="J84" s="581"/>
    </row>
    <row r="85" spans="2:11" ht="15">
      <c r="B85" s="587" t="s">
        <v>404</v>
      </c>
      <c r="C85" s="588"/>
      <c r="D85" s="588"/>
      <c r="E85" s="588"/>
      <c r="F85" s="588"/>
      <c r="G85" s="588"/>
      <c r="H85" s="589"/>
      <c r="I85" s="579">
        <f>SUM(J86:J91)</f>
        <v>2300.5500000000006</v>
      </c>
      <c r="J85" s="580"/>
      <c r="K85" s="33">
        <v>2300.55</v>
      </c>
    </row>
    <row r="86" spans="1:10" ht="15">
      <c r="A86" s="20">
        <v>77</v>
      </c>
      <c r="B86" s="577" t="s">
        <v>403</v>
      </c>
      <c r="C86" s="569"/>
      <c r="D86" s="569" t="s">
        <v>432</v>
      </c>
      <c r="E86" s="570"/>
      <c r="F86" s="207">
        <v>16.07</v>
      </c>
      <c r="G86" s="195">
        <v>35</v>
      </c>
      <c r="H86" s="59">
        <f>F86*G86</f>
        <v>562.45</v>
      </c>
      <c r="I86" s="14"/>
      <c r="J86" s="14">
        <f>H86+I86</f>
        <v>562.45</v>
      </c>
    </row>
    <row r="87" spans="1:10" ht="15">
      <c r="A87" s="20">
        <v>78</v>
      </c>
      <c r="B87" s="576" t="s">
        <v>434</v>
      </c>
      <c r="C87" s="574"/>
      <c r="D87" s="574" t="s">
        <v>432</v>
      </c>
      <c r="E87" s="575"/>
      <c r="F87" s="208">
        <v>16.07</v>
      </c>
      <c r="G87" s="197">
        <v>35</v>
      </c>
      <c r="H87" s="46">
        <f>F87*G87</f>
        <v>562.45</v>
      </c>
      <c r="I87" s="16"/>
      <c r="J87" s="16">
        <f>H87+I87</f>
        <v>562.45</v>
      </c>
    </row>
    <row r="88" spans="1:10" ht="15">
      <c r="A88" s="20">
        <v>79</v>
      </c>
      <c r="B88" s="576" t="s">
        <v>433</v>
      </c>
      <c r="C88" s="574"/>
      <c r="D88" s="574" t="s">
        <v>432</v>
      </c>
      <c r="E88" s="575"/>
      <c r="F88" s="208">
        <v>16.07</v>
      </c>
      <c r="G88" s="197">
        <v>35</v>
      </c>
      <c r="H88" s="46">
        <f>G88*F88</f>
        <v>562.45</v>
      </c>
      <c r="I88" s="16"/>
      <c r="J88" s="16">
        <f>H88</f>
        <v>562.45</v>
      </c>
    </row>
    <row r="89" spans="1:10" ht="15">
      <c r="A89" s="20">
        <v>80</v>
      </c>
      <c r="B89" s="576" t="s">
        <v>555</v>
      </c>
      <c r="C89" s="574"/>
      <c r="D89" s="574" t="s">
        <v>432</v>
      </c>
      <c r="E89" s="575"/>
      <c r="F89" s="208">
        <v>12</v>
      </c>
      <c r="G89" s="197">
        <v>35</v>
      </c>
      <c r="H89" s="46">
        <f>G89*F89</f>
        <v>420</v>
      </c>
      <c r="I89" s="16"/>
      <c r="J89" s="16">
        <f>H89</f>
        <v>420</v>
      </c>
    </row>
    <row r="90" spans="1:10" ht="15">
      <c r="A90" s="20">
        <v>81</v>
      </c>
      <c r="B90" s="576" t="s">
        <v>556</v>
      </c>
      <c r="C90" s="574"/>
      <c r="D90" s="574" t="s">
        <v>587</v>
      </c>
      <c r="E90" s="575"/>
      <c r="F90" s="208">
        <v>107.8</v>
      </c>
      <c r="G90" s="197">
        <v>1</v>
      </c>
      <c r="H90" s="46">
        <f>G90*F90</f>
        <v>107.8</v>
      </c>
      <c r="I90" s="16"/>
      <c r="J90" s="16">
        <f>H90</f>
        <v>107.8</v>
      </c>
    </row>
    <row r="91" spans="1:10" ht="15">
      <c r="A91" s="20">
        <v>82</v>
      </c>
      <c r="B91" s="572" t="s">
        <v>558</v>
      </c>
      <c r="C91" s="573"/>
      <c r="D91" s="573" t="s">
        <v>587</v>
      </c>
      <c r="E91" s="578"/>
      <c r="F91" s="209">
        <v>85.4</v>
      </c>
      <c r="G91" s="196">
        <v>1</v>
      </c>
      <c r="H91" s="60">
        <f>F91*G91</f>
        <v>85.4</v>
      </c>
      <c r="I91" s="18"/>
      <c r="J91" s="18">
        <f>H91+I91</f>
        <v>85.4</v>
      </c>
    </row>
    <row r="92" spans="2:10" ht="15">
      <c r="B92" s="210"/>
      <c r="C92" s="210"/>
      <c r="D92" s="210"/>
      <c r="E92" s="210"/>
      <c r="F92" s="211"/>
      <c r="G92" s="212"/>
      <c r="H92" s="56"/>
      <c r="I92" s="56"/>
      <c r="J92" s="56"/>
    </row>
    <row r="93" spans="2:10" ht="15">
      <c r="B93" s="612" t="s">
        <v>673</v>
      </c>
      <c r="C93" s="585"/>
      <c r="D93" s="585"/>
      <c r="E93" s="585"/>
      <c r="F93" s="588"/>
      <c r="G93" s="588"/>
      <c r="H93" s="589"/>
      <c r="I93" s="579">
        <f>SUM(J94,J95)</f>
        <v>0</v>
      </c>
      <c r="J93" s="580"/>
    </row>
    <row r="94" spans="1:11" ht="15">
      <c r="A94" s="33">
        <v>69</v>
      </c>
      <c r="B94" s="613" t="s">
        <v>690</v>
      </c>
      <c r="C94" s="569"/>
      <c r="D94" s="569"/>
      <c r="E94" s="570"/>
      <c r="F94" s="227"/>
      <c r="G94" s="195"/>
      <c r="H94" s="205">
        <f>G94*F94</f>
        <v>0</v>
      </c>
      <c r="I94" s="206"/>
      <c r="J94" s="205">
        <f>H94</f>
        <v>0</v>
      </c>
      <c r="K94" s="33">
        <f>191.85+34.23</f>
        <v>226.07999999999998</v>
      </c>
    </row>
    <row r="95" spans="1:10" ht="15">
      <c r="A95" s="20">
        <v>70</v>
      </c>
      <c r="B95" s="572"/>
      <c r="C95" s="573"/>
      <c r="D95" s="573"/>
      <c r="E95" s="578"/>
      <c r="F95" s="228"/>
      <c r="G95" s="196"/>
      <c r="H95" s="18">
        <f>G95*F95</f>
        <v>0</v>
      </c>
      <c r="I95" s="19"/>
      <c r="J95" s="205">
        <f>H95</f>
        <v>0</v>
      </c>
    </row>
    <row r="97" ht="15">
      <c r="K97" s="428"/>
    </row>
  </sheetData>
  <sheetProtection/>
  <mergeCells count="173">
    <mergeCell ref="B93:H93"/>
    <mergeCell ref="I93:J93"/>
    <mergeCell ref="B94:C94"/>
    <mergeCell ref="D94:E94"/>
    <mergeCell ref="B95:C95"/>
    <mergeCell ref="D95:E95"/>
    <mergeCell ref="D45:E45"/>
    <mergeCell ref="B54:C54"/>
    <mergeCell ref="B57:C57"/>
    <mergeCell ref="B37:C37"/>
    <mergeCell ref="D37:E37"/>
    <mergeCell ref="D90:E90"/>
    <mergeCell ref="B85:H85"/>
    <mergeCell ref="B82:C82"/>
    <mergeCell ref="B83:C83"/>
    <mergeCell ref="D70:E70"/>
    <mergeCell ref="D91:E91"/>
    <mergeCell ref="B86:C86"/>
    <mergeCell ref="B87:C87"/>
    <mergeCell ref="D86:E86"/>
    <mergeCell ref="D87:E87"/>
    <mergeCell ref="B90:C90"/>
    <mergeCell ref="B91:C91"/>
    <mergeCell ref="B88:C88"/>
    <mergeCell ref="D88:E88"/>
    <mergeCell ref="B89:C8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76:J76"/>
    <mergeCell ref="D66:E66"/>
    <mergeCell ref="D67:E67"/>
    <mergeCell ref="D51:E51"/>
    <mergeCell ref="D52:E52"/>
    <mergeCell ref="D53:E53"/>
    <mergeCell ref="D54:E54"/>
    <mergeCell ref="B62:C62"/>
    <mergeCell ref="I69:J69"/>
    <mergeCell ref="B69:H69"/>
    <mergeCell ref="I73:J73"/>
    <mergeCell ref="B74:C74"/>
    <mergeCell ref="B75:C75"/>
    <mergeCell ref="B73:H73"/>
    <mergeCell ref="D62:E62"/>
    <mergeCell ref="B66:C66"/>
    <mergeCell ref="D71:E71"/>
    <mergeCell ref="D46:E46"/>
    <mergeCell ref="D47:E47"/>
    <mergeCell ref="D48:E48"/>
    <mergeCell ref="D49:E49"/>
    <mergeCell ref="D50:E50"/>
    <mergeCell ref="D61:E61"/>
    <mergeCell ref="D57:E57"/>
    <mergeCell ref="B55:J55"/>
    <mergeCell ref="B56:H56"/>
    <mergeCell ref="I56:J56"/>
    <mergeCell ref="B58:C58"/>
    <mergeCell ref="D58:E58"/>
    <mergeCell ref="B59:J59"/>
    <mergeCell ref="B60:H60"/>
    <mergeCell ref="I60:J60"/>
    <mergeCell ref="B61:C61"/>
    <mergeCell ref="D17:E17"/>
    <mergeCell ref="B26:C26"/>
    <mergeCell ref="D36:E36"/>
    <mergeCell ref="B31:C31"/>
    <mergeCell ref="B32:C32"/>
    <mergeCell ref="B33:C33"/>
    <mergeCell ref="B36:C36"/>
    <mergeCell ref="D31:E31"/>
    <mergeCell ref="D32:E32"/>
    <mergeCell ref="D33:E33"/>
    <mergeCell ref="B18:C18"/>
    <mergeCell ref="B27:J27"/>
    <mergeCell ref="B28:H28"/>
    <mergeCell ref="I28:J28"/>
    <mergeCell ref="B29:C29"/>
    <mergeCell ref="D29:E29"/>
    <mergeCell ref="D26:E26"/>
    <mergeCell ref="B23:C23"/>
    <mergeCell ref="B19:C19"/>
    <mergeCell ref="D25:E25"/>
    <mergeCell ref="B30:C30"/>
    <mergeCell ref="D30:E30"/>
    <mergeCell ref="B34:J34"/>
    <mergeCell ref="B35:H35"/>
    <mergeCell ref="I35:J35"/>
    <mergeCell ref="B12:J12"/>
    <mergeCell ref="B13:H13"/>
    <mergeCell ref="I13:J13"/>
    <mergeCell ref="B14:C14"/>
    <mergeCell ref="D14:E14"/>
    <mergeCell ref="B1:H2"/>
    <mergeCell ref="I1:J2"/>
    <mergeCell ref="I3:J3"/>
    <mergeCell ref="B5:E5"/>
    <mergeCell ref="F5:J5"/>
    <mergeCell ref="D6:E6"/>
    <mergeCell ref="B6:C6"/>
    <mergeCell ref="B3:H3"/>
    <mergeCell ref="B17:C17"/>
    <mergeCell ref="B20:C20"/>
    <mergeCell ref="A1:A3"/>
    <mergeCell ref="B4:J4"/>
    <mergeCell ref="B24:C24"/>
    <mergeCell ref="B21:C21"/>
    <mergeCell ref="B22:C22"/>
    <mergeCell ref="I16:J16"/>
    <mergeCell ref="B16:H16"/>
    <mergeCell ref="B15:J15"/>
    <mergeCell ref="D18:E18"/>
    <mergeCell ref="D19:E19"/>
    <mergeCell ref="D20:E20"/>
    <mergeCell ref="D21:E21"/>
    <mergeCell ref="D22:E22"/>
    <mergeCell ref="B7:J7"/>
    <mergeCell ref="B8:H8"/>
    <mergeCell ref="D9:E9"/>
    <mergeCell ref="D10:E10"/>
    <mergeCell ref="B9:C9"/>
    <mergeCell ref="I41:J41"/>
    <mergeCell ref="B25:C25"/>
    <mergeCell ref="D23:E23"/>
    <mergeCell ref="D24:E24"/>
    <mergeCell ref="B10:C10"/>
    <mergeCell ref="I8:J8"/>
    <mergeCell ref="D11:E11"/>
    <mergeCell ref="B11:C11"/>
    <mergeCell ref="B38:C38"/>
    <mergeCell ref="D38:E38"/>
    <mergeCell ref="B43:C43"/>
    <mergeCell ref="D43:E43"/>
    <mergeCell ref="B44:C44"/>
    <mergeCell ref="D44:E44"/>
    <mergeCell ref="D42:E42"/>
    <mergeCell ref="B39:C39"/>
    <mergeCell ref="B42:C42"/>
    <mergeCell ref="D39:E39"/>
    <mergeCell ref="B40:J40"/>
    <mergeCell ref="B41:H41"/>
    <mergeCell ref="D89:E89"/>
    <mergeCell ref="B63:C63"/>
    <mergeCell ref="D63:E63"/>
    <mergeCell ref="B64:J64"/>
    <mergeCell ref="B65:H65"/>
    <mergeCell ref="I65:J65"/>
    <mergeCell ref="B80:C80"/>
    <mergeCell ref="D80:E80"/>
    <mergeCell ref="B81:C81"/>
    <mergeCell ref="D81:E81"/>
    <mergeCell ref="I85:J85"/>
    <mergeCell ref="D82:E82"/>
    <mergeCell ref="D83:E83"/>
    <mergeCell ref="B84:J84"/>
    <mergeCell ref="D78:E78"/>
    <mergeCell ref="I77:J77"/>
    <mergeCell ref="B77:H77"/>
    <mergeCell ref="B78:C78"/>
    <mergeCell ref="D74:E74"/>
    <mergeCell ref="B68:J68"/>
    <mergeCell ref="B72:J72"/>
    <mergeCell ref="B67:C67"/>
    <mergeCell ref="D79:E79"/>
    <mergeCell ref="B79:C79"/>
    <mergeCell ref="B70:C70"/>
    <mergeCell ref="B71:C71"/>
    <mergeCell ref="D75:E75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A1">
      <selection activeCell="B1" sqref="B1:H2"/>
    </sheetView>
  </sheetViews>
  <sheetFormatPr defaultColWidth="8.8515625" defaultRowHeight="15"/>
  <cols>
    <col min="1" max="1" width="4.7109375" style="33" customWidth="1"/>
    <col min="2" max="3" width="15.421875" style="33" customWidth="1"/>
    <col min="4" max="5" width="17.421875" style="33" customWidth="1"/>
    <col min="6" max="8" width="10.7109375" style="33" customWidth="1"/>
    <col min="9" max="9" width="9.7109375" style="33" customWidth="1"/>
    <col min="10" max="10" width="11.7109375" style="33" customWidth="1"/>
    <col min="11" max="11" width="13.00390625" style="33" customWidth="1"/>
    <col min="12" max="12" width="16.8515625" style="33" customWidth="1"/>
    <col min="13" max="13" width="11.7109375" style="33" customWidth="1"/>
    <col min="14" max="16384" width="8.8515625" style="33" customWidth="1"/>
  </cols>
  <sheetData>
    <row r="1" spans="1:11" ht="15">
      <c r="A1" s="591"/>
      <c r="B1" s="537" t="s">
        <v>600</v>
      </c>
      <c r="C1" s="538"/>
      <c r="D1" s="538"/>
      <c r="E1" s="538"/>
      <c r="F1" s="538"/>
      <c r="G1" s="538"/>
      <c r="H1" s="538"/>
      <c r="I1" s="541">
        <f>SUM(I8,I11,I17,I21,I27,I34,I47)</f>
        <v>5442.791300000001</v>
      </c>
      <c r="J1" s="542"/>
      <c r="K1" s="547">
        <f>SUM(K8+K11+K17+K21+K27+K34+K47+K52)</f>
        <v>1498.1299999999999</v>
      </c>
    </row>
    <row r="2" spans="1:11" ht="15">
      <c r="A2" s="591"/>
      <c r="B2" s="539"/>
      <c r="C2" s="540"/>
      <c r="D2" s="540"/>
      <c r="E2" s="540"/>
      <c r="F2" s="540"/>
      <c r="G2" s="540"/>
      <c r="H2" s="540"/>
      <c r="I2" s="543"/>
      <c r="J2" s="544"/>
      <c r="K2" s="548"/>
    </row>
    <row r="3" spans="1:13" ht="15">
      <c r="A3" s="591"/>
      <c r="B3" s="606"/>
      <c r="C3" s="607"/>
      <c r="D3" s="607"/>
      <c r="E3" s="607"/>
      <c r="F3" s="607"/>
      <c r="G3" s="607"/>
      <c r="H3" s="607"/>
      <c r="I3" s="545" t="s">
        <v>487</v>
      </c>
      <c r="J3" s="546"/>
      <c r="K3" s="313" t="s">
        <v>108</v>
      </c>
      <c r="L3" s="310" t="s">
        <v>445</v>
      </c>
      <c r="M3" s="311">
        <v>385.39</v>
      </c>
    </row>
    <row r="4" spans="2:13" ht="15">
      <c r="B4" s="629"/>
      <c r="C4" s="629"/>
      <c r="D4" s="629"/>
      <c r="E4" s="629"/>
      <c r="F4" s="629"/>
      <c r="G4" s="629"/>
      <c r="H4" s="629"/>
      <c r="I4" s="629"/>
      <c r="J4" s="629"/>
      <c r="K4" s="117"/>
      <c r="L4" s="310" t="s">
        <v>446</v>
      </c>
      <c r="M4" s="311">
        <v>184.93</v>
      </c>
    </row>
    <row r="5" spans="2:11" ht="15">
      <c r="B5" s="488" t="s">
        <v>488</v>
      </c>
      <c r="C5" s="488"/>
      <c r="D5" s="488"/>
      <c r="E5" s="488"/>
      <c r="F5" s="488" t="s">
        <v>435</v>
      </c>
      <c r="G5" s="488"/>
      <c r="H5" s="488"/>
      <c r="I5" s="488"/>
      <c r="J5" s="488"/>
      <c r="K5" s="117"/>
    </row>
    <row r="6" spans="2:11" ht="30">
      <c r="B6" s="532" t="s">
        <v>490</v>
      </c>
      <c r="C6" s="532"/>
      <c r="D6" s="532" t="s">
        <v>491</v>
      </c>
      <c r="E6" s="532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148</v>
      </c>
      <c r="K6" s="317" t="s">
        <v>110</v>
      </c>
    </row>
    <row r="7" spans="2:10" ht="15">
      <c r="B7" s="504"/>
      <c r="C7" s="504"/>
      <c r="D7" s="504"/>
      <c r="E7" s="504"/>
      <c r="F7" s="504"/>
      <c r="G7" s="504"/>
      <c r="H7" s="504"/>
      <c r="I7" s="504"/>
      <c r="J7" s="504"/>
    </row>
    <row r="8" spans="2:11" ht="15">
      <c r="B8" s="518" t="s">
        <v>497</v>
      </c>
      <c r="C8" s="519"/>
      <c r="D8" s="519"/>
      <c r="E8" s="519"/>
      <c r="F8" s="519"/>
      <c r="G8" s="519"/>
      <c r="H8" s="520"/>
      <c r="I8" s="521">
        <f>SUM(J9)</f>
        <v>125</v>
      </c>
      <c r="J8" s="522"/>
      <c r="K8" s="63">
        <f>K9</f>
        <v>0</v>
      </c>
    </row>
    <row r="9" spans="1:11" ht="15">
      <c r="A9" s="33">
        <v>83</v>
      </c>
      <c r="B9" s="523" t="s">
        <v>500</v>
      </c>
      <c r="C9" s="524"/>
      <c r="D9" s="524" t="s">
        <v>407</v>
      </c>
      <c r="E9" s="626"/>
      <c r="F9" s="94">
        <v>25</v>
      </c>
      <c r="G9" s="36">
        <v>5</v>
      </c>
      <c r="H9" s="63">
        <f>F9*G9</f>
        <v>125</v>
      </c>
      <c r="I9" s="63"/>
      <c r="J9" s="63">
        <f>H9+I9</f>
        <v>125</v>
      </c>
      <c r="K9" s="63"/>
    </row>
    <row r="10" spans="2:11" ht="15">
      <c r="B10" s="504"/>
      <c r="C10" s="504"/>
      <c r="D10" s="504"/>
      <c r="E10" s="504"/>
      <c r="F10" s="504"/>
      <c r="G10" s="504"/>
      <c r="H10" s="504"/>
      <c r="I10" s="504"/>
      <c r="J10" s="504"/>
      <c r="K10" s="34"/>
    </row>
    <row r="11" spans="2:11" ht="15">
      <c r="B11" s="518" t="s">
        <v>408</v>
      </c>
      <c r="C11" s="519"/>
      <c r="D11" s="519"/>
      <c r="E11" s="519"/>
      <c r="F11" s="519"/>
      <c r="G11" s="519"/>
      <c r="H11" s="520"/>
      <c r="I11" s="521">
        <f>SUM(J12:J15)</f>
        <v>1151.2440000000001</v>
      </c>
      <c r="J11" s="522"/>
      <c r="K11" s="63">
        <f>SUM(K12:K15)</f>
        <v>290.83</v>
      </c>
    </row>
    <row r="12" spans="1:11" ht="15">
      <c r="A12" s="33">
        <v>84</v>
      </c>
      <c r="B12" s="508" t="s">
        <v>631</v>
      </c>
      <c r="C12" s="509"/>
      <c r="D12" s="509" t="s">
        <v>634</v>
      </c>
      <c r="E12" s="509"/>
      <c r="F12" s="95">
        <v>150</v>
      </c>
      <c r="G12" s="8">
        <v>3</v>
      </c>
      <c r="H12" s="14">
        <f>F12*G12</f>
        <v>450</v>
      </c>
      <c r="I12" s="15">
        <f>H12*0.13</f>
        <v>58.5</v>
      </c>
      <c r="J12" s="59">
        <f>H12+I12</f>
        <v>508.5</v>
      </c>
      <c r="K12" s="14">
        <f>155.48+103.52</f>
        <v>259</v>
      </c>
    </row>
    <row r="13" spans="1:11" ht="15">
      <c r="A13" s="33">
        <v>85</v>
      </c>
      <c r="B13" s="527" t="s">
        <v>635</v>
      </c>
      <c r="C13" s="528"/>
      <c r="D13" s="528" t="s">
        <v>636</v>
      </c>
      <c r="E13" s="528"/>
      <c r="F13" s="96">
        <v>9</v>
      </c>
      <c r="G13" s="9">
        <v>10</v>
      </c>
      <c r="H13" s="16">
        <f>F13*G13</f>
        <v>90</v>
      </c>
      <c r="I13" s="17">
        <f>H13*0.13</f>
        <v>11.700000000000001</v>
      </c>
      <c r="J13" s="46">
        <f>H13+I13</f>
        <v>101.7</v>
      </c>
      <c r="K13" s="16">
        <v>31.83</v>
      </c>
    </row>
    <row r="14" spans="1:11" ht="15">
      <c r="A14" s="20">
        <v>86</v>
      </c>
      <c r="B14" s="527" t="s">
        <v>11</v>
      </c>
      <c r="C14" s="625"/>
      <c r="D14" s="528" t="s">
        <v>12</v>
      </c>
      <c r="E14" s="528"/>
      <c r="F14" s="96">
        <v>0</v>
      </c>
      <c r="G14" s="9">
        <v>150</v>
      </c>
      <c r="H14" s="16">
        <f>F14*G14</f>
        <v>0</v>
      </c>
      <c r="I14" s="17">
        <f>H14*0.13</f>
        <v>0</v>
      </c>
      <c r="J14" s="46">
        <f>H14+I14</f>
        <v>0</v>
      </c>
      <c r="K14" s="16">
        <v>0</v>
      </c>
    </row>
    <row r="15" spans="1:11" ht="15">
      <c r="A15" s="20">
        <v>87</v>
      </c>
      <c r="B15" s="511" t="s">
        <v>13</v>
      </c>
      <c r="C15" s="447"/>
      <c r="D15" s="512" t="s">
        <v>14</v>
      </c>
      <c r="E15" s="512"/>
      <c r="F15" s="97">
        <v>478.8</v>
      </c>
      <c r="G15" s="12">
        <v>1</v>
      </c>
      <c r="H15" s="18">
        <f>F15*G15</f>
        <v>478.8</v>
      </c>
      <c r="I15" s="19">
        <f>H15*0.13</f>
        <v>62.24400000000001</v>
      </c>
      <c r="J15" s="60">
        <f>H15+I15</f>
        <v>541.044</v>
      </c>
      <c r="K15" s="18"/>
    </row>
    <row r="16" spans="2:11" ht="15">
      <c r="B16" s="504"/>
      <c r="C16" s="504"/>
      <c r="D16" s="504"/>
      <c r="E16" s="504"/>
      <c r="F16" s="504"/>
      <c r="G16" s="504"/>
      <c r="H16" s="504"/>
      <c r="I16" s="504"/>
      <c r="J16" s="504"/>
      <c r="K16" s="34"/>
    </row>
    <row r="17" spans="2:11" ht="15">
      <c r="B17" s="518" t="s">
        <v>509</v>
      </c>
      <c r="C17" s="519"/>
      <c r="D17" s="519"/>
      <c r="E17" s="519"/>
      <c r="F17" s="519"/>
      <c r="G17" s="519"/>
      <c r="H17" s="520"/>
      <c r="I17" s="521">
        <f>SUM(J18:J19)</f>
        <v>271.2</v>
      </c>
      <c r="J17" s="522"/>
      <c r="K17" s="63">
        <f>K18+K19</f>
        <v>0</v>
      </c>
    </row>
    <row r="18" spans="1:11" ht="15">
      <c r="A18" s="20">
        <v>88</v>
      </c>
      <c r="B18" s="614" t="s">
        <v>631</v>
      </c>
      <c r="C18" s="615"/>
      <c r="D18" s="615" t="s">
        <v>510</v>
      </c>
      <c r="E18" s="616"/>
      <c r="F18" s="95">
        <v>200</v>
      </c>
      <c r="G18" s="26">
        <v>1</v>
      </c>
      <c r="H18" s="14">
        <f>F18*G18</f>
        <v>200</v>
      </c>
      <c r="I18" s="14">
        <f>H18*0.13</f>
        <v>26</v>
      </c>
      <c r="J18" s="14">
        <f>H18+I18</f>
        <v>226</v>
      </c>
      <c r="K18" s="14"/>
    </row>
    <row r="19" spans="1:11" ht="15">
      <c r="A19" s="20">
        <v>89</v>
      </c>
      <c r="B19" s="617" t="s">
        <v>635</v>
      </c>
      <c r="C19" s="618"/>
      <c r="D19" s="618" t="s">
        <v>511</v>
      </c>
      <c r="E19" s="623"/>
      <c r="F19" s="97">
        <v>10</v>
      </c>
      <c r="G19" s="32">
        <v>4</v>
      </c>
      <c r="H19" s="18">
        <f>F19*G19</f>
        <v>40</v>
      </c>
      <c r="I19" s="18">
        <f>H19*0.13</f>
        <v>5.2</v>
      </c>
      <c r="J19" s="18">
        <f>H19+I19</f>
        <v>45.2</v>
      </c>
      <c r="K19" s="18"/>
    </row>
    <row r="20" spans="1:11" ht="15">
      <c r="A20" s="20"/>
      <c r="K20" s="34"/>
    </row>
    <row r="21" spans="2:11" ht="15">
      <c r="B21" s="498" t="s">
        <v>15</v>
      </c>
      <c r="C21" s="631"/>
      <c r="D21" s="631"/>
      <c r="E21" s="631"/>
      <c r="F21" s="631"/>
      <c r="G21" s="631"/>
      <c r="H21" s="503"/>
      <c r="I21" s="632">
        <f>SUM(J22:J25)</f>
        <v>317.5187</v>
      </c>
      <c r="J21" s="633"/>
      <c r="K21" s="63">
        <f>SUM(K22:K25)</f>
        <v>220.06</v>
      </c>
    </row>
    <row r="22" spans="1:11" ht="15">
      <c r="A22" s="33">
        <v>90</v>
      </c>
      <c r="B22" s="634" t="s">
        <v>16</v>
      </c>
      <c r="C22" s="620"/>
      <c r="D22" s="621" t="s">
        <v>178</v>
      </c>
      <c r="E22" s="620"/>
      <c r="F22" s="76">
        <v>55</v>
      </c>
      <c r="G22" s="29">
        <v>1</v>
      </c>
      <c r="H22" s="16">
        <f>F22*G22</f>
        <v>55</v>
      </c>
      <c r="I22" s="14">
        <f>H22*0.13</f>
        <v>7.15</v>
      </c>
      <c r="J22" s="14">
        <f>H22+I22</f>
        <v>62.15</v>
      </c>
      <c r="K22" s="14">
        <v>100</v>
      </c>
    </row>
    <row r="23" spans="1:11" ht="15">
      <c r="A23" s="20">
        <v>91</v>
      </c>
      <c r="B23" s="624" t="s">
        <v>257</v>
      </c>
      <c r="C23" s="622"/>
      <c r="D23" s="622" t="s">
        <v>258</v>
      </c>
      <c r="E23" s="622"/>
      <c r="F23" s="76">
        <v>20</v>
      </c>
      <c r="G23" s="29">
        <v>4</v>
      </c>
      <c r="H23" s="16">
        <f>F23*G23</f>
        <v>80</v>
      </c>
      <c r="I23" s="16">
        <f>H23*0.13</f>
        <v>10.4</v>
      </c>
      <c r="J23" s="16">
        <f>H23+I23</f>
        <v>90.4</v>
      </c>
      <c r="K23" s="16">
        <v>59.94</v>
      </c>
    </row>
    <row r="24" spans="1:11" ht="15">
      <c r="A24" s="20">
        <v>92</v>
      </c>
      <c r="B24" s="624" t="s">
        <v>259</v>
      </c>
      <c r="C24" s="622"/>
      <c r="D24" s="622" t="s">
        <v>264</v>
      </c>
      <c r="E24" s="622"/>
      <c r="F24" s="76">
        <v>95.99</v>
      </c>
      <c r="G24" s="29">
        <v>1</v>
      </c>
      <c r="H24" s="16">
        <f>F24*G24</f>
        <v>95.99</v>
      </c>
      <c r="I24" s="16">
        <f>H24*0.13</f>
        <v>12.4787</v>
      </c>
      <c r="J24" s="16">
        <f>H24+I24</f>
        <v>108.4687</v>
      </c>
      <c r="K24" s="16">
        <f>6.41+53.71</f>
        <v>60.120000000000005</v>
      </c>
    </row>
    <row r="25" spans="1:11" ht="15">
      <c r="A25" s="20">
        <v>93</v>
      </c>
      <c r="B25" s="534" t="s">
        <v>265</v>
      </c>
      <c r="C25" s="535"/>
      <c r="D25" s="535" t="s">
        <v>17</v>
      </c>
      <c r="E25" s="535"/>
      <c r="F25" s="77">
        <v>10</v>
      </c>
      <c r="G25" s="32">
        <v>5</v>
      </c>
      <c r="H25" s="18">
        <f>F25*G25</f>
        <v>50</v>
      </c>
      <c r="I25" s="18">
        <f>H25*0.13</f>
        <v>6.5</v>
      </c>
      <c r="J25" s="18">
        <f>H25+I25</f>
        <v>56.5</v>
      </c>
      <c r="K25" s="18"/>
    </row>
    <row r="26" ht="15">
      <c r="K26" s="34"/>
    </row>
    <row r="27" spans="2:11" ht="15">
      <c r="B27" s="100" t="s">
        <v>416</v>
      </c>
      <c r="C27" s="101"/>
      <c r="D27" s="101"/>
      <c r="E27" s="101"/>
      <c r="F27" s="101"/>
      <c r="G27" s="101"/>
      <c r="H27" s="36"/>
      <c r="I27" s="502">
        <f>SUM(J28:J32)</f>
        <v>46.0701</v>
      </c>
      <c r="J27" s="630"/>
      <c r="K27" s="63">
        <f>SUM(K28:K32)</f>
        <v>0</v>
      </c>
    </row>
    <row r="28" spans="1:11" ht="15">
      <c r="A28" s="20">
        <v>94</v>
      </c>
      <c r="B28" s="619" t="s">
        <v>563</v>
      </c>
      <c r="C28" s="620"/>
      <c r="D28" s="622" t="s">
        <v>173</v>
      </c>
      <c r="E28" s="622"/>
      <c r="F28" s="75">
        <v>1</v>
      </c>
      <c r="G28" s="26">
        <v>15</v>
      </c>
      <c r="H28" s="14">
        <f>F28*G28</f>
        <v>15</v>
      </c>
      <c r="I28" s="14">
        <f>H28*0.13</f>
        <v>1.9500000000000002</v>
      </c>
      <c r="J28" s="14">
        <f>H28+I28</f>
        <v>16.95</v>
      </c>
      <c r="K28" s="14"/>
    </row>
    <row r="29" spans="1:11" ht="15">
      <c r="A29" s="20">
        <v>95</v>
      </c>
      <c r="B29" s="619" t="s">
        <v>564</v>
      </c>
      <c r="C29" s="620"/>
      <c r="D29" s="622" t="s">
        <v>174</v>
      </c>
      <c r="E29" s="622"/>
      <c r="F29" s="76">
        <v>9.79</v>
      </c>
      <c r="G29" s="29">
        <v>1</v>
      </c>
      <c r="H29" s="16">
        <f>F29*G29</f>
        <v>9.79</v>
      </c>
      <c r="I29" s="16">
        <f>H29*0.13</f>
        <v>1.2727</v>
      </c>
      <c r="J29" s="16">
        <f>H29+I29</f>
        <v>11.0627</v>
      </c>
      <c r="K29" s="16"/>
    </row>
    <row r="30" spans="1:11" ht="15">
      <c r="A30" s="20">
        <v>96</v>
      </c>
      <c r="B30" s="619" t="s">
        <v>565</v>
      </c>
      <c r="C30" s="620"/>
      <c r="D30" s="622" t="s">
        <v>175</v>
      </c>
      <c r="E30" s="622"/>
      <c r="F30" s="76">
        <v>0.99</v>
      </c>
      <c r="G30" s="29">
        <v>1</v>
      </c>
      <c r="H30" s="16">
        <f>F30*G30</f>
        <v>0.99</v>
      </c>
      <c r="I30" s="16">
        <f>H30*0.13</f>
        <v>0.1287</v>
      </c>
      <c r="J30" s="16">
        <f>H30+I30</f>
        <v>1.1187</v>
      </c>
      <c r="K30" s="16"/>
    </row>
    <row r="31" spans="1:11" ht="15">
      <c r="A31" s="20">
        <v>97</v>
      </c>
      <c r="B31" s="619" t="s">
        <v>171</v>
      </c>
      <c r="C31" s="620"/>
      <c r="D31" s="622" t="s">
        <v>176</v>
      </c>
      <c r="E31" s="622"/>
      <c r="F31" s="76">
        <v>4.99</v>
      </c>
      <c r="G31" s="29">
        <v>1</v>
      </c>
      <c r="H31" s="16">
        <f>F31*G31</f>
        <v>4.99</v>
      </c>
      <c r="I31" s="16">
        <f>H31*0.13</f>
        <v>0.6487</v>
      </c>
      <c r="J31" s="16">
        <f>H31+I31</f>
        <v>5.6387</v>
      </c>
      <c r="K31" s="16"/>
    </row>
    <row r="32" spans="1:11" ht="15">
      <c r="A32" s="20">
        <v>98</v>
      </c>
      <c r="B32" s="627" t="s">
        <v>172</v>
      </c>
      <c r="C32" s="628"/>
      <c r="D32" s="535" t="s">
        <v>177</v>
      </c>
      <c r="E32" s="535"/>
      <c r="F32" s="77">
        <v>1</v>
      </c>
      <c r="G32" s="32">
        <v>10</v>
      </c>
      <c r="H32" s="18">
        <f>F32*G32</f>
        <v>10</v>
      </c>
      <c r="I32" s="18">
        <f>H32*0.13</f>
        <v>1.3</v>
      </c>
      <c r="J32" s="18">
        <f>H32+I32</f>
        <v>11.3</v>
      </c>
      <c r="K32" s="18"/>
    </row>
    <row r="33" ht="15">
      <c r="K33" s="34"/>
    </row>
    <row r="34" spans="2:11" ht="15">
      <c r="B34" s="100" t="s">
        <v>459</v>
      </c>
      <c r="C34" s="101"/>
      <c r="D34" s="101"/>
      <c r="E34" s="101"/>
      <c r="F34" s="101"/>
      <c r="G34" s="101"/>
      <c r="H34" s="36"/>
      <c r="I34" s="502">
        <f>SUM(J35:J45)</f>
        <v>2611.3735</v>
      </c>
      <c r="J34" s="630"/>
      <c r="K34" s="63">
        <f>SUM(K35:K45)</f>
        <v>983.4499999999999</v>
      </c>
    </row>
    <row r="35" spans="1:11" ht="15">
      <c r="A35" s="20">
        <v>99</v>
      </c>
      <c r="B35" s="624" t="s">
        <v>460</v>
      </c>
      <c r="C35" s="620"/>
      <c r="D35" s="622"/>
      <c r="E35" s="622"/>
      <c r="F35" s="75">
        <v>399.95</v>
      </c>
      <c r="G35" s="26">
        <v>1</v>
      </c>
      <c r="H35" s="14">
        <f aca="true" t="shared" si="0" ref="H35:H45">F35*G35</f>
        <v>399.95</v>
      </c>
      <c r="I35" s="14">
        <f aca="true" t="shared" si="1" ref="I35:I45">H35*0.13</f>
        <v>51.9935</v>
      </c>
      <c r="J35" s="75">
        <f aca="true" t="shared" si="2" ref="J35:J45">H35+I35</f>
        <v>451.9435</v>
      </c>
      <c r="K35" s="14">
        <f>382.73</f>
        <v>382.73</v>
      </c>
    </row>
    <row r="36" spans="1:11" ht="15">
      <c r="A36" s="20">
        <v>100</v>
      </c>
      <c r="B36" s="624" t="s">
        <v>26</v>
      </c>
      <c r="C36" s="620"/>
      <c r="D36" s="622"/>
      <c r="E36" s="622"/>
      <c r="F36" s="76">
        <v>300</v>
      </c>
      <c r="G36" s="29">
        <v>1</v>
      </c>
      <c r="H36" s="16">
        <f t="shared" si="0"/>
        <v>300</v>
      </c>
      <c r="I36" s="16">
        <f t="shared" si="1"/>
        <v>39</v>
      </c>
      <c r="J36" s="76">
        <f t="shared" si="2"/>
        <v>339</v>
      </c>
      <c r="K36" s="16"/>
    </row>
    <row r="37" spans="1:11" ht="15">
      <c r="A37" s="20">
        <v>101</v>
      </c>
      <c r="B37" s="624" t="s">
        <v>18</v>
      </c>
      <c r="C37" s="620"/>
      <c r="D37" s="622"/>
      <c r="E37" s="622"/>
      <c r="F37" s="76">
        <v>45</v>
      </c>
      <c r="G37" s="29">
        <v>1</v>
      </c>
      <c r="H37" s="16">
        <f t="shared" si="0"/>
        <v>45</v>
      </c>
      <c r="I37" s="16">
        <f t="shared" si="1"/>
        <v>5.8500000000000005</v>
      </c>
      <c r="J37" s="76">
        <f t="shared" si="2"/>
        <v>50.85</v>
      </c>
      <c r="K37" s="16">
        <f>45.21</f>
        <v>45.21</v>
      </c>
    </row>
    <row r="38" spans="1:11" ht="15">
      <c r="A38" s="20">
        <v>102</v>
      </c>
      <c r="B38" s="624" t="s">
        <v>261</v>
      </c>
      <c r="C38" s="620"/>
      <c r="D38" s="622"/>
      <c r="E38" s="622"/>
      <c r="F38" s="76">
        <v>600</v>
      </c>
      <c r="G38" s="20">
        <v>1</v>
      </c>
      <c r="H38" s="76">
        <f t="shared" si="0"/>
        <v>600</v>
      </c>
      <c r="I38" s="56">
        <f t="shared" si="1"/>
        <v>78</v>
      </c>
      <c r="J38" s="56">
        <f t="shared" si="2"/>
        <v>678</v>
      </c>
      <c r="K38" s="16"/>
    </row>
    <row r="39" spans="1:11" ht="15">
      <c r="A39" s="20">
        <v>103</v>
      </c>
      <c r="B39" s="624" t="s">
        <v>262</v>
      </c>
      <c r="C39" s="620"/>
      <c r="D39" s="622"/>
      <c r="E39" s="622"/>
      <c r="F39" s="76">
        <v>340</v>
      </c>
      <c r="G39" s="29">
        <v>1</v>
      </c>
      <c r="H39" s="16">
        <f t="shared" si="0"/>
        <v>340</v>
      </c>
      <c r="I39" s="16">
        <f t="shared" si="1"/>
        <v>44.2</v>
      </c>
      <c r="J39" s="76">
        <f t="shared" si="2"/>
        <v>384.2</v>
      </c>
      <c r="K39" s="16"/>
    </row>
    <row r="40" spans="1:11" ht="15">
      <c r="A40" s="20">
        <v>104</v>
      </c>
      <c r="B40" s="624" t="s">
        <v>263</v>
      </c>
      <c r="C40" s="620"/>
      <c r="D40" s="622"/>
      <c r="E40" s="622"/>
      <c r="F40" s="76">
        <v>100</v>
      </c>
      <c r="G40" s="20">
        <v>1</v>
      </c>
      <c r="H40" s="76">
        <f t="shared" si="0"/>
        <v>100</v>
      </c>
      <c r="I40" s="56">
        <f t="shared" si="1"/>
        <v>13</v>
      </c>
      <c r="J40" s="56">
        <f t="shared" si="2"/>
        <v>113</v>
      </c>
      <c r="K40" s="16"/>
    </row>
    <row r="41" spans="1:11" ht="15">
      <c r="A41" s="20">
        <v>105</v>
      </c>
      <c r="B41" s="624" t="s">
        <v>613</v>
      </c>
      <c r="C41" s="620"/>
      <c r="D41" s="622"/>
      <c r="E41" s="622"/>
      <c r="F41" s="76">
        <v>0.11</v>
      </c>
      <c r="G41" s="29">
        <v>1000</v>
      </c>
      <c r="H41" s="16">
        <f t="shared" si="0"/>
        <v>110</v>
      </c>
      <c r="I41" s="16">
        <f t="shared" si="1"/>
        <v>14.3</v>
      </c>
      <c r="J41" s="76">
        <f t="shared" si="2"/>
        <v>124.3</v>
      </c>
      <c r="K41" s="16">
        <v>136.48</v>
      </c>
    </row>
    <row r="42" spans="1:11" ht="15">
      <c r="A42" s="20">
        <v>106</v>
      </c>
      <c r="B42" s="624" t="s">
        <v>614</v>
      </c>
      <c r="C42" s="620"/>
      <c r="D42" s="622"/>
      <c r="E42" s="622"/>
      <c r="F42" s="76">
        <v>0.14</v>
      </c>
      <c r="G42" s="29">
        <v>1000</v>
      </c>
      <c r="H42" s="16">
        <f t="shared" si="0"/>
        <v>140</v>
      </c>
      <c r="I42" s="16">
        <f t="shared" si="1"/>
        <v>18.2</v>
      </c>
      <c r="J42" s="76">
        <f t="shared" si="2"/>
        <v>158.2</v>
      </c>
      <c r="K42" s="16"/>
    </row>
    <row r="43" spans="1:11" ht="15">
      <c r="A43" s="20"/>
      <c r="B43" s="392" t="s">
        <v>663</v>
      </c>
      <c r="C43" s="109"/>
      <c r="D43" s="393"/>
      <c r="E43" s="393"/>
      <c r="F43" s="76"/>
      <c r="G43" s="29"/>
      <c r="H43" s="16"/>
      <c r="I43" s="16"/>
      <c r="J43" s="76"/>
      <c r="K43" s="16">
        <v>402.68</v>
      </c>
    </row>
    <row r="44" spans="1:11" ht="15">
      <c r="A44" s="20"/>
      <c r="B44" s="392" t="s">
        <v>678</v>
      </c>
      <c r="C44" s="109"/>
      <c r="D44" s="393"/>
      <c r="E44" s="393"/>
      <c r="F44" s="76"/>
      <c r="G44" s="29"/>
      <c r="H44" s="16"/>
      <c r="I44" s="16"/>
      <c r="J44" s="76"/>
      <c r="K44" s="16">
        <v>16.35</v>
      </c>
    </row>
    <row r="45" spans="1:11" ht="15">
      <c r="A45" s="20">
        <v>107</v>
      </c>
      <c r="B45" s="534" t="s">
        <v>615</v>
      </c>
      <c r="C45" s="628"/>
      <c r="D45" s="535"/>
      <c r="E45" s="535"/>
      <c r="F45" s="77">
        <v>1.84</v>
      </c>
      <c r="G45" s="32">
        <v>150</v>
      </c>
      <c r="H45" s="18">
        <f t="shared" si="0"/>
        <v>276</v>
      </c>
      <c r="I45" s="18">
        <f t="shared" si="1"/>
        <v>35.88</v>
      </c>
      <c r="J45" s="77">
        <f t="shared" si="2"/>
        <v>311.88</v>
      </c>
      <c r="K45" s="18"/>
    </row>
    <row r="46" ht="15">
      <c r="K46" s="34"/>
    </row>
    <row r="47" spans="2:11" ht="15">
      <c r="B47" s="638" t="s">
        <v>616</v>
      </c>
      <c r="C47" s="639"/>
      <c r="D47" s="214"/>
      <c r="E47" s="214"/>
      <c r="F47" s="214"/>
      <c r="G47" s="214"/>
      <c r="H47" s="215"/>
      <c r="I47" s="640">
        <f>SUM(J48:J49)</f>
        <v>920.3850000000001</v>
      </c>
      <c r="J47" s="641"/>
      <c r="K47" s="321">
        <f>K48+K49</f>
        <v>0</v>
      </c>
    </row>
    <row r="48" spans="1:11" ht="15">
      <c r="A48" s="20">
        <v>108</v>
      </c>
      <c r="B48" s="642" t="s">
        <v>617</v>
      </c>
      <c r="C48" s="643"/>
      <c r="D48" s="643"/>
      <c r="E48" s="644"/>
      <c r="F48" s="216">
        <v>7.2</v>
      </c>
      <c r="G48" s="138">
        <v>30</v>
      </c>
      <c r="H48" s="250">
        <f>F48*G48</f>
        <v>216</v>
      </c>
      <c r="I48" s="250">
        <f>H48*0.13</f>
        <v>28.080000000000002</v>
      </c>
      <c r="J48" s="250">
        <f>H48+I48</f>
        <v>244.08</v>
      </c>
      <c r="K48" s="14"/>
    </row>
    <row r="49" spans="1:11" ht="15">
      <c r="A49" s="20">
        <v>109</v>
      </c>
      <c r="B49" s="635" t="s">
        <v>575</v>
      </c>
      <c r="C49" s="636"/>
      <c r="D49" s="636"/>
      <c r="E49" s="637"/>
      <c r="F49" s="217">
        <v>19.95</v>
      </c>
      <c r="G49" s="137">
        <v>30</v>
      </c>
      <c r="H49" s="218">
        <f>F49*G49</f>
        <v>598.5</v>
      </c>
      <c r="I49" s="218">
        <f>H49*0.13</f>
        <v>77.805</v>
      </c>
      <c r="J49" s="218">
        <f>H49+I49</f>
        <v>676.3050000000001</v>
      </c>
      <c r="K49" s="18"/>
    </row>
    <row r="50" ht="15">
      <c r="K50" s="34"/>
    </row>
    <row r="51" ht="15">
      <c r="K51" s="34"/>
    </row>
    <row r="52" spans="2:11" ht="15">
      <c r="B52" s="647" t="s">
        <v>664</v>
      </c>
      <c r="C52" s="639"/>
      <c r="D52" s="214"/>
      <c r="E52" s="214"/>
      <c r="F52" s="214"/>
      <c r="G52" s="214"/>
      <c r="H52" s="215"/>
      <c r="I52" s="640">
        <f>SUM(J53:J54)</f>
        <v>0</v>
      </c>
      <c r="J52" s="641"/>
      <c r="K52" s="321">
        <f>SUM(K53:K56)</f>
        <v>3.7899999999999636</v>
      </c>
    </row>
    <row r="53" spans="1:11" ht="15">
      <c r="A53" s="20">
        <v>108</v>
      </c>
      <c r="B53" s="645" t="s">
        <v>665</v>
      </c>
      <c r="C53" s="643"/>
      <c r="D53" s="643"/>
      <c r="E53" s="644"/>
      <c r="F53" s="216">
        <v>0</v>
      </c>
      <c r="G53" s="138">
        <v>0</v>
      </c>
      <c r="H53" s="250">
        <f>F53*G53</f>
        <v>0</v>
      </c>
      <c r="I53" s="250">
        <f>H53*0.13</f>
        <v>0</v>
      </c>
      <c r="J53" s="250">
        <f>H53+I53</f>
        <v>0</v>
      </c>
      <c r="K53" s="14">
        <v>1362.81</v>
      </c>
    </row>
    <row r="54" spans="1:11" ht="15">
      <c r="A54" s="20">
        <v>109</v>
      </c>
      <c r="B54" s="646" t="s">
        <v>666</v>
      </c>
      <c r="C54" s="636"/>
      <c r="D54" s="636"/>
      <c r="E54" s="637"/>
      <c r="F54" s="217">
        <v>0</v>
      </c>
      <c r="G54" s="137">
        <v>0</v>
      </c>
      <c r="H54" s="218">
        <f>F54*G54</f>
        <v>0</v>
      </c>
      <c r="I54" s="218">
        <f>H54*0.13</f>
        <v>0</v>
      </c>
      <c r="J54" s="218">
        <f>H54+I54</f>
        <v>0</v>
      </c>
      <c r="K54" s="18">
        <v>2663.98</v>
      </c>
    </row>
    <row r="55" spans="1:11" ht="15">
      <c r="A55" s="20">
        <v>108</v>
      </c>
      <c r="B55" s="645" t="s">
        <v>667</v>
      </c>
      <c r="C55" s="643"/>
      <c r="D55" s="643"/>
      <c r="E55" s="644"/>
      <c r="F55" s="216">
        <v>0</v>
      </c>
      <c r="G55" s="138">
        <v>0</v>
      </c>
      <c r="H55" s="250">
        <f>F55*G55</f>
        <v>0</v>
      </c>
      <c r="I55" s="250">
        <f>H55*0.13</f>
        <v>0</v>
      </c>
      <c r="J55" s="250">
        <f>H55+I55</f>
        <v>0</v>
      </c>
      <c r="K55" s="14">
        <v>-1240</v>
      </c>
    </row>
    <row r="56" spans="1:11" ht="15">
      <c r="A56" s="20">
        <v>109</v>
      </c>
      <c r="B56" s="646" t="s">
        <v>668</v>
      </c>
      <c r="C56" s="636"/>
      <c r="D56" s="636"/>
      <c r="E56" s="637"/>
      <c r="F56" s="217">
        <v>0</v>
      </c>
      <c r="G56" s="137">
        <v>0</v>
      </c>
      <c r="H56" s="218">
        <f>F56*G56</f>
        <v>0</v>
      </c>
      <c r="I56" s="218">
        <f>H56*0.13</f>
        <v>0</v>
      </c>
      <c r="J56" s="218">
        <f>H56+I56</f>
        <v>0</v>
      </c>
      <c r="K56" s="18">
        <v>-2783</v>
      </c>
    </row>
  </sheetData>
  <sheetProtection/>
  <mergeCells count="90">
    <mergeCell ref="B55:C55"/>
    <mergeCell ref="D55:E55"/>
    <mergeCell ref="B56:C56"/>
    <mergeCell ref="D56:E56"/>
    <mergeCell ref="B52:C52"/>
    <mergeCell ref="I52:J52"/>
    <mergeCell ref="B53:C53"/>
    <mergeCell ref="D53:E53"/>
    <mergeCell ref="B54:C54"/>
    <mergeCell ref="D54:E54"/>
    <mergeCell ref="B49:C49"/>
    <mergeCell ref="D49:E49"/>
    <mergeCell ref="B47:C47"/>
    <mergeCell ref="I47:J47"/>
    <mergeCell ref="B48:C48"/>
    <mergeCell ref="D48:E48"/>
    <mergeCell ref="B42:C42"/>
    <mergeCell ref="D42:E42"/>
    <mergeCell ref="B45:C45"/>
    <mergeCell ref="D45:E45"/>
    <mergeCell ref="I34:J34"/>
    <mergeCell ref="B35:C35"/>
    <mergeCell ref="D35:E35"/>
    <mergeCell ref="B41:C41"/>
    <mergeCell ref="D41:E41"/>
    <mergeCell ref="B39:C39"/>
    <mergeCell ref="D39:E39"/>
    <mergeCell ref="B40:C40"/>
    <mergeCell ref="D40:E40"/>
    <mergeCell ref="B37:C37"/>
    <mergeCell ref="D37:E37"/>
    <mergeCell ref="B38:C38"/>
    <mergeCell ref="I27:J27"/>
    <mergeCell ref="B21:H21"/>
    <mergeCell ref="I21:J21"/>
    <mergeCell ref="B22:C22"/>
    <mergeCell ref="B23:C23"/>
    <mergeCell ref="B24:C24"/>
    <mergeCell ref="D24:E24"/>
    <mergeCell ref="D25:E25"/>
    <mergeCell ref="I3:J3"/>
    <mergeCell ref="B5:E5"/>
    <mergeCell ref="F5:J5"/>
    <mergeCell ref="B3:H3"/>
    <mergeCell ref="B1:H2"/>
    <mergeCell ref="I1:J2"/>
    <mergeCell ref="A1:A3"/>
    <mergeCell ref="B4:J4"/>
    <mergeCell ref="B17:H17"/>
    <mergeCell ref="I17:J17"/>
    <mergeCell ref="B16:J16"/>
    <mergeCell ref="B11:H11"/>
    <mergeCell ref="I11:J11"/>
    <mergeCell ref="B12:C12"/>
    <mergeCell ref="B15:C15"/>
    <mergeCell ref="D15:E15"/>
    <mergeCell ref="I8:J8"/>
    <mergeCell ref="D12:E12"/>
    <mergeCell ref="B13:C13"/>
    <mergeCell ref="B10:J10"/>
    <mergeCell ref="B6:C6"/>
    <mergeCell ref="D6:E6"/>
    <mergeCell ref="D13:E13"/>
    <mergeCell ref="B7:J7"/>
    <mergeCell ref="B8:H8"/>
    <mergeCell ref="D14:E14"/>
    <mergeCell ref="B14:C14"/>
    <mergeCell ref="B9:C9"/>
    <mergeCell ref="D9:E9"/>
    <mergeCell ref="K1:K2"/>
    <mergeCell ref="D38:E38"/>
    <mergeCell ref="B32:C32"/>
    <mergeCell ref="D28:E28"/>
    <mergeCell ref="D29:E29"/>
    <mergeCell ref="D30:E30"/>
    <mergeCell ref="B36:C36"/>
    <mergeCell ref="D36:E36"/>
    <mergeCell ref="D31:E31"/>
    <mergeCell ref="D32:E32"/>
    <mergeCell ref="B29:C29"/>
    <mergeCell ref="B30:C30"/>
    <mergeCell ref="B31:C31"/>
    <mergeCell ref="B18:C18"/>
    <mergeCell ref="D18:E18"/>
    <mergeCell ref="B19:C19"/>
    <mergeCell ref="B28:C28"/>
    <mergeCell ref="B25:C25"/>
    <mergeCell ref="D22:E22"/>
    <mergeCell ref="D23:E23"/>
    <mergeCell ref="D19:E19"/>
  </mergeCells>
  <printOptions/>
  <pageMargins left="0.25" right="0.25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selection activeCell="B3" sqref="B3:H3"/>
    </sheetView>
  </sheetViews>
  <sheetFormatPr defaultColWidth="8.8515625" defaultRowHeight="15"/>
  <cols>
    <col min="1" max="1" width="4.7109375" style="33" customWidth="1"/>
    <col min="2" max="2" width="15.7109375" style="33" customWidth="1"/>
    <col min="3" max="3" width="19.421875" style="33" customWidth="1"/>
    <col min="4" max="5" width="17.421875" style="33" customWidth="1"/>
    <col min="6" max="6" width="12.8515625" style="33" customWidth="1"/>
    <col min="7" max="8" width="10.7109375" style="33" customWidth="1"/>
    <col min="9" max="9" width="9.7109375" style="33" customWidth="1"/>
    <col min="10" max="10" width="11.7109375" style="33" customWidth="1"/>
    <col min="11" max="11" width="12.7109375" style="33" bestFit="1" customWidth="1"/>
    <col min="12" max="12" width="17.28125" style="33" customWidth="1"/>
    <col min="13" max="13" width="13.140625" style="33" customWidth="1"/>
    <col min="14" max="16384" width="8.8515625" style="33" customWidth="1"/>
  </cols>
  <sheetData>
    <row r="1" spans="1:11" ht="15">
      <c r="A1" s="591"/>
      <c r="B1" s="537" t="s">
        <v>203</v>
      </c>
      <c r="C1" s="538"/>
      <c r="D1" s="538"/>
      <c r="E1" s="538"/>
      <c r="F1" s="538"/>
      <c r="G1" s="538"/>
      <c r="H1" s="538"/>
      <c r="I1" s="541">
        <f>SUM(I8,I13,I22,I27)</f>
        <v>9795</v>
      </c>
      <c r="J1" s="542"/>
      <c r="K1" s="547">
        <f>SUM(K8+K13+K22+K27+K32)</f>
        <v>7947.350000000001</v>
      </c>
    </row>
    <row r="2" spans="1:11" ht="15">
      <c r="A2" s="591"/>
      <c r="B2" s="539"/>
      <c r="C2" s="540"/>
      <c r="D2" s="540"/>
      <c r="E2" s="540"/>
      <c r="F2" s="540"/>
      <c r="G2" s="540"/>
      <c r="H2" s="540"/>
      <c r="I2" s="543"/>
      <c r="J2" s="544"/>
      <c r="K2" s="548"/>
    </row>
    <row r="3" spans="1:13" ht="15">
      <c r="A3" s="591"/>
      <c r="B3" s="606"/>
      <c r="C3" s="607"/>
      <c r="D3" s="607"/>
      <c r="E3" s="607"/>
      <c r="F3" s="607"/>
      <c r="G3" s="607"/>
      <c r="H3" s="607"/>
      <c r="I3" s="545" t="s">
        <v>487</v>
      </c>
      <c r="J3" s="546"/>
      <c r="K3" s="313" t="s">
        <v>108</v>
      </c>
      <c r="L3" s="310" t="s">
        <v>445</v>
      </c>
      <c r="M3" s="311">
        <v>5383.04</v>
      </c>
    </row>
    <row r="4" spans="2:13" ht="15">
      <c r="B4" s="629"/>
      <c r="C4" s="629"/>
      <c r="D4" s="629"/>
      <c r="E4" s="629"/>
      <c r="F4" s="629"/>
      <c r="G4" s="629"/>
      <c r="H4" s="629"/>
      <c r="I4" s="629"/>
      <c r="J4" s="629"/>
      <c r="K4" s="117"/>
      <c r="L4" s="310" t="s">
        <v>446</v>
      </c>
      <c r="M4" s="311">
        <v>4234.39</v>
      </c>
    </row>
    <row r="5" spans="2:11" ht="15">
      <c r="B5" s="488" t="s">
        <v>488</v>
      </c>
      <c r="C5" s="488"/>
      <c r="D5" s="488"/>
      <c r="E5" s="488"/>
      <c r="F5" s="488" t="s">
        <v>435</v>
      </c>
      <c r="G5" s="488"/>
      <c r="H5" s="488"/>
      <c r="I5" s="488"/>
      <c r="J5" s="488"/>
      <c r="K5" s="117"/>
    </row>
    <row r="6" spans="2:11" ht="30">
      <c r="B6" s="532" t="s">
        <v>490</v>
      </c>
      <c r="C6" s="532"/>
      <c r="D6" s="532" t="s">
        <v>491</v>
      </c>
      <c r="E6" s="532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327</v>
      </c>
      <c r="K6" s="317" t="s">
        <v>110</v>
      </c>
    </row>
    <row r="7" spans="2:10" ht="15">
      <c r="B7" s="504"/>
      <c r="C7" s="504"/>
      <c r="D7" s="504"/>
      <c r="E7" s="504"/>
      <c r="F7" s="504"/>
      <c r="G7" s="504"/>
      <c r="H7" s="504"/>
      <c r="I7" s="504"/>
      <c r="J7" s="504"/>
    </row>
    <row r="8" spans="2:11" ht="15">
      <c r="B8" s="587" t="s">
        <v>286</v>
      </c>
      <c r="C8" s="588"/>
      <c r="D8" s="588"/>
      <c r="E8" s="588"/>
      <c r="F8" s="588"/>
      <c r="G8" s="588"/>
      <c r="H8" s="586"/>
      <c r="I8" s="579">
        <f>SUM(J9:J11)</f>
        <v>1500</v>
      </c>
      <c r="J8" s="583"/>
      <c r="K8" s="63">
        <f>SUM(K9:K11)</f>
        <v>234.85</v>
      </c>
    </row>
    <row r="9" spans="1:11" ht="15">
      <c r="A9" s="33">
        <v>110</v>
      </c>
      <c r="B9" s="655" t="s">
        <v>285</v>
      </c>
      <c r="C9" s="656"/>
      <c r="D9" s="656"/>
      <c r="E9" s="671"/>
      <c r="F9" s="295">
        <v>500</v>
      </c>
      <c r="G9" s="305">
        <v>1</v>
      </c>
      <c r="H9" s="14">
        <f>F9*G9</f>
        <v>500</v>
      </c>
      <c r="I9" s="300"/>
      <c r="J9" s="14">
        <f>H9+I9</f>
        <v>500</v>
      </c>
      <c r="K9" s="14">
        <v>0</v>
      </c>
    </row>
    <row r="10" spans="1:11" ht="15">
      <c r="A10" s="33">
        <v>111</v>
      </c>
      <c r="B10" s="657" t="s">
        <v>284</v>
      </c>
      <c r="C10" s="590"/>
      <c r="D10" s="590"/>
      <c r="E10" s="658"/>
      <c r="F10" s="291">
        <v>500</v>
      </c>
      <c r="G10" s="304">
        <v>1</v>
      </c>
      <c r="H10" s="16">
        <f>F10*G10</f>
        <v>500</v>
      </c>
      <c r="I10" s="297"/>
      <c r="J10" s="16">
        <f>H10+I10</f>
        <v>500</v>
      </c>
      <c r="K10" s="16">
        <f>81.41</f>
        <v>81.41</v>
      </c>
    </row>
    <row r="11" spans="1:11" ht="15">
      <c r="A11" s="33">
        <v>112</v>
      </c>
      <c r="B11" s="665" t="s">
        <v>283</v>
      </c>
      <c r="C11" s="666"/>
      <c r="D11" s="674"/>
      <c r="E11" s="675"/>
      <c r="F11" s="289">
        <v>500</v>
      </c>
      <c r="G11" s="303">
        <v>1</v>
      </c>
      <c r="H11" s="18">
        <f>F11*G11</f>
        <v>500</v>
      </c>
      <c r="I11" s="296"/>
      <c r="J11" s="18">
        <f>H11+I11</f>
        <v>500</v>
      </c>
      <c r="K11" s="18">
        <f>60+93.44</f>
        <v>153.44</v>
      </c>
    </row>
    <row r="12" spans="2:11" ht="15">
      <c r="B12" s="668"/>
      <c r="C12" s="668"/>
      <c r="D12" s="668"/>
      <c r="E12" s="668"/>
      <c r="F12" s="668"/>
      <c r="G12" s="668"/>
      <c r="H12" s="668"/>
      <c r="I12" s="668"/>
      <c r="J12" s="668"/>
      <c r="K12" s="34"/>
    </row>
    <row r="13" spans="2:11" ht="15">
      <c r="B13" s="587" t="s">
        <v>512</v>
      </c>
      <c r="C13" s="588"/>
      <c r="D13" s="588"/>
      <c r="E13" s="588"/>
      <c r="F13" s="588"/>
      <c r="G13" s="588"/>
      <c r="H13" s="589"/>
      <c r="I13" s="579">
        <f>SUM(J14:J20)</f>
        <v>4400</v>
      </c>
      <c r="J13" s="580"/>
      <c r="K13" s="350">
        <f>SUM(K14:K20)</f>
        <v>3971.05</v>
      </c>
    </row>
    <row r="14" spans="1:11" ht="15">
      <c r="A14" s="20">
        <v>113</v>
      </c>
      <c r="B14" s="655" t="s">
        <v>451</v>
      </c>
      <c r="C14" s="656"/>
      <c r="D14" s="656" t="s">
        <v>282</v>
      </c>
      <c r="E14" s="671"/>
      <c r="F14" s="295">
        <v>60</v>
      </c>
      <c r="G14" s="377">
        <v>5</v>
      </c>
      <c r="H14" s="14">
        <f aca="true" t="shared" si="0" ref="H14:H20">F14*G14</f>
        <v>300</v>
      </c>
      <c r="I14" s="14"/>
      <c r="J14" s="14">
        <f aca="true" t="shared" si="1" ref="J14:J20">H14+I14</f>
        <v>300</v>
      </c>
      <c r="K14" s="343">
        <v>350</v>
      </c>
    </row>
    <row r="15" spans="1:11" ht="15">
      <c r="A15" s="20">
        <v>114</v>
      </c>
      <c r="B15" s="657" t="s">
        <v>305</v>
      </c>
      <c r="C15" s="590"/>
      <c r="D15" s="590" t="s">
        <v>282</v>
      </c>
      <c r="E15" s="658"/>
      <c r="F15" s="291">
        <v>100</v>
      </c>
      <c r="G15" s="378">
        <v>5</v>
      </c>
      <c r="H15" s="16">
        <f t="shared" si="0"/>
        <v>500</v>
      </c>
      <c r="I15" s="16"/>
      <c r="J15" s="16">
        <f t="shared" si="1"/>
        <v>500</v>
      </c>
      <c r="K15" s="346">
        <v>250</v>
      </c>
    </row>
    <row r="16" spans="1:11" ht="15">
      <c r="A16" s="20">
        <v>115</v>
      </c>
      <c r="B16" s="657" t="s">
        <v>281</v>
      </c>
      <c r="C16" s="590"/>
      <c r="D16" s="590" t="s">
        <v>280</v>
      </c>
      <c r="E16" s="658"/>
      <c r="F16" s="291">
        <v>50</v>
      </c>
      <c r="G16" s="302">
        <v>3</v>
      </c>
      <c r="H16" s="16">
        <f t="shared" si="0"/>
        <v>150</v>
      </c>
      <c r="I16" s="16"/>
      <c r="J16" s="16">
        <f t="shared" si="1"/>
        <v>150</v>
      </c>
      <c r="K16" s="346">
        <v>75</v>
      </c>
    </row>
    <row r="17" spans="1:11" ht="15">
      <c r="A17" s="20">
        <v>116</v>
      </c>
      <c r="B17" s="293"/>
      <c r="C17" s="292" t="s">
        <v>279</v>
      </c>
      <c r="D17" s="590" t="s">
        <v>278</v>
      </c>
      <c r="E17" s="658"/>
      <c r="F17" s="291">
        <v>600</v>
      </c>
      <c r="G17" s="302">
        <v>1</v>
      </c>
      <c r="H17" s="16">
        <f t="shared" si="0"/>
        <v>600</v>
      </c>
      <c r="I17" s="16"/>
      <c r="J17" s="16">
        <f t="shared" si="1"/>
        <v>600</v>
      </c>
      <c r="K17" s="346">
        <v>0</v>
      </c>
    </row>
    <row r="18" spans="1:11" ht="15">
      <c r="A18" s="20"/>
      <c r="B18" s="672" t="s">
        <v>0</v>
      </c>
      <c r="C18" s="673"/>
      <c r="D18" s="669" t="s">
        <v>1</v>
      </c>
      <c r="E18" s="670"/>
      <c r="F18" s="379">
        <v>50</v>
      </c>
      <c r="G18" s="378">
        <v>1</v>
      </c>
      <c r="H18" s="352">
        <v>50</v>
      </c>
      <c r="I18" s="352"/>
      <c r="J18" s="352">
        <v>50</v>
      </c>
      <c r="K18" s="346">
        <v>55</v>
      </c>
    </row>
    <row r="19" spans="1:11" ht="15">
      <c r="A19" s="20">
        <v>117</v>
      </c>
      <c r="B19" s="657" t="s">
        <v>306</v>
      </c>
      <c r="C19" s="590"/>
      <c r="D19" s="590" t="s">
        <v>612</v>
      </c>
      <c r="E19" s="658"/>
      <c r="F19" s="291">
        <v>250</v>
      </c>
      <c r="G19" s="302">
        <v>8</v>
      </c>
      <c r="H19" s="16">
        <f t="shared" si="0"/>
        <v>2000</v>
      </c>
      <c r="I19" s="16"/>
      <c r="J19" s="16">
        <f t="shared" si="1"/>
        <v>2000</v>
      </c>
      <c r="K19" s="346">
        <f>2750-270</f>
        <v>2480</v>
      </c>
    </row>
    <row r="20" spans="1:11" ht="15">
      <c r="A20" s="20">
        <v>118</v>
      </c>
      <c r="B20" s="665" t="s">
        <v>307</v>
      </c>
      <c r="C20" s="666"/>
      <c r="D20" s="666" t="s">
        <v>308</v>
      </c>
      <c r="E20" s="667"/>
      <c r="F20" s="289">
        <v>100</v>
      </c>
      <c r="G20" s="301">
        <v>8</v>
      </c>
      <c r="H20" s="18">
        <f t="shared" si="0"/>
        <v>800</v>
      </c>
      <c r="I20" s="19"/>
      <c r="J20" s="18">
        <f t="shared" si="1"/>
        <v>800</v>
      </c>
      <c r="K20" s="351">
        <v>761.05</v>
      </c>
    </row>
    <row r="21" spans="2:11" ht="15">
      <c r="B21" s="668"/>
      <c r="C21" s="668"/>
      <c r="D21" s="668"/>
      <c r="E21" s="668"/>
      <c r="F21" s="668"/>
      <c r="G21" s="668"/>
      <c r="H21" s="668"/>
      <c r="I21" s="668"/>
      <c r="J21" s="668"/>
      <c r="K21" s="34"/>
    </row>
    <row r="22" spans="2:11" ht="15">
      <c r="B22" s="587" t="s">
        <v>595</v>
      </c>
      <c r="C22" s="588"/>
      <c r="D22" s="588"/>
      <c r="E22" s="588"/>
      <c r="F22" s="588"/>
      <c r="G22" s="588"/>
      <c r="H22" s="586"/>
      <c r="I22" s="579">
        <f>SUM(J23:J25)</f>
        <v>2900</v>
      </c>
      <c r="J22" s="583"/>
      <c r="K22" s="63">
        <f>SUM(K23:K25)</f>
        <v>3357.4100000000003</v>
      </c>
    </row>
    <row r="23" spans="1:11" ht="15">
      <c r="A23" s="20">
        <v>119</v>
      </c>
      <c r="B23" s="661" t="s">
        <v>277</v>
      </c>
      <c r="C23" s="659"/>
      <c r="D23" s="659"/>
      <c r="E23" s="660"/>
      <c r="F23" s="295">
        <v>15</v>
      </c>
      <c r="G23" s="294">
        <v>100</v>
      </c>
      <c r="H23" s="14">
        <f>F23*G23</f>
        <v>1500</v>
      </c>
      <c r="I23" s="300"/>
      <c r="J23" s="14">
        <f>H23+I23</f>
        <v>1500</v>
      </c>
      <c r="K23" s="14">
        <f>4159.59-1225-612.05-177.2</f>
        <v>2145.34</v>
      </c>
    </row>
    <row r="24" spans="1:11" ht="15">
      <c r="A24" s="20">
        <v>120</v>
      </c>
      <c r="B24" s="650" t="s">
        <v>276</v>
      </c>
      <c r="C24" s="651"/>
      <c r="D24" s="299"/>
      <c r="E24" s="298"/>
      <c r="F24" s="291">
        <v>1000</v>
      </c>
      <c r="G24" s="290">
        <v>1</v>
      </c>
      <c r="H24" s="16">
        <f>F24*G24</f>
        <v>1000</v>
      </c>
      <c r="I24" s="297"/>
      <c r="J24" s="16">
        <f>H24+I24</f>
        <v>1000</v>
      </c>
      <c r="K24" s="16">
        <v>1000</v>
      </c>
    </row>
    <row r="25" spans="1:11" ht="15">
      <c r="A25" s="20">
        <v>121</v>
      </c>
      <c r="B25" s="662" t="s">
        <v>596</v>
      </c>
      <c r="C25" s="663"/>
      <c r="D25" s="663" t="s">
        <v>597</v>
      </c>
      <c r="E25" s="664"/>
      <c r="F25" s="289">
        <v>400</v>
      </c>
      <c r="G25" s="288">
        <v>1</v>
      </c>
      <c r="H25" s="18">
        <f>F25*G25</f>
        <v>400</v>
      </c>
      <c r="I25" s="296"/>
      <c r="J25" s="18">
        <f>H25+I25</f>
        <v>400</v>
      </c>
      <c r="K25" s="18">
        <v>212.07</v>
      </c>
    </row>
    <row r="26" spans="2:11" ht="15">
      <c r="B26" s="668"/>
      <c r="C26" s="668"/>
      <c r="D26" s="668"/>
      <c r="E26" s="668"/>
      <c r="F26" s="668"/>
      <c r="G26" s="668"/>
      <c r="H26" s="668"/>
      <c r="I26" s="668"/>
      <c r="J26" s="668"/>
      <c r="K26" s="34"/>
    </row>
    <row r="27" spans="2:11" ht="15">
      <c r="B27" s="584" t="s">
        <v>598</v>
      </c>
      <c r="C27" s="585"/>
      <c r="D27" s="585"/>
      <c r="E27" s="585"/>
      <c r="F27" s="585"/>
      <c r="G27" s="585"/>
      <c r="H27" s="586"/>
      <c r="I27" s="582">
        <f>SUM(J28:J30)</f>
        <v>995</v>
      </c>
      <c r="J27" s="583"/>
      <c r="K27" s="63">
        <f>SUM(K28:K30)</f>
        <v>356.91999999999996</v>
      </c>
    </row>
    <row r="28" spans="1:11" ht="15">
      <c r="A28" s="20">
        <v>122</v>
      </c>
      <c r="B28" s="655" t="s">
        <v>631</v>
      </c>
      <c r="C28" s="656"/>
      <c r="D28" s="656" t="s">
        <v>275</v>
      </c>
      <c r="E28" s="656"/>
      <c r="F28" s="295">
        <v>10</v>
      </c>
      <c r="G28" s="294">
        <v>12</v>
      </c>
      <c r="H28" s="75">
        <f>F28*G28</f>
        <v>120</v>
      </c>
      <c r="I28" s="75"/>
      <c r="J28" s="14">
        <f>H28+I28</f>
        <v>120</v>
      </c>
      <c r="K28" s="14">
        <f>52.27+78.5</f>
        <v>130.77</v>
      </c>
    </row>
    <row r="29" spans="1:11" ht="15">
      <c r="A29" s="20">
        <v>123</v>
      </c>
      <c r="B29" s="293"/>
      <c r="C29" s="292" t="s">
        <v>502</v>
      </c>
      <c r="D29" s="648" t="s">
        <v>274</v>
      </c>
      <c r="E29" s="649"/>
      <c r="F29" s="291">
        <v>200</v>
      </c>
      <c r="G29" s="290">
        <v>1</v>
      </c>
      <c r="H29" s="76">
        <f>F29*G29</f>
        <v>200</v>
      </c>
      <c r="I29" s="76"/>
      <c r="J29" s="16">
        <f>H29+I29</f>
        <v>200</v>
      </c>
      <c r="K29" s="16">
        <f>134.19+91.96</f>
        <v>226.14999999999998</v>
      </c>
    </row>
    <row r="30" spans="1:11" ht="15">
      <c r="A30" s="20">
        <v>124</v>
      </c>
      <c r="B30" s="665" t="s">
        <v>599</v>
      </c>
      <c r="C30" s="666"/>
      <c r="D30" s="666" t="s">
        <v>500</v>
      </c>
      <c r="E30" s="666"/>
      <c r="F30" s="289">
        <v>25</v>
      </c>
      <c r="G30" s="380">
        <v>27</v>
      </c>
      <c r="H30" s="77">
        <f>F30*G30</f>
        <v>675</v>
      </c>
      <c r="I30" s="77"/>
      <c r="J30" s="18">
        <f>H30+I30</f>
        <v>675</v>
      </c>
      <c r="K30" s="18">
        <v>0</v>
      </c>
    </row>
    <row r="31" spans="2:10" ht="15">
      <c r="B31" s="109"/>
      <c r="C31" s="109"/>
      <c r="D31" s="109"/>
      <c r="E31" s="109"/>
      <c r="F31" s="109"/>
      <c r="G31" s="109"/>
      <c r="H31" s="109"/>
      <c r="I31" s="109"/>
      <c r="J31" s="109"/>
    </row>
    <row r="32" spans="2:11" ht="15">
      <c r="B32" s="612" t="s">
        <v>686</v>
      </c>
      <c r="C32" s="585"/>
      <c r="D32" s="585"/>
      <c r="E32" s="585"/>
      <c r="F32" s="585"/>
      <c r="G32" s="585"/>
      <c r="H32" s="586"/>
      <c r="I32" s="582">
        <f>SUM(J33:J33)</f>
        <v>0</v>
      </c>
      <c r="J32" s="583"/>
      <c r="K32" s="63">
        <f>SUM(K33:K33)</f>
        <v>27.12</v>
      </c>
    </row>
    <row r="33" spans="1:11" ht="15">
      <c r="A33" s="20">
        <v>122</v>
      </c>
      <c r="B33" s="652" t="s">
        <v>637</v>
      </c>
      <c r="C33" s="653"/>
      <c r="D33" s="654" t="s">
        <v>687</v>
      </c>
      <c r="E33" s="653"/>
      <c r="F33" s="402"/>
      <c r="G33" s="403"/>
      <c r="H33" s="79">
        <f>F33*G33</f>
        <v>0</v>
      </c>
      <c r="I33" s="79"/>
      <c r="J33" s="63">
        <f>H33+I33</f>
        <v>0</v>
      </c>
      <c r="K33" s="63">
        <f>20.34+6.78</f>
        <v>27.12</v>
      </c>
    </row>
    <row r="34" spans="2:10" ht="15">
      <c r="B34" s="108"/>
      <c r="C34" s="108"/>
      <c r="D34" s="108"/>
      <c r="E34" s="108"/>
      <c r="F34" s="108"/>
      <c r="G34" s="108"/>
      <c r="H34" s="108"/>
      <c r="I34" s="108"/>
      <c r="J34" s="108"/>
    </row>
    <row r="35" spans="2:10" ht="15">
      <c r="B35" s="108"/>
      <c r="C35" s="108"/>
      <c r="D35" s="108"/>
      <c r="E35" s="108"/>
      <c r="F35" s="108"/>
      <c r="G35" s="108"/>
      <c r="H35" s="108"/>
      <c r="I35" s="108"/>
      <c r="J35" s="108"/>
    </row>
    <row r="36" spans="2:10" ht="15">
      <c r="B36" s="108"/>
      <c r="C36" s="108"/>
      <c r="D36" s="108"/>
      <c r="E36" s="108"/>
      <c r="F36" s="108"/>
      <c r="G36" s="108"/>
      <c r="H36" s="108"/>
      <c r="I36" s="108"/>
      <c r="J36" s="108"/>
    </row>
    <row r="37" spans="2:10" ht="15">
      <c r="B37" s="108"/>
      <c r="C37" s="108"/>
      <c r="D37" s="108"/>
      <c r="E37" s="108"/>
      <c r="F37" s="108"/>
      <c r="G37" s="108"/>
      <c r="H37" s="108"/>
      <c r="I37" s="108"/>
      <c r="J37" s="108"/>
    </row>
    <row r="38" spans="2:10" ht="15">
      <c r="B38" s="108"/>
      <c r="C38" s="108"/>
      <c r="D38" s="108"/>
      <c r="E38" s="108"/>
      <c r="F38" s="108"/>
      <c r="G38" s="108"/>
      <c r="H38" s="108"/>
      <c r="I38" s="108"/>
      <c r="J38" s="108"/>
    </row>
    <row r="39" spans="2:10" ht="15">
      <c r="B39" s="108"/>
      <c r="C39" s="108"/>
      <c r="D39" s="108"/>
      <c r="E39" s="108"/>
      <c r="F39" s="108"/>
      <c r="G39" s="108"/>
      <c r="H39" s="108"/>
      <c r="I39" s="108"/>
      <c r="J39" s="108"/>
    </row>
  </sheetData>
  <sheetProtection/>
  <mergeCells count="56">
    <mergeCell ref="B18:C18"/>
    <mergeCell ref="I3:J3"/>
    <mergeCell ref="I13:J13"/>
    <mergeCell ref="D9:E9"/>
    <mergeCell ref="I8:J8"/>
    <mergeCell ref="B5:E5"/>
    <mergeCell ref="F5:J5"/>
    <mergeCell ref="B16:C16"/>
    <mergeCell ref="B11:C11"/>
    <mergeCell ref="D11:E11"/>
    <mergeCell ref="D17:E17"/>
    <mergeCell ref="B10:C10"/>
    <mergeCell ref="D10:E10"/>
    <mergeCell ref="D16:E16"/>
    <mergeCell ref="D15:E15"/>
    <mergeCell ref="B12:J12"/>
    <mergeCell ref="B13:H13"/>
    <mergeCell ref="B15:C15"/>
    <mergeCell ref="A1:A3"/>
    <mergeCell ref="B4:J4"/>
    <mergeCell ref="B14:C14"/>
    <mergeCell ref="D14:E14"/>
    <mergeCell ref="B1:H2"/>
    <mergeCell ref="I1:J2"/>
    <mergeCell ref="B6:C6"/>
    <mergeCell ref="D6:E6"/>
    <mergeCell ref="B3:H3"/>
    <mergeCell ref="B8:H8"/>
    <mergeCell ref="B7:J7"/>
    <mergeCell ref="B9:C9"/>
    <mergeCell ref="K1:K2"/>
    <mergeCell ref="B30:C30"/>
    <mergeCell ref="D30:E30"/>
    <mergeCell ref="B21:J21"/>
    <mergeCell ref="B22:H22"/>
    <mergeCell ref="I22:J22"/>
    <mergeCell ref="D18:E18"/>
    <mergeCell ref="B26:J26"/>
    <mergeCell ref="B19:C19"/>
    <mergeCell ref="D19:E19"/>
    <mergeCell ref="D23:E23"/>
    <mergeCell ref="B23:C23"/>
    <mergeCell ref="B25:C25"/>
    <mergeCell ref="D25:E25"/>
    <mergeCell ref="B20:C20"/>
    <mergeCell ref="D20:E20"/>
    <mergeCell ref="D29:E29"/>
    <mergeCell ref="B24:C24"/>
    <mergeCell ref="B32:H32"/>
    <mergeCell ref="I32:J32"/>
    <mergeCell ref="B33:C33"/>
    <mergeCell ref="D33:E33"/>
    <mergeCell ref="B27:H27"/>
    <mergeCell ref="I27:J27"/>
    <mergeCell ref="B28:C28"/>
    <mergeCell ref="D28:E28"/>
  </mergeCells>
  <printOptions/>
  <pageMargins left="0.25" right="0.25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="60" zoomScaleNormal="60" zoomScalePageLayoutView="0" workbookViewId="0" topLeftCell="A1">
      <selection activeCell="B3" sqref="B3:H3"/>
    </sheetView>
  </sheetViews>
  <sheetFormatPr defaultColWidth="8.8515625" defaultRowHeight="15"/>
  <cols>
    <col min="1" max="1" width="4.7109375" style="33" customWidth="1"/>
    <col min="2" max="2" width="15.7109375" style="33" customWidth="1"/>
    <col min="3" max="3" width="17.421875" style="33" customWidth="1"/>
    <col min="4" max="4" width="16.421875" style="33" customWidth="1"/>
    <col min="5" max="5" width="21.7109375" style="33" customWidth="1"/>
    <col min="6" max="8" width="10.7109375" style="33" customWidth="1"/>
    <col min="9" max="9" width="9.7109375" style="33" customWidth="1"/>
    <col min="10" max="10" width="11.7109375" style="33" customWidth="1"/>
    <col min="11" max="11" width="14.8515625" style="33" bestFit="1" customWidth="1"/>
    <col min="12" max="12" width="15.8515625" style="33" customWidth="1"/>
    <col min="13" max="13" width="10.421875" style="33" customWidth="1"/>
    <col min="14" max="16384" width="8.8515625" style="33" customWidth="1"/>
  </cols>
  <sheetData>
    <row r="1" spans="1:11" ht="15">
      <c r="A1" s="591"/>
      <c r="B1" s="537" t="s">
        <v>697</v>
      </c>
      <c r="C1" s="538"/>
      <c r="D1" s="538"/>
      <c r="E1" s="538"/>
      <c r="F1" s="538"/>
      <c r="G1" s="538"/>
      <c r="H1" s="538"/>
      <c r="I1" s="541">
        <f>SUM(I8,I19,I32,I36)</f>
        <v>11715.911399999999</v>
      </c>
      <c r="J1" s="542"/>
      <c r="K1" s="547">
        <f>SUM(K8+K19+K32+K36+K39)</f>
        <v>10373.4</v>
      </c>
    </row>
    <row r="2" spans="1:11" ht="15">
      <c r="A2" s="591"/>
      <c r="B2" s="539"/>
      <c r="C2" s="540"/>
      <c r="D2" s="540"/>
      <c r="E2" s="540"/>
      <c r="F2" s="540"/>
      <c r="G2" s="540"/>
      <c r="H2" s="540"/>
      <c r="I2" s="543"/>
      <c r="J2" s="544"/>
      <c r="K2" s="548"/>
    </row>
    <row r="3" spans="1:13" ht="15">
      <c r="A3" s="591"/>
      <c r="B3" s="606"/>
      <c r="C3" s="607"/>
      <c r="D3" s="607"/>
      <c r="E3" s="607"/>
      <c r="F3" s="607"/>
      <c r="G3" s="607"/>
      <c r="H3" s="607"/>
      <c r="I3" s="545" t="s">
        <v>487</v>
      </c>
      <c r="J3" s="546"/>
      <c r="K3" s="313" t="s">
        <v>108</v>
      </c>
      <c r="L3" s="310" t="s">
        <v>445</v>
      </c>
      <c r="M3" s="311">
        <v>11358.56</v>
      </c>
    </row>
    <row r="4" spans="2:13" ht="15">
      <c r="B4" s="536"/>
      <c r="C4" s="536"/>
      <c r="D4" s="536"/>
      <c r="E4" s="536"/>
      <c r="F4" s="536"/>
      <c r="G4" s="536"/>
      <c r="H4" s="536"/>
      <c r="I4" s="536"/>
      <c r="J4" s="536"/>
      <c r="K4" s="117"/>
      <c r="L4" s="310" t="s">
        <v>446</v>
      </c>
      <c r="M4" s="311">
        <v>10254.23</v>
      </c>
    </row>
    <row r="5" spans="2:11" ht="15">
      <c r="B5" s="488" t="s">
        <v>488</v>
      </c>
      <c r="C5" s="488"/>
      <c r="D5" s="488"/>
      <c r="E5" s="488"/>
      <c r="F5" s="488" t="s">
        <v>435</v>
      </c>
      <c r="G5" s="488"/>
      <c r="H5" s="488"/>
      <c r="I5" s="488"/>
      <c r="J5" s="488"/>
      <c r="K5" s="117"/>
    </row>
    <row r="6" spans="2:11" ht="75">
      <c r="B6" s="532" t="s">
        <v>490</v>
      </c>
      <c r="C6" s="532"/>
      <c r="D6" s="532" t="s">
        <v>491</v>
      </c>
      <c r="E6" s="532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148</v>
      </c>
      <c r="K6" s="317" t="s">
        <v>110</v>
      </c>
    </row>
    <row r="7" spans="2:10" ht="15">
      <c r="B7" s="629"/>
      <c r="C7" s="629"/>
      <c r="D7" s="629"/>
      <c r="E7" s="629"/>
      <c r="F7" s="629"/>
      <c r="G7" s="629"/>
      <c r="H7" s="629"/>
      <c r="I7" s="629"/>
      <c r="J7" s="629"/>
    </row>
    <row r="8" spans="2:11" ht="15">
      <c r="B8" s="587" t="s">
        <v>168</v>
      </c>
      <c r="C8" s="588"/>
      <c r="D8" s="588"/>
      <c r="E8" s="588"/>
      <c r="F8" s="585"/>
      <c r="G8" s="585"/>
      <c r="H8" s="586"/>
      <c r="I8" s="521">
        <f>SUM(J9:J17)</f>
        <v>6379.1293</v>
      </c>
      <c r="J8" s="693"/>
      <c r="K8" s="63">
        <f>SUM(K9:K17)</f>
        <v>5620.29</v>
      </c>
    </row>
    <row r="9" spans="1:11" ht="13.5" customHeight="1">
      <c r="A9" s="33">
        <v>125</v>
      </c>
      <c r="B9" s="694" t="s">
        <v>169</v>
      </c>
      <c r="C9" s="104" t="s">
        <v>170</v>
      </c>
      <c r="D9" s="682" t="s">
        <v>7</v>
      </c>
      <c r="E9" s="682"/>
      <c r="F9" s="221">
        <v>758.61</v>
      </c>
      <c r="G9" s="102">
        <v>1</v>
      </c>
      <c r="H9" s="59">
        <f aca="true" t="shared" si="0" ref="H9:H17">F9*G9</f>
        <v>758.61</v>
      </c>
      <c r="I9" s="15">
        <f>H9*0.13</f>
        <v>98.61930000000001</v>
      </c>
      <c r="J9" s="14">
        <f aca="true" t="shared" si="1" ref="J9:J17">H9+I9</f>
        <v>857.2293</v>
      </c>
      <c r="K9" s="14">
        <f>486.85+332.36</f>
        <v>819.21</v>
      </c>
    </row>
    <row r="10" spans="1:11" ht="15">
      <c r="A10" s="33">
        <v>126</v>
      </c>
      <c r="B10" s="695"/>
      <c r="C10" s="104" t="s">
        <v>376</v>
      </c>
      <c r="D10" s="682"/>
      <c r="E10" s="682"/>
      <c r="F10" s="222">
        <v>125</v>
      </c>
      <c r="G10" s="103">
        <v>1</v>
      </c>
      <c r="H10" s="46">
        <f t="shared" si="0"/>
        <v>125</v>
      </c>
      <c r="I10" s="17"/>
      <c r="J10" s="16">
        <f t="shared" si="1"/>
        <v>125</v>
      </c>
      <c r="K10" s="16">
        <v>125</v>
      </c>
    </row>
    <row r="11" spans="1:11" ht="15">
      <c r="A11" s="33">
        <v>127</v>
      </c>
      <c r="B11" s="696"/>
      <c r="C11" s="107" t="s">
        <v>377</v>
      </c>
      <c r="D11" s="684" t="s">
        <v>226</v>
      </c>
      <c r="E11" s="684"/>
      <c r="F11" s="222">
        <v>150</v>
      </c>
      <c r="G11" s="103">
        <v>1</v>
      </c>
      <c r="H11" s="60">
        <f t="shared" si="0"/>
        <v>150</v>
      </c>
      <c r="I11" s="19"/>
      <c r="J11" s="18">
        <f t="shared" si="1"/>
        <v>150</v>
      </c>
      <c r="K11" s="16">
        <v>0</v>
      </c>
    </row>
    <row r="12" spans="1:11" ht="13.5" customHeight="1">
      <c r="A12" s="20">
        <v>128</v>
      </c>
      <c r="B12" s="679" t="s">
        <v>227</v>
      </c>
      <c r="C12" s="106" t="s">
        <v>228</v>
      </c>
      <c r="D12" s="688" t="s">
        <v>112</v>
      </c>
      <c r="E12" s="688"/>
      <c r="F12" s="221">
        <v>500</v>
      </c>
      <c r="G12" s="102">
        <v>1</v>
      </c>
      <c r="H12" s="59">
        <f t="shared" si="0"/>
        <v>500</v>
      </c>
      <c r="I12" s="15"/>
      <c r="J12" s="14">
        <f t="shared" si="1"/>
        <v>500</v>
      </c>
      <c r="K12" s="401">
        <v>520</v>
      </c>
    </row>
    <row r="13" spans="1:11" ht="15">
      <c r="A13" s="20">
        <v>129</v>
      </c>
      <c r="B13" s="680"/>
      <c r="C13" s="104" t="s">
        <v>113</v>
      </c>
      <c r="D13" s="682" t="s">
        <v>114</v>
      </c>
      <c r="E13" s="682"/>
      <c r="F13" s="222">
        <v>3500</v>
      </c>
      <c r="G13" s="103">
        <v>1</v>
      </c>
      <c r="H13" s="46">
        <f t="shared" si="0"/>
        <v>3500</v>
      </c>
      <c r="I13" s="17"/>
      <c r="J13" s="16">
        <f t="shared" si="1"/>
        <v>3500</v>
      </c>
      <c r="K13" s="16">
        <f>542.98+542.98+1241.24+707.96</f>
        <v>3035.16</v>
      </c>
    </row>
    <row r="14" spans="1:11" ht="15">
      <c r="A14" s="20">
        <v>130</v>
      </c>
      <c r="B14" s="681"/>
      <c r="C14" s="107" t="s">
        <v>377</v>
      </c>
      <c r="D14" s="684" t="s">
        <v>115</v>
      </c>
      <c r="E14" s="684"/>
      <c r="F14" s="223">
        <v>100</v>
      </c>
      <c r="G14" s="105">
        <v>1</v>
      </c>
      <c r="H14" s="60">
        <f t="shared" si="0"/>
        <v>100</v>
      </c>
      <c r="I14" s="19"/>
      <c r="J14" s="18">
        <f t="shared" si="1"/>
        <v>100</v>
      </c>
      <c r="K14" s="16">
        <f>22.6</f>
        <v>22.6</v>
      </c>
    </row>
    <row r="15" spans="1:11" ht="13.5" customHeight="1">
      <c r="A15" s="20">
        <v>131</v>
      </c>
      <c r="B15" s="679" t="s">
        <v>116</v>
      </c>
      <c r="C15" s="104" t="s">
        <v>117</v>
      </c>
      <c r="D15" s="682" t="s">
        <v>118</v>
      </c>
      <c r="E15" s="682"/>
      <c r="F15" s="222">
        <v>130</v>
      </c>
      <c r="G15" s="103">
        <v>1</v>
      </c>
      <c r="H15" s="46">
        <f t="shared" si="0"/>
        <v>130</v>
      </c>
      <c r="I15" s="17">
        <f>H15*0.13</f>
        <v>16.900000000000002</v>
      </c>
      <c r="J15" s="16">
        <f t="shared" si="1"/>
        <v>146.9</v>
      </c>
      <c r="K15" s="16">
        <f>198.32</f>
        <v>198.32</v>
      </c>
    </row>
    <row r="16" spans="1:11" ht="15">
      <c r="A16" s="20">
        <v>132</v>
      </c>
      <c r="B16" s="686"/>
      <c r="C16" s="104" t="s">
        <v>376</v>
      </c>
      <c r="D16" s="682" t="s">
        <v>119</v>
      </c>
      <c r="E16" s="682"/>
      <c r="F16" s="222">
        <v>150</v>
      </c>
      <c r="G16" s="103">
        <v>6</v>
      </c>
      <c r="H16" s="46">
        <f t="shared" si="0"/>
        <v>900</v>
      </c>
      <c r="I16" s="17"/>
      <c r="J16" s="16">
        <f t="shared" si="1"/>
        <v>900</v>
      </c>
      <c r="K16" s="16">
        <v>900</v>
      </c>
    </row>
    <row r="17" spans="1:11" ht="15">
      <c r="A17" s="20">
        <v>133</v>
      </c>
      <c r="B17" s="687"/>
      <c r="C17" s="107" t="s">
        <v>120</v>
      </c>
      <c r="D17" s="684"/>
      <c r="E17" s="684"/>
      <c r="F17" s="223">
        <v>100</v>
      </c>
      <c r="G17" s="105">
        <v>1</v>
      </c>
      <c r="H17" s="60">
        <f t="shared" si="0"/>
        <v>100</v>
      </c>
      <c r="I17" s="19"/>
      <c r="J17" s="18">
        <f t="shared" si="1"/>
        <v>100</v>
      </c>
      <c r="K17" s="18">
        <v>0</v>
      </c>
    </row>
    <row r="18" spans="2:11" ht="15">
      <c r="B18" s="629"/>
      <c r="C18" s="629"/>
      <c r="D18" s="629"/>
      <c r="E18" s="629"/>
      <c r="F18" s="536"/>
      <c r="G18" s="536"/>
      <c r="H18" s="629"/>
      <c r="I18" s="629"/>
      <c r="J18" s="629"/>
      <c r="K18" s="34"/>
    </row>
    <row r="19" spans="2:11" ht="15">
      <c r="B19" s="584" t="s">
        <v>604</v>
      </c>
      <c r="C19" s="585"/>
      <c r="D19" s="585"/>
      <c r="E19" s="585"/>
      <c r="F19" s="585"/>
      <c r="G19" s="585"/>
      <c r="H19" s="586"/>
      <c r="I19" s="692">
        <f>SUM(J20:J30)</f>
        <v>3654.7821</v>
      </c>
      <c r="J19" s="678"/>
      <c r="K19" s="63">
        <f>SUM(K20:K30)</f>
        <v>2337.43</v>
      </c>
    </row>
    <row r="20" spans="1:11" ht="15">
      <c r="A20" s="20">
        <v>134</v>
      </c>
      <c r="B20" s="690" t="s">
        <v>121</v>
      </c>
      <c r="C20" s="106" t="s">
        <v>611</v>
      </c>
      <c r="D20" s="688"/>
      <c r="E20" s="688"/>
      <c r="F20" s="221">
        <f>225+55</f>
        <v>280</v>
      </c>
      <c r="G20" s="102">
        <v>1</v>
      </c>
      <c r="H20" s="14">
        <f>F20*G20</f>
        <v>280</v>
      </c>
      <c r="I20" s="15"/>
      <c r="J20" s="14">
        <f>H20+I20</f>
        <v>280</v>
      </c>
      <c r="K20" s="14">
        <f>35.3</f>
        <v>35.3</v>
      </c>
    </row>
    <row r="21" spans="1:11" ht="15">
      <c r="A21" s="20">
        <v>135</v>
      </c>
      <c r="B21" s="691"/>
      <c r="C21" s="107" t="s">
        <v>612</v>
      </c>
      <c r="D21" s="684" t="s">
        <v>458</v>
      </c>
      <c r="E21" s="684"/>
      <c r="F21" s="223">
        <v>100</v>
      </c>
      <c r="G21" s="105">
        <v>6</v>
      </c>
      <c r="H21" s="16">
        <f>F21*G21</f>
        <v>600</v>
      </c>
      <c r="I21" s="17"/>
      <c r="J21" s="16">
        <f>H21+I21</f>
        <v>600</v>
      </c>
      <c r="K21" s="352">
        <v>400</v>
      </c>
    </row>
    <row r="22" spans="1:11" ht="15">
      <c r="A22" s="20">
        <v>136</v>
      </c>
      <c r="B22" s="679" t="s">
        <v>123</v>
      </c>
      <c r="C22" s="104"/>
      <c r="D22" s="682"/>
      <c r="E22" s="683"/>
      <c r="F22" s="222">
        <v>0</v>
      </c>
      <c r="G22" s="103">
        <v>0</v>
      </c>
      <c r="H22" s="14">
        <f aca="true" t="shared" si="2" ref="H22:H30">F22*G22</f>
        <v>0</v>
      </c>
      <c r="I22" s="25">
        <f aca="true" t="shared" si="3" ref="I22:I28">H22*0.13</f>
        <v>0</v>
      </c>
      <c r="J22" s="14">
        <f aca="true" t="shared" si="4" ref="J22:J30">H22+I22</f>
        <v>0</v>
      </c>
      <c r="K22" s="16">
        <v>0</v>
      </c>
    </row>
    <row r="23" spans="1:11" ht="15">
      <c r="A23" s="20">
        <v>137</v>
      </c>
      <c r="B23" s="680"/>
      <c r="C23" s="104" t="s">
        <v>376</v>
      </c>
      <c r="D23" s="682" t="s">
        <v>122</v>
      </c>
      <c r="E23" s="683"/>
      <c r="F23" s="222">
        <v>125</v>
      </c>
      <c r="G23" s="103">
        <v>4</v>
      </c>
      <c r="H23" s="16">
        <f t="shared" si="2"/>
        <v>500</v>
      </c>
      <c r="I23" s="28"/>
      <c r="J23" s="16">
        <f t="shared" si="4"/>
        <v>500</v>
      </c>
      <c r="K23" s="352">
        <v>500</v>
      </c>
    </row>
    <row r="24" spans="1:11" ht="15">
      <c r="A24" s="20">
        <v>138</v>
      </c>
      <c r="B24" s="681"/>
      <c r="C24" s="107" t="s">
        <v>124</v>
      </c>
      <c r="D24" s="684" t="s">
        <v>125</v>
      </c>
      <c r="E24" s="685"/>
      <c r="F24" s="223">
        <v>150</v>
      </c>
      <c r="G24" s="105">
        <v>1</v>
      </c>
      <c r="H24" s="18">
        <f t="shared" si="2"/>
        <v>150</v>
      </c>
      <c r="I24" s="31"/>
      <c r="J24" s="18">
        <f t="shared" si="4"/>
        <v>150</v>
      </c>
      <c r="K24" s="16">
        <f>52.05+55.78</f>
        <v>107.83</v>
      </c>
    </row>
    <row r="25" spans="1:11" ht="15">
      <c r="A25" s="20">
        <v>139</v>
      </c>
      <c r="B25" s="679" t="s">
        <v>126</v>
      </c>
      <c r="C25" s="106" t="s">
        <v>2</v>
      </c>
      <c r="D25" s="688" t="s">
        <v>97</v>
      </c>
      <c r="E25" s="689"/>
      <c r="F25" s="221">
        <v>130</v>
      </c>
      <c r="G25" s="102">
        <v>1</v>
      </c>
      <c r="H25" s="14">
        <f t="shared" si="2"/>
        <v>130</v>
      </c>
      <c r="I25" s="25">
        <f t="shared" si="3"/>
        <v>16.900000000000002</v>
      </c>
      <c r="J25" s="14">
        <f t="shared" si="4"/>
        <v>146.9</v>
      </c>
      <c r="K25" s="16">
        <f>58.76+100</f>
        <v>158.76</v>
      </c>
    </row>
    <row r="26" spans="1:11" ht="15">
      <c r="A26" s="20">
        <v>140</v>
      </c>
      <c r="B26" s="680"/>
      <c r="C26" s="104" t="s">
        <v>376</v>
      </c>
      <c r="D26" s="682" t="s">
        <v>119</v>
      </c>
      <c r="E26" s="683"/>
      <c r="F26" s="222">
        <v>150</v>
      </c>
      <c r="G26" s="103">
        <v>6</v>
      </c>
      <c r="H26" s="16">
        <f t="shared" si="2"/>
        <v>900</v>
      </c>
      <c r="I26" s="28"/>
      <c r="J26" s="16">
        <f t="shared" si="4"/>
        <v>900</v>
      </c>
      <c r="K26" s="16">
        <v>960</v>
      </c>
    </row>
    <row r="27" spans="1:11" ht="15">
      <c r="A27" s="20">
        <v>141</v>
      </c>
      <c r="B27" s="681"/>
      <c r="C27" s="107" t="s">
        <v>124</v>
      </c>
      <c r="D27" s="684"/>
      <c r="E27" s="685"/>
      <c r="F27" s="223">
        <v>100</v>
      </c>
      <c r="G27" s="105">
        <v>1</v>
      </c>
      <c r="H27" s="18">
        <f t="shared" si="2"/>
        <v>100</v>
      </c>
      <c r="I27" s="31"/>
      <c r="J27" s="18">
        <f t="shared" si="4"/>
        <v>100</v>
      </c>
      <c r="K27" s="16">
        <f>54.3+121.24</f>
        <v>175.54</v>
      </c>
    </row>
    <row r="28" spans="1:11" ht="15">
      <c r="A28" s="20">
        <v>142</v>
      </c>
      <c r="B28" s="679" t="s">
        <v>98</v>
      </c>
      <c r="C28" s="106" t="s">
        <v>99</v>
      </c>
      <c r="D28" s="688" t="s">
        <v>419</v>
      </c>
      <c r="E28" s="689"/>
      <c r="F28" s="222">
        <v>113.17</v>
      </c>
      <c r="G28" s="103">
        <v>1</v>
      </c>
      <c r="H28" s="14">
        <f t="shared" si="2"/>
        <v>113.17</v>
      </c>
      <c r="I28" s="25">
        <f t="shared" si="3"/>
        <v>14.712100000000001</v>
      </c>
      <c r="J28" s="14">
        <f t="shared" si="4"/>
        <v>127.88210000000001</v>
      </c>
      <c r="K28" s="346">
        <v>0</v>
      </c>
    </row>
    <row r="29" spans="1:11" ht="15">
      <c r="A29" s="20">
        <v>143</v>
      </c>
      <c r="B29" s="680"/>
      <c r="C29" s="104" t="s">
        <v>376</v>
      </c>
      <c r="D29" s="682"/>
      <c r="E29" s="683"/>
      <c r="F29" s="222">
        <v>150</v>
      </c>
      <c r="G29" s="103">
        <v>5</v>
      </c>
      <c r="H29" s="16">
        <f t="shared" si="2"/>
        <v>750</v>
      </c>
      <c r="I29" s="28"/>
      <c r="J29" s="16">
        <f t="shared" si="4"/>
        <v>750</v>
      </c>
      <c r="K29" s="346">
        <v>0</v>
      </c>
    </row>
    <row r="30" spans="1:11" ht="15">
      <c r="A30" s="20">
        <v>144</v>
      </c>
      <c r="B30" s="681"/>
      <c r="C30" s="107" t="s">
        <v>124</v>
      </c>
      <c r="D30" s="684"/>
      <c r="E30" s="685"/>
      <c r="F30" s="223">
        <v>100</v>
      </c>
      <c r="G30" s="105">
        <v>1</v>
      </c>
      <c r="H30" s="18">
        <f t="shared" si="2"/>
        <v>100</v>
      </c>
      <c r="I30" s="31"/>
      <c r="J30" s="18">
        <f t="shared" si="4"/>
        <v>100</v>
      </c>
      <c r="K30" s="351">
        <v>0</v>
      </c>
    </row>
    <row r="31" spans="2:11" ht="15">
      <c r="B31" s="629"/>
      <c r="C31" s="629"/>
      <c r="D31" s="629"/>
      <c r="E31" s="629"/>
      <c r="F31" s="536"/>
      <c r="G31" s="536"/>
      <c r="H31" s="536"/>
      <c r="I31" s="536"/>
      <c r="J31" s="536"/>
      <c r="K31" s="34"/>
    </row>
    <row r="32" spans="2:11" ht="15">
      <c r="B32" s="612" t="s">
        <v>22</v>
      </c>
      <c r="C32" s="517"/>
      <c r="D32" s="517"/>
      <c r="E32" s="517"/>
      <c r="F32" s="517"/>
      <c r="G32" s="517"/>
      <c r="H32" s="676"/>
      <c r="I32" s="677">
        <f>SUM(J33:J34)</f>
        <v>1482</v>
      </c>
      <c r="J32" s="678"/>
      <c r="K32" s="350">
        <f>SUM(K33+K34)</f>
        <v>1442.67</v>
      </c>
    </row>
    <row r="33" spans="1:12" ht="15">
      <c r="A33" s="20">
        <v>145</v>
      </c>
      <c r="B33" s="508" t="s">
        <v>23</v>
      </c>
      <c r="C33" s="509"/>
      <c r="D33" s="554"/>
      <c r="E33" s="554"/>
      <c r="F33" s="95">
        <v>0.17</v>
      </c>
      <c r="G33" s="8">
        <v>2600</v>
      </c>
      <c r="H33" s="59">
        <f>F33*G33</f>
        <v>442.00000000000006</v>
      </c>
      <c r="I33" s="75"/>
      <c r="J33" s="14">
        <f>H33+I33</f>
        <v>442.00000000000006</v>
      </c>
      <c r="K33" s="343">
        <v>430.27</v>
      </c>
      <c r="L33" s="34"/>
    </row>
    <row r="34" spans="1:11" ht="15">
      <c r="A34" s="20">
        <v>146</v>
      </c>
      <c r="B34" s="511" t="s">
        <v>24</v>
      </c>
      <c r="C34" s="512"/>
      <c r="D34" s="530"/>
      <c r="E34" s="530"/>
      <c r="F34" s="97">
        <v>0.4</v>
      </c>
      <c r="G34" s="12">
        <v>2600</v>
      </c>
      <c r="H34" s="60">
        <f>F34*G34</f>
        <v>1040</v>
      </c>
      <c r="I34" s="77"/>
      <c r="J34" s="18">
        <f>H34+I34</f>
        <v>1040</v>
      </c>
      <c r="K34" s="351">
        <f>2531*0.4</f>
        <v>1012.4000000000001</v>
      </c>
    </row>
    <row r="35" spans="1:11" ht="15">
      <c r="A35" s="20"/>
      <c r="B35" s="629"/>
      <c r="C35" s="629"/>
      <c r="D35" s="629"/>
      <c r="E35" s="629"/>
      <c r="F35" s="536"/>
      <c r="G35" s="536"/>
      <c r="H35" s="629"/>
      <c r="I35" s="629"/>
      <c r="J35" s="629"/>
      <c r="K35" s="34"/>
    </row>
    <row r="36" spans="2:11" ht="15">
      <c r="B36" s="612" t="s">
        <v>417</v>
      </c>
      <c r="C36" s="517"/>
      <c r="D36" s="517"/>
      <c r="E36" s="517"/>
      <c r="F36" s="517"/>
      <c r="G36" s="517"/>
      <c r="H36" s="676"/>
      <c r="I36" s="677">
        <f>SUM(J37:J37)</f>
        <v>200</v>
      </c>
      <c r="J36" s="678"/>
      <c r="K36" s="63">
        <f>K37</f>
        <v>0</v>
      </c>
    </row>
    <row r="37" spans="1:11" ht="15">
      <c r="A37" s="33">
        <v>147</v>
      </c>
      <c r="B37" s="523" t="s">
        <v>418</v>
      </c>
      <c r="C37" s="524"/>
      <c r="D37" s="495" t="s">
        <v>270</v>
      </c>
      <c r="E37" s="495"/>
      <c r="F37" s="94">
        <v>200</v>
      </c>
      <c r="G37" s="23">
        <v>1</v>
      </c>
      <c r="H37" s="78">
        <f>F37*G37</f>
        <v>200</v>
      </c>
      <c r="I37" s="79"/>
      <c r="J37" s="63">
        <f>H37+I37</f>
        <v>200</v>
      </c>
      <c r="K37" s="63">
        <v>0</v>
      </c>
    </row>
    <row r="39" spans="2:11" ht="15">
      <c r="B39" s="612" t="s">
        <v>688</v>
      </c>
      <c r="C39" s="517"/>
      <c r="D39" s="517"/>
      <c r="E39" s="517"/>
      <c r="F39" s="517"/>
      <c r="G39" s="517"/>
      <c r="H39" s="676"/>
      <c r="I39" s="677">
        <f>SUM(J40:J41)</f>
        <v>0</v>
      </c>
      <c r="J39" s="678"/>
      <c r="K39" s="350">
        <f>SUM(K40+K41)</f>
        <v>973.0100000000002</v>
      </c>
    </row>
    <row r="40" spans="1:11" ht="15">
      <c r="A40" s="20">
        <v>145</v>
      </c>
      <c r="B40" s="613" t="s">
        <v>654</v>
      </c>
      <c r="C40" s="509"/>
      <c r="D40" s="554"/>
      <c r="E40" s="554"/>
      <c r="F40" s="95">
        <v>0</v>
      </c>
      <c r="G40" s="8">
        <v>0</v>
      </c>
      <c r="H40" s="59">
        <f>F40*G40</f>
        <v>0</v>
      </c>
      <c r="I40" s="75"/>
      <c r="J40" s="14">
        <f>H40+I40</f>
        <v>0</v>
      </c>
      <c r="K40" s="343">
        <v>10693.01</v>
      </c>
    </row>
    <row r="41" spans="1:11" ht="15">
      <c r="A41" s="20">
        <v>146</v>
      </c>
      <c r="B41" s="697" t="s">
        <v>653</v>
      </c>
      <c r="C41" s="512"/>
      <c r="D41" s="530"/>
      <c r="E41" s="530"/>
      <c r="F41" s="97">
        <v>0</v>
      </c>
      <c r="G41" s="12">
        <v>0</v>
      </c>
      <c r="H41" s="60">
        <f>F41*G41</f>
        <v>0</v>
      </c>
      <c r="I41" s="77"/>
      <c r="J41" s="18">
        <f>H41+I41</f>
        <v>0</v>
      </c>
      <c r="K41" s="351">
        <v>-9720</v>
      </c>
    </row>
  </sheetData>
  <sheetProtection/>
  <mergeCells count="62">
    <mergeCell ref="B39:H39"/>
    <mergeCell ref="I39:J39"/>
    <mergeCell ref="B40:C40"/>
    <mergeCell ref="D40:E40"/>
    <mergeCell ref="B41:C41"/>
    <mergeCell ref="D41:E41"/>
    <mergeCell ref="B12:B14"/>
    <mergeCell ref="B6:C6"/>
    <mergeCell ref="D6:E6"/>
    <mergeCell ref="B4:J4"/>
    <mergeCell ref="B3:H3"/>
    <mergeCell ref="B1:H2"/>
    <mergeCell ref="I1:J2"/>
    <mergeCell ref="I3:J3"/>
    <mergeCell ref="B5:E5"/>
    <mergeCell ref="F5:J5"/>
    <mergeCell ref="I19:J19"/>
    <mergeCell ref="D16:E16"/>
    <mergeCell ref="D17:E17"/>
    <mergeCell ref="B7:J7"/>
    <mergeCell ref="B8:H8"/>
    <mergeCell ref="I8:J8"/>
    <mergeCell ref="B9:B11"/>
    <mergeCell ref="D9:E9"/>
    <mergeCell ref="D10:E10"/>
    <mergeCell ref="D11:E11"/>
    <mergeCell ref="B28:B30"/>
    <mergeCell ref="D28:E28"/>
    <mergeCell ref="D29:E29"/>
    <mergeCell ref="D30:E30"/>
    <mergeCell ref="D12:E12"/>
    <mergeCell ref="D13:E13"/>
    <mergeCell ref="D14:E14"/>
    <mergeCell ref="D15:E15"/>
    <mergeCell ref="B18:J18"/>
    <mergeCell ref="B19:H19"/>
    <mergeCell ref="D25:E25"/>
    <mergeCell ref="D26:E26"/>
    <mergeCell ref="D27:E27"/>
    <mergeCell ref="B20:B21"/>
    <mergeCell ref="D20:E20"/>
    <mergeCell ref="D21:E21"/>
    <mergeCell ref="K1:K2"/>
    <mergeCell ref="A1:A3"/>
    <mergeCell ref="B36:H36"/>
    <mergeCell ref="I36:J36"/>
    <mergeCell ref="B37:C37"/>
    <mergeCell ref="D37:E37"/>
    <mergeCell ref="B15:B17"/>
    <mergeCell ref="B33:C33"/>
    <mergeCell ref="D33:E33"/>
    <mergeCell ref="B34:C34"/>
    <mergeCell ref="D34:E34"/>
    <mergeCell ref="B35:J35"/>
    <mergeCell ref="B32:H32"/>
    <mergeCell ref="I32:J32"/>
    <mergeCell ref="B22:B24"/>
    <mergeCell ref="D22:E22"/>
    <mergeCell ref="B31:J31"/>
    <mergeCell ref="D23:E23"/>
    <mergeCell ref="D24:E24"/>
    <mergeCell ref="B25:B27"/>
  </mergeCells>
  <printOptions/>
  <pageMargins left="0.25" right="0.25" top="0.75" bottom="0.75" header="0.3" footer="0.3"/>
  <pageSetup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9"/>
  <sheetViews>
    <sheetView zoomScale="75" zoomScaleNormal="75" zoomScalePageLayoutView="0" workbookViewId="0" topLeftCell="A1">
      <selection activeCell="B3" sqref="B3:H3"/>
    </sheetView>
  </sheetViews>
  <sheetFormatPr defaultColWidth="8.8515625" defaultRowHeight="15"/>
  <cols>
    <col min="1" max="1" width="4.7109375" style="0" customWidth="1"/>
    <col min="2" max="2" width="15.7109375" style="0" customWidth="1"/>
    <col min="3" max="4" width="17.421875" style="0" customWidth="1"/>
    <col min="5" max="5" width="16.7109375" style="0" customWidth="1"/>
    <col min="6" max="7" width="10.7109375" style="0" customWidth="1"/>
    <col min="8" max="8" width="11.57421875" style="0" bestFit="1" customWidth="1"/>
    <col min="9" max="9" width="9.7109375" style="0" customWidth="1"/>
    <col min="10" max="10" width="11.7109375" style="0" customWidth="1"/>
    <col min="11" max="11" width="11.8515625" style="0" customWidth="1"/>
    <col min="12" max="12" width="16.00390625" style="0" customWidth="1"/>
    <col min="13" max="13" width="11.28125" style="0" customWidth="1"/>
  </cols>
  <sheetData>
    <row r="1" spans="1:11" ht="15">
      <c r="A1" s="429"/>
      <c r="B1" s="560" t="s">
        <v>698</v>
      </c>
      <c r="C1" s="561"/>
      <c r="D1" s="561"/>
      <c r="E1" s="561"/>
      <c r="F1" s="561"/>
      <c r="G1" s="561"/>
      <c r="H1" s="561"/>
      <c r="I1" s="557">
        <f>SUM(I8,I52,I69,I78,I90,I99,I122,I135,I144,I157)</f>
        <v>5822.309300000003</v>
      </c>
      <c r="J1" s="482"/>
      <c r="K1" s="787">
        <f>SUM(K8+K52+K69+K78+K99+K122+K135+K144+K157+K90)</f>
        <v>6430.48</v>
      </c>
    </row>
    <row r="2" spans="1:11" ht="15">
      <c r="A2" s="429"/>
      <c r="B2" s="562"/>
      <c r="C2" s="563"/>
      <c r="D2" s="563"/>
      <c r="E2" s="563"/>
      <c r="F2" s="563"/>
      <c r="G2" s="563"/>
      <c r="H2" s="563"/>
      <c r="I2" s="483"/>
      <c r="J2" s="484"/>
      <c r="K2" s="788"/>
    </row>
    <row r="3" spans="1:13" ht="15">
      <c r="A3" s="429"/>
      <c r="B3" s="475"/>
      <c r="C3" s="476"/>
      <c r="D3" s="476"/>
      <c r="E3" s="476"/>
      <c r="F3" s="476"/>
      <c r="G3" s="476"/>
      <c r="H3" s="476"/>
      <c r="I3" s="558" t="s">
        <v>487</v>
      </c>
      <c r="J3" s="559"/>
      <c r="K3" s="313" t="s">
        <v>108</v>
      </c>
      <c r="L3" s="310" t="s">
        <v>445</v>
      </c>
      <c r="M3" s="311">
        <v>7616.54</v>
      </c>
    </row>
    <row r="4" spans="2:13" ht="15">
      <c r="B4" s="714"/>
      <c r="C4" s="714"/>
      <c r="D4" s="714"/>
      <c r="E4" s="714"/>
      <c r="F4" s="714"/>
      <c r="G4" s="714"/>
      <c r="H4" s="714"/>
      <c r="I4" s="714"/>
      <c r="J4" s="714"/>
      <c r="K4" s="117"/>
      <c r="L4" s="310" t="s">
        <v>446</v>
      </c>
      <c r="M4" s="311">
        <v>6942.76</v>
      </c>
    </row>
    <row r="5" spans="2:11" ht="15">
      <c r="B5" s="487" t="s">
        <v>488</v>
      </c>
      <c r="C5" s="487"/>
      <c r="D5" s="487"/>
      <c r="E5" s="487"/>
      <c r="F5" s="488" t="s">
        <v>475</v>
      </c>
      <c r="G5" s="488"/>
      <c r="H5" s="488"/>
      <c r="I5" s="488"/>
      <c r="J5" s="488"/>
      <c r="K5" s="117"/>
    </row>
    <row r="6" spans="2:11" ht="30">
      <c r="B6" s="553" t="s">
        <v>490</v>
      </c>
      <c r="C6" s="553"/>
      <c r="D6" s="553" t="s">
        <v>491</v>
      </c>
      <c r="E6" s="553"/>
      <c r="F6" s="42" t="s">
        <v>492</v>
      </c>
      <c r="G6" s="24" t="s">
        <v>493</v>
      </c>
      <c r="H6" s="42" t="s">
        <v>494</v>
      </c>
      <c r="I6" s="42" t="s">
        <v>495</v>
      </c>
      <c r="J6" s="42" t="s">
        <v>148</v>
      </c>
      <c r="K6" s="317" t="s">
        <v>110</v>
      </c>
    </row>
    <row r="7" spans="2:11" ht="15">
      <c r="B7" s="714"/>
      <c r="C7" s="714"/>
      <c r="D7" s="714"/>
      <c r="E7" s="714"/>
      <c r="F7" s="714"/>
      <c r="G7" s="714"/>
      <c r="H7" s="714"/>
      <c r="I7" s="714"/>
      <c r="J7" s="714"/>
      <c r="K7" s="328"/>
    </row>
    <row r="8" spans="2:11" ht="15">
      <c r="B8" s="489" t="s">
        <v>271</v>
      </c>
      <c r="C8" s="490"/>
      <c r="D8" s="490"/>
      <c r="E8" s="490"/>
      <c r="F8" s="490"/>
      <c r="G8" s="490"/>
      <c r="H8" s="491"/>
      <c r="I8" s="492">
        <f>SUM(J9:J50)</f>
        <v>203.45109999999977</v>
      </c>
      <c r="J8" s="775"/>
      <c r="K8" s="329">
        <f>K49+K50</f>
        <v>1473.7900000000009</v>
      </c>
    </row>
    <row r="9" spans="1:12" ht="15" customHeight="1">
      <c r="A9">
        <v>148</v>
      </c>
      <c r="B9" s="765" t="s">
        <v>84</v>
      </c>
      <c r="C9" s="48" t="s">
        <v>29</v>
      </c>
      <c r="D9" s="509" t="s">
        <v>519</v>
      </c>
      <c r="E9" s="509"/>
      <c r="F9" s="95">
        <v>40</v>
      </c>
      <c r="G9" s="8">
        <v>1</v>
      </c>
      <c r="H9" s="27">
        <f>F9*G9</f>
        <v>40</v>
      </c>
      <c r="I9" s="69">
        <f aca="true" t="shared" si="0" ref="I9:I31">H9*0.13</f>
        <v>5.2</v>
      </c>
      <c r="J9" s="285">
        <f>H9+I9</f>
        <v>45.2</v>
      </c>
      <c r="K9" s="334">
        <v>45.2</v>
      </c>
      <c r="L9" s="49"/>
    </row>
    <row r="10" spans="1:11" ht="15">
      <c r="A10">
        <f>A9+1</f>
        <v>149</v>
      </c>
      <c r="B10" s="776"/>
      <c r="C10" s="45" t="s">
        <v>520</v>
      </c>
      <c r="D10" s="528"/>
      <c r="E10" s="528"/>
      <c r="F10" s="96">
        <v>3200</v>
      </c>
      <c r="G10" s="9">
        <v>1</v>
      </c>
      <c r="H10" s="30">
        <f aca="true" t="shared" si="1" ref="H10:H34">F10*G10</f>
        <v>3200</v>
      </c>
      <c r="I10" s="41">
        <f t="shared" si="0"/>
        <v>416</v>
      </c>
      <c r="J10" s="286">
        <f aca="true" t="shared" si="2" ref="J10:J19">H10+I10</f>
        <v>3616</v>
      </c>
      <c r="K10" s="335">
        <f>4028.45+500</f>
        <v>4528.45</v>
      </c>
    </row>
    <row r="11" spans="1:11" ht="15">
      <c r="A11">
        <f aca="true" t="shared" si="3" ref="A11:A47">A10+1</f>
        <v>150</v>
      </c>
      <c r="B11" s="776"/>
      <c r="C11" s="45" t="s">
        <v>521</v>
      </c>
      <c r="D11" s="528"/>
      <c r="E11" s="528"/>
      <c r="F11" s="96">
        <v>200</v>
      </c>
      <c r="G11" s="9">
        <v>1</v>
      </c>
      <c r="H11" s="30">
        <f t="shared" si="1"/>
        <v>200</v>
      </c>
      <c r="I11" s="41"/>
      <c r="J11" s="286">
        <f t="shared" si="2"/>
        <v>200</v>
      </c>
      <c r="K11" s="335">
        <v>0</v>
      </c>
    </row>
    <row r="12" spans="1:11" ht="15">
      <c r="A12">
        <f t="shared" si="3"/>
        <v>151</v>
      </c>
      <c r="B12" s="776"/>
      <c r="C12" s="45" t="s">
        <v>522</v>
      </c>
      <c r="D12" s="528"/>
      <c r="E12" s="528"/>
      <c r="F12" s="96">
        <v>1250</v>
      </c>
      <c r="G12" s="9">
        <v>1</v>
      </c>
      <c r="H12" s="30">
        <f t="shared" si="1"/>
        <v>1250</v>
      </c>
      <c r="I12" s="41">
        <f t="shared" si="0"/>
        <v>162.5</v>
      </c>
      <c r="J12" s="286">
        <f t="shared" si="2"/>
        <v>1412.5</v>
      </c>
      <c r="K12" s="335">
        <v>1305.15</v>
      </c>
    </row>
    <row r="13" spans="1:11" ht="15">
      <c r="A13">
        <f t="shared" si="3"/>
        <v>152</v>
      </c>
      <c r="B13" s="776"/>
      <c r="C13" s="45" t="s">
        <v>523</v>
      </c>
      <c r="D13" s="528"/>
      <c r="E13" s="528"/>
      <c r="F13" s="96">
        <v>13</v>
      </c>
      <c r="G13" s="9">
        <v>18</v>
      </c>
      <c r="H13" s="30">
        <f t="shared" si="1"/>
        <v>234</v>
      </c>
      <c r="I13" s="41">
        <f t="shared" si="0"/>
        <v>30.42</v>
      </c>
      <c r="J13" s="286">
        <f t="shared" si="2"/>
        <v>264.42</v>
      </c>
      <c r="K13" s="335">
        <v>531.38</v>
      </c>
    </row>
    <row r="14" spans="1:11" ht="15">
      <c r="A14">
        <f t="shared" si="3"/>
        <v>153</v>
      </c>
      <c r="B14" s="776"/>
      <c r="C14" s="45" t="s">
        <v>549</v>
      </c>
      <c r="D14" s="528" t="s">
        <v>550</v>
      </c>
      <c r="E14" s="528"/>
      <c r="F14" s="96">
        <v>9.99</v>
      </c>
      <c r="G14" s="9">
        <v>3</v>
      </c>
      <c r="H14" s="30">
        <f t="shared" si="1"/>
        <v>29.97</v>
      </c>
      <c r="I14" s="41">
        <f t="shared" si="0"/>
        <v>3.8961</v>
      </c>
      <c r="J14" s="286">
        <f t="shared" si="2"/>
        <v>33.866099999999996</v>
      </c>
      <c r="K14" s="335">
        <v>0</v>
      </c>
    </row>
    <row r="15" spans="1:11" ht="15">
      <c r="A15">
        <f t="shared" si="3"/>
        <v>154</v>
      </c>
      <c r="B15" s="776"/>
      <c r="C15" s="45" t="s">
        <v>551</v>
      </c>
      <c r="D15" s="528"/>
      <c r="E15" s="528"/>
      <c r="F15" s="96">
        <v>465</v>
      </c>
      <c r="G15" s="9">
        <v>1</v>
      </c>
      <c r="H15" s="30">
        <f t="shared" si="1"/>
        <v>465</v>
      </c>
      <c r="I15" s="41">
        <f t="shared" si="0"/>
        <v>60.45</v>
      </c>
      <c r="J15" s="286">
        <f t="shared" si="2"/>
        <v>525.45</v>
      </c>
      <c r="K15" s="335">
        <v>423.75</v>
      </c>
    </row>
    <row r="16" spans="1:11" ht="15">
      <c r="A16">
        <f t="shared" si="3"/>
        <v>155</v>
      </c>
      <c r="B16" s="776"/>
      <c r="C16" s="45" t="s">
        <v>552</v>
      </c>
      <c r="D16" s="528"/>
      <c r="E16" s="528"/>
      <c r="F16" s="96">
        <v>59.17</v>
      </c>
      <c r="G16" s="9">
        <v>1</v>
      </c>
      <c r="H16" s="30">
        <f t="shared" si="1"/>
        <v>59.17</v>
      </c>
      <c r="I16" s="41"/>
      <c r="J16" s="286">
        <f t="shared" si="2"/>
        <v>59.17</v>
      </c>
      <c r="K16" s="335">
        <v>0</v>
      </c>
    </row>
    <row r="17" spans="1:11" ht="15">
      <c r="A17">
        <f t="shared" si="3"/>
        <v>156</v>
      </c>
      <c r="B17" s="776"/>
      <c r="C17" s="45" t="s">
        <v>553</v>
      </c>
      <c r="D17" s="528"/>
      <c r="E17" s="528"/>
      <c r="F17" s="96">
        <v>500</v>
      </c>
      <c r="G17" s="9">
        <v>1</v>
      </c>
      <c r="H17" s="30">
        <f t="shared" si="1"/>
        <v>500</v>
      </c>
      <c r="I17" s="41">
        <f t="shared" si="0"/>
        <v>65</v>
      </c>
      <c r="J17" s="286">
        <f t="shared" si="2"/>
        <v>565</v>
      </c>
      <c r="K17" s="335">
        <v>0</v>
      </c>
    </row>
    <row r="18" spans="2:11" ht="15">
      <c r="B18" s="776"/>
      <c r="C18" s="418" t="s">
        <v>689</v>
      </c>
      <c r="D18" s="87"/>
      <c r="E18" s="87"/>
      <c r="F18" s="96"/>
      <c r="G18" s="9"/>
      <c r="H18" s="30"/>
      <c r="I18" s="41"/>
      <c r="J18" s="286"/>
      <c r="K18" s="335">
        <f>SUM(K9:K17)</f>
        <v>6833.929999999999</v>
      </c>
    </row>
    <row r="19" spans="1:11" ht="15">
      <c r="A19">
        <f>A17+1</f>
        <v>157</v>
      </c>
      <c r="B19" s="777"/>
      <c r="C19" s="419" t="s">
        <v>554</v>
      </c>
      <c r="D19" s="768" t="s">
        <v>337</v>
      </c>
      <c r="E19" s="769"/>
      <c r="F19" s="420">
        <v>-20</v>
      </c>
      <c r="G19" s="421">
        <v>375</v>
      </c>
      <c r="H19" s="422">
        <f t="shared" si="1"/>
        <v>-7500</v>
      </c>
      <c r="I19" s="423"/>
      <c r="J19" s="424">
        <f t="shared" si="2"/>
        <v>-7500</v>
      </c>
      <c r="K19" s="425">
        <v>-4500</v>
      </c>
    </row>
    <row r="20" spans="1:12" ht="15" customHeight="1">
      <c r="A20">
        <f t="shared" si="3"/>
        <v>158</v>
      </c>
      <c r="B20" s="765" t="s">
        <v>480</v>
      </c>
      <c r="C20" s="48" t="s">
        <v>481</v>
      </c>
      <c r="D20" s="85"/>
      <c r="E20" s="86"/>
      <c r="F20" s="95">
        <v>39</v>
      </c>
      <c r="G20" s="8">
        <v>48</v>
      </c>
      <c r="H20" s="2">
        <f t="shared" si="1"/>
        <v>1872</v>
      </c>
      <c r="I20" s="69">
        <f t="shared" si="0"/>
        <v>243.36</v>
      </c>
      <c r="J20" s="285">
        <f aca="true" t="shared" si="4" ref="J20:J34">H20+I20</f>
        <v>2115.36</v>
      </c>
      <c r="K20" s="335"/>
      <c r="L20" s="49"/>
    </row>
    <row r="21" spans="1:11" ht="15">
      <c r="A21">
        <f t="shared" si="3"/>
        <v>159</v>
      </c>
      <c r="B21" s="766"/>
      <c r="C21" s="45" t="s">
        <v>482</v>
      </c>
      <c r="D21" s="87"/>
      <c r="E21" s="88"/>
      <c r="F21" s="96">
        <v>525</v>
      </c>
      <c r="G21" s="9">
        <v>1</v>
      </c>
      <c r="H21" s="10">
        <f t="shared" si="1"/>
        <v>525</v>
      </c>
      <c r="I21" s="41">
        <f t="shared" si="0"/>
        <v>68.25</v>
      </c>
      <c r="J21" s="286">
        <f t="shared" si="4"/>
        <v>593.25</v>
      </c>
      <c r="K21" s="335"/>
    </row>
    <row r="22" spans="1:11" ht="15">
      <c r="A22">
        <f t="shared" si="3"/>
        <v>160</v>
      </c>
      <c r="B22" s="766"/>
      <c r="C22" s="82" t="s">
        <v>523</v>
      </c>
      <c r="D22" s="83"/>
      <c r="E22" s="84"/>
      <c r="F22" s="97">
        <v>156</v>
      </c>
      <c r="G22" s="12">
        <v>2</v>
      </c>
      <c r="H22" s="5">
        <f t="shared" si="1"/>
        <v>312</v>
      </c>
      <c r="I22" s="71">
        <f t="shared" si="0"/>
        <v>40.56</v>
      </c>
      <c r="J22" s="143">
        <f t="shared" si="4"/>
        <v>352.56</v>
      </c>
      <c r="K22" s="335"/>
    </row>
    <row r="23" spans="2:11" ht="15">
      <c r="B23" s="766"/>
      <c r="C23" s="418" t="s">
        <v>689</v>
      </c>
      <c r="D23" s="87"/>
      <c r="E23" s="88"/>
      <c r="F23" s="97"/>
      <c r="G23" s="12"/>
      <c r="H23" s="5"/>
      <c r="I23" s="71"/>
      <c r="J23" s="143"/>
      <c r="K23" s="335"/>
    </row>
    <row r="24" spans="1:11" ht="15">
      <c r="A24">
        <f>A22+1</f>
        <v>161</v>
      </c>
      <c r="B24" s="767"/>
      <c r="C24" s="90" t="s">
        <v>554</v>
      </c>
      <c r="D24" s="87" t="s">
        <v>645</v>
      </c>
      <c r="E24" s="88"/>
      <c r="F24" s="97">
        <v>-45</v>
      </c>
      <c r="G24" s="12">
        <v>40</v>
      </c>
      <c r="H24" s="52">
        <f>F24*G24</f>
        <v>-1800</v>
      </c>
      <c r="I24" s="71"/>
      <c r="J24" s="323">
        <f>H24+I24</f>
        <v>-1800</v>
      </c>
      <c r="K24" s="335"/>
    </row>
    <row r="25" spans="1:11" ht="15">
      <c r="A25">
        <f t="shared" si="3"/>
        <v>162</v>
      </c>
      <c r="B25" s="789" t="s">
        <v>348</v>
      </c>
      <c r="C25" s="48" t="s">
        <v>338</v>
      </c>
      <c r="D25" s="509" t="s">
        <v>349</v>
      </c>
      <c r="E25" s="510"/>
      <c r="F25" s="229">
        <v>1500</v>
      </c>
      <c r="G25" s="23">
        <v>1</v>
      </c>
      <c r="H25" s="21">
        <f t="shared" si="1"/>
        <v>1500</v>
      </c>
      <c r="I25" s="70"/>
      <c r="J25" s="287">
        <f t="shared" si="4"/>
        <v>1500</v>
      </c>
      <c r="K25" s="335"/>
    </row>
    <row r="26" spans="1:11" ht="15">
      <c r="A26">
        <f t="shared" si="3"/>
        <v>163</v>
      </c>
      <c r="B26" s="790"/>
      <c r="C26" s="45" t="s">
        <v>42</v>
      </c>
      <c r="D26" s="87"/>
      <c r="E26" s="88" t="s">
        <v>43</v>
      </c>
      <c r="F26" s="224">
        <v>40</v>
      </c>
      <c r="G26" s="8">
        <v>1</v>
      </c>
      <c r="H26" s="2">
        <f t="shared" si="1"/>
        <v>40</v>
      </c>
      <c r="I26" s="69"/>
      <c r="J26" s="285">
        <f t="shared" si="4"/>
        <v>40</v>
      </c>
      <c r="K26" s="335"/>
    </row>
    <row r="27" spans="1:11" ht="15">
      <c r="A27">
        <f t="shared" si="3"/>
        <v>164</v>
      </c>
      <c r="B27" s="791"/>
      <c r="C27" s="50" t="s">
        <v>554</v>
      </c>
      <c r="D27" s="89" t="s">
        <v>645</v>
      </c>
      <c r="E27" s="91"/>
      <c r="F27" s="226">
        <v>-5</v>
      </c>
      <c r="G27" s="12">
        <v>450</v>
      </c>
      <c r="H27" s="52">
        <f>F27*G27</f>
        <v>-2250</v>
      </c>
      <c r="I27" s="71"/>
      <c r="J27" s="323">
        <f>H27+I27</f>
        <v>-2250</v>
      </c>
      <c r="K27" s="335"/>
    </row>
    <row r="28" spans="1:12" ht="15">
      <c r="A28">
        <f t="shared" si="3"/>
        <v>165</v>
      </c>
      <c r="B28" s="750" t="s">
        <v>44</v>
      </c>
      <c r="C28" s="45" t="s">
        <v>45</v>
      </c>
      <c r="D28" s="528"/>
      <c r="E28" s="718"/>
      <c r="F28" s="95">
        <v>0.5</v>
      </c>
      <c r="G28" s="8">
        <v>250</v>
      </c>
      <c r="H28" s="2">
        <f t="shared" si="1"/>
        <v>125</v>
      </c>
      <c r="I28" s="69">
        <f>H28*0.13</f>
        <v>16.25</v>
      </c>
      <c r="J28" s="285">
        <f t="shared" si="4"/>
        <v>141.25</v>
      </c>
      <c r="K28" s="335"/>
      <c r="L28" s="49"/>
    </row>
    <row r="29" spans="1:11" ht="15">
      <c r="A29">
        <f t="shared" si="3"/>
        <v>166</v>
      </c>
      <c r="B29" s="773"/>
      <c r="C29" s="45" t="s">
        <v>46</v>
      </c>
      <c r="D29" s="528"/>
      <c r="E29" s="718"/>
      <c r="F29" s="96">
        <v>0.5</v>
      </c>
      <c r="G29" s="9">
        <v>250</v>
      </c>
      <c r="H29" s="10">
        <f t="shared" si="1"/>
        <v>125</v>
      </c>
      <c r="I29" s="41">
        <f t="shared" si="0"/>
        <v>16.25</v>
      </c>
      <c r="J29" s="286">
        <f t="shared" si="4"/>
        <v>141.25</v>
      </c>
      <c r="K29" s="335"/>
    </row>
    <row r="30" spans="1:11" ht="15">
      <c r="A30">
        <f t="shared" si="3"/>
        <v>167</v>
      </c>
      <c r="B30" s="773"/>
      <c r="C30" s="45" t="s">
        <v>47</v>
      </c>
      <c r="D30" s="528"/>
      <c r="E30" s="718"/>
      <c r="F30" s="96">
        <v>0.25</v>
      </c>
      <c r="G30" s="9">
        <v>500</v>
      </c>
      <c r="H30" s="10">
        <f t="shared" si="1"/>
        <v>125</v>
      </c>
      <c r="I30" s="41">
        <f t="shared" si="0"/>
        <v>16.25</v>
      </c>
      <c r="J30" s="286">
        <f t="shared" si="4"/>
        <v>141.25</v>
      </c>
      <c r="K30" s="335"/>
    </row>
    <row r="31" spans="1:11" ht="15">
      <c r="A31">
        <f t="shared" si="3"/>
        <v>168</v>
      </c>
      <c r="B31" s="773"/>
      <c r="C31" s="45" t="s">
        <v>179</v>
      </c>
      <c r="D31" s="528"/>
      <c r="E31" s="718"/>
      <c r="F31" s="96">
        <v>30</v>
      </c>
      <c r="G31" s="9">
        <v>1</v>
      </c>
      <c r="H31" s="10">
        <f>F31*G31</f>
        <v>30</v>
      </c>
      <c r="I31" s="41">
        <f t="shared" si="0"/>
        <v>3.9000000000000004</v>
      </c>
      <c r="J31" s="286">
        <f>H31+I31</f>
        <v>33.9</v>
      </c>
      <c r="K31" s="335"/>
    </row>
    <row r="32" spans="1:12" ht="15">
      <c r="A32">
        <f t="shared" si="3"/>
        <v>169</v>
      </c>
      <c r="B32" s="773"/>
      <c r="C32" s="82" t="s">
        <v>180</v>
      </c>
      <c r="D32" s="512"/>
      <c r="E32" s="513"/>
      <c r="F32" s="97">
        <v>0.5</v>
      </c>
      <c r="G32" s="12">
        <v>500</v>
      </c>
      <c r="H32" s="5">
        <f>F32*G32</f>
        <v>250</v>
      </c>
      <c r="I32" s="71">
        <f>H32*0.13</f>
        <v>32.5</v>
      </c>
      <c r="J32" s="143">
        <f>H32+I32</f>
        <v>282.5</v>
      </c>
      <c r="K32" s="335"/>
      <c r="L32" s="416"/>
    </row>
    <row r="33" spans="2:12" ht="15">
      <c r="B33" s="773"/>
      <c r="C33" s="417" t="s">
        <v>689</v>
      </c>
      <c r="D33" s="83"/>
      <c r="E33" s="84"/>
      <c r="F33" s="97"/>
      <c r="G33" s="12"/>
      <c r="H33" s="5"/>
      <c r="I33" s="71"/>
      <c r="J33" s="143"/>
      <c r="K33" s="335"/>
      <c r="L33" s="416"/>
    </row>
    <row r="34" spans="1:11" ht="15">
      <c r="A34">
        <f>A32+1</f>
        <v>170</v>
      </c>
      <c r="B34" s="774"/>
      <c r="C34" s="93" t="s">
        <v>554</v>
      </c>
      <c r="D34" s="83" t="s">
        <v>181</v>
      </c>
      <c r="E34" s="84"/>
      <c r="F34" s="97">
        <v>-1</v>
      </c>
      <c r="G34" s="12">
        <v>1000</v>
      </c>
      <c r="H34" s="52">
        <f t="shared" si="1"/>
        <v>-1000</v>
      </c>
      <c r="I34" s="71"/>
      <c r="J34" s="323">
        <f t="shared" si="4"/>
        <v>-1000</v>
      </c>
      <c r="K34" s="335"/>
    </row>
    <row r="35" spans="1:11" ht="15">
      <c r="A35">
        <f t="shared" si="3"/>
        <v>171</v>
      </c>
      <c r="B35" s="750" t="s">
        <v>182</v>
      </c>
      <c r="C35" s="48" t="s">
        <v>183</v>
      </c>
      <c r="D35" s="509"/>
      <c r="E35" s="510"/>
      <c r="F35" s="229">
        <v>200</v>
      </c>
      <c r="G35" s="23">
        <v>6</v>
      </c>
      <c r="H35" s="21">
        <f>F35*G35</f>
        <v>1200</v>
      </c>
      <c r="I35" s="70"/>
      <c r="J35" s="287">
        <f>H35+I35</f>
        <v>1200</v>
      </c>
      <c r="K35" s="335"/>
    </row>
    <row r="36" spans="1:11" ht="15">
      <c r="A36">
        <f t="shared" si="3"/>
        <v>172</v>
      </c>
      <c r="B36" s="767"/>
      <c r="C36" s="50" t="s">
        <v>554</v>
      </c>
      <c r="D36" s="89" t="s">
        <v>645</v>
      </c>
      <c r="E36" s="91"/>
      <c r="F36" s="226">
        <v>-5</v>
      </c>
      <c r="G36" s="12">
        <v>125</v>
      </c>
      <c r="H36" s="52">
        <f>F36*G36</f>
        <v>-625</v>
      </c>
      <c r="I36" s="71"/>
      <c r="J36" s="323">
        <f>H36+I36</f>
        <v>-625</v>
      </c>
      <c r="K36" s="335"/>
    </row>
    <row r="37" spans="1:11" ht="24.75" customHeight="1">
      <c r="A37">
        <f t="shared" si="3"/>
        <v>173</v>
      </c>
      <c r="B37" s="792" t="s">
        <v>328</v>
      </c>
      <c r="C37" s="48" t="s">
        <v>329</v>
      </c>
      <c r="D37" s="509"/>
      <c r="E37" s="510"/>
      <c r="F37" s="224">
        <v>200</v>
      </c>
      <c r="G37" s="8">
        <v>1</v>
      </c>
      <c r="H37" s="21">
        <f aca="true" t="shared" si="5" ref="H37:H50">F37*G37</f>
        <v>200</v>
      </c>
      <c r="I37" s="70">
        <f>H37*0.13</f>
        <v>26</v>
      </c>
      <c r="J37" s="287">
        <f aca="true" t="shared" si="6" ref="J37:J50">H37+I37</f>
        <v>226</v>
      </c>
      <c r="K37" s="335"/>
    </row>
    <row r="38" spans="1:11" ht="15">
      <c r="A38">
        <f t="shared" si="3"/>
        <v>174</v>
      </c>
      <c r="B38" s="793" t="s">
        <v>330</v>
      </c>
      <c r="C38" s="161" t="s">
        <v>350</v>
      </c>
      <c r="D38" s="784" t="s">
        <v>351</v>
      </c>
      <c r="E38" s="796"/>
      <c r="F38" s="230">
        <v>994</v>
      </c>
      <c r="G38" s="162">
        <v>1</v>
      </c>
      <c r="H38" s="155">
        <f t="shared" si="5"/>
        <v>994</v>
      </c>
      <c r="I38" s="158"/>
      <c r="J38" s="324">
        <f t="shared" si="6"/>
        <v>994</v>
      </c>
      <c r="K38" s="335"/>
    </row>
    <row r="39" spans="1:11" ht="15">
      <c r="A39">
        <f t="shared" si="3"/>
        <v>175</v>
      </c>
      <c r="B39" s="794"/>
      <c r="C39" s="163" t="s">
        <v>352</v>
      </c>
      <c r="D39" s="770" t="s">
        <v>331</v>
      </c>
      <c r="E39" s="771"/>
      <c r="F39" s="231">
        <v>10</v>
      </c>
      <c r="G39" s="164">
        <v>10</v>
      </c>
      <c r="H39" s="156">
        <f t="shared" si="5"/>
        <v>100</v>
      </c>
      <c r="I39" s="159">
        <f>H39*0.13</f>
        <v>13</v>
      </c>
      <c r="J39" s="325">
        <f t="shared" si="6"/>
        <v>113</v>
      </c>
      <c r="K39" s="335"/>
    </row>
    <row r="40" spans="1:11" ht="15">
      <c r="A40">
        <f t="shared" si="3"/>
        <v>176</v>
      </c>
      <c r="B40" s="794"/>
      <c r="C40" s="163" t="s">
        <v>353</v>
      </c>
      <c r="D40" s="770"/>
      <c r="E40" s="771"/>
      <c r="F40" s="231">
        <v>4</v>
      </c>
      <c r="G40" s="164">
        <v>6</v>
      </c>
      <c r="H40" s="156">
        <f t="shared" si="5"/>
        <v>24</v>
      </c>
      <c r="I40" s="159">
        <f>H40*0.13</f>
        <v>3.12</v>
      </c>
      <c r="J40" s="325">
        <f t="shared" si="6"/>
        <v>27.12</v>
      </c>
      <c r="K40" s="335"/>
    </row>
    <row r="41" spans="1:11" ht="15">
      <c r="A41">
        <f t="shared" si="3"/>
        <v>177</v>
      </c>
      <c r="B41" s="794"/>
      <c r="C41" s="165" t="s">
        <v>335</v>
      </c>
      <c r="D41" s="778"/>
      <c r="E41" s="779"/>
      <c r="F41" s="232">
        <v>0.5</v>
      </c>
      <c r="G41" s="166">
        <v>100</v>
      </c>
      <c r="H41" s="157">
        <f t="shared" si="5"/>
        <v>50</v>
      </c>
      <c r="I41" s="160">
        <f>H41*0.13</f>
        <v>6.5</v>
      </c>
      <c r="J41" s="326">
        <f t="shared" si="6"/>
        <v>56.5</v>
      </c>
      <c r="K41" s="335"/>
    </row>
    <row r="42" spans="1:11" ht="15">
      <c r="A42">
        <f t="shared" si="3"/>
        <v>178</v>
      </c>
      <c r="B42" s="795"/>
      <c r="C42" s="168" t="s">
        <v>554</v>
      </c>
      <c r="D42" s="780" t="s">
        <v>645</v>
      </c>
      <c r="E42" s="781"/>
      <c r="F42" s="233">
        <v>-5</v>
      </c>
      <c r="G42" s="169">
        <v>100</v>
      </c>
      <c r="H42" s="170">
        <f t="shared" si="5"/>
        <v>-500</v>
      </c>
      <c r="I42" s="171"/>
      <c r="J42" s="327">
        <f t="shared" si="6"/>
        <v>-500</v>
      </c>
      <c r="K42" s="335"/>
    </row>
    <row r="43" spans="1:11" ht="15">
      <c r="A43">
        <f t="shared" si="3"/>
        <v>179</v>
      </c>
      <c r="B43" s="782" t="s">
        <v>336</v>
      </c>
      <c r="C43" s="161" t="s">
        <v>186</v>
      </c>
      <c r="D43" s="784" t="s">
        <v>287</v>
      </c>
      <c r="E43" s="784"/>
      <c r="F43" s="230">
        <v>50</v>
      </c>
      <c r="G43" s="173">
        <v>1</v>
      </c>
      <c r="H43" s="174">
        <f t="shared" si="5"/>
        <v>50</v>
      </c>
      <c r="I43" s="175">
        <f>H43*0.13</f>
        <v>6.5</v>
      </c>
      <c r="J43" s="330">
        <f t="shared" si="6"/>
        <v>56.5</v>
      </c>
      <c r="K43" s="336"/>
    </row>
    <row r="44" spans="1:11" ht="15">
      <c r="A44">
        <f t="shared" si="3"/>
        <v>180</v>
      </c>
      <c r="B44" s="783"/>
      <c r="C44" s="163" t="s">
        <v>354</v>
      </c>
      <c r="D44" s="770" t="s">
        <v>355</v>
      </c>
      <c r="E44" s="770"/>
      <c r="F44" s="234">
        <v>4.75</v>
      </c>
      <c r="G44" s="176">
        <v>6</v>
      </c>
      <c r="H44" s="177">
        <f t="shared" si="5"/>
        <v>28.5</v>
      </c>
      <c r="I44" s="178">
        <f>H44*0.13</f>
        <v>3.705</v>
      </c>
      <c r="J44" s="331">
        <f t="shared" si="6"/>
        <v>32.205</v>
      </c>
      <c r="K44" s="336"/>
    </row>
    <row r="45" spans="1:11" ht="15" customHeight="1">
      <c r="A45">
        <f t="shared" si="3"/>
        <v>181</v>
      </c>
      <c r="B45" s="797" t="s">
        <v>288</v>
      </c>
      <c r="C45" s="161" t="s">
        <v>338</v>
      </c>
      <c r="D45" s="784" t="s">
        <v>349</v>
      </c>
      <c r="E45" s="796"/>
      <c r="F45" s="230">
        <v>1500</v>
      </c>
      <c r="G45" s="180">
        <v>1</v>
      </c>
      <c r="H45" s="174">
        <f t="shared" si="5"/>
        <v>1500</v>
      </c>
      <c r="I45" s="181"/>
      <c r="J45" s="332">
        <f t="shared" si="6"/>
        <v>1500</v>
      </c>
      <c r="K45" s="336"/>
    </row>
    <row r="46" spans="1:11" ht="15">
      <c r="A46">
        <f t="shared" si="3"/>
        <v>182</v>
      </c>
      <c r="B46" s="798"/>
      <c r="C46" s="163" t="s">
        <v>514</v>
      </c>
      <c r="D46" s="172"/>
      <c r="E46" s="176"/>
      <c r="F46" s="234">
        <v>500</v>
      </c>
      <c r="G46" s="172">
        <v>1</v>
      </c>
      <c r="H46" s="177">
        <f t="shared" si="5"/>
        <v>500</v>
      </c>
      <c r="I46" s="182">
        <f>H46*0.13</f>
        <v>65</v>
      </c>
      <c r="J46" s="234">
        <f t="shared" si="6"/>
        <v>565</v>
      </c>
      <c r="K46" s="336"/>
    </row>
    <row r="47" spans="1:11" ht="15">
      <c r="A47">
        <f t="shared" si="3"/>
        <v>183</v>
      </c>
      <c r="B47" s="798"/>
      <c r="C47" s="163" t="s">
        <v>29</v>
      </c>
      <c r="D47" s="770" t="s">
        <v>519</v>
      </c>
      <c r="E47" s="771"/>
      <c r="F47" s="231">
        <v>40</v>
      </c>
      <c r="G47" s="179">
        <v>1</v>
      </c>
      <c r="H47" s="177">
        <f t="shared" si="5"/>
        <v>40</v>
      </c>
      <c r="I47" s="182">
        <f>H47*0.13</f>
        <v>5.2</v>
      </c>
      <c r="J47" s="234">
        <f t="shared" si="6"/>
        <v>45.2</v>
      </c>
      <c r="K47" s="336"/>
    </row>
    <row r="48" spans="2:11" ht="15">
      <c r="B48" s="798"/>
      <c r="C48" s="167" t="s">
        <v>554</v>
      </c>
      <c r="D48" s="772" t="s">
        <v>337</v>
      </c>
      <c r="E48" s="772"/>
      <c r="F48" s="235">
        <v>-10</v>
      </c>
      <c r="G48" s="183">
        <v>300</v>
      </c>
      <c r="H48" s="184">
        <f>F48*G48</f>
        <v>-3000</v>
      </c>
      <c r="I48" s="185"/>
      <c r="J48" s="333">
        <f>H48+I48</f>
        <v>-3000</v>
      </c>
      <c r="K48" s="337"/>
    </row>
    <row r="49" spans="2:11" ht="15">
      <c r="B49" s="412"/>
      <c r="C49" s="414" t="s">
        <v>689</v>
      </c>
      <c r="D49" s="400"/>
      <c r="E49" s="400"/>
      <c r="F49" s="410"/>
      <c r="G49" s="179"/>
      <c r="H49" s="177"/>
      <c r="I49" s="411"/>
      <c r="J49" s="234"/>
      <c r="K49" s="336">
        <v>9766.53</v>
      </c>
    </row>
    <row r="50" spans="1:13" ht="15">
      <c r="A50">
        <f>A47+1</f>
        <v>184</v>
      </c>
      <c r="B50" s="413"/>
      <c r="C50" s="415" t="s">
        <v>211</v>
      </c>
      <c r="D50" s="772"/>
      <c r="E50" s="772"/>
      <c r="F50" s="235"/>
      <c r="G50" s="183"/>
      <c r="H50" s="184">
        <f t="shared" si="5"/>
        <v>0</v>
      </c>
      <c r="I50" s="185"/>
      <c r="J50" s="333">
        <f t="shared" si="6"/>
        <v>0</v>
      </c>
      <c r="K50" s="337">
        <f>-4910-3382.74</f>
        <v>-8292.74</v>
      </c>
      <c r="M50" s="416"/>
    </row>
    <row r="51" spans="2:11" ht="15">
      <c r="B51" s="749"/>
      <c r="C51" s="749"/>
      <c r="D51" s="749"/>
      <c r="E51" s="749"/>
      <c r="F51" s="749"/>
      <c r="G51" s="749"/>
      <c r="H51" s="749"/>
      <c r="I51" s="749"/>
      <c r="J51" s="749"/>
      <c r="K51" s="328"/>
    </row>
    <row r="52" spans="2:11" ht="15">
      <c r="B52" s="489" t="s">
        <v>356</v>
      </c>
      <c r="C52" s="490"/>
      <c r="D52" s="490"/>
      <c r="E52" s="490"/>
      <c r="F52" s="490"/>
      <c r="G52" s="490"/>
      <c r="H52" s="491"/>
      <c r="I52" s="492">
        <f>SUM(J53:J67)</f>
        <v>1292.2115</v>
      </c>
      <c r="J52" s="493"/>
      <c r="K52" s="312">
        <f>SUM(K53:K67)</f>
        <v>783.2</v>
      </c>
    </row>
    <row r="53" spans="1:11" ht="15">
      <c r="A53">
        <v>185</v>
      </c>
      <c r="B53" s="508" t="s">
        <v>357</v>
      </c>
      <c r="C53" s="509"/>
      <c r="D53" s="509"/>
      <c r="E53" s="510"/>
      <c r="F53" s="95">
        <v>339</v>
      </c>
      <c r="G53" s="8">
        <v>1</v>
      </c>
      <c r="H53" s="2">
        <f aca="true" t="shared" si="7" ref="H53:H65">F53*G53</f>
        <v>339</v>
      </c>
      <c r="I53" s="69">
        <f aca="true" t="shared" si="8" ref="I53:I65">H53*0.13</f>
        <v>44.07</v>
      </c>
      <c r="J53" s="2">
        <f aca="true" t="shared" si="9" ref="J53:J65">H53+I53</f>
        <v>383.07</v>
      </c>
      <c r="K53" s="318">
        <v>339</v>
      </c>
    </row>
    <row r="54" spans="1:11" ht="15">
      <c r="A54">
        <f>A53+1</f>
        <v>186</v>
      </c>
      <c r="B54" s="527" t="s">
        <v>358</v>
      </c>
      <c r="C54" s="528"/>
      <c r="D54" s="528"/>
      <c r="E54" s="718"/>
      <c r="F54" s="96">
        <v>100</v>
      </c>
      <c r="G54" s="9">
        <v>1</v>
      </c>
      <c r="H54" s="10">
        <f t="shared" si="7"/>
        <v>100</v>
      </c>
      <c r="I54" s="41">
        <f t="shared" si="8"/>
        <v>13</v>
      </c>
      <c r="J54" s="10">
        <f t="shared" si="9"/>
        <v>113</v>
      </c>
      <c r="K54" s="320">
        <v>222.41</v>
      </c>
    </row>
    <row r="55" spans="1:11" ht="15">
      <c r="A55">
        <f aca="true" t="shared" si="10" ref="A55:A65">A54+1</f>
        <v>187</v>
      </c>
      <c r="B55" s="527" t="s">
        <v>359</v>
      </c>
      <c r="C55" s="528"/>
      <c r="D55" s="528"/>
      <c r="E55" s="718"/>
      <c r="F55" s="96">
        <v>50</v>
      </c>
      <c r="G55" s="9">
        <v>1</v>
      </c>
      <c r="H55" s="10">
        <f t="shared" si="7"/>
        <v>50</v>
      </c>
      <c r="I55" s="41">
        <f t="shared" si="8"/>
        <v>6.5</v>
      </c>
      <c r="J55" s="10">
        <f t="shared" si="9"/>
        <v>56.5</v>
      </c>
      <c r="K55" s="320"/>
    </row>
    <row r="56" spans="1:11" ht="15">
      <c r="A56">
        <f t="shared" si="10"/>
        <v>188</v>
      </c>
      <c r="B56" s="527" t="s">
        <v>635</v>
      </c>
      <c r="C56" s="528"/>
      <c r="D56" s="528"/>
      <c r="E56" s="718"/>
      <c r="F56" s="96">
        <v>40</v>
      </c>
      <c r="G56" s="9">
        <v>1</v>
      </c>
      <c r="H56" s="10">
        <f t="shared" si="7"/>
        <v>40</v>
      </c>
      <c r="I56" s="41">
        <f t="shared" si="8"/>
        <v>5.2</v>
      </c>
      <c r="J56" s="10">
        <f t="shared" si="9"/>
        <v>45.2</v>
      </c>
      <c r="K56" s="320">
        <v>73.45</v>
      </c>
    </row>
    <row r="57" spans="1:11" ht="15">
      <c r="A57">
        <f t="shared" si="10"/>
        <v>189</v>
      </c>
      <c r="B57" s="527" t="s">
        <v>360</v>
      </c>
      <c r="C57" s="528"/>
      <c r="D57" s="528"/>
      <c r="E57" s="718"/>
      <c r="F57" s="96">
        <v>20</v>
      </c>
      <c r="G57" s="9">
        <v>1</v>
      </c>
      <c r="H57" s="10">
        <f t="shared" si="7"/>
        <v>20</v>
      </c>
      <c r="I57" s="41">
        <f t="shared" si="8"/>
        <v>2.6</v>
      </c>
      <c r="J57" s="10">
        <f t="shared" si="9"/>
        <v>22.6</v>
      </c>
      <c r="K57" s="320"/>
    </row>
    <row r="58" spans="1:11" ht="15">
      <c r="A58">
        <f t="shared" si="10"/>
        <v>190</v>
      </c>
      <c r="B58" s="527" t="s">
        <v>637</v>
      </c>
      <c r="C58" s="528"/>
      <c r="D58" s="528" t="s">
        <v>195</v>
      </c>
      <c r="E58" s="718"/>
      <c r="F58" s="96">
        <v>39.55</v>
      </c>
      <c r="G58" s="9">
        <v>1</v>
      </c>
      <c r="H58" s="10">
        <f t="shared" si="7"/>
        <v>39.55</v>
      </c>
      <c r="I58" s="41">
        <f t="shared" si="8"/>
        <v>5.1415</v>
      </c>
      <c r="J58" s="10">
        <f t="shared" si="9"/>
        <v>44.6915</v>
      </c>
      <c r="K58" s="320">
        <v>56.5</v>
      </c>
    </row>
    <row r="59" spans="1:11" ht="15">
      <c r="A59">
        <f t="shared" si="10"/>
        <v>191</v>
      </c>
      <c r="B59" s="527" t="s">
        <v>219</v>
      </c>
      <c r="C59" s="528"/>
      <c r="D59" s="528"/>
      <c r="E59" s="718"/>
      <c r="F59" s="96">
        <v>20</v>
      </c>
      <c r="G59" s="9">
        <v>1</v>
      </c>
      <c r="H59" s="10">
        <f t="shared" si="7"/>
        <v>20</v>
      </c>
      <c r="I59" s="41">
        <f t="shared" si="8"/>
        <v>2.6</v>
      </c>
      <c r="J59" s="10">
        <f t="shared" si="9"/>
        <v>22.6</v>
      </c>
      <c r="K59" s="320"/>
    </row>
    <row r="60" spans="1:11" ht="15">
      <c r="A60">
        <f t="shared" si="10"/>
        <v>192</v>
      </c>
      <c r="B60" s="527" t="s">
        <v>508</v>
      </c>
      <c r="C60" s="528"/>
      <c r="D60" s="528"/>
      <c r="E60" s="718"/>
      <c r="F60" s="96">
        <v>20</v>
      </c>
      <c r="G60" s="9">
        <v>1</v>
      </c>
      <c r="H60" s="10">
        <f t="shared" si="7"/>
        <v>20</v>
      </c>
      <c r="I60" s="41">
        <f t="shared" si="8"/>
        <v>2.6</v>
      </c>
      <c r="J60" s="10">
        <f t="shared" si="9"/>
        <v>22.6</v>
      </c>
      <c r="K60" s="320"/>
    </row>
    <row r="61" spans="1:11" ht="15">
      <c r="A61">
        <f t="shared" si="10"/>
        <v>193</v>
      </c>
      <c r="B61" s="527" t="s">
        <v>366</v>
      </c>
      <c r="C61" s="528"/>
      <c r="D61" s="528" t="s">
        <v>375</v>
      </c>
      <c r="E61" s="718"/>
      <c r="F61" s="96">
        <v>0</v>
      </c>
      <c r="G61" s="9">
        <v>1</v>
      </c>
      <c r="H61" s="10">
        <f t="shared" si="7"/>
        <v>0</v>
      </c>
      <c r="I61" s="41">
        <f t="shared" si="8"/>
        <v>0</v>
      </c>
      <c r="J61" s="47">
        <f>H61+I61</f>
        <v>0</v>
      </c>
      <c r="K61" s="320"/>
    </row>
    <row r="62" spans="1:11" ht="15">
      <c r="A62">
        <f t="shared" si="10"/>
        <v>194</v>
      </c>
      <c r="B62" s="527" t="s">
        <v>367</v>
      </c>
      <c r="C62" s="528"/>
      <c r="D62" s="528"/>
      <c r="E62" s="718"/>
      <c r="F62" s="96">
        <v>10</v>
      </c>
      <c r="G62" s="9">
        <v>1</v>
      </c>
      <c r="H62" s="10">
        <f t="shared" si="7"/>
        <v>10</v>
      </c>
      <c r="I62" s="41">
        <f t="shared" si="8"/>
        <v>1.3</v>
      </c>
      <c r="J62" s="10">
        <f t="shared" si="9"/>
        <v>11.3</v>
      </c>
      <c r="K62" s="320"/>
    </row>
    <row r="63" spans="1:11" ht="15">
      <c r="A63">
        <f t="shared" si="10"/>
        <v>195</v>
      </c>
      <c r="B63" s="527" t="s">
        <v>368</v>
      </c>
      <c r="C63" s="528"/>
      <c r="D63" s="528" t="s">
        <v>369</v>
      </c>
      <c r="E63" s="718"/>
      <c r="F63" s="96">
        <v>25</v>
      </c>
      <c r="G63" s="9">
        <v>1</v>
      </c>
      <c r="H63" s="10">
        <f t="shared" si="7"/>
        <v>25</v>
      </c>
      <c r="I63" s="41">
        <f t="shared" si="8"/>
        <v>3.25</v>
      </c>
      <c r="J63" s="47">
        <f>H63+I63</f>
        <v>28.25</v>
      </c>
      <c r="K63" s="320"/>
    </row>
    <row r="64" spans="1:11" ht="15">
      <c r="A64">
        <f t="shared" si="10"/>
        <v>196</v>
      </c>
      <c r="B64" s="527" t="s">
        <v>196</v>
      </c>
      <c r="C64" s="625"/>
      <c r="D64" s="528" t="s">
        <v>36</v>
      </c>
      <c r="E64" s="461"/>
      <c r="F64" s="96">
        <v>380</v>
      </c>
      <c r="G64" s="9">
        <v>1</v>
      </c>
      <c r="H64" s="10">
        <f t="shared" si="7"/>
        <v>380</v>
      </c>
      <c r="I64" s="41">
        <f t="shared" si="8"/>
        <v>49.4</v>
      </c>
      <c r="J64" s="47">
        <f>H64+I64</f>
        <v>429.4</v>
      </c>
      <c r="K64" s="320"/>
    </row>
    <row r="65" spans="1:11" ht="15">
      <c r="A65">
        <f t="shared" si="10"/>
        <v>197</v>
      </c>
      <c r="B65" s="511" t="s">
        <v>370</v>
      </c>
      <c r="C65" s="512"/>
      <c r="D65" s="512"/>
      <c r="E65" s="513"/>
      <c r="F65" s="97">
        <v>100</v>
      </c>
      <c r="G65" s="12">
        <v>1</v>
      </c>
      <c r="H65" s="5">
        <f t="shared" si="7"/>
        <v>100</v>
      </c>
      <c r="I65" s="71">
        <f t="shared" si="8"/>
        <v>13</v>
      </c>
      <c r="J65" s="5">
        <f t="shared" si="9"/>
        <v>113</v>
      </c>
      <c r="K65" s="320">
        <f>17.82+14.13</f>
        <v>31.950000000000003</v>
      </c>
    </row>
    <row r="66" spans="2:11" ht="15">
      <c r="B66" s="45"/>
      <c r="C66" s="292" t="s">
        <v>656</v>
      </c>
      <c r="D66" s="87"/>
      <c r="E66" s="88"/>
      <c r="F66" s="96"/>
      <c r="G66" s="9"/>
      <c r="H66" s="10"/>
      <c r="I66" s="41"/>
      <c r="J66" s="10"/>
      <c r="K66" s="320">
        <v>59.89</v>
      </c>
    </row>
    <row r="67" spans="1:11" s="33" customFormat="1" ht="15">
      <c r="A67">
        <f>A65+1</f>
        <v>198</v>
      </c>
      <c r="B67" s="757" t="s">
        <v>149</v>
      </c>
      <c r="C67" s="758"/>
      <c r="D67" s="528"/>
      <c r="E67" s="718"/>
      <c r="F67" s="96">
        <v>0</v>
      </c>
      <c r="G67" s="9">
        <v>0</v>
      </c>
      <c r="H67" s="40">
        <f>F67*G67</f>
        <v>0</v>
      </c>
      <c r="I67" s="72">
        <f>H67*0.13</f>
        <v>0</v>
      </c>
      <c r="J67" s="40">
        <f>H67+I67</f>
        <v>0</v>
      </c>
      <c r="K67" s="338"/>
    </row>
    <row r="68" spans="2:10" ht="15">
      <c r="B68" s="714"/>
      <c r="C68" s="714"/>
      <c r="D68" s="714"/>
      <c r="E68" s="714"/>
      <c r="F68" s="714"/>
      <c r="G68" s="714"/>
      <c r="H68" s="714"/>
      <c r="I68" s="714"/>
      <c r="J68" s="714"/>
    </row>
    <row r="69" spans="2:11" ht="15">
      <c r="B69" s="464" t="s">
        <v>527</v>
      </c>
      <c r="C69" s="465"/>
      <c r="D69" s="465"/>
      <c r="E69" s="465"/>
      <c r="F69" s="465"/>
      <c r="G69" s="465"/>
      <c r="H69" s="466"/>
      <c r="I69" s="492">
        <f>SUM(J70:J76)</f>
        <v>303.8432</v>
      </c>
      <c r="J69" s="493"/>
      <c r="K69" s="312">
        <f>SUM(K70:K76)</f>
        <v>-0.2599999999999909</v>
      </c>
    </row>
    <row r="70" spans="1:11" ht="15">
      <c r="A70">
        <f>198+1</f>
        <v>199</v>
      </c>
      <c r="B70" s="726" t="s">
        <v>528</v>
      </c>
      <c r="C70" s="727"/>
      <c r="D70" s="727"/>
      <c r="E70" s="759"/>
      <c r="F70" s="244">
        <v>32.04</v>
      </c>
      <c r="G70" s="245">
        <v>1</v>
      </c>
      <c r="H70" s="10">
        <f>F70*G70</f>
        <v>32.04</v>
      </c>
      <c r="I70" s="41">
        <f>H70*0.13</f>
        <v>4.1652000000000005</v>
      </c>
      <c r="J70" s="10">
        <f>H70+I70</f>
        <v>36.2052</v>
      </c>
      <c r="K70" s="318"/>
    </row>
    <row r="71" spans="1:11" ht="15">
      <c r="A71">
        <f>198+1</f>
        <v>199</v>
      </c>
      <c r="B71" s="726" t="s">
        <v>529</v>
      </c>
      <c r="C71" s="727"/>
      <c r="D71" s="727" t="s">
        <v>530</v>
      </c>
      <c r="E71" s="759"/>
      <c r="F71" s="244">
        <v>107.46</v>
      </c>
      <c r="G71" s="245">
        <v>1</v>
      </c>
      <c r="H71" s="10">
        <f>F71*G71</f>
        <v>107.46</v>
      </c>
      <c r="I71" s="41">
        <f>H71*0.13</f>
        <v>13.9698</v>
      </c>
      <c r="J71" s="10">
        <f>H71+I71</f>
        <v>121.4298</v>
      </c>
      <c r="K71" s="320"/>
    </row>
    <row r="72" spans="1:11" ht="15">
      <c r="A72">
        <f>198+1</f>
        <v>199</v>
      </c>
      <c r="B72" s="726" t="s">
        <v>533</v>
      </c>
      <c r="C72" s="727"/>
      <c r="D72" s="727"/>
      <c r="E72" s="759"/>
      <c r="F72" s="244">
        <v>49</v>
      </c>
      <c r="G72" s="245">
        <v>1</v>
      </c>
      <c r="H72" s="10">
        <f>F72*G72</f>
        <v>49</v>
      </c>
      <c r="I72" s="41">
        <f>H72*0.13</f>
        <v>6.37</v>
      </c>
      <c r="J72" s="10">
        <f>H72+I72</f>
        <v>55.37</v>
      </c>
      <c r="K72" s="320"/>
    </row>
    <row r="73" spans="1:11" ht="15">
      <c r="A73">
        <f>198+1</f>
        <v>199</v>
      </c>
      <c r="B73" s="726" t="s">
        <v>534</v>
      </c>
      <c r="C73" s="727"/>
      <c r="D73" s="727" t="s">
        <v>185</v>
      </c>
      <c r="E73" s="759"/>
      <c r="F73" s="244">
        <v>50</v>
      </c>
      <c r="G73" s="245">
        <v>1</v>
      </c>
      <c r="H73" s="10">
        <f>F73*G73</f>
        <v>50</v>
      </c>
      <c r="I73" s="41"/>
      <c r="J73" s="10">
        <f>H73+I73</f>
        <v>50</v>
      </c>
      <c r="K73" s="320"/>
    </row>
    <row r="74" spans="1:11" ht="15">
      <c r="A74">
        <f>198+1</f>
        <v>199</v>
      </c>
      <c r="B74" s="665" t="s">
        <v>514</v>
      </c>
      <c r="C74" s="760"/>
      <c r="D74" s="760" t="s">
        <v>186</v>
      </c>
      <c r="E74" s="761"/>
      <c r="F74" s="246">
        <v>36.14</v>
      </c>
      <c r="G74" s="247">
        <v>1</v>
      </c>
      <c r="H74" s="5">
        <f>F74*G74</f>
        <v>36.14</v>
      </c>
      <c r="I74" s="71">
        <f>H74*0.13</f>
        <v>4.6982</v>
      </c>
      <c r="J74" s="5">
        <f>H74+I74</f>
        <v>40.8382</v>
      </c>
      <c r="K74" s="319"/>
    </row>
    <row r="75" spans="2:11" ht="15">
      <c r="B75" s="381"/>
      <c r="C75" s="382" t="s">
        <v>654</v>
      </c>
      <c r="D75" s="382" t="s">
        <v>655</v>
      </c>
      <c r="E75" s="386"/>
      <c r="F75" s="246"/>
      <c r="G75" s="247"/>
      <c r="H75" s="5"/>
      <c r="I75" s="71"/>
      <c r="J75" s="5"/>
      <c r="K75" s="319">
        <v>326.74</v>
      </c>
    </row>
    <row r="76" spans="1:11" ht="15">
      <c r="A76">
        <f>198+1</f>
        <v>199</v>
      </c>
      <c r="B76" s="665" t="s">
        <v>653</v>
      </c>
      <c r="C76" s="760"/>
      <c r="D76" s="666" t="s">
        <v>651</v>
      </c>
      <c r="E76" s="761"/>
      <c r="F76" s="246"/>
      <c r="G76" s="247"/>
      <c r="H76" s="5"/>
      <c r="I76" s="71"/>
      <c r="J76" s="5"/>
      <c r="K76" s="319">
        <v>-327</v>
      </c>
    </row>
    <row r="77" spans="2:10" ht="15">
      <c r="B77" s="714"/>
      <c r="C77" s="714"/>
      <c r="D77" s="714"/>
      <c r="E77" s="714"/>
      <c r="F77" s="714"/>
      <c r="G77" s="714"/>
      <c r="H77" s="714"/>
      <c r="I77" s="714"/>
      <c r="J77" s="714"/>
    </row>
    <row r="78" spans="2:11" s="33" customFormat="1" ht="15">
      <c r="B78" s="762" t="s">
        <v>333</v>
      </c>
      <c r="C78" s="763"/>
      <c r="D78" s="763"/>
      <c r="E78" s="763"/>
      <c r="F78" s="763"/>
      <c r="G78" s="763"/>
      <c r="H78" s="764"/>
      <c r="I78" s="521">
        <f>SUM(J79:J88)</f>
        <v>2777.050000000001</v>
      </c>
      <c r="J78" s="522"/>
      <c r="K78" s="316">
        <f>K85+K86</f>
        <v>2336.12</v>
      </c>
    </row>
    <row r="79" spans="1:11" s="33" customFormat="1" ht="15">
      <c r="A79" s="33">
        <v>200</v>
      </c>
      <c r="B79" s="508" t="s">
        <v>334</v>
      </c>
      <c r="C79" s="509"/>
      <c r="D79" s="509" t="s">
        <v>522</v>
      </c>
      <c r="E79" s="510"/>
      <c r="F79" s="96">
        <v>973</v>
      </c>
      <c r="G79" s="9">
        <v>3</v>
      </c>
      <c r="H79" s="16">
        <f aca="true" t="shared" si="11" ref="H79:H88">F79*G79</f>
        <v>2919</v>
      </c>
      <c r="I79" s="72">
        <f>H79*0.13</f>
        <v>379.47</v>
      </c>
      <c r="J79" s="16">
        <f aca="true" t="shared" si="12" ref="J79:J88">H79+I79</f>
        <v>3298.4700000000003</v>
      </c>
      <c r="K79" s="339">
        <f>1440.75+1986.46</f>
        <v>3427.21</v>
      </c>
    </row>
    <row r="80" spans="1:11" s="33" customFormat="1" ht="15">
      <c r="A80" s="33">
        <f>A79+1</f>
        <v>201</v>
      </c>
      <c r="B80" s="527" t="s">
        <v>272</v>
      </c>
      <c r="C80" s="528"/>
      <c r="D80" s="528" t="s">
        <v>273</v>
      </c>
      <c r="E80" s="718"/>
      <c r="F80" s="96">
        <v>52</v>
      </c>
      <c r="G80" s="9">
        <v>6</v>
      </c>
      <c r="H80" s="16">
        <f t="shared" si="11"/>
        <v>312</v>
      </c>
      <c r="I80" s="72">
        <f>H80*0.13</f>
        <v>40.56</v>
      </c>
      <c r="J80" s="16">
        <f t="shared" si="12"/>
        <v>352.56</v>
      </c>
      <c r="K80" s="340"/>
    </row>
    <row r="81" spans="1:11" s="33" customFormat="1" ht="15">
      <c r="A81" s="33">
        <f aca="true" t="shared" si="13" ref="A81:A88">A80+1</f>
        <v>202</v>
      </c>
      <c r="B81" s="527" t="s">
        <v>605</v>
      </c>
      <c r="C81" s="528"/>
      <c r="D81" s="528"/>
      <c r="E81" s="718"/>
      <c r="F81" s="96">
        <v>250</v>
      </c>
      <c r="G81" s="9">
        <v>2</v>
      </c>
      <c r="H81" s="16">
        <f t="shared" si="11"/>
        <v>500</v>
      </c>
      <c r="I81" s="72">
        <f>H81*0.13</f>
        <v>65</v>
      </c>
      <c r="J81" s="16">
        <f t="shared" si="12"/>
        <v>565</v>
      </c>
      <c r="K81" s="340">
        <v>15.81</v>
      </c>
    </row>
    <row r="82" spans="1:11" s="33" customFormat="1" ht="15">
      <c r="A82" s="33">
        <f t="shared" si="13"/>
        <v>203</v>
      </c>
      <c r="B82" s="527" t="s">
        <v>187</v>
      </c>
      <c r="C82" s="625"/>
      <c r="D82" s="528" t="s">
        <v>188</v>
      </c>
      <c r="E82" s="461"/>
      <c r="F82" s="96">
        <v>100</v>
      </c>
      <c r="G82" s="9">
        <v>1</v>
      </c>
      <c r="H82" s="16">
        <f t="shared" si="11"/>
        <v>100</v>
      </c>
      <c r="I82" s="72"/>
      <c r="J82" s="16">
        <f t="shared" si="12"/>
        <v>100</v>
      </c>
      <c r="K82" s="340">
        <v>75</v>
      </c>
    </row>
    <row r="83" spans="1:11" s="33" customFormat="1" ht="15">
      <c r="A83" s="33">
        <f t="shared" si="13"/>
        <v>204</v>
      </c>
      <c r="B83" s="527" t="s">
        <v>606</v>
      </c>
      <c r="C83" s="528"/>
      <c r="D83" s="528"/>
      <c r="E83" s="718"/>
      <c r="F83" s="96">
        <v>18</v>
      </c>
      <c r="G83" s="9">
        <v>3</v>
      </c>
      <c r="H83" s="16">
        <f t="shared" si="11"/>
        <v>54</v>
      </c>
      <c r="I83" s="72">
        <f>H83*0.13</f>
        <v>7.0200000000000005</v>
      </c>
      <c r="J83" s="16">
        <f t="shared" si="12"/>
        <v>61.02</v>
      </c>
      <c r="K83" s="340"/>
    </row>
    <row r="84" spans="1:11" s="33" customFormat="1" ht="15">
      <c r="A84" s="33">
        <f t="shared" si="13"/>
        <v>205</v>
      </c>
      <c r="B84" s="511" t="s">
        <v>607</v>
      </c>
      <c r="C84" s="512"/>
      <c r="D84" s="512"/>
      <c r="E84" s="513"/>
      <c r="F84" s="97">
        <v>2</v>
      </c>
      <c r="G84" s="12">
        <v>50</v>
      </c>
      <c r="H84" s="18">
        <f t="shared" si="11"/>
        <v>100</v>
      </c>
      <c r="I84" s="73"/>
      <c r="J84" s="18">
        <f t="shared" si="12"/>
        <v>100</v>
      </c>
      <c r="K84" s="340"/>
    </row>
    <row r="85" spans="2:11" s="33" customFormat="1" ht="15">
      <c r="B85" s="45"/>
      <c r="C85" s="426" t="s">
        <v>689</v>
      </c>
      <c r="D85" s="87"/>
      <c r="E85" s="88"/>
      <c r="F85" s="96"/>
      <c r="G85" s="9"/>
      <c r="H85" s="16"/>
      <c r="I85" s="72"/>
      <c r="J85" s="16"/>
      <c r="K85" s="340">
        <f>SUM(K79:K82)</f>
        <v>3518.02</v>
      </c>
    </row>
    <row r="86" spans="1:11" s="33" customFormat="1" ht="15">
      <c r="A86" s="33">
        <f>A84+1</f>
        <v>206</v>
      </c>
      <c r="B86" s="757" t="s">
        <v>149</v>
      </c>
      <c r="C86" s="758"/>
      <c r="D86" s="528" t="s">
        <v>291</v>
      </c>
      <c r="E86" s="718"/>
      <c r="F86" s="96">
        <v>-2</v>
      </c>
      <c r="G86" s="9">
        <v>50</v>
      </c>
      <c r="H86" s="40">
        <f t="shared" si="11"/>
        <v>-100</v>
      </c>
      <c r="I86" s="72"/>
      <c r="J86" s="40">
        <f t="shared" si="12"/>
        <v>-100</v>
      </c>
      <c r="K86" s="340">
        <f>-(141.9+410+630)</f>
        <v>-1181.9</v>
      </c>
    </row>
    <row r="87" spans="1:11" s="33" customFormat="1" ht="15">
      <c r="A87" s="33">
        <f t="shared" si="13"/>
        <v>207</v>
      </c>
      <c r="B87" s="713" t="s">
        <v>189</v>
      </c>
      <c r="C87" s="625"/>
      <c r="D87" s="528" t="s">
        <v>190</v>
      </c>
      <c r="E87" s="461"/>
      <c r="F87" s="96">
        <v>-400</v>
      </c>
      <c r="G87" s="9">
        <v>1</v>
      </c>
      <c r="H87" s="40">
        <f t="shared" si="11"/>
        <v>-400</v>
      </c>
      <c r="I87" s="72"/>
      <c r="J87" s="40">
        <f t="shared" si="12"/>
        <v>-400</v>
      </c>
      <c r="K87" s="340"/>
    </row>
    <row r="88" spans="1:11" s="33" customFormat="1" ht="15">
      <c r="A88" s="33">
        <f t="shared" si="13"/>
        <v>208</v>
      </c>
      <c r="B88" s="511"/>
      <c r="C88" s="512"/>
      <c r="D88" s="512" t="s">
        <v>292</v>
      </c>
      <c r="E88" s="513"/>
      <c r="F88" s="97">
        <v>-20</v>
      </c>
      <c r="G88" s="12">
        <v>60</v>
      </c>
      <c r="H88" s="53">
        <f t="shared" si="11"/>
        <v>-1200</v>
      </c>
      <c r="I88" s="73"/>
      <c r="J88" s="53">
        <f t="shared" si="12"/>
        <v>-1200</v>
      </c>
      <c r="K88" s="338"/>
    </row>
    <row r="89" spans="2:10" ht="15">
      <c r="B89" s="701"/>
      <c r="C89" s="701"/>
      <c r="D89" s="701"/>
      <c r="E89" s="701"/>
      <c r="F89" s="701"/>
      <c r="G89" s="701"/>
      <c r="H89" s="701"/>
      <c r="I89" s="701"/>
      <c r="J89" s="701"/>
    </row>
    <row r="90" spans="2:11" ht="15">
      <c r="B90" s="755" t="s">
        <v>295</v>
      </c>
      <c r="C90" s="549"/>
      <c r="D90" s="549"/>
      <c r="E90" s="549"/>
      <c r="F90" s="549"/>
      <c r="G90" s="549"/>
      <c r="H90" s="756"/>
      <c r="I90" s="704">
        <f>SUM(J91:J97)</f>
        <v>0.003300000000081127</v>
      </c>
      <c r="J90" s="705"/>
      <c r="K90" s="312">
        <v>0</v>
      </c>
    </row>
    <row r="91" spans="1:11" ht="15">
      <c r="A91">
        <v>208</v>
      </c>
      <c r="B91" s="508" t="s">
        <v>402</v>
      </c>
      <c r="C91" s="509"/>
      <c r="D91" s="509" t="s">
        <v>296</v>
      </c>
      <c r="E91" s="509"/>
      <c r="F91" s="236">
        <f>113+33.9+226</f>
        <v>372.9</v>
      </c>
      <c r="G91" s="43">
        <v>1</v>
      </c>
      <c r="H91" s="54">
        <f aca="true" t="shared" si="14" ref="H91:H97">F91*G91</f>
        <v>372.9</v>
      </c>
      <c r="I91" s="74">
        <f aca="true" t="shared" si="15" ref="I91:I96">H91*0.13</f>
        <v>48.477</v>
      </c>
      <c r="J91" s="27">
        <f aca="true" t="shared" si="16" ref="J91:J97">H91+I91</f>
        <v>421.37699999999995</v>
      </c>
      <c r="K91" s="318"/>
    </row>
    <row r="92" spans="1:11" ht="15">
      <c r="A92">
        <f aca="true" t="shared" si="17" ref="A92:A97">A91+1</f>
        <v>209</v>
      </c>
      <c r="B92" s="527" t="s">
        <v>438</v>
      </c>
      <c r="C92" s="528"/>
      <c r="D92" s="528" t="s">
        <v>439</v>
      </c>
      <c r="E92" s="528"/>
      <c r="F92" s="237">
        <v>226</v>
      </c>
      <c r="G92" s="44">
        <v>1</v>
      </c>
      <c r="H92" s="55">
        <f t="shared" si="14"/>
        <v>226</v>
      </c>
      <c r="I92" s="72">
        <f t="shared" si="15"/>
        <v>29.380000000000003</v>
      </c>
      <c r="J92" s="30">
        <f t="shared" si="16"/>
        <v>255.38</v>
      </c>
      <c r="K92" s="320"/>
    </row>
    <row r="93" spans="1:11" ht="15">
      <c r="A93">
        <f t="shared" si="17"/>
        <v>210</v>
      </c>
      <c r="B93" s="527" t="s">
        <v>440</v>
      </c>
      <c r="C93" s="528"/>
      <c r="D93" s="528" t="s">
        <v>441</v>
      </c>
      <c r="E93" s="528"/>
      <c r="F93" s="237">
        <f>28.25+53.86</f>
        <v>82.11</v>
      </c>
      <c r="G93" s="44">
        <v>1</v>
      </c>
      <c r="H93" s="55">
        <f t="shared" si="14"/>
        <v>82.11</v>
      </c>
      <c r="I93" s="72">
        <f t="shared" si="15"/>
        <v>10.6743</v>
      </c>
      <c r="J93" s="30">
        <f t="shared" si="16"/>
        <v>92.7843</v>
      </c>
      <c r="K93" s="320"/>
    </row>
    <row r="94" spans="1:11" ht="15">
      <c r="A94">
        <f t="shared" si="17"/>
        <v>211</v>
      </c>
      <c r="B94" s="527" t="s">
        <v>442</v>
      </c>
      <c r="C94" s="528"/>
      <c r="D94" s="528" t="s">
        <v>443</v>
      </c>
      <c r="E94" s="528"/>
      <c r="F94" s="237">
        <f>56.5+339+248</f>
        <v>643.5</v>
      </c>
      <c r="G94" s="44">
        <v>1</v>
      </c>
      <c r="H94" s="56">
        <f t="shared" si="14"/>
        <v>643.5</v>
      </c>
      <c r="I94" s="72">
        <f t="shared" si="15"/>
        <v>83.655</v>
      </c>
      <c r="J94" s="46">
        <f t="shared" si="16"/>
        <v>727.155</v>
      </c>
      <c r="K94" s="320"/>
    </row>
    <row r="95" spans="1:11" ht="15">
      <c r="A95">
        <f t="shared" si="17"/>
        <v>212</v>
      </c>
      <c r="B95" s="527" t="s">
        <v>233</v>
      </c>
      <c r="C95" s="528"/>
      <c r="D95" s="528" t="s">
        <v>309</v>
      </c>
      <c r="E95" s="528"/>
      <c r="F95" s="237">
        <v>33.9</v>
      </c>
      <c r="G95" s="44">
        <v>1</v>
      </c>
      <c r="H95" s="55">
        <f t="shared" si="14"/>
        <v>33.9</v>
      </c>
      <c r="I95" s="72">
        <f t="shared" si="15"/>
        <v>4.407</v>
      </c>
      <c r="J95" s="30">
        <f t="shared" si="16"/>
        <v>38.307</v>
      </c>
      <c r="K95" s="320"/>
    </row>
    <row r="96" spans="1:11" ht="15">
      <c r="A96">
        <f t="shared" si="17"/>
        <v>213</v>
      </c>
      <c r="B96" s="527" t="s">
        <v>310</v>
      </c>
      <c r="C96" s="528"/>
      <c r="D96" s="528" t="s">
        <v>32</v>
      </c>
      <c r="E96" s="528"/>
      <c r="F96" s="237">
        <v>113</v>
      </c>
      <c r="G96" s="44">
        <v>1</v>
      </c>
      <c r="H96" s="55">
        <f t="shared" si="14"/>
        <v>113</v>
      </c>
      <c r="I96" s="72">
        <f t="shared" si="15"/>
        <v>14.690000000000001</v>
      </c>
      <c r="J96" s="30">
        <f t="shared" si="16"/>
        <v>127.69</v>
      </c>
      <c r="K96" s="320"/>
    </row>
    <row r="97" spans="1:11" ht="15">
      <c r="A97">
        <f t="shared" si="17"/>
        <v>214</v>
      </c>
      <c r="B97" s="751" t="s">
        <v>554</v>
      </c>
      <c r="C97" s="752"/>
      <c r="D97" s="753" t="s">
        <v>401</v>
      </c>
      <c r="E97" s="754"/>
      <c r="F97" s="238">
        <v>-1662.69</v>
      </c>
      <c r="G97" s="8">
        <v>1</v>
      </c>
      <c r="H97" s="57">
        <f t="shared" si="14"/>
        <v>-1662.69</v>
      </c>
      <c r="I97" s="69"/>
      <c r="J97" s="57">
        <f t="shared" si="16"/>
        <v>-1662.69</v>
      </c>
      <c r="K97" s="52"/>
    </row>
    <row r="98" spans="2:10" ht="15">
      <c r="B98" s="714"/>
      <c r="C98" s="714"/>
      <c r="D98" s="714"/>
      <c r="E98" s="714"/>
      <c r="F98" s="714"/>
      <c r="G98" s="714"/>
      <c r="H98" s="714"/>
      <c r="I98" s="714"/>
      <c r="J98" s="714"/>
    </row>
    <row r="99" spans="2:12" ht="15">
      <c r="B99" s="464" t="s">
        <v>311</v>
      </c>
      <c r="C99" s="465"/>
      <c r="D99" s="465"/>
      <c r="E99" s="465"/>
      <c r="F99" s="465"/>
      <c r="G99" s="465"/>
      <c r="H99" s="466"/>
      <c r="I99" s="492">
        <f>SUM(J100:J118)</f>
        <v>-260.96559999999994</v>
      </c>
      <c r="J99" s="493"/>
      <c r="K99" s="341">
        <f>490.9+71.54+70-160</f>
        <v>472.43999999999994</v>
      </c>
      <c r="L99" t="s">
        <v>674</v>
      </c>
    </row>
    <row r="100" spans="1:11" ht="15" customHeight="1">
      <c r="A100">
        <v>215</v>
      </c>
      <c r="B100" s="750" t="s">
        <v>312</v>
      </c>
      <c r="C100" s="248" t="s">
        <v>313</v>
      </c>
      <c r="D100" s="745"/>
      <c r="E100" s="746"/>
      <c r="F100" s="264">
        <v>500</v>
      </c>
      <c r="G100" s="249">
        <v>1</v>
      </c>
      <c r="H100" s="250">
        <v>500</v>
      </c>
      <c r="I100" s="69"/>
      <c r="J100" s="2">
        <f aca="true" t="shared" si="18" ref="J100:J117">H100+I100</f>
        <v>500</v>
      </c>
      <c r="K100" s="343"/>
    </row>
    <row r="101" spans="1:11" ht="15">
      <c r="A101">
        <f>A100+1</f>
        <v>216</v>
      </c>
      <c r="B101" s="743"/>
      <c r="C101" s="251" t="s">
        <v>591</v>
      </c>
      <c r="D101" s="738" t="s">
        <v>624</v>
      </c>
      <c r="E101" s="739"/>
      <c r="F101" s="265">
        <v>0</v>
      </c>
      <c r="G101" s="252">
        <v>1</v>
      </c>
      <c r="H101" s="253">
        <v>0</v>
      </c>
      <c r="I101" s="41"/>
      <c r="J101" s="10">
        <f t="shared" si="18"/>
        <v>0</v>
      </c>
      <c r="K101" s="344"/>
    </row>
    <row r="102" spans="1:11" ht="15">
      <c r="A102">
        <f aca="true" t="shared" si="19" ref="A102:A120">A101+1</f>
        <v>217</v>
      </c>
      <c r="B102" s="744"/>
      <c r="C102" s="254" t="s">
        <v>554</v>
      </c>
      <c r="D102" s="740" t="s">
        <v>625</v>
      </c>
      <c r="E102" s="741"/>
      <c r="F102" s="266">
        <v>-5</v>
      </c>
      <c r="G102" s="249">
        <v>100</v>
      </c>
      <c r="H102" s="255">
        <v>-500</v>
      </c>
      <c r="I102" s="69"/>
      <c r="J102" s="57">
        <f>H102+I102</f>
        <v>-500</v>
      </c>
      <c r="K102" s="345"/>
    </row>
    <row r="103" spans="1:11" ht="15" customHeight="1">
      <c r="A103">
        <f t="shared" si="19"/>
        <v>218</v>
      </c>
      <c r="B103" s="750" t="s">
        <v>399</v>
      </c>
      <c r="C103" s="248" t="s">
        <v>631</v>
      </c>
      <c r="D103" s="745" t="s">
        <v>400</v>
      </c>
      <c r="E103" s="746"/>
      <c r="F103" s="264">
        <v>9.99</v>
      </c>
      <c r="G103" s="249">
        <v>6</v>
      </c>
      <c r="H103" s="250">
        <v>59.94</v>
      </c>
      <c r="I103" s="69">
        <f>H103*0.13</f>
        <v>7.7922</v>
      </c>
      <c r="J103" s="2">
        <f t="shared" si="18"/>
        <v>67.73219999999999</v>
      </c>
      <c r="K103" s="346"/>
    </row>
    <row r="104" spans="1:11" ht="15">
      <c r="A104">
        <f t="shared" si="19"/>
        <v>219</v>
      </c>
      <c r="B104" s="743"/>
      <c r="C104" s="251" t="s">
        <v>589</v>
      </c>
      <c r="D104" s="747" t="s">
        <v>75</v>
      </c>
      <c r="E104" s="748"/>
      <c r="F104" s="265">
        <v>4</v>
      </c>
      <c r="G104" s="252">
        <v>3</v>
      </c>
      <c r="H104" s="253">
        <v>12</v>
      </c>
      <c r="I104" s="41">
        <f>H104*0.13</f>
        <v>1.56</v>
      </c>
      <c r="J104" s="10">
        <f t="shared" si="18"/>
        <v>13.56</v>
      </c>
      <c r="K104" s="344"/>
    </row>
    <row r="105" spans="1:11" ht="15">
      <c r="A105">
        <f t="shared" si="19"/>
        <v>220</v>
      </c>
      <c r="B105" s="743"/>
      <c r="C105" s="251" t="s">
        <v>76</v>
      </c>
      <c r="D105" s="738" t="s">
        <v>75</v>
      </c>
      <c r="E105" s="739"/>
      <c r="F105" s="265">
        <v>2.49</v>
      </c>
      <c r="G105" s="252">
        <v>4</v>
      </c>
      <c r="H105" s="253">
        <v>9.96</v>
      </c>
      <c r="I105" s="41">
        <f>H105*0.13</f>
        <v>1.2948000000000002</v>
      </c>
      <c r="J105" s="10">
        <f t="shared" si="18"/>
        <v>11.254800000000001</v>
      </c>
      <c r="K105" s="344"/>
    </row>
    <row r="106" spans="1:11" ht="15">
      <c r="A106">
        <f t="shared" si="19"/>
        <v>221</v>
      </c>
      <c r="B106" s="744"/>
      <c r="C106" s="254" t="s">
        <v>554</v>
      </c>
      <c r="D106" s="740" t="s">
        <v>625</v>
      </c>
      <c r="E106" s="741"/>
      <c r="F106" s="266">
        <v>-2</v>
      </c>
      <c r="G106" s="249">
        <v>200</v>
      </c>
      <c r="H106" s="255">
        <v>-400</v>
      </c>
      <c r="I106" s="69"/>
      <c r="J106" s="57">
        <f t="shared" si="18"/>
        <v>-400</v>
      </c>
      <c r="K106" s="345"/>
    </row>
    <row r="107" spans="1:11" ht="15" customHeight="1">
      <c r="A107">
        <f t="shared" si="19"/>
        <v>222</v>
      </c>
      <c r="B107" s="213" t="s">
        <v>578</v>
      </c>
      <c r="C107" s="248" t="s">
        <v>313</v>
      </c>
      <c r="D107" s="745" t="s">
        <v>77</v>
      </c>
      <c r="E107" s="746"/>
      <c r="F107" s="264">
        <v>500</v>
      </c>
      <c r="G107" s="249">
        <v>1</v>
      </c>
      <c r="H107" s="250">
        <v>500</v>
      </c>
      <c r="I107" s="69">
        <v>0</v>
      </c>
      <c r="J107" s="2">
        <f t="shared" si="18"/>
        <v>500</v>
      </c>
      <c r="K107" s="346"/>
    </row>
    <row r="108" spans="1:11" ht="15">
      <c r="A108">
        <f t="shared" si="19"/>
        <v>223</v>
      </c>
      <c r="B108" s="256" t="s">
        <v>579</v>
      </c>
      <c r="C108" s="251" t="s">
        <v>78</v>
      </c>
      <c r="D108" s="747" t="s">
        <v>79</v>
      </c>
      <c r="E108" s="748"/>
      <c r="F108" s="265">
        <v>45</v>
      </c>
      <c r="G108" s="252">
        <v>1</v>
      </c>
      <c r="H108" s="253">
        <v>45</v>
      </c>
      <c r="I108" s="41">
        <f aca="true" t="shared" si="20" ref="I108:I113">H108*0.13</f>
        <v>5.8500000000000005</v>
      </c>
      <c r="J108" s="10">
        <f t="shared" si="18"/>
        <v>50.85</v>
      </c>
      <c r="K108" s="344"/>
    </row>
    <row r="109" spans="1:11" ht="15">
      <c r="A109">
        <f t="shared" si="19"/>
        <v>224</v>
      </c>
      <c r="B109" s="256"/>
      <c r="C109" s="251" t="s">
        <v>80</v>
      </c>
      <c r="D109" s="747" t="s">
        <v>81</v>
      </c>
      <c r="E109" s="748"/>
      <c r="F109" s="265">
        <v>75</v>
      </c>
      <c r="G109" s="252">
        <v>1</v>
      </c>
      <c r="H109" s="253">
        <v>75</v>
      </c>
      <c r="I109" s="41">
        <f t="shared" si="20"/>
        <v>9.75</v>
      </c>
      <c r="J109" s="10">
        <f t="shared" si="18"/>
        <v>84.75</v>
      </c>
      <c r="K109" s="344"/>
    </row>
    <row r="110" spans="1:11" ht="15">
      <c r="A110">
        <f t="shared" si="19"/>
        <v>225</v>
      </c>
      <c r="B110" s="256"/>
      <c r="C110" s="251" t="s">
        <v>82</v>
      </c>
      <c r="D110" s="738" t="s">
        <v>81</v>
      </c>
      <c r="E110" s="739"/>
      <c r="F110" s="265">
        <v>75</v>
      </c>
      <c r="G110" s="252">
        <v>1</v>
      </c>
      <c r="H110" s="253">
        <v>75</v>
      </c>
      <c r="I110" s="41">
        <f t="shared" si="20"/>
        <v>9.75</v>
      </c>
      <c r="J110" s="10">
        <f t="shared" si="18"/>
        <v>84.75</v>
      </c>
      <c r="K110" s="344"/>
    </row>
    <row r="111" spans="1:11" ht="15">
      <c r="A111">
        <f t="shared" si="19"/>
        <v>226</v>
      </c>
      <c r="B111" s="257"/>
      <c r="C111" s="254" t="s">
        <v>554</v>
      </c>
      <c r="D111" s="740" t="s">
        <v>625</v>
      </c>
      <c r="E111" s="741"/>
      <c r="F111" s="266">
        <v>-4</v>
      </c>
      <c r="G111" s="249">
        <v>100</v>
      </c>
      <c r="H111" s="255">
        <v>-400</v>
      </c>
      <c r="I111" s="69"/>
      <c r="J111" s="57">
        <f t="shared" si="18"/>
        <v>-400</v>
      </c>
      <c r="K111" s="345"/>
    </row>
    <row r="112" spans="1:11" ht="15" customHeight="1">
      <c r="A112">
        <f t="shared" si="19"/>
        <v>227</v>
      </c>
      <c r="B112" s="213" t="s">
        <v>580</v>
      </c>
      <c r="C112" s="248" t="s">
        <v>631</v>
      </c>
      <c r="D112" s="745" t="s">
        <v>101</v>
      </c>
      <c r="E112" s="746"/>
      <c r="F112" s="264">
        <v>9.99</v>
      </c>
      <c r="G112" s="249">
        <v>2</v>
      </c>
      <c r="H112" s="250">
        <v>19.98</v>
      </c>
      <c r="I112" s="74">
        <f t="shared" si="20"/>
        <v>2.5974</v>
      </c>
      <c r="J112" s="14">
        <f t="shared" si="18"/>
        <v>22.5774</v>
      </c>
      <c r="K112" s="346"/>
    </row>
    <row r="113" spans="1:11" ht="15">
      <c r="A113">
        <f t="shared" si="19"/>
        <v>228</v>
      </c>
      <c r="B113" s="256" t="s">
        <v>581</v>
      </c>
      <c r="C113" s="251" t="s">
        <v>589</v>
      </c>
      <c r="D113" s="738" t="s">
        <v>102</v>
      </c>
      <c r="E113" s="739"/>
      <c r="F113" s="265">
        <v>4</v>
      </c>
      <c r="G113" s="252">
        <v>3</v>
      </c>
      <c r="H113" s="253">
        <v>12</v>
      </c>
      <c r="I113" s="72">
        <f t="shared" si="20"/>
        <v>1.56</v>
      </c>
      <c r="J113" s="16">
        <f t="shared" si="18"/>
        <v>13.56</v>
      </c>
      <c r="K113" s="344"/>
    </row>
    <row r="114" spans="1:11" ht="15">
      <c r="A114">
        <f t="shared" si="19"/>
        <v>229</v>
      </c>
      <c r="B114" s="257"/>
      <c r="C114" s="254" t="s">
        <v>554</v>
      </c>
      <c r="D114" s="740" t="s">
        <v>625</v>
      </c>
      <c r="E114" s="741"/>
      <c r="F114" s="266">
        <v>-2</v>
      </c>
      <c r="G114" s="249">
        <v>30</v>
      </c>
      <c r="H114" s="255">
        <v>-60</v>
      </c>
      <c r="I114" s="69"/>
      <c r="J114" s="57">
        <f t="shared" si="18"/>
        <v>-60</v>
      </c>
      <c r="K114" s="345"/>
    </row>
    <row r="115" spans="1:11" ht="15" customHeight="1">
      <c r="A115">
        <f t="shared" si="19"/>
        <v>230</v>
      </c>
      <c r="B115" s="742" t="s">
        <v>677</v>
      </c>
      <c r="C115" s="248" t="s">
        <v>313</v>
      </c>
      <c r="D115" s="745" t="s">
        <v>103</v>
      </c>
      <c r="E115" s="746"/>
      <c r="F115" s="264">
        <v>0</v>
      </c>
      <c r="G115" s="249">
        <v>1</v>
      </c>
      <c r="H115" s="250">
        <v>0</v>
      </c>
      <c r="I115" s="74"/>
      <c r="J115" s="14">
        <f t="shared" si="18"/>
        <v>0</v>
      </c>
      <c r="K115" s="344"/>
    </row>
    <row r="116" spans="1:11" ht="15">
      <c r="A116">
        <f t="shared" si="19"/>
        <v>231</v>
      </c>
      <c r="B116" s="743"/>
      <c r="C116" s="251" t="s">
        <v>104</v>
      </c>
      <c r="D116" s="747" t="s">
        <v>105</v>
      </c>
      <c r="E116" s="748"/>
      <c r="F116" s="265">
        <v>0</v>
      </c>
      <c r="G116" s="252">
        <v>1</v>
      </c>
      <c r="H116" s="253">
        <v>0</v>
      </c>
      <c r="I116" s="72"/>
      <c r="J116" s="16">
        <f t="shared" si="18"/>
        <v>0</v>
      </c>
      <c r="K116" s="344"/>
    </row>
    <row r="117" spans="1:11" ht="15">
      <c r="A117">
        <f t="shared" si="19"/>
        <v>232</v>
      </c>
      <c r="B117" s="743"/>
      <c r="C117" s="258" t="s">
        <v>106</v>
      </c>
      <c r="D117" s="738" t="s">
        <v>340</v>
      </c>
      <c r="E117" s="739"/>
      <c r="F117" s="267">
        <v>0</v>
      </c>
      <c r="G117" s="259">
        <v>1</v>
      </c>
      <c r="H117" s="218">
        <v>0</v>
      </c>
      <c r="I117" s="73"/>
      <c r="J117" s="18">
        <f t="shared" si="18"/>
        <v>0</v>
      </c>
      <c r="K117" s="344"/>
    </row>
    <row r="118" spans="1:11" ht="15">
      <c r="A118">
        <f t="shared" si="19"/>
        <v>233</v>
      </c>
      <c r="B118" s="744"/>
      <c r="C118" s="254" t="s">
        <v>554</v>
      </c>
      <c r="D118" s="740" t="s">
        <v>625</v>
      </c>
      <c r="E118" s="741"/>
      <c r="F118" s="266">
        <v>-5</v>
      </c>
      <c r="G118" s="249">
        <v>50</v>
      </c>
      <c r="H118" s="255">
        <v>-250</v>
      </c>
      <c r="I118" s="69"/>
      <c r="J118" s="57">
        <f>H118+I118</f>
        <v>-250</v>
      </c>
      <c r="K118" s="347">
        <f>-160</f>
        <v>-160</v>
      </c>
    </row>
    <row r="119" spans="1:11" ht="15" customHeight="1">
      <c r="A119">
        <f t="shared" si="19"/>
        <v>234</v>
      </c>
      <c r="B119" s="383" t="s">
        <v>658</v>
      </c>
      <c r="C119" s="248"/>
      <c r="D119" s="745"/>
      <c r="E119" s="746"/>
      <c r="F119" s="264"/>
      <c r="G119" s="249"/>
      <c r="H119" s="250"/>
      <c r="I119" s="74"/>
      <c r="J119" s="14"/>
      <c r="K119" s="346">
        <f>58.59+12.95</f>
        <v>71.54</v>
      </c>
    </row>
    <row r="120" spans="1:11" ht="15">
      <c r="A120">
        <f t="shared" si="19"/>
        <v>235</v>
      </c>
      <c r="B120" s="397" t="s">
        <v>676</v>
      </c>
      <c r="C120" s="251"/>
      <c r="D120" s="738"/>
      <c r="E120" s="739"/>
      <c r="F120" s="265"/>
      <c r="G120" s="252"/>
      <c r="H120" s="253"/>
      <c r="I120" s="72"/>
      <c r="J120" s="16"/>
      <c r="K120" s="344">
        <v>70</v>
      </c>
    </row>
    <row r="121" spans="2:10" ht="15">
      <c r="B121" s="749"/>
      <c r="C121" s="749"/>
      <c r="D121" s="749"/>
      <c r="E121" s="749"/>
      <c r="F121" s="749"/>
      <c r="G121" s="749"/>
      <c r="H121" s="749"/>
      <c r="I121" s="749"/>
      <c r="J121" s="749"/>
    </row>
    <row r="122" spans="2:11" ht="15">
      <c r="B122" s="464" t="s">
        <v>483</v>
      </c>
      <c r="C122" s="465"/>
      <c r="D122" s="465"/>
      <c r="E122" s="465"/>
      <c r="F122" s="465"/>
      <c r="G122" s="465"/>
      <c r="H122" s="466"/>
      <c r="I122" s="492">
        <f>SUM(J123:J133)</f>
        <v>0</v>
      </c>
      <c r="J122" s="493"/>
      <c r="K122" s="312">
        <f>SUM(K123:K128)</f>
        <v>198.86</v>
      </c>
    </row>
    <row r="123" spans="1:11" ht="15">
      <c r="A123">
        <v>284</v>
      </c>
      <c r="B123" s="736" t="s">
        <v>484</v>
      </c>
      <c r="C123" s="737"/>
      <c r="D123" s="737" t="s">
        <v>485</v>
      </c>
      <c r="E123" s="737"/>
      <c r="F123" s="268">
        <v>2.5</v>
      </c>
      <c r="G123" s="260">
        <v>40</v>
      </c>
      <c r="H123" s="54">
        <f aca="true" t="shared" si="21" ref="H123:H130">F123*G123</f>
        <v>100</v>
      </c>
      <c r="I123" s="74">
        <f>H123*0.13</f>
        <v>13</v>
      </c>
      <c r="J123" s="27">
        <f aca="true" t="shared" si="22" ref="J123:J130">H123+I123</f>
        <v>113</v>
      </c>
      <c r="K123" s="318">
        <v>175.03</v>
      </c>
    </row>
    <row r="124" spans="1:11" ht="15">
      <c r="A124">
        <f>A123+1</f>
        <v>285</v>
      </c>
      <c r="B124" s="726" t="s">
        <v>150</v>
      </c>
      <c r="C124" s="727"/>
      <c r="D124" s="727" t="s">
        <v>151</v>
      </c>
      <c r="E124" s="727"/>
      <c r="F124" s="269">
        <v>2</v>
      </c>
      <c r="G124" s="261">
        <v>12</v>
      </c>
      <c r="H124" s="55">
        <f>F124*G124</f>
        <v>24</v>
      </c>
      <c r="I124" s="72">
        <f>H124*0.13</f>
        <v>3.12</v>
      </c>
      <c r="J124" s="30">
        <f>H124+I124</f>
        <v>27.12</v>
      </c>
      <c r="K124" s="320"/>
    </row>
    <row r="125" spans="1:11" ht="15">
      <c r="A125">
        <f aca="true" t="shared" si="23" ref="A125:A133">A124+1</f>
        <v>286</v>
      </c>
      <c r="B125" s="726" t="s">
        <v>152</v>
      </c>
      <c r="C125" s="727"/>
      <c r="D125" s="727" t="s">
        <v>637</v>
      </c>
      <c r="E125" s="727"/>
      <c r="F125" s="269">
        <v>0.21</v>
      </c>
      <c r="G125" s="261">
        <v>30</v>
      </c>
      <c r="H125" s="55">
        <f>F125*G125</f>
        <v>6.3</v>
      </c>
      <c r="I125" s="41"/>
      <c r="J125" s="30">
        <f>H125+I125</f>
        <v>6.3</v>
      </c>
      <c r="K125" s="320"/>
    </row>
    <row r="126" spans="1:11" ht="15">
      <c r="A126">
        <f t="shared" si="23"/>
        <v>287</v>
      </c>
      <c r="B126" s="726" t="s">
        <v>107</v>
      </c>
      <c r="C126" s="727"/>
      <c r="D126" s="727" t="s">
        <v>301</v>
      </c>
      <c r="E126" s="727"/>
      <c r="F126" s="269">
        <v>0</v>
      </c>
      <c r="G126" s="261">
        <v>1</v>
      </c>
      <c r="H126" s="56">
        <f t="shared" si="21"/>
        <v>0</v>
      </c>
      <c r="I126" s="72"/>
      <c r="J126" s="46">
        <f t="shared" si="22"/>
        <v>0</v>
      </c>
      <c r="K126" s="320"/>
    </row>
    <row r="127" spans="1:11" ht="15">
      <c r="A127">
        <f t="shared" si="23"/>
        <v>288</v>
      </c>
      <c r="B127" s="726" t="s">
        <v>294</v>
      </c>
      <c r="C127" s="727"/>
      <c r="D127" s="727" t="s">
        <v>153</v>
      </c>
      <c r="E127" s="727"/>
      <c r="F127" s="269">
        <v>0.21</v>
      </c>
      <c r="G127" s="261">
        <v>50</v>
      </c>
      <c r="H127" s="55">
        <f t="shared" si="21"/>
        <v>10.5</v>
      </c>
      <c r="I127" s="41"/>
      <c r="J127" s="30">
        <f t="shared" si="22"/>
        <v>10.5</v>
      </c>
      <c r="K127" s="320"/>
    </row>
    <row r="128" spans="2:11" ht="15">
      <c r="B128" s="384"/>
      <c r="C128" s="292" t="s">
        <v>657</v>
      </c>
      <c r="D128" s="385"/>
      <c r="E128" s="385"/>
      <c r="F128" s="269"/>
      <c r="G128" s="261"/>
      <c r="H128" s="55"/>
      <c r="I128" s="41"/>
      <c r="J128" s="30"/>
      <c r="K128" s="320">
        <v>23.83</v>
      </c>
    </row>
    <row r="129" spans="1:11" ht="15">
      <c r="A129">
        <f>A127+1</f>
        <v>289</v>
      </c>
      <c r="B129" s="726" t="s">
        <v>293</v>
      </c>
      <c r="C129" s="727"/>
      <c r="D129" s="727" t="s">
        <v>153</v>
      </c>
      <c r="E129" s="727"/>
      <c r="F129" s="269">
        <v>1</v>
      </c>
      <c r="G129" s="261">
        <v>8</v>
      </c>
      <c r="H129" s="55">
        <f t="shared" si="21"/>
        <v>8</v>
      </c>
      <c r="I129" s="41"/>
      <c r="J129" s="30">
        <f t="shared" si="22"/>
        <v>8</v>
      </c>
      <c r="K129" s="320"/>
    </row>
    <row r="130" spans="1:11" ht="15">
      <c r="A130">
        <f t="shared" si="23"/>
        <v>290</v>
      </c>
      <c r="B130" s="728" t="s">
        <v>554</v>
      </c>
      <c r="C130" s="729"/>
      <c r="D130" s="730" t="s">
        <v>154</v>
      </c>
      <c r="E130" s="731"/>
      <c r="F130" s="270">
        <v>-1</v>
      </c>
      <c r="G130" s="262">
        <v>240</v>
      </c>
      <c r="H130" s="57">
        <f t="shared" si="21"/>
        <v>-240</v>
      </c>
      <c r="I130" s="69"/>
      <c r="J130" s="57">
        <f t="shared" si="22"/>
        <v>-240</v>
      </c>
      <c r="K130" s="58"/>
    </row>
    <row r="131" spans="1:11" ht="15">
      <c r="A131">
        <f t="shared" si="23"/>
        <v>291</v>
      </c>
      <c r="B131" s="732"/>
      <c r="C131" s="733"/>
      <c r="D131" s="734" t="s">
        <v>603</v>
      </c>
      <c r="E131" s="735"/>
      <c r="F131" s="271">
        <v>-75</v>
      </c>
      <c r="G131" s="245">
        <v>1</v>
      </c>
      <c r="H131" s="58">
        <f>F131*G131</f>
        <v>-75</v>
      </c>
      <c r="I131" s="41"/>
      <c r="J131" s="58">
        <f>H131+I131</f>
        <v>-75</v>
      </c>
      <c r="K131" s="320"/>
    </row>
    <row r="132" spans="1:11" ht="15">
      <c r="A132">
        <f t="shared" si="23"/>
        <v>292</v>
      </c>
      <c r="B132" s="719"/>
      <c r="C132" s="720"/>
      <c r="D132" s="721" t="s">
        <v>143</v>
      </c>
      <c r="E132" s="722"/>
      <c r="F132" s="272">
        <v>-5</v>
      </c>
      <c r="G132" s="247">
        <v>150</v>
      </c>
      <c r="H132" s="52">
        <f>F132*G132</f>
        <v>-750</v>
      </c>
      <c r="I132" s="71"/>
      <c r="J132" s="52">
        <f>H132+I132</f>
        <v>-750</v>
      </c>
      <c r="K132" s="320"/>
    </row>
    <row r="133" spans="1:11" ht="15">
      <c r="A133">
        <f t="shared" si="23"/>
        <v>293</v>
      </c>
      <c r="B133" s="723" t="s">
        <v>85</v>
      </c>
      <c r="C133" s="724"/>
      <c r="D133" s="725" t="s">
        <v>378</v>
      </c>
      <c r="E133" s="725"/>
      <c r="F133" s="273">
        <v>900.08</v>
      </c>
      <c r="G133" s="263">
        <v>1</v>
      </c>
      <c r="H133" s="62">
        <f>F133*G133</f>
        <v>900.08</v>
      </c>
      <c r="I133" s="70"/>
      <c r="J133" s="52">
        <f>H133+I133</f>
        <v>900.08</v>
      </c>
      <c r="K133" s="319"/>
    </row>
    <row r="134" spans="2:10" ht="15">
      <c r="B134" s="476"/>
      <c r="C134" s="476"/>
      <c r="D134" s="476"/>
      <c r="E134" s="476"/>
      <c r="F134" s="476"/>
      <c r="G134" s="476"/>
      <c r="H134" s="476"/>
      <c r="I134" s="476"/>
      <c r="J134" s="476"/>
    </row>
    <row r="135" spans="2:11" ht="15">
      <c r="B135" s="612" t="s">
        <v>144</v>
      </c>
      <c r="C135" s="517"/>
      <c r="D135" s="517"/>
      <c r="E135" s="517"/>
      <c r="F135" s="519"/>
      <c r="G135" s="519"/>
      <c r="H135" s="520"/>
      <c r="I135" s="521">
        <f>SUM(J136:J142)</f>
        <v>-11.189999999999998</v>
      </c>
      <c r="J135" s="522"/>
      <c r="K135" s="21">
        <v>375.37</v>
      </c>
    </row>
    <row r="136" spans="1:11" ht="15">
      <c r="A136">
        <v>294</v>
      </c>
      <c r="B136" s="508" t="s">
        <v>380</v>
      </c>
      <c r="C136" s="509"/>
      <c r="D136" s="509" t="s">
        <v>381</v>
      </c>
      <c r="E136" s="510"/>
      <c r="F136" s="224">
        <v>0</v>
      </c>
      <c r="G136" s="26">
        <v>4</v>
      </c>
      <c r="H136" s="14">
        <f aca="true" t="shared" si="24" ref="H136:H142">F136*G136</f>
        <v>0</v>
      </c>
      <c r="I136" s="74">
        <v>0</v>
      </c>
      <c r="J136" s="14">
        <f aca="true" t="shared" si="25" ref="J136:J142">H136+I136</f>
        <v>0</v>
      </c>
      <c r="K136" s="318"/>
    </row>
    <row r="137" spans="1:11" ht="15">
      <c r="A137">
        <f aca="true" t="shared" si="26" ref="A137:A142">A136+1</f>
        <v>295</v>
      </c>
      <c r="B137" s="527" t="s">
        <v>87</v>
      </c>
      <c r="C137" s="528"/>
      <c r="D137" s="528" t="s">
        <v>302</v>
      </c>
      <c r="E137" s="718"/>
      <c r="F137" s="225">
        <v>100</v>
      </c>
      <c r="G137" s="29">
        <v>1</v>
      </c>
      <c r="H137" s="16">
        <f t="shared" si="24"/>
        <v>100</v>
      </c>
      <c r="I137" s="72">
        <f>H137*0.13</f>
        <v>13</v>
      </c>
      <c r="J137" s="16">
        <f t="shared" si="25"/>
        <v>113</v>
      </c>
      <c r="K137" s="320"/>
    </row>
    <row r="138" spans="1:11" ht="15">
      <c r="A138">
        <f t="shared" si="26"/>
        <v>296</v>
      </c>
      <c r="B138" s="527" t="s">
        <v>303</v>
      </c>
      <c r="C138" s="528"/>
      <c r="D138" s="528" t="s">
        <v>304</v>
      </c>
      <c r="E138" s="718"/>
      <c r="F138" s="225">
        <v>30</v>
      </c>
      <c r="G138" s="29">
        <v>1</v>
      </c>
      <c r="H138" s="16">
        <f t="shared" si="24"/>
        <v>30</v>
      </c>
      <c r="I138" s="72">
        <f>H138*0.13</f>
        <v>3.9000000000000004</v>
      </c>
      <c r="J138" s="16">
        <f t="shared" si="25"/>
        <v>33.9</v>
      </c>
      <c r="K138" s="320"/>
    </row>
    <row r="139" spans="1:11" ht="15">
      <c r="A139">
        <f t="shared" si="26"/>
        <v>297</v>
      </c>
      <c r="B139" s="527" t="s">
        <v>37</v>
      </c>
      <c r="C139" s="528"/>
      <c r="D139" s="528"/>
      <c r="E139" s="718"/>
      <c r="F139" s="225">
        <v>60</v>
      </c>
      <c r="G139" s="29">
        <v>1</v>
      </c>
      <c r="H139" s="16">
        <f t="shared" si="24"/>
        <v>60</v>
      </c>
      <c r="I139" s="72">
        <f>H139*0.13</f>
        <v>7.800000000000001</v>
      </c>
      <c r="J139" s="16">
        <f t="shared" si="25"/>
        <v>67.8</v>
      </c>
      <c r="K139" s="320"/>
    </row>
    <row r="140" spans="1:11" ht="15">
      <c r="A140">
        <f t="shared" si="26"/>
        <v>298</v>
      </c>
      <c r="B140" s="527" t="s">
        <v>38</v>
      </c>
      <c r="C140" s="528"/>
      <c r="D140" s="528"/>
      <c r="E140" s="718"/>
      <c r="F140" s="225">
        <v>60</v>
      </c>
      <c r="G140" s="29">
        <v>1</v>
      </c>
      <c r="H140" s="16">
        <f t="shared" si="24"/>
        <v>60</v>
      </c>
      <c r="I140" s="72">
        <f>H140*0.13</f>
        <v>7.800000000000001</v>
      </c>
      <c r="J140" s="16">
        <f t="shared" si="25"/>
        <v>67.8</v>
      </c>
      <c r="K140" s="320"/>
    </row>
    <row r="141" spans="1:11" ht="15">
      <c r="A141">
        <f t="shared" si="26"/>
        <v>299</v>
      </c>
      <c r="B141" s="511" t="s">
        <v>39</v>
      </c>
      <c r="C141" s="512"/>
      <c r="D141" s="512"/>
      <c r="E141" s="513"/>
      <c r="F141" s="226">
        <v>20</v>
      </c>
      <c r="G141" s="32">
        <v>4</v>
      </c>
      <c r="H141" s="18">
        <f t="shared" si="24"/>
        <v>80</v>
      </c>
      <c r="I141" s="72">
        <f>H141*0.13</f>
        <v>10.4</v>
      </c>
      <c r="J141" s="16">
        <f t="shared" si="25"/>
        <v>90.4</v>
      </c>
      <c r="K141" s="320"/>
    </row>
    <row r="142" spans="1:11" ht="15">
      <c r="A142">
        <f t="shared" si="26"/>
        <v>300</v>
      </c>
      <c r="B142" s="785" t="s">
        <v>40</v>
      </c>
      <c r="C142" s="786"/>
      <c r="D142" s="524" t="s">
        <v>41</v>
      </c>
      <c r="E142" s="524"/>
      <c r="F142" s="239">
        <v>-384.09</v>
      </c>
      <c r="G142" s="61">
        <v>1</v>
      </c>
      <c r="H142" s="62">
        <f t="shared" si="24"/>
        <v>-384.09</v>
      </c>
      <c r="I142" s="153"/>
      <c r="J142" s="154">
        <f t="shared" si="25"/>
        <v>-384.09</v>
      </c>
      <c r="K142" s="319"/>
    </row>
    <row r="143" spans="2:10" ht="15">
      <c r="B143" s="701"/>
      <c r="C143" s="701"/>
      <c r="D143" s="701"/>
      <c r="E143" s="701"/>
      <c r="F143" s="701"/>
      <c r="G143" s="701"/>
      <c r="H143" s="701"/>
      <c r="I143" s="701"/>
      <c r="J143" s="701"/>
    </row>
    <row r="144" spans="2:11" ht="15">
      <c r="B144" s="702" t="s">
        <v>145</v>
      </c>
      <c r="C144" s="462"/>
      <c r="D144" s="462"/>
      <c r="E144" s="462"/>
      <c r="F144" s="462"/>
      <c r="G144" s="462"/>
      <c r="H144" s="703"/>
      <c r="I144" s="704">
        <f>SUM(J145:J155)</f>
        <v>1267.9058</v>
      </c>
      <c r="J144" s="705"/>
      <c r="K144" s="312">
        <f>SUM(K145:K155)</f>
        <v>790.9599999999998</v>
      </c>
    </row>
    <row r="145" spans="1:11" ht="15">
      <c r="A145">
        <v>301</v>
      </c>
      <c r="B145" s="706" t="s">
        <v>146</v>
      </c>
      <c r="C145" s="707"/>
      <c r="D145" s="707" t="s">
        <v>345</v>
      </c>
      <c r="E145" s="708"/>
      <c r="F145" s="240">
        <v>14</v>
      </c>
      <c r="G145" s="149">
        <v>80</v>
      </c>
      <c r="H145" s="59">
        <f aca="true" t="shared" si="27" ref="H145:H155">F145*G145</f>
        <v>1120</v>
      </c>
      <c r="I145" s="74"/>
      <c r="J145" s="14">
        <f aca="true" t="shared" si="28" ref="J145:J155">H145+I145</f>
        <v>1120</v>
      </c>
      <c r="K145" s="318">
        <v>1139.1</v>
      </c>
    </row>
    <row r="146" spans="1:11" ht="15">
      <c r="A146">
        <f>A145+1</f>
        <v>302</v>
      </c>
      <c r="B146" s="698" t="s">
        <v>346</v>
      </c>
      <c r="C146" s="699"/>
      <c r="D146" s="699" t="s">
        <v>347</v>
      </c>
      <c r="E146" s="700"/>
      <c r="F146" s="241">
        <v>200</v>
      </c>
      <c r="G146" s="150">
        <v>1</v>
      </c>
      <c r="H146" s="46">
        <f t="shared" si="27"/>
        <v>200</v>
      </c>
      <c r="I146" s="72"/>
      <c r="J146" s="16">
        <f t="shared" si="28"/>
        <v>200</v>
      </c>
      <c r="K146" s="320">
        <v>200</v>
      </c>
    </row>
    <row r="147" spans="1:11" ht="15">
      <c r="A147">
        <f aca="true" t="shared" si="29" ref="A147:A155">A146+1</f>
        <v>303</v>
      </c>
      <c r="B147" s="698" t="s">
        <v>341</v>
      </c>
      <c r="C147" s="699"/>
      <c r="D147" s="699"/>
      <c r="E147" s="700"/>
      <c r="F147" s="241">
        <v>4.99</v>
      </c>
      <c r="G147" s="150">
        <v>6</v>
      </c>
      <c r="H147" s="46">
        <f t="shared" si="27"/>
        <v>29.94</v>
      </c>
      <c r="I147" s="72"/>
      <c r="J147" s="16">
        <f t="shared" si="28"/>
        <v>29.94</v>
      </c>
      <c r="K147" s="320"/>
    </row>
    <row r="148" spans="1:11" ht="15">
      <c r="A148">
        <f t="shared" si="29"/>
        <v>304</v>
      </c>
      <c r="B148" s="698" t="s">
        <v>343</v>
      </c>
      <c r="C148" s="699"/>
      <c r="D148" s="699" t="s">
        <v>220</v>
      </c>
      <c r="E148" s="700"/>
      <c r="F148" s="241">
        <v>200</v>
      </c>
      <c r="G148" s="150">
        <v>1</v>
      </c>
      <c r="H148" s="46">
        <f t="shared" si="27"/>
        <v>200</v>
      </c>
      <c r="I148" s="72">
        <f aca="true" t="shared" si="30" ref="I148:I154">H148*0.13</f>
        <v>26</v>
      </c>
      <c r="J148" s="16">
        <f t="shared" si="28"/>
        <v>226</v>
      </c>
      <c r="K148" s="320">
        <f>41.81+196.62</f>
        <v>238.43</v>
      </c>
    </row>
    <row r="149" spans="1:11" ht="15">
      <c r="A149">
        <f t="shared" si="29"/>
        <v>305</v>
      </c>
      <c r="B149" s="698" t="s">
        <v>221</v>
      </c>
      <c r="C149" s="699"/>
      <c r="D149" s="699" t="s">
        <v>222</v>
      </c>
      <c r="E149" s="700"/>
      <c r="F149" s="241">
        <v>3.99</v>
      </c>
      <c r="G149" s="150">
        <v>1</v>
      </c>
      <c r="H149" s="46">
        <f t="shared" si="27"/>
        <v>3.99</v>
      </c>
      <c r="I149" s="72">
        <f t="shared" si="30"/>
        <v>0.5187</v>
      </c>
      <c r="J149" s="16">
        <f t="shared" si="28"/>
        <v>4.5087</v>
      </c>
      <c r="K149" s="320">
        <v>0</v>
      </c>
    </row>
    <row r="150" spans="1:11" ht="15">
      <c r="A150">
        <f t="shared" si="29"/>
        <v>306</v>
      </c>
      <c r="B150" s="698" t="s">
        <v>223</v>
      </c>
      <c r="C150" s="699"/>
      <c r="D150" s="699"/>
      <c r="E150" s="700"/>
      <c r="F150" s="241">
        <v>20</v>
      </c>
      <c r="G150" s="150">
        <v>1</v>
      </c>
      <c r="H150" s="46">
        <f t="shared" si="27"/>
        <v>20</v>
      </c>
      <c r="I150" s="72"/>
      <c r="J150" s="16">
        <f t="shared" si="28"/>
        <v>20</v>
      </c>
      <c r="K150" s="320">
        <v>0</v>
      </c>
    </row>
    <row r="151" spans="1:11" ht="15">
      <c r="A151">
        <f t="shared" si="29"/>
        <v>307</v>
      </c>
      <c r="B151" s="713" t="s">
        <v>224</v>
      </c>
      <c r="C151" s="682"/>
      <c r="D151" s="682" t="s">
        <v>225</v>
      </c>
      <c r="E151" s="683"/>
      <c r="F151" s="241">
        <v>8.99</v>
      </c>
      <c r="G151" s="150">
        <v>10</v>
      </c>
      <c r="H151" s="46">
        <f t="shared" si="27"/>
        <v>89.9</v>
      </c>
      <c r="I151" s="72">
        <f t="shared" si="30"/>
        <v>11.687000000000001</v>
      </c>
      <c r="J151" s="16">
        <f t="shared" si="28"/>
        <v>101.587</v>
      </c>
      <c r="K151" s="320">
        <v>51.6</v>
      </c>
    </row>
    <row r="152" spans="1:11" ht="15">
      <c r="A152">
        <f t="shared" si="29"/>
        <v>308</v>
      </c>
      <c r="B152" s="713" t="s">
        <v>83</v>
      </c>
      <c r="C152" s="682"/>
      <c r="D152" s="590" t="s">
        <v>371</v>
      </c>
      <c r="E152" s="683"/>
      <c r="F152" s="241">
        <v>38.99</v>
      </c>
      <c r="G152" s="150">
        <v>6</v>
      </c>
      <c r="H152" s="46">
        <f t="shared" si="27"/>
        <v>233.94</v>
      </c>
      <c r="I152" s="72">
        <f t="shared" si="30"/>
        <v>30.412200000000002</v>
      </c>
      <c r="J152" s="16">
        <f t="shared" si="28"/>
        <v>264.3522</v>
      </c>
      <c r="K152" s="320">
        <v>120.02</v>
      </c>
    </row>
    <row r="153" spans="1:11" ht="15">
      <c r="A153">
        <f t="shared" si="29"/>
        <v>309</v>
      </c>
      <c r="B153" s="713" t="s">
        <v>372</v>
      </c>
      <c r="C153" s="682"/>
      <c r="D153" s="682" t="s">
        <v>371</v>
      </c>
      <c r="E153" s="683"/>
      <c r="F153" s="241">
        <v>38.99</v>
      </c>
      <c r="G153" s="150">
        <v>6</v>
      </c>
      <c r="H153" s="46">
        <f t="shared" si="27"/>
        <v>233.94</v>
      </c>
      <c r="I153" s="72">
        <f t="shared" si="30"/>
        <v>30.412200000000002</v>
      </c>
      <c r="J153" s="16">
        <f t="shared" si="28"/>
        <v>264.3522</v>
      </c>
      <c r="K153" s="320"/>
    </row>
    <row r="154" spans="1:11" ht="15">
      <c r="A154">
        <f t="shared" si="29"/>
        <v>310</v>
      </c>
      <c r="B154" s="715" t="s">
        <v>373</v>
      </c>
      <c r="C154" s="716"/>
      <c r="D154" s="716" t="s">
        <v>342</v>
      </c>
      <c r="E154" s="717"/>
      <c r="F154" s="242">
        <v>2.99</v>
      </c>
      <c r="G154" s="151">
        <v>11</v>
      </c>
      <c r="H154" s="60">
        <f t="shared" si="27"/>
        <v>32.89</v>
      </c>
      <c r="I154" s="73">
        <f t="shared" si="30"/>
        <v>4.2757000000000005</v>
      </c>
      <c r="J154" s="18">
        <f t="shared" si="28"/>
        <v>37.1657</v>
      </c>
      <c r="K154" s="320">
        <v>41.81</v>
      </c>
    </row>
    <row r="155" spans="1:11" ht="15">
      <c r="A155">
        <f t="shared" si="29"/>
        <v>311</v>
      </c>
      <c r="B155" s="709" t="s">
        <v>554</v>
      </c>
      <c r="C155" s="710"/>
      <c r="D155" s="711" t="s">
        <v>374</v>
      </c>
      <c r="E155" s="712"/>
      <c r="F155" s="243">
        <v>-1000</v>
      </c>
      <c r="G155" s="152">
        <v>1</v>
      </c>
      <c r="H155" s="51">
        <f t="shared" si="27"/>
        <v>-1000</v>
      </c>
      <c r="I155" s="70"/>
      <c r="J155" s="51">
        <f t="shared" si="28"/>
        <v>-1000</v>
      </c>
      <c r="K155" s="52">
        <v>-1000</v>
      </c>
    </row>
    <row r="157" spans="2:11" ht="15">
      <c r="B157" s="518" t="s">
        <v>497</v>
      </c>
      <c r="C157" s="519"/>
      <c r="D157" s="519"/>
      <c r="E157" s="519"/>
      <c r="F157" s="519"/>
      <c r="G157" s="519"/>
      <c r="H157" s="520"/>
      <c r="I157" s="521">
        <f>SUM(J158)</f>
        <v>250</v>
      </c>
      <c r="J157" s="522"/>
      <c r="K157" s="348"/>
    </row>
    <row r="158" spans="1:11" ht="15">
      <c r="A158">
        <v>312</v>
      </c>
      <c r="B158" s="523" t="s">
        <v>500</v>
      </c>
      <c r="C158" s="524"/>
      <c r="D158" s="524" t="s">
        <v>576</v>
      </c>
      <c r="E158" s="626"/>
      <c r="F158" s="94">
        <v>25</v>
      </c>
      <c r="G158" s="36">
        <v>10</v>
      </c>
      <c r="H158" s="63">
        <f>F158*G158</f>
        <v>250</v>
      </c>
      <c r="I158" s="63"/>
      <c r="J158" s="63">
        <f>H158+I158</f>
        <v>250</v>
      </c>
      <c r="K158" s="349"/>
    </row>
    <row r="159" ht="15">
      <c r="D159" s="33"/>
    </row>
  </sheetData>
  <sheetProtection/>
  <mergeCells count="231">
    <mergeCell ref="D48:E48"/>
    <mergeCell ref="B45:B48"/>
    <mergeCell ref="B74:C74"/>
    <mergeCell ref="D74:E74"/>
    <mergeCell ref="D119:E119"/>
    <mergeCell ref="D120:E120"/>
    <mergeCell ref="D45:E45"/>
    <mergeCell ref="B52:H52"/>
    <mergeCell ref="B63:C63"/>
    <mergeCell ref="D63:E63"/>
    <mergeCell ref="K1:K2"/>
    <mergeCell ref="B157:H157"/>
    <mergeCell ref="I157:J157"/>
    <mergeCell ref="B25:B27"/>
    <mergeCell ref="B35:B36"/>
    <mergeCell ref="D35:E35"/>
    <mergeCell ref="D37:E37"/>
    <mergeCell ref="B38:B42"/>
    <mergeCell ref="D38:E38"/>
    <mergeCell ref="B158:C158"/>
    <mergeCell ref="D158:E158"/>
    <mergeCell ref="B87:C87"/>
    <mergeCell ref="D87:E87"/>
    <mergeCell ref="B142:C142"/>
    <mergeCell ref="D142:E142"/>
    <mergeCell ref="D91:E91"/>
    <mergeCell ref="B92:C92"/>
    <mergeCell ref="D92:E92"/>
    <mergeCell ref="B98:J98"/>
    <mergeCell ref="D40:E40"/>
    <mergeCell ref="D41:E41"/>
    <mergeCell ref="D42:E42"/>
    <mergeCell ref="B43:B44"/>
    <mergeCell ref="D43:E43"/>
    <mergeCell ref="D44:E44"/>
    <mergeCell ref="D32:E32"/>
    <mergeCell ref="D47:E47"/>
    <mergeCell ref="D50:E50"/>
    <mergeCell ref="B28:B34"/>
    <mergeCell ref="B7:J7"/>
    <mergeCell ref="B8:H8"/>
    <mergeCell ref="I8:J8"/>
    <mergeCell ref="B9:B19"/>
    <mergeCell ref="D9:E9"/>
    <mergeCell ref="D39:E39"/>
    <mergeCell ref="B1:H2"/>
    <mergeCell ref="I1:J2"/>
    <mergeCell ref="I3:J3"/>
    <mergeCell ref="B5:E5"/>
    <mergeCell ref="F5:J5"/>
    <mergeCell ref="B6:C6"/>
    <mergeCell ref="D6:E6"/>
    <mergeCell ref="B3:H3"/>
    <mergeCell ref="D10:E10"/>
    <mergeCell ref="D11:E11"/>
    <mergeCell ref="D12:E12"/>
    <mergeCell ref="D13:E13"/>
    <mergeCell ref="D14:E14"/>
    <mergeCell ref="D15:E15"/>
    <mergeCell ref="D29:E29"/>
    <mergeCell ref="D30:E30"/>
    <mergeCell ref="D31:E31"/>
    <mergeCell ref="D25:E25"/>
    <mergeCell ref="D16:E16"/>
    <mergeCell ref="D17:E17"/>
    <mergeCell ref="D19:E19"/>
    <mergeCell ref="D28:E28"/>
    <mergeCell ref="B20:B24"/>
    <mergeCell ref="B58:C58"/>
    <mergeCell ref="D58:E58"/>
    <mergeCell ref="B55:C55"/>
    <mergeCell ref="D55:E55"/>
    <mergeCell ref="B56:C56"/>
    <mergeCell ref="D56:E56"/>
    <mergeCell ref="B57:C57"/>
    <mergeCell ref="D57:E57"/>
    <mergeCell ref="B51:J51"/>
    <mergeCell ref="I52:J52"/>
    <mergeCell ref="B53:C53"/>
    <mergeCell ref="D53:E53"/>
    <mergeCell ref="B54:C54"/>
    <mergeCell ref="D54:E54"/>
    <mergeCell ref="B62:C62"/>
    <mergeCell ref="D62:E62"/>
    <mergeCell ref="B65:C65"/>
    <mergeCell ref="D65:E65"/>
    <mergeCell ref="B64:C64"/>
    <mergeCell ref="D64:E64"/>
    <mergeCell ref="B59:C59"/>
    <mergeCell ref="D59:E59"/>
    <mergeCell ref="B60:C60"/>
    <mergeCell ref="D60:E60"/>
    <mergeCell ref="B61:C61"/>
    <mergeCell ref="D61:E61"/>
    <mergeCell ref="B70:C70"/>
    <mergeCell ref="D70:E70"/>
    <mergeCell ref="B71:C71"/>
    <mergeCell ref="D71:E71"/>
    <mergeCell ref="B67:C67"/>
    <mergeCell ref="D67:E67"/>
    <mergeCell ref="B68:J68"/>
    <mergeCell ref="B69:H69"/>
    <mergeCell ref="I69:J69"/>
    <mergeCell ref="D79:E79"/>
    <mergeCell ref="B80:C80"/>
    <mergeCell ref="D80:E80"/>
    <mergeCell ref="B77:J77"/>
    <mergeCell ref="B78:H78"/>
    <mergeCell ref="I78:J78"/>
    <mergeCell ref="B84:C84"/>
    <mergeCell ref="D84:E84"/>
    <mergeCell ref="B86:C86"/>
    <mergeCell ref="B72:C72"/>
    <mergeCell ref="D72:E72"/>
    <mergeCell ref="B73:C73"/>
    <mergeCell ref="D73:E73"/>
    <mergeCell ref="B76:C76"/>
    <mergeCell ref="D76:E76"/>
    <mergeCell ref="B79:C79"/>
    <mergeCell ref="B81:C81"/>
    <mergeCell ref="D81:E81"/>
    <mergeCell ref="B83:C83"/>
    <mergeCell ref="D83:E83"/>
    <mergeCell ref="B82:C82"/>
    <mergeCell ref="D82:E82"/>
    <mergeCell ref="D86:E86"/>
    <mergeCell ref="B88:C88"/>
    <mergeCell ref="D88:E88"/>
    <mergeCell ref="D96:E96"/>
    <mergeCell ref="B97:C97"/>
    <mergeCell ref="D97:E97"/>
    <mergeCell ref="B90:H90"/>
    <mergeCell ref="B89:J89"/>
    <mergeCell ref="I90:J90"/>
    <mergeCell ref="B91:C91"/>
    <mergeCell ref="B99:H99"/>
    <mergeCell ref="I99:J99"/>
    <mergeCell ref="B93:C93"/>
    <mergeCell ref="D93:E93"/>
    <mergeCell ref="B94:C94"/>
    <mergeCell ref="D94:E94"/>
    <mergeCell ref="B95:C95"/>
    <mergeCell ref="D95:E95"/>
    <mergeCell ref="B96:C96"/>
    <mergeCell ref="D108:E108"/>
    <mergeCell ref="D109:E109"/>
    <mergeCell ref="D110:E110"/>
    <mergeCell ref="D111:E111"/>
    <mergeCell ref="B100:B102"/>
    <mergeCell ref="D100:E100"/>
    <mergeCell ref="D101:E101"/>
    <mergeCell ref="D102:E102"/>
    <mergeCell ref="B103:B106"/>
    <mergeCell ref="D103:E103"/>
    <mergeCell ref="D104:E104"/>
    <mergeCell ref="D105:E105"/>
    <mergeCell ref="D106:E106"/>
    <mergeCell ref="B121:J121"/>
    <mergeCell ref="B122:H122"/>
    <mergeCell ref="I122:J122"/>
    <mergeCell ref="D117:E117"/>
    <mergeCell ref="D118:E118"/>
    <mergeCell ref="D107:E107"/>
    <mergeCell ref="D112:E112"/>
    <mergeCell ref="D113:E113"/>
    <mergeCell ref="D114:E114"/>
    <mergeCell ref="B115:B118"/>
    <mergeCell ref="D115:E115"/>
    <mergeCell ref="D116:E116"/>
    <mergeCell ref="D129:E129"/>
    <mergeCell ref="B130:C130"/>
    <mergeCell ref="D130:E130"/>
    <mergeCell ref="B131:C131"/>
    <mergeCell ref="D131:E131"/>
    <mergeCell ref="B123:C123"/>
    <mergeCell ref="D123:E123"/>
    <mergeCell ref="B124:C124"/>
    <mergeCell ref="D124:E124"/>
    <mergeCell ref="D136:E136"/>
    <mergeCell ref="B133:C133"/>
    <mergeCell ref="D133:E133"/>
    <mergeCell ref="B125:C125"/>
    <mergeCell ref="D125:E125"/>
    <mergeCell ref="B126:C126"/>
    <mergeCell ref="D126:E126"/>
    <mergeCell ref="B127:C127"/>
    <mergeCell ref="D127:E127"/>
    <mergeCell ref="B129:C129"/>
    <mergeCell ref="B140:C140"/>
    <mergeCell ref="D140:E140"/>
    <mergeCell ref="B141:C141"/>
    <mergeCell ref="D141:E141"/>
    <mergeCell ref="B132:C132"/>
    <mergeCell ref="D132:E132"/>
    <mergeCell ref="B134:J134"/>
    <mergeCell ref="B135:H135"/>
    <mergeCell ref="I135:J135"/>
    <mergeCell ref="B136:C136"/>
    <mergeCell ref="B137:C137"/>
    <mergeCell ref="D137:E137"/>
    <mergeCell ref="B138:C138"/>
    <mergeCell ref="D138:E138"/>
    <mergeCell ref="B139:C139"/>
    <mergeCell ref="D139:E139"/>
    <mergeCell ref="A1:A3"/>
    <mergeCell ref="B4:J4"/>
    <mergeCell ref="B153:C153"/>
    <mergeCell ref="D153:E153"/>
    <mergeCell ref="B154:C154"/>
    <mergeCell ref="D154:E154"/>
    <mergeCell ref="B148:C148"/>
    <mergeCell ref="D148:E148"/>
    <mergeCell ref="B149:C149"/>
    <mergeCell ref="D149:E149"/>
    <mergeCell ref="B155:C155"/>
    <mergeCell ref="D155:E155"/>
    <mergeCell ref="B150:C150"/>
    <mergeCell ref="D150:E150"/>
    <mergeCell ref="B151:C151"/>
    <mergeCell ref="D151:E151"/>
    <mergeCell ref="B152:C152"/>
    <mergeCell ref="D152:E152"/>
    <mergeCell ref="B147:C147"/>
    <mergeCell ref="D147:E147"/>
    <mergeCell ref="B143:J143"/>
    <mergeCell ref="B144:H144"/>
    <mergeCell ref="I144:J144"/>
    <mergeCell ref="B145:C145"/>
    <mergeCell ref="D145:E145"/>
    <mergeCell ref="B146:C146"/>
    <mergeCell ref="D146:E146"/>
  </mergeCells>
  <printOptions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Logan Reid</dc:creator>
  <cp:keywords/>
  <dc:description/>
  <cp:lastModifiedBy>Samantha Creme</cp:lastModifiedBy>
  <cp:lastPrinted>2011-10-01T23:19:04Z</cp:lastPrinted>
  <dcterms:created xsi:type="dcterms:W3CDTF">2010-10-03T18:35:09Z</dcterms:created>
  <dcterms:modified xsi:type="dcterms:W3CDTF">2013-07-13T18:11:40Z</dcterms:modified>
  <cp:category/>
  <cp:version/>
  <cp:contentType/>
  <cp:contentStatus/>
</cp:coreProperties>
</file>