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20340" yWindow="940" windowWidth="25600" windowHeight="14140" tabRatio="550" firstSheet="12" activeTab="17"/>
  </bookViews>
  <sheets>
    <sheet name="SUMMARY" sheetId="17" r:id="rId1"/>
    <sheet name="General" sheetId="18" r:id="rId2"/>
    <sheet name="11-Pres" sheetId="1" r:id="rId3"/>
    <sheet name="12-VPOPS" sheetId="16" r:id="rId4"/>
    <sheet name="13-VPSA" sheetId="2" r:id="rId5"/>
    <sheet name="14-Academics" sheetId="3" r:id="rId6"/>
    <sheet name="15-Design" sheetId="5" r:id="rId7"/>
    <sheet name="16-PD" sheetId="4" r:id="rId8"/>
    <sheet name="17-CONF" sheetId="6" r:id="rId9"/>
    <sheet name="18-DoFY" sheetId="7" r:id="rId10"/>
    <sheet name="19-Finances" sheetId="15" r:id="rId11"/>
    <sheet name="20-Services" sheetId="8" r:id="rId12"/>
    <sheet name="21-IT" sheetId="9" r:id="rId13"/>
    <sheet name="22-Events" sheetId="10" r:id="rId14"/>
    <sheet name="23-Comm" sheetId="11" r:id="rId15"/>
    <sheet name="24-IA" sheetId="12" r:id="rId16"/>
    <sheet name="25-HR" sheetId="13" r:id="rId17"/>
    <sheet name="26-EVOPS" sheetId="14" r:id="rId1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13" l="1"/>
  <c r="G19" i="13"/>
  <c r="J48" i="5"/>
  <c r="I48" i="5"/>
  <c r="G46" i="5"/>
  <c r="H46" i="5"/>
  <c r="H48" i="5"/>
  <c r="G51" i="5"/>
  <c r="H51" i="5"/>
  <c r="G52" i="5"/>
  <c r="H52" i="5"/>
  <c r="G16" i="15"/>
  <c r="H16" i="15"/>
  <c r="G225" i="14"/>
  <c r="H225" i="14"/>
  <c r="G224" i="14"/>
  <c r="H224" i="14"/>
  <c r="G219" i="14"/>
  <c r="H219" i="14"/>
  <c r="G213" i="14"/>
  <c r="H213" i="14"/>
  <c r="G169" i="14"/>
  <c r="H169" i="14"/>
  <c r="G150" i="14"/>
  <c r="H150" i="14"/>
  <c r="G114" i="14"/>
  <c r="H114" i="14"/>
  <c r="G124" i="14"/>
  <c r="H124" i="14"/>
  <c r="G133" i="14"/>
  <c r="H133" i="14"/>
  <c r="G122" i="14"/>
  <c r="H122" i="14"/>
  <c r="G112" i="14"/>
  <c r="H112" i="14"/>
  <c r="G100" i="14"/>
  <c r="H100" i="14"/>
  <c r="G93" i="14"/>
  <c r="H93" i="14"/>
  <c r="G89" i="14"/>
  <c r="H89" i="14"/>
  <c r="G88" i="14"/>
  <c r="H88" i="14"/>
  <c r="G87" i="14"/>
  <c r="H87" i="14"/>
  <c r="G62" i="14"/>
  <c r="H62" i="14"/>
  <c r="G60" i="14"/>
  <c r="H60" i="14"/>
  <c r="G59" i="14"/>
  <c r="H59" i="14"/>
  <c r="G55" i="14"/>
  <c r="H55" i="14"/>
  <c r="G54" i="14"/>
  <c r="H54" i="14"/>
  <c r="H53" i="14"/>
  <c r="G27" i="14"/>
  <c r="H27" i="14"/>
  <c r="G26" i="14"/>
  <c r="H26" i="14"/>
  <c r="G25" i="14"/>
  <c r="H25" i="14"/>
  <c r="G24" i="14"/>
  <c r="H24" i="14"/>
  <c r="G23" i="14"/>
  <c r="H23" i="14"/>
  <c r="G16" i="14"/>
  <c r="H16" i="14"/>
  <c r="G17" i="14"/>
  <c r="H17" i="14"/>
  <c r="G18" i="14"/>
  <c r="H18" i="14"/>
  <c r="H19" i="14"/>
  <c r="G15" i="14"/>
  <c r="H15" i="14"/>
  <c r="G9" i="14"/>
  <c r="H9" i="14"/>
  <c r="G10" i="14"/>
  <c r="H10" i="14"/>
  <c r="G11" i="14"/>
  <c r="H11" i="14"/>
  <c r="G12" i="14"/>
  <c r="H12" i="14"/>
  <c r="G8" i="14"/>
  <c r="H8" i="14"/>
  <c r="G136" i="14"/>
  <c r="H136" i="14"/>
  <c r="G135" i="14"/>
  <c r="G137" i="14"/>
  <c r="H137" i="14"/>
  <c r="C122" i="17"/>
  <c r="C120" i="17"/>
  <c r="C119" i="17"/>
  <c r="C118" i="17"/>
  <c r="C117" i="17"/>
  <c r="C116" i="17"/>
  <c r="C115" i="17"/>
  <c r="C113" i="17"/>
  <c r="C112" i="17"/>
  <c r="C97" i="17"/>
  <c r="C96" i="17"/>
  <c r="C95" i="17"/>
  <c r="C94" i="17"/>
  <c r="H112" i="18"/>
  <c r="C107" i="17"/>
  <c r="C106" i="17"/>
  <c r="C105" i="17"/>
  <c r="C104" i="17"/>
  <c r="C103" i="17"/>
  <c r="C102" i="17"/>
  <c r="C68" i="17"/>
  <c r="C67" i="17"/>
  <c r="H64" i="18"/>
  <c r="C66" i="17"/>
  <c r="H62" i="18"/>
  <c r="C65" i="17"/>
  <c r="H60" i="18"/>
  <c r="C64" i="17"/>
  <c r="C63" i="17"/>
  <c r="C62" i="17"/>
  <c r="C54" i="17"/>
  <c r="H44" i="18"/>
  <c r="C49" i="17"/>
  <c r="H42" i="18"/>
  <c r="C48" i="17"/>
  <c r="H40" i="18"/>
  <c r="C47" i="17"/>
  <c r="H38" i="18"/>
  <c r="C46" i="17"/>
  <c r="H36" i="18"/>
  <c r="C45" i="17"/>
  <c r="H34" i="18"/>
  <c r="C44" i="17"/>
  <c r="C19" i="17"/>
  <c r="H25" i="18"/>
  <c r="C18" i="17"/>
  <c r="H18" i="18"/>
  <c r="C15" i="17"/>
  <c r="C16" i="17"/>
  <c r="C14" i="17"/>
  <c r="C13" i="17"/>
  <c r="C12" i="17"/>
  <c r="C11" i="17"/>
  <c r="C10" i="17"/>
  <c r="H46" i="18"/>
  <c r="H30" i="18"/>
  <c r="H48" i="18"/>
  <c r="H144" i="18"/>
  <c r="H70" i="18"/>
  <c r="H87" i="18"/>
  <c r="H115" i="18"/>
  <c r="H139" i="18"/>
  <c r="H141" i="18"/>
  <c r="H145" i="18"/>
  <c r="H146" i="18"/>
  <c r="H45" i="3"/>
  <c r="H30" i="3"/>
  <c r="H21" i="3"/>
  <c r="G19" i="3"/>
  <c r="G18" i="3"/>
  <c r="H28" i="3"/>
  <c r="G28" i="3"/>
  <c r="F29" i="9"/>
  <c r="G266" i="14"/>
  <c r="F129" i="17"/>
  <c r="G271" i="14"/>
  <c r="H271" i="14"/>
  <c r="G272" i="14"/>
  <c r="H272" i="14"/>
  <c r="G273" i="14"/>
  <c r="H273" i="14"/>
  <c r="G274" i="14"/>
  <c r="H274" i="14"/>
  <c r="G275" i="14"/>
  <c r="H275" i="14"/>
  <c r="H276" i="14"/>
  <c r="G267" i="14"/>
  <c r="H267" i="14"/>
  <c r="H268" i="14"/>
  <c r="G261" i="14"/>
  <c r="H261" i="14"/>
  <c r="G262" i="14"/>
  <c r="H262" i="14"/>
  <c r="H263" i="14"/>
  <c r="G257" i="14"/>
  <c r="H257" i="14"/>
  <c r="H258" i="14"/>
  <c r="H277" i="14"/>
  <c r="G251" i="14"/>
  <c r="H251" i="14"/>
  <c r="G252" i="14"/>
  <c r="H252" i="14"/>
  <c r="H253" i="14"/>
  <c r="G244" i="14"/>
  <c r="H244" i="14"/>
  <c r="G245" i="14"/>
  <c r="H245" i="14"/>
  <c r="G246" i="14"/>
  <c r="H246" i="14"/>
  <c r="G247" i="14"/>
  <c r="H247" i="14"/>
  <c r="G248" i="14"/>
  <c r="H248" i="14"/>
  <c r="H249" i="14"/>
  <c r="G235" i="14"/>
  <c r="H235" i="14"/>
  <c r="G236" i="14"/>
  <c r="H236" i="14"/>
  <c r="G237" i="14"/>
  <c r="H237" i="14"/>
  <c r="G238" i="14"/>
  <c r="H238" i="14"/>
  <c r="G239" i="14"/>
  <c r="H239" i="14"/>
  <c r="G240" i="14"/>
  <c r="H240" i="14"/>
  <c r="H241" i="14"/>
  <c r="G231" i="14"/>
  <c r="H231" i="14"/>
  <c r="H232" i="14"/>
  <c r="G226" i="14"/>
  <c r="H226" i="14"/>
  <c r="G227" i="14"/>
  <c r="H227" i="14"/>
  <c r="H228" i="14"/>
  <c r="G220" i="14"/>
  <c r="H220" i="14"/>
  <c r="H221" i="14"/>
  <c r="G214" i="14"/>
  <c r="H214" i="14"/>
  <c r="G215" i="14"/>
  <c r="H215" i="14"/>
  <c r="H216" i="14"/>
  <c r="G207" i="14"/>
  <c r="H207" i="14"/>
  <c r="G208" i="14"/>
  <c r="H208" i="14"/>
  <c r="G209" i="14"/>
  <c r="H209" i="14"/>
  <c r="H210" i="14"/>
  <c r="G200" i="14"/>
  <c r="H200" i="14"/>
  <c r="G201" i="14"/>
  <c r="H201" i="14"/>
  <c r="G202" i="14"/>
  <c r="H202" i="14"/>
  <c r="G203" i="14"/>
  <c r="H203" i="14"/>
  <c r="H204" i="14"/>
  <c r="H254" i="14"/>
  <c r="G192" i="14"/>
  <c r="H192" i="14"/>
  <c r="G193" i="14"/>
  <c r="H193" i="14"/>
  <c r="G194" i="14"/>
  <c r="H194" i="14"/>
  <c r="G195" i="14"/>
  <c r="H195" i="14"/>
  <c r="H196" i="14"/>
  <c r="G185" i="14"/>
  <c r="H185" i="14"/>
  <c r="H186" i="14"/>
  <c r="H187" i="14"/>
  <c r="H188" i="14"/>
  <c r="H189" i="14"/>
  <c r="H177" i="14"/>
  <c r="G178" i="14"/>
  <c r="H178" i="14"/>
  <c r="H179" i="14"/>
  <c r="H180" i="14"/>
  <c r="H181" i="14"/>
  <c r="H182" i="14"/>
  <c r="H197" i="14"/>
  <c r="G170" i="14"/>
  <c r="H170" i="14"/>
  <c r="G171" i="14"/>
  <c r="H171" i="14"/>
  <c r="G172" i="14"/>
  <c r="H172" i="14"/>
  <c r="H173" i="14"/>
  <c r="G158" i="14"/>
  <c r="H158" i="14"/>
  <c r="G159" i="14"/>
  <c r="H159" i="14"/>
  <c r="G160" i="14"/>
  <c r="H160" i="14"/>
  <c r="G161" i="14"/>
  <c r="H161" i="14"/>
  <c r="G162" i="14"/>
  <c r="H162" i="14"/>
  <c r="G163" i="14"/>
  <c r="H163" i="14"/>
  <c r="G164" i="14"/>
  <c r="H164" i="14"/>
  <c r="G165" i="14"/>
  <c r="H165" i="14"/>
  <c r="H166" i="14"/>
  <c r="G154" i="14"/>
  <c r="H154" i="14"/>
  <c r="H155" i="14"/>
  <c r="F148" i="14"/>
  <c r="G148" i="14"/>
  <c r="H148" i="14"/>
  <c r="F149" i="14"/>
  <c r="G149" i="14"/>
  <c r="H149" i="14"/>
  <c r="H151" i="14"/>
  <c r="G143" i="14"/>
  <c r="H143" i="14"/>
  <c r="G144" i="14"/>
  <c r="H144" i="14"/>
  <c r="H145" i="14"/>
  <c r="G134" i="14"/>
  <c r="H134" i="14"/>
  <c r="G138" i="14"/>
  <c r="H138" i="14"/>
  <c r="G139" i="14"/>
  <c r="H139" i="14"/>
  <c r="H140" i="14"/>
  <c r="H174" i="14"/>
  <c r="H121" i="14"/>
  <c r="G123" i="14"/>
  <c r="H123" i="14"/>
  <c r="G125" i="14"/>
  <c r="H125" i="14"/>
  <c r="G126" i="14"/>
  <c r="H126" i="14"/>
  <c r="G127" i="14"/>
  <c r="H127" i="14"/>
  <c r="G128" i="14"/>
  <c r="H128" i="14"/>
  <c r="H129" i="14"/>
  <c r="H111" i="14"/>
  <c r="G113" i="14"/>
  <c r="H113" i="14"/>
  <c r="G115" i="14"/>
  <c r="H115" i="14"/>
  <c r="G116" i="14"/>
  <c r="H116" i="14"/>
  <c r="G117" i="14"/>
  <c r="H117" i="14"/>
  <c r="G118" i="14"/>
  <c r="H118" i="14"/>
  <c r="H119" i="14"/>
  <c r="H130" i="14"/>
  <c r="G105" i="14"/>
  <c r="H105" i="14"/>
  <c r="G106" i="14"/>
  <c r="H106" i="14"/>
  <c r="H107" i="14"/>
  <c r="G99" i="14"/>
  <c r="G101" i="14"/>
  <c r="H101" i="14"/>
  <c r="H102" i="14"/>
  <c r="G94" i="14"/>
  <c r="H94" i="14"/>
  <c r="G95" i="14"/>
  <c r="H95" i="14"/>
  <c r="H96" i="14"/>
  <c r="H90" i="14"/>
  <c r="G78" i="14"/>
  <c r="H78" i="14"/>
  <c r="G79" i="14"/>
  <c r="H79" i="14"/>
  <c r="G80" i="14"/>
  <c r="H80" i="14"/>
  <c r="G81" i="14"/>
  <c r="H81" i="14"/>
  <c r="G82" i="14"/>
  <c r="H82" i="14"/>
  <c r="G83" i="14"/>
  <c r="H83" i="14"/>
  <c r="H84" i="14"/>
  <c r="G67" i="14"/>
  <c r="H67" i="14"/>
  <c r="G68" i="14"/>
  <c r="H68" i="14"/>
  <c r="G69" i="14"/>
  <c r="H69" i="14"/>
  <c r="G70" i="14"/>
  <c r="H70" i="14"/>
  <c r="G71" i="14"/>
  <c r="H71" i="14"/>
  <c r="G72" i="14"/>
  <c r="H72" i="14"/>
  <c r="G73" i="14"/>
  <c r="H73" i="14"/>
  <c r="G74" i="14"/>
  <c r="H74" i="14"/>
  <c r="H75" i="14"/>
  <c r="G61" i="14"/>
  <c r="H61" i="14"/>
  <c r="G63" i="14"/>
  <c r="H63" i="14"/>
  <c r="H64" i="14"/>
  <c r="H108" i="14"/>
  <c r="H56" i="14"/>
  <c r="H279" i="14"/>
  <c r="H283" i="14"/>
  <c r="C87" i="17"/>
  <c r="G37" i="13"/>
  <c r="H37" i="13"/>
  <c r="G38" i="13"/>
  <c r="H38" i="13"/>
  <c r="G39" i="13"/>
  <c r="H39" i="13"/>
  <c r="G40" i="13"/>
  <c r="H40" i="13"/>
  <c r="G41" i="13"/>
  <c r="H41" i="13"/>
  <c r="G42" i="13"/>
  <c r="H42" i="13"/>
  <c r="H43" i="13"/>
  <c r="G31" i="13"/>
  <c r="H31" i="13"/>
  <c r="G32" i="13"/>
  <c r="H32" i="13"/>
  <c r="H34" i="13"/>
  <c r="G24" i="13"/>
  <c r="H24" i="13"/>
  <c r="G25" i="13"/>
  <c r="H25" i="13"/>
  <c r="G26" i="13"/>
  <c r="H26" i="13"/>
  <c r="H28" i="13"/>
  <c r="H21" i="13"/>
  <c r="G10" i="13"/>
  <c r="H10" i="13"/>
  <c r="G11" i="13"/>
  <c r="H11" i="13"/>
  <c r="G12" i="13"/>
  <c r="H12" i="13"/>
  <c r="G13" i="13"/>
  <c r="H13" i="13"/>
  <c r="G14" i="13"/>
  <c r="H14" i="13"/>
  <c r="H16" i="13"/>
  <c r="G46" i="13"/>
  <c r="H46" i="13"/>
  <c r="H48" i="13"/>
  <c r="H50" i="13"/>
  <c r="H54" i="13"/>
  <c r="C86" i="17"/>
  <c r="C85" i="17"/>
  <c r="C84" i="17"/>
  <c r="C83" i="17"/>
  <c r="G29" i="9"/>
  <c r="H29" i="9"/>
  <c r="G28" i="9"/>
  <c r="H28" i="9"/>
  <c r="H30" i="9"/>
  <c r="H52" i="9"/>
  <c r="H56" i="9"/>
  <c r="C82" i="17"/>
  <c r="G35" i="8"/>
  <c r="H35" i="8"/>
  <c r="H37" i="8"/>
  <c r="G29" i="8"/>
  <c r="H29" i="8"/>
  <c r="G30" i="8"/>
  <c r="H30" i="8"/>
  <c r="H32" i="8"/>
  <c r="G24" i="8"/>
  <c r="H24" i="8"/>
  <c r="H26" i="8"/>
  <c r="G19" i="8"/>
  <c r="H19" i="8"/>
  <c r="G20" i="8"/>
  <c r="H20" i="8"/>
  <c r="H21" i="8"/>
  <c r="G10" i="8"/>
  <c r="H10" i="8"/>
  <c r="G11" i="8"/>
  <c r="H11" i="8"/>
  <c r="G14" i="8"/>
  <c r="E12" i="8"/>
  <c r="G12" i="8"/>
  <c r="H12" i="8"/>
  <c r="G13" i="8"/>
  <c r="H13" i="8"/>
  <c r="H14" i="8"/>
  <c r="H16" i="8"/>
  <c r="G40" i="8"/>
  <c r="H40" i="8"/>
  <c r="G41" i="8"/>
  <c r="H41" i="8"/>
  <c r="G42" i="8"/>
  <c r="H42" i="8"/>
  <c r="H44" i="8"/>
  <c r="G47" i="8"/>
  <c r="H47" i="8"/>
  <c r="H49" i="8"/>
  <c r="G51" i="8"/>
  <c r="H51" i="8"/>
  <c r="H53" i="8"/>
  <c r="H54" i="8"/>
  <c r="H58" i="8"/>
  <c r="C81" i="17"/>
  <c r="H18" i="15"/>
  <c r="H20" i="15"/>
  <c r="H24" i="15"/>
  <c r="C80" i="17"/>
  <c r="G17" i="7"/>
  <c r="H17" i="7"/>
  <c r="H19" i="7"/>
  <c r="H48" i="7"/>
  <c r="H52" i="7"/>
  <c r="C79" i="17"/>
  <c r="C78" i="17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H34" i="4"/>
  <c r="G37" i="4"/>
  <c r="H37" i="4"/>
  <c r="H39" i="4"/>
  <c r="G42" i="4"/>
  <c r="H42" i="4"/>
  <c r="G43" i="4"/>
  <c r="H43" i="4"/>
  <c r="H46" i="4"/>
  <c r="G49" i="4"/>
  <c r="H49" i="4"/>
  <c r="G50" i="4"/>
  <c r="H50" i="4"/>
  <c r="G51" i="4"/>
  <c r="H51" i="4"/>
  <c r="H53" i="4"/>
  <c r="H55" i="4"/>
  <c r="H59" i="4"/>
  <c r="C77" i="17"/>
  <c r="G10" i="5"/>
  <c r="H10" i="5"/>
  <c r="G11" i="5"/>
  <c r="H11" i="5"/>
  <c r="G12" i="5"/>
  <c r="H12" i="5"/>
  <c r="G13" i="5"/>
  <c r="H13" i="5"/>
  <c r="H15" i="5"/>
  <c r="G18" i="5"/>
  <c r="H18" i="5"/>
  <c r="G19" i="5"/>
  <c r="H19" i="5"/>
  <c r="G20" i="5"/>
  <c r="H20" i="5"/>
  <c r="G21" i="5"/>
  <c r="H21" i="5"/>
  <c r="G22" i="5"/>
  <c r="H22" i="5"/>
  <c r="G23" i="5"/>
  <c r="H23" i="5"/>
  <c r="H25" i="5"/>
  <c r="G28" i="5"/>
  <c r="H28" i="5"/>
  <c r="G29" i="5"/>
  <c r="H29" i="5"/>
  <c r="G30" i="5"/>
  <c r="H30" i="5"/>
  <c r="H32" i="5"/>
  <c r="G35" i="5"/>
  <c r="H35" i="5"/>
  <c r="H37" i="5"/>
  <c r="G40" i="5"/>
  <c r="H40" i="5"/>
  <c r="G41" i="5"/>
  <c r="H41" i="5"/>
  <c r="H43" i="5"/>
  <c r="H54" i="5"/>
  <c r="H60" i="5"/>
  <c r="C76" i="17"/>
  <c r="G43" i="3"/>
  <c r="H4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14" i="3"/>
  <c r="H14" i="3"/>
  <c r="G15" i="3"/>
  <c r="H15" i="3"/>
  <c r="G16" i="3"/>
  <c r="H16" i="3"/>
  <c r="G17" i="3"/>
  <c r="H17" i="3"/>
  <c r="G24" i="3"/>
  <c r="H24" i="3"/>
  <c r="G25" i="3"/>
  <c r="H25" i="3"/>
  <c r="G26" i="3"/>
  <c r="H26" i="3"/>
  <c r="G48" i="3"/>
  <c r="H48" i="3"/>
  <c r="H50" i="3"/>
  <c r="H52" i="3"/>
  <c r="H56" i="3"/>
  <c r="C75" i="17"/>
  <c r="C74" i="17"/>
  <c r="C73" i="17"/>
  <c r="G36" i="1"/>
  <c r="H36" i="1"/>
  <c r="G37" i="1"/>
  <c r="H37" i="1"/>
  <c r="G38" i="1"/>
  <c r="H38" i="1"/>
  <c r="G39" i="1"/>
  <c r="H39" i="1"/>
  <c r="G40" i="1"/>
  <c r="H40" i="1"/>
  <c r="G41" i="1"/>
  <c r="H41" i="1"/>
  <c r="H43" i="1"/>
  <c r="G29" i="1"/>
  <c r="H29" i="1"/>
  <c r="G30" i="1"/>
  <c r="H30" i="1"/>
  <c r="G31" i="1"/>
  <c r="H31" i="1"/>
  <c r="H33" i="1"/>
  <c r="G20" i="1"/>
  <c r="H20" i="1"/>
  <c r="G21" i="1"/>
  <c r="H21" i="1"/>
  <c r="G22" i="1"/>
  <c r="H22" i="1"/>
  <c r="G23" i="1"/>
  <c r="H23" i="1"/>
  <c r="G24" i="1"/>
  <c r="H24" i="1"/>
  <c r="H26" i="1"/>
  <c r="G14" i="1"/>
  <c r="H14" i="1"/>
  <c r="G15" i="1"/>
  <c r="H15" i="1"/>
  <c r="H17" i="1"/>
  <c r="H46" i="1"/>
  <c r="H50" i="1"/>
  <c r="C72" i="17"/>
  <c r="H70" i="12"/>
  <c r="H63" i="12"/>
  <c r="H57" i="9"/>
  <c r="H59" i="8"/>
  <c r="H61" i="5"/>
  <c r="H56" i="5"/>
  <c r="G36" i="14"/>
  <c r="H36" i="14"/>
  <c r="G37" i="14"/>
  <c r="H37" i="14"/>
  <c r="G38" i="14"/>
  <c r="H38" i="14"/>
  <c r="G39" i="14"/>
  <c r="H39" i="14"/>
  <c r="G40" i="14"/>
  <c r="H40" i="14"/>
  <c r="G41" i="14"/>
  <c r="H41" i="14"/>
  <c r="G42" i="14"/>
  <c r="H42" i="14"/>
  <c r="G43" i="14"/>
  <c r="H43" i="14"/>
  <c r="H44" i="14"/>
  <c r="H33" i="14"/>
  <c r="H34" i="14"/>
  <c r="H31" i="14"/>
  <c r="H28" i="14"/>
  <c r="H20" i="14"/>
  <c r="H29" i="14"/>
  <c r="H13" i="14"/>
  <c r="H48" i="14"/>
  <c r="H282" i="14"/>
  <c r="C38" i="17"/>
  <c r="H53" i="13"/>
  <c r="C37" i="17"/>
  <c r="C36" i="17"/>
  <c r="C35" i="17"/>
  <c r="C34" i="17"/>
  <c r="C33" i="17"/>
  <c r="C32" i="17"/>
  <c r="C31" i="17"/>
  <c r="C30" i="17"/>
  <c r="C29" i="17"/>
  <c r="G6" i="4"/>
  <c r="H6" i="4"/>
  <c r="G7" i="4"/>
  <c r="H7" i="4"/>
  <c r="G8" i="4"/>
  <c r="H8" i="4"/>
  <c r="G9" i="4"/>
  <c r="H9" i="4"/>
  <c r="H10" i="4"/>
  <c r="G13" i="4"/>
  <c r="H13" i="4"/>
  <c r="H15" i="4"/>
  <c r="H17" i="4"/>
  <c r="H58" i="4"/>
  <c r="C28" i="17"/>
  <c r="C27" i="17"/>
  <c r="G6" i="3"/>
  <c r="H6" i="3"/>
  <c r="H8" i="3"/>
  <c r="H10" i="3"/>
  <c r="H55" i="3"/>
  <c r="C26" i="17"/>
  <c r="C25" i="17"/>
  <c r="C24" i="17"/>
  <c r="G6" i="1"/>
  <c r="H6" i="1"/>
  <c r="H8" i="1"/>
  <c r="H10" i="1"/>
  <c r="H49" i="1"/>
  <c r="C23" i="17"/>
  <c r="G51" i="17"/>
  <c r="F20" i="17"/>
  <c r="G20" i="17"/>
  <c r="G41" i="17"/>
  <c r="G56" i="17"/>
  <c r="G58" i="17"/>
  <c r="G128" i="17"/>
  <c r="G123" i="17"/>
  <c r="G109" i="17"/>
  <c r="G99" i="17"/>
  <c r="G91" i="17"/>
  <c r="G69" i="17"/>
  <c r="G125" i="17"/>
  <c r="G129" i="17"/>
  <c r="G130" i="17"/>
  <c r="F41" i="17"/>
  <c r="F51" i="17"/>
  <c r="F58" i="17"/>
  <c r="F128" i="17"/>
  <c r="F123" i="17"/>
  <c r="F109" i="17"/>
  <c r="F99" i="17"/>
  <c r="F91" i="17"/>
  <c r="F69" i="17"/>
  <c r="F125" i="17"/>
  <c r="F130" i="17"/>
  <c r="D41" i="17"/>
  <c r="D20" i="17"/>
  <c r="D51" i="17"/>
  <c r="D56" i="17"/>
  <c r="D58" i="17"/>
  <c r="D128" i="17"/>
  <c r="D123" i="17"/>
  <c r="D109" i="17"/>
  <c r="D99" i="17"/>
  <c r="D91" i="17"/>
  <c r="D69" i="17"/>
  <c r="D125" i="17"/>
  <c r="D129" i="17"/>
  <c r="D130" i="17"/>
  <c r="C41" i="17"/>
  <c r="C20" i="17"/>
  <c r="C51" i="17"/>
  <c r="C58" i="17"/>
  <c r="C128" i="17"/>
  <c r="C123" i="17"/>
  <c r="C109" i="17"/>
  <c r="C99" i="17"/>
  <c r="C88" i="17"/>
  <c r="C91" i="17"/>
  <c r="C69" i="17"/>
  <c r="C125" i="17"/>
  <c r="C129" i="17"/>
  <c r="C130" i="17"/>
  <c r="F56" i="17"/>
  <c r="C56" i="17"/>
  <c r="E54" i="17"/>
  <c r="E44" i="17"/>
  <c r="E46" i="17"/>
  <c r="E47" i="17"/>
  <c r="E48" i="17"/>
  <c r="E49" i="17"/>
  <c r="E51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41" i="17"/>
  <c r="E10" i="17"/>
  <c r="E11" i="17"/>
  <c r="E12" i="17"/>
  <c r="E13" i="17"/>
  <c r="E14" i="17"/>
  <c r="E15" i="17"/>
  <c r="E16" i="17"/>
  <c r="E18" i="17"/>
  <c r="E20" i="17"/>
  <c r="H30" i="16"/>
  <c r="H29" i="16"/>
  <c r="H25" i="16"/>
  <c r="H23" i="16"/>
  <c r="G21" i="16"/>
  <c r="F21" i="16"/>
  <c r="H15" i="16"/>
  <c r="G13" i="16"/>
  <c r="G18" i="16"/>
  <c r="H18" i="16"/>
  <c r="G19" i="16"/>
  <c r="H19" i="16"/>
  <c r="G20" i="16"/>
  <c r="H20" i="16"/>
  <c r="H21" i="16"/>
  <c r="E10" i="16"/>
  <c r="G10" i="16"/>
  <c r="H10" i="16"/>
  <c r="G11" i="16"/>
  <c r="H11" i="16"/>
  <c r="G12" i="16"/>
  <c r="H12" i="16"/>
  <c r="H13" i="16"/>
  <c r="I20" i="15"/>
  <c r="J20" i="15"/>
  <c r="J23" i="15"/>
  <c r="J18" i="15"/>
  <c r="J13" i="15"/>
  <c r="J24" i="15"/>
  <c r="J25" i="15"/>
  <c r="I23" i="15"/>
  <c r="I18" i="15"/>
  <c r="I13" i="15"/>
  <c r="I24" i="15"/>
  <c r="I25" i="15"/>
  <c r="H23" i="15"/>
  <c r="G10" i="15"/>
  <c r="H10" i="15"/>
  <c r="G11" i="15"/>
  <c r="H11" i="15"/>
  <c r="H13" i="15"/>
  <c r="H25" i="15"/>
  <c r="H284" i="14"/>
  <c r="J282" i="14"/>
  <c r="J283" i="14"/>
  <c r="J284" i="14"/>
  <c r="I282" i="14"/>
  <c r="I56" i="14"/>
  <c r="I283" i="14"/>
  <c r="I284" i="14"/>
  <c r="J276" i="14"/>
  <c r="J268" i="14"/>
  <c r="J263" i="14"/>
  <c r="J258" i="14"/>
  <c r="J277" i="14"/>
  <c r="I276" i="14"/>
  <c r="I268" i="14"/>
  <c r="I263" i="14"/>
  <c r="I258" i="14"/>
  <c r="I277" i="14"/>
  <c r="J253" i="14"/>
  <c r="J249" i="14"/>
  <c r="J241" i="14"/>
  <c r="J232" i="14"/>
  <c r="J228" i="14"/>
  <c r="J221" i="14"/>
  <c r="J216" i="14"/>
  <c r="J210" i="14"/>
  <c r="J204" i="14"/>
  <c r="J254" i="14"/>
  <c r="I253" i="14"/>
  <c r="I249" i="14"/>
  <c r="I241" i="14"/>
  <c r="I232" i="14"/>
  <c r="I228" i="14"/>
  <c r="I221" i="14"/>
  <c r="I216" i="14"/>
  <c r="I210" i="14"/>
  <c r="I204" i="14"/>
  <c r="I254" i="14"/>
  <c r="J196" i="14"/>
  <c r="J189" i="14"/>
  <c r="J182" i="14"/>
  <c r="J197" i="14"/>
  <c r="I196" i="14"/>
  <c r="I189" i="14"/>
  <c r="I182" i="14"/>
  <c r="I197" i="14"/>
  <c r="J173" i="14"/>
  <c r="J174" i="14"/>
  <c r="I173" i="14"/>
  <c r="I174" i="14"/>
  <c r="J166" i="14"/>
  <c r="I166" i="14"/>
  <c r="J155" i="14"/>
  <c r="I155" i="14"/>
  <c r="J151" i="14"/>
  <c r="I151" i="14"/>
  <c r="J145" i="14"/>
  <c r="I145" i="14"/>
  <c r="J140" i="14"/>
  <c r="I140" i="14"/>
  <c r="J129" i="14"/>
  <c r="J119" i="14"/>
  <c r="J130" i="14"/>
  <c r="I129" i="14"/>
  <c r="I119" i="14"/>
  <c r="I130" i="14"/>
  <c r="J102" i="14"/>
  <c r="J96" i="14"/>
  <c r="J90" i="14"/>
  <c r="J84" i="14"/>
  <c r="J75" i="14"/>
  <c r="J64" i="14"/>
  <c r="J108" i="14"/>
  <c r="I102" i="14"/>
  <c r="I96" i="14"/>
  <c r="I90" i="14"/>
  <c r="I84" i="14"/>
  <c r="I75" i="14"/>
  <c r="I64" i="14"/>
  <c r="I108" i="14"/>
  <c r="J56" i="14"/>
  <c r="J46" i="14"/>
  <c r="I46" i="14"/>
  <c r="J44" i="14"/>
  <c r="I44" i="14"/>
  <c r="J34" i="14"/>
  <c r="I34" i="14"/>
  <c r="J31" i="14"/>
  <c r="I31" i="14"/>
  <c r="J28" i="14"/>
  <c r="J20" i="14"/>
  <c r="J29" i="14"/>
  <c r="I28" i="14"/>
  <c r="I20" i="14"/>
  <c r="I29" i="14"/>
  <c r="J13" i="14"/>
  <c r="I13" i="14"/>
  <c r="J6" i="14"/>
  <c r="I6" i="14"/>
  <c r="H42" i="2"/>
  <c r="H77" i="6"/>
  <c r="H34" i="6"/>
  <c r="H55" i="13"/>
  <c r="J53" i="13"/>
  <c r="J43" i="13"/>
  <c r="J34" i="13"/>
  <c r="J28" i="13"/>
  <c r="J21" i="13"/>
  <c r="J16" i="13"/>
  <c r="J48" i="13"/>
  <c r="J50" i="13"/>
  <c r="J54" i="13"/>
  <c r="J55" i="13"/>
  <c r="I53" i="13"/>
  <c r="I43" i="13"/>
  <c r="I34" i="13"/>
  <c r="I28" i="13"/>
  <c r="I21" i="13"/>
  <c r="I16" i="13"/>
  <c r="I48" i="13"/>
  <c r="I50" i="13"/>
  <c r="I54" i="13"/>
  <c r="I55" i="13"/>
  <c r="J68" i="12"/>
  <c r="J63" i="12"/>
  <c r="J51" i="12"/>
  <c r="J40" i="12"/>
  <c r="J24" i="12"/>
  <c r="J65" i="12"/>
  <c r="J69" i="12"/>
  <c r="J70" i="12"/>
  <c r="I68" i="12"/>
  <c r="I63" i="12"/>
  <c r="I51" i="12"/>
  <c r="I40" i="12"/>
  <c r="I24" i="12"/>
  <c r="I65" i="12"/>
  <c r="I69" i="12"/>
  <c r="I70" i="12"/>
  <c r="G54" i="12"/>
  <c r="H54" i="12"/>
  <c r="G55" i="12"/>
  <c r="H55" i="12"/>
  <c r="G56" i="12"/>
  <c r="H56" i="12"/>
  <c r="G57" i="12"/>
  <c r="H57" i="12"/>
  <c r="G58" i="12"/>
  <c r="H58" i="12"/>
  <c r="G59" i="12"/>
  <c r="H59" i="12"/>
  <c r="G60" i="12"/>
  <c r="H60" i="12"/>
  <c r="G61" i="12"/>
  <c r="H61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H51" i="12"/>
  <c r="G27" i="12"/>
  <c r="H27" i="12"/>
  <c r="G28" i="12"/>
  <c r="H28" i="12"/>
  <c r="G29" i="12"/>
  <c r="H29" i="12"/>
  <c r="G30" i="12"/>
  <c r="H30" i="12"/>
  <c r="G31" i="12"/>
  <c r="H31" i="12"/>
  <c r="G32" i="12"/>
  <c r="H32" i="12"/>
  <c r="G33" i="12"/>
  <c r="H33" i="12"/>
  <c r="G34" i="12"/>
  <c r="H34" i="12"/>
  <c r="G35" i="12"/>
  <c r="H35" i="12"/>
  <c r="G36" i="12"/>
  <c r="H36" i="12"/>
  <c r="G37" i="12"/>
  <c r="H37" i="12"/>
  <c r="G38" i="12"/>
  <c r="H38" i="12"/>
  <c r="H40" i="12"/>
  <c r="G11" i="12"/>
  <c r="H11" i="12"/>
  <c r="G12" i="12"/>
  <c r="H12" i="12"/>
  <c r="G13" i="12"/>
  <c r="H13" i="12"/>
  <c r="G14" i="12"/>
  <c r="H14" i="12"/>
  <c r="G15" i="12"/>
  <c r="H15" i="12"/>
  <c r="G16" i="12"/>
  <c r="H16" i="12"/>
  <c r="G17" i="12"/>
  <c r="H17" i="12"/>
  <c r="G18" i="12"/>
  <c r="H18" i="12"/>
  <c r="G19" i="12"/>
  <c r="H19" i="12"/>
  <c r="G20" i="12"/>
  <c r="H20" i="12"/>
  <c r="G21" i="12"/>
  <c r="H21" i="12"/>
  <c r="G22" i="12"/>
  <c r="H22" i="12"/>
  <c r="H24" i="12"/>
  <c r="H65" i="12"/>
  <c r="H69" i="12"/>
  <c r="H27" i="11"/>
  <c r="H26" i="11"/>
  <c r="H22" i="11"/>
  <c r="H10" i="11"/>
  <c r="H15" i="10"/>
  <c r="H14" i="10"/>
  <c r="G14" i="10"/>
  <c r="J8" i="10"/>
  <c r="J10" i="10"/>
  <c r="J36" i="10"/>
  <c r="J31" i="10"/>
  <c r="J26" i="10"/>
  <c r="J20" i="10"/>
  <c r="J33" i="10"/>
  <c r="J37" i="10"/>
  <c r="J38" i="10"/>
  <c r="I8" i="10"/>
  <c r="I10" i="10"/>
  <c r="I36" i="10"/>
  <c r="I31" i="10"/>
  <c r="I26" i="10"/>
  <c r="I20" i="10"/>
  <c r="I33" i="10"/>
  <c r="I37" i="10"/>
  <c r="I38" i="10"/>
  <c r="H8" i="10"/>
  <c r="H10" i="10"/>
  <c r="H36" i="10"/>
  <c r="G29" i="10"/>
  <c r="H29" i="10"/>
  <c r="H31" i="10"/>
  <c r="G23" i="10"/>
  <c r="H23" i="10"/>
  <c r="H24" i="10"/>
  <c r="H26" i="10"/>
  <c r="H20" i="10"/>
  <c r="H33" i="10"/>
  <c r="H37" i="10"/>
  <c r="H38" i="10"/>
  <c r="G6" i="10"/>
  <c r="J8" i="9"/>
  <c r="J10" i="9"/>
  <c r="J55" i="9"/>
  <c r="J50" i="9"/>
  <c r="J42" i="9"/>
  <c r="J38" i="9"/>
  <c r="J30" i="9"/>
  <c r="J25" i="9"/>
  <c r="J19" i="9"/>
  <c r="J46" i="9"/>
  <c r="J52" i="9"/>
  <c r="J56" i="9"/>
  <c r="J57" i="9"/>
  <c r="I8" i="9"/>
  <c r="I10" i="9"/>
  <c r="I55" i="9"/>
  <c r="I50" i="9"/>
  <c r="I42" i="9"/>
  <c r="I38" i="9"/>
  <c r="I30" i="9"/>
  <c r="I25" i="9"/>
  <c r="I19" i="9"/>
  <c r="I46" i="9"/>
  <c r="I52" i="9"/>
  <c r="I56" i="9"/>
  <c r="I57" i="9"/>
  <c r="G6" i="9"/>
  <c r="H6" i="9"/>
  <c r="G7" i="9"/>
  <c r="H7" i="9"/>
  <c r="H8" i="9"/>
  <c r="H10" i="9"/>
  <c r="H55" i="9"/>
  <c r="G49" i="9"/>
  <c r="H49" i="9"/>
  <c r="H50" i="9"/>
  <c r="G41" i="9"/>
  <c r="H41" i="9"/>
  <c r="H42" i="9"/>
  <c r="G33" i="9"/>
  <c r="H33" i="9"/>
  <c r="G34" i="9"/>
  <c r="H34" i="9"/>
  <c r="G35" i="9"/>
  <c r="H35" i="9"/>
  <c r="G36" i="9"/>
  <c r="H36" i="9"/>
  <c r="G37" i="9"/>
  <c r="H37" i="9"/>
  <c r="H38" i="9"/>
  <c r="G22" i="9"/>
  <c r="H22" i="9"/>
  <c r="G23" i="9"/>
  <c r="H23" i="9"/>
  <c r="G24" i="9"/>
  <c r="H24" i="9"/>
  <c r="H25" i="9"/>
  <c r="G14" i="9"/>
  <c r="H14" i="9"/>
  <c r="G15" i="9"/>
  <c r="H15" i="9"/>
  <c r="G16" i="9"/>
  <c r="H16" i="9"/>
  <c r="G17" i="9"/>
  <c r="H17" i="9"/>
  <c r="G18" i="9"/>
  <c r="H18" i="9"/>
  <c r="H19" i="9"/>
  <c r="G45" i="9"/>
  <c r="H45" i="9"/>
  <c r="H46" i="9"/>
  <c r="J37" i="8"/>
  <c r="J32" i="8"/>
  <c r="J26" i="8"/>
  <c r="J21" i="8"/>
  <c r="J16" i="8"/>
  <c r="J44" i="8"/>
  <c r="J49" i="8"/>
  <c r="J53" i="8"/>
  <c r="J54" i="8"/>
  <c r="J58" i="8"/>
  <c r="J59" i="8"/>
  <c r="I37" i="8"/>
  <c r="I32" i="8"/>
  <c r="I26" i="8"/>
  <c r="I21" i="8"/>
  <c r="I16" i="8"/>
  <c r="I44" i="8"/>
  <c r="I49" i="8"/>
  <c r="I53" i="8"/>
  <c r="I54" i="8"/>
  <c r="I58" i="8"/>
  <c r="I59" i="8"/>
  <c r="H53" i="7"/>
  <c r="J51" i="7"/>
  <c r="J46" i="7"/>
  <c r="J38" i="7"/>
  <c r="J31" i="7"/>
  <c r="J24" i="7"/>
  <c r="J19" i="7"/>
  <c r="J14" i="7"/>
  <c r="J48" i="7"/>
  <c r="J52" i="7"/>
  <c r="J53" i="7"/>
  <c r="I51" i="7"/>
  <c r="I46" i="7"/>
  <c r="I38" i="7"/>
  <c r="I31" i="7"/>
  <c r="I24" i="7"/>
  <c r="I19" i="7"/>
  <c r="I14" i="7"/>
  <c r="I48" i="7"/>
  <c r="I52" i="7"/>
  <c r="I53" i="7"/>
  <c r="H51" i="7"/>
  <c r="G41" i="7"/>
  <c r="H41" i="7"/>
  <c r="G42" i="7"/>
  <c r="H42" i="7"/>
  <c r="G43" i="7"/>
  <c r="H43" i="7"/>
  <c r="G44" i="7"/>
  <c r="H44" i="7"/>
  <c r="H46" i="7"/>
  <c r="G34" i="7"/>
  <c r="H34" i="7"/>
  <c r="G35" i="7"/>
  <c r="H35" i="7"/>
  <c r="G36" i="7"/>
  <c r="H36" i="7"/>
  <c r="H38" i="7"/>
  <c r="G27" i="7"/>
  <c r="H27" i="7"/>
  <c r="G28" i="7"/>
  <c r="H28" i="7"/>
  <c r="G29" i="7"/>
  <c r="H29" i="7"/>
  <c r="H31" i="7"/>
  <c r="G22" i="7"/>
  <c r="H22" i="7"/>
  <c r="H24" i="7"/>
  <c r="G10" i="7"/>
  <c r="H10" i="7"/>
  <c r="G11" i="7"/>
  <c r="H11" i="7"/>
  <c r="G12" i="7"/>
  <c r="H12" i="7"/>
  <c r="H14" i="7"/>
  <c r="J75" i="6"/>
  <c r="J70" i="6"/>
  <c r="J57" i="6"/>
  <c r="J34" i="6"/>
  <c r="J52" i="6"/>
  <c r="J46" i="6"/>
  <c r="J22" i="6"/>
  <c r="J63" i="6"/>
  <c r="J72" i="6"/>
  <c r="J76" i="6"/>
  <c r="J77" i="6"/>
  <c r="I75" i="6"/>
  <c r="I70" i="6"/>
  <c r="I57" i="6"/>
  <c r="I52" i="6"/>
  <c r="I46" i="6"/>
  <c r="I22" i="6"/>
  <c r="I63" i="6"/>
  <c r="I34" i="6"/>
  <c r="I72" i="6"/>
  <c r="I76" i="6"/>
  <c r="I77" i="6"/>
  <c r="H75" i="6"/>
  <c r="G66" i="6"/>
  <c r="H66" i="6"/>
  <c r="G67" i="6"/>
  <c r="H67" i="6"/>
  <c r="G68" i="6"/>
  <c r="H68" i="6"/>
  <c r="H70" i="6"/>
  <c r="G55" i="6"/>
  <c r="H55" i="6"/>
  <c r="H57" i="6"/>
  <c r="G49" i="6"/>
  <c r="H49" i="6"/>
  <c r="G50" i="6"/>
  <c r="H50" i="6"/>
  <c r="H52" i="6"/>
  <c r="G37" i="6"/>
  <c r="H37" i="6"/>
  <c r="G38" i="6"/>
  <c r="H38" i="6"/>
  <c r="G39" i="6"/>
  <c r="H39" i="6"/>
  <c r="G40" i="6"/>
  <c r="H40" i="6"/>
  <c r="G41" i="6"/>
  <c r="H41" i="6"/>
  <c r="G42" i="6"/>
  <c r="H42" i="6"/>
  <c r="G43" i="6"/>
  <c r="H43" i="6"/>
  <c r="G44" i="6"/>
  <c r="H44" i="6"/>
  <c r="H46" i="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H22" i="6"/>
  <c r="G60" i="6"/>
  <c r="H60" i="6"/>
  <c r="G61" i="6"/>
  <c r="H61" i="6"/>
  <c r="H63" i="6"/>
  <c r="G25" i="6"/>
  <c r="H25" i="6"/>
  <c r="G26" i="6"/>
  <c r="H26" i="6"/>
  <c r="G27" i="6"/>
  <c r="H27" i="6"/>
  <c r="G28" i="6"/>
  <c r="H28" i="6"/>
  <c r="G29" i="6"/>
  <c r="H29" i="6"/>
  <c r="G30" i="6"/>
  <c r="H30" i="6"/>
  <c r="G31" i="6"/>
  <c r="H31" i="6"/>
  <c r="G32" i="6"/>
  <c r="H32" i="6"/>
  <c r="H72" i="6"/>
  <c r="H76" i="6"/>
  <c r="J15" i="5"/>
  <c r="J25" i="5"/>
  <c r="J32" i="5"/>
  <c r="J37" i="5"/>
  <c r="J43" i="5"/>
  <c r="J60" i="5"/>
  <c r="J61" i="5"/>
  <c r="I15" i="5"/>
  <c r="I25" i="5"/>
  <c r="I32" i="5"/>
  <c r="I37" i="5"/>
  <c r="I43" i="5"/>
  <c r="I60" i="5"/>
  <c r="I61" i="5"/>
  <c r="J54" i="5"/>
  <c r="I54" i="5"/>
  <c r="J10" i="4"/>
  <c r="J15" i="4"/>
  <c r="J17" i="4"/>
  <c r="J58" i="4"/>
  <c r="J34" i="4"/>
  <c r="J39" i="4"/>
  <c r="J46" i="4"/>
  <c r="J53" i="4"/>
  <c r="J55" i="4"/>
  <c r="J59" i="4"/>
  <c r="J60" i="4"/>
  <c r="I10" i="4"/>
  <c r="I15" i="4"/>
  <c r="I17" i="4"/>
  <c r="I58" i="4"/>
  <c r="I34" i="4"/>
  <c r="I39" i="4"/>
  <c r="I46" i="4"/>
  <c r="I53" i="4"/>
  <c r="I55" i="4"/>
  <c r="I59" i="4"/>
  <c r="I60" i="4"/>
  <c r="H60" i="4"/>
  <c r="J8" i="3"/>
  <c r="J10" i="3"/>
  <c r="J55" i="3"/>
  <c r="J21" i="3"/>
  <c r="J30" i="3"/>
  <c r="J45" i="3"/>
  <c r="J50" i="3"/>
  <c r="J52" i="3"/>
  <c r="J56" i="3"/>
  <c r="J57" i="3"/>
  <c r="I10" i="3"/>
  <c r="I55" i="3"/>
  <c r="I21" i="3"/>
  <c r="I30" i="3"/>
  <c r="I45" i="3"/>
  <c r="I50" i="3"/>
  <c r="I52" i="3"/>
  <c r="I56" i="3"/>
  <c r="I57" i="3"/>
  <c r="H57" i="3"/>
  <c r="G27" i="3"/>
  <c r="H27" i="3"/>
  <c r="J40" i="2"/>
  <c r="J35" i="2"/>
  <c r="J29" i="2"/>
  <c r="J20" i="2"/>
  <c r="J14" i="2"/>
  <c r="J37" i="2"/>
  <c r="J41" i="2"/>
  <c r="J42" i="2"/>
  <c r="I40" i="2"/>
  <c r="I35" i="2"/>
  <c r="I29" i="2"/>
  <c r="I20" i="2"/>
  <c r="I14" i="2"/>
  <c r="I37" i="2"/>
  <c r="I41" i="2"/>
  <c r="I42" i="2"/>
  <c r="H40" i="2"/>
  <c r="G32" i="2"/>
  <c r="H32" i="2"/>
  <c r="G33" i="2"/>
  <c r="H33" i="2"/>
  <c r="H35" i="2"/>
  <c r="G23" i="2"/>
  <c r="H23" i="2"/>
  <c r="G24" i="2"/>
  <c r="H24" i="2"/>
  <c r="G25" i="2"/>
  <c r="H25" i="2"/>
  <c r="G26" i="2"/>
  <c r="H26" i="2"/>
  <c r="G27" i="2"/>
  <c r="H27" i="2"/>
  <c r="H29" i="2"/>
  <c r="E17" i="2"/>
  <c r="G17" i="2"/>
  <c r="H17" i="2"/>
  <c r="G18" i="2"/>
  <c r="H18" i="2"/>
  <c r="H20" i="2"/>
  <c r="G10" i="2"/>
  <c r="H10" i="2"/>
  <c r="G11" i="2"/>
  <c r="H11" i="2"/>
  <c r="G12" i="2"/>
  <c r="H12" i="2"/>
  <c r="H14" i="2"/>
  <c r="H37" i="2"/>
  <c r="H41" i="2"/>
  <c r="H51" i="1"/>
  <c r="I43" i="1"/>
  <c r="I33" i="1"/>
  <c r="I26" i="1"/>
  <c r="I17" i="1"/>
  <c r="I46" i="1"/>
  <c r="J43" i="1"/>
  <c r="J33" i="1"/>
  <c r="J26" i="1"/>
  <c r="J17" i="1"/>
  <c r="J46" i="1"/>
  <c r="J8" i="1"/>
  <c r="J10" i="1"/>
  <c r="I8" i="1"/>
  <c r="I10" i="1"/>
  <c r="J49" i="1"/>
  <c r="J50" i="1"/>
  <c r="J51" i="1"/>
  <c r="I49" i="1"/>
  <c r="I50" i="1"/>
  <c r="I51" i="1"/>
</calcChain>
</file>

<file path=xl/comments1.xml><?xml version="1.0" encoding="utf-8"?>
<comments xmlns="http://schemas.openxmlformats.org/spreadsheetml/2006/main">
  <authors>
    <author>Andrew Crawford</author>
  </authors>
  <commentList>
    <comment ref="D122" author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Assume we actually spend all of our money</t>
        </r>
      </text>
    </comment>
  </commentList>
</comments>
</file>

<file path=xl/sharedStrings.xml><?xml version="1.0" encoding="utf-8"?>
<sst xmlns="http://schemas.openxmlformats.org/spreadsheetml/2006/main" count="2058" uniqueCount="1469">
  <si>
    <t>Line #</t>
  </si>
  <si>
    <t>Item</t>
  </si>
  <si>
    <t>Specifics</t>
  </si>
  <si>
    <t>Unit Price</t>
  </si>
  <si>
    <t>Quantity</t>
  </si>
  <si>
    <t>Subtotal</t>
  </si>
  <si>
    <t>Budget</t>
  </si>
  <si>
    <t>Pre-Actual</t>
  </si>
  <si>
    <t>Actual</t>
  </si>
  <si>
    <t>Revenue ($)</t>
  </si>
  <si>
    <t xml:space="preserve"> </t>
  </si>
  <si>
    <t>TOTAL REVENUE</t>
  </si>
  <si>
    <t>Expenses ($)</t>
  </si>
  <si>
    <t>TOTAL EXPENSES</t>
  </si>
  <si>
    <t>Summary ($)</t>
  </si>
  <si>
    <t>Total Revenue</t>
  </si>
  <si>
    <t>Total Expenses</t>
  </si>
  <si>
    <t>Net Surplus</t>
  </si>
  <si>
    <t>Faculty Support</t>
  </si>
  <si>
    <t>CFES Travel &amp; Delegate Grant</t>
  </si>
  <si>
    <t>For Congress and PM</t>
  </si>
  <si>
    <t>General Appreciation</t>
  </si>
  <si>
    <t>Clark Tabs Night</t>
  </si>
  <si>
    <t xml:space="preserve">Water Team </t>
  </si>
  <si>
    <t>Appreciation dinner</t>
  </si>
  <si>
    <t>Total Appreciation Expenses</t>
  </si>
  <si>
    <t>E/D Appreciation</t>
  </si>
  <si>
    <t>Winter Dinner</t>
  </si>
  <si>
    <t>Dinner for ED after Winter Break</t>
  </si>
  <si>
    <t>Tea Room Allotment</t>
  </si>
  <si>
    <t>Per person, per month</t>
  </si>
  <si>
    <t xml:space="preserve">Conference Bursary </t>
  </si>
  <si>
    <t>For delegate fees</t>
  </si>
  <si>
    <t>Executive Dinner</t>
  </si>
  <si>
    <t>Transition for in/outgoing</t>
  </si>
  <si>
    <t>Director Dinner</t>
  </si>
  <si>
    <t>External University Relations</t>
  </si>
  <si>
    <t>CFES Membership Fees</t>
  </si>
  <si>
    <t>Annual fee calc per head</t>
  </si>
  <si>
    <t>EngSoc Patches</t>
  </si>
  <si>
    <t>To be traded at conferences</t>
  </si>
  <si>
    <t>CDE Delegate Fees</t>
  </si>
  <si>
    <t>Conference on Diversity in Eng</t>
  </si>
  <si>
    <t>Other Miscellaneous Swag</t>
  </si>
  <si>
    <t>To be given away at conferences</t>
  </si>
  <si>
    <t>CFES Conference Travel and Delegate Fees</t>
  </si>
  <si>
    <t>CDE Travel Expenses</t>
  </si>
  <si>
    <t>To Waterloo</t>
  </si>
  <si>
    <t>PM Delegate Fees</t>
  </si>
  <si>
    <t>President's Meeting</t>
  </si>
  <si>
    <t>PM Travel Expenses</t>
  </si>
  <si>
    <t>Flight and travel to Vancouver</t>
  </si>
  <si>
    <t>Congress Delegate Fees</t>
  </si>
  <si>
    <t>For three delegates</t>
  </si>
  <si>
    <t>Congress Travel Expenses</t>
  </si>
  <si>
    <t>For flights and transportation</t>
  </si>
  <si>
    <t>Volunteers not incl design</t>
  </si>
  <si>
    <t>President - Julie Tseng</t>
  </si>
  <si>
    <t>11-010</t>
  </si>
  <si>
    <t>11-011</t>
  </si>
  <si>
    <t>E/D Appreciation Expenses</t>
  </si>
  <si>
    <t>11-020</t>
  </si>
  <si>
    <t>11-021</t>
  </si>
  <si>
    <t>11-022</t>
  </si>
  <si>
    <t>11-023</t>
  </si>
  <si>
    <t>11-024</t>
  </si>
  <si>
    <t>11-030</t>
  </si>
  <si>
    <t>11-031</t>
  </si>
  <si>
    <t>11-032</t>
  </si>
  <si>
    <t>11-040</t>
  </si>
  <si>
    <t>11-041</t>
  </si>
  <si>
    <t>11-042</t>
  </si>
  <si>
    <t>11-043</t>
  </si>
  <si>
    <t>11-044</t>
  </si>
  <si>
    <t>11-045</t>
  </si>
  <si>
    <t>External University Relations Expenses</t>
  </si>
  <si>
    <t>CFES Expenses</t>
  </si>
  <si>
    <t>11-001</t>
  </si>
  <si>
    <t>Vice President Student Affairs - Alex Wood</t>
  </si>
  <si>
    <t>Clark Hall Improvements</t>
  </si>
  <si>
    <t>13-010</t>
  </si>
  <si>
    <t xml:space="preserve">~50" TV </t>
  </si>
  <si>
    <t>13-011</t>
  </si>
  <si>
    <t>Environmental Fee</t>
  </si>
  <si>
    <t>13-012</t>
  </si>
  <si>
    <t>Clark Wall Mount</t>
  </si>
  <si>
    <t>Clark Hall Improvement Expenses</t>
  </si>
  <si>
    <t>Engenda and IT</t>
  </si>
  <si>
    <t>13-020</t>
  </si>
  <si>
    <t>Webcams</t>
  </si>
  <si>
    <t>For Lounge and Mentorship</t>
  </si>
  <si>
    <t>13-021</t>
  </si>
  <si>
    <t>Adobe Creative Cloud Subscription</t>
  </si>
  <si>
    <t>Engenda and IT Expenses</t>
  </si>
  <si>
    <t>Volunteer Appreciation</t>
  </si>
  <si>
    <t>13-030</t>
  </si>
  <si>
    <t>EngSoc Travel Mugs</t>
  </si>
  <si>
    <t>Minimum Order 24</t>
  </si>
  <si>
    <t>13-031</t>
  </si>
  <si>
    <t>Travel Mug Setup Cost</t>
  </si>
  <si>
    <t>13-032</t>
  </si>
  <si>
    <t>Tea Room Gift Card</t>
  </si>
  <si>
    <t>13-033</t>
  </si>
  <si>
    <t>Thank You Cards</t>
  </si>
  <si>
    <t>13-034</t>
  </si>
  <si>
    <t>EngSoc Crest</t>
  </si>
  <si>
    <t>CEO</t>
  </si>
  <si>
    <t>Volunteer Appreciation Expenses</t>
  </si>
  <si>
    <t>Volunteer Materials</t>
  </si>
  <si>
    <t>13-041</t>
  </si>
  <si>
    <t>Hiring Pamphlets</t>
  </si>
  <si>
    <t>13-042</t>
  </si>
  <si>
    <t>EngSoc Resource Pamphlet</t>
  </si>
  <si>
    <t>Volunteer Material Expenses</t>
  </si>
  <si>
    <t>Director of Academics - Jacqueline Craig</t>
  </si>
  <si>
    <t>ENGLINKS</t>
  </si>
  <si>
    <t>14-001</t>
  </si>
  <si>
    <t xml:space="preserve">Tutorial Fees </t>
  </si>
  <si>
    <t>Tutorial Student Fees</t>
  </si>
  <si>
    <t>Total EngLinks  Revenue</t>
  </si>
  <si>
    <t>ENGLINKS Workshops</t>
  </si>
  <si>
    <t xml:space="preserve">14-010 </t>
  </si>
  <si>
    <t>Tutor Wages</t>
  </si>
  <si>
    <t xml:space="preserve">Tutorial Tutor Wages </t>
  </si>
  <si>
    <t>14-012</t>
  </si>
  <si>
    <t>Whiteboard Markers</t>
  </si>
  <si>
    <t>14-013</t>
  </si>
  <si>
    <t>Workshop Booklets</t>
  </si>
  <si>
    <t>EngSoc, Black and White, 16-40 pages</t>
  </si>
  <si>
    <t>14-014</t>
  </si>
  <si>
    <t>14-015</t>
  </si>
  <si>
    <t xml:space="preserve">T-Shirts </t>
  </si>
  <si>
    <t>Make EngLinks look professional, to lend to tutors during workshops</t>
  </si>
  <si>
    <t>Total EngLinks Expenses</t>
  </si>
  <si>
    <t>BED Fund</t>
  </si>
  <si>
    <t>14-020</t>
  </si>
  <si>
    <t>Promotion</t>
  </si>
  <si>
    <t>Posters, advertisements, media, etc.</t>
  </si>
  <si>
    <t>14-021</t>
  </si>
  <si>
    <t>Plaques</t>
  </si>
  <si>
    <t>Recognize purchases</t>
  </si>
  <si>
    <t>14-022</t>
  </si>
  <si>
    <t>Roundtable Meeting Food</t>
  </si>
  <si>
    <t>Appreciate BED Fund Reps and encourage attendance with 20 people at the meeting</t>
  </si>
  <si>
    <t>14-023</t>
  </si>
  <si>
    <t>Coordinator Appreciation</t>
  </si>
  <si>
    <t>Thank coordinators for their work over the year</t>
  </si>
  <si>
    <t>Total BED Fund Expenses</t>
  </si>
  <si>
    <t>EngLinks</t>
  </si>
  <si>
    <t>14-030</t>
  </si>
  <si>
    <t xml:space="preserve">Banner </t>
  </si>
  <si>
    <t>www.trtbanners.com, economy retractable banner stand, 39"x80", dye sub fabric, UPS economy shipping, updated to the current EngLinks Brand</t>
  </si>
  <si>
    <t>14-031</t>
  </si>
  <si>
    <t>EngLinks Snapback hats</t>
  </si>
  <si>
    <t>For staff awards, promotions and online contests</t>
  </si>
  <si>
    <t>14-032</t>
  </si>
  <si>
    <t>Magnetic Logos</t>
  </si>
  <si>
    <t>To place around campus, vista print, 50 logos</t>
  </si>
  <si>
    <t>14-033</t>
  </si>
  <si>
    <t>Tutor Resources</t>
  </si>
  <si>
    <t>14-034</t>
  </si>
  <si>
    <t>Resource Creation</t>
  </si>
  <si>
    <t>Workshop booklets, online resources, videos</t>
  </si>
  <si>
    <t>14-035</t>
  </si>
  <si>
    <t>Facebook Promotion</t>
  </si>
  <si>
    <t>Promotoe page, and boost posts advertising workshops etc, cost per day, per post</t>
  </si>
  <si>
    <t>14-036</t>
  </si>
  <si>
    <t>Posters</t>
  </si>
  <si>
    <t>P&amp;CC, 11 x 17, 100 per semester</t>
  </si>
  <si>
    <t>14-038</t>
  </si>
  <si>
    <t>Food - Hiring Event</t>
  </si>
  <si>
    <t>pizza pizza, 200 slices of party pizza</t>
  </si>
  <si>
    <t>14-039</t>
  </si>
  <si>
    <t>Thank the wonderful  tutors</t>
  </si>
  <si>
    <t>Manager Appreciation Dinner</t>
  </si>
  <si>
    <t>Thank the wonderful management team</t>
  </si>
  <si>
    <t>Representation</t>
  </si>
  <si>
    <t>14-040</t>
  </si>
  <si>
    <t>Academic Roundtable Food</t>
  </si>
  <si>
    <t>Coffee, donuts, appropriate snack food.</t>
  </si>
  <si>
    <t>Total Representation Expenses</t>
  </si>
  <si>
    <t>Director of Professional Development - James Gibbard-McCall</t>
  </si>
  <si>
    <t>AutoCAD Participation Fees</t>
  </si>
  <si>
    <t>16-001</t>
  </si>
  <si>
    <t>Fall 1 Participant Cost</t>
  </si>
  <si>
    <t>16-002</t>
  </si>
  <si>
    <t>Fall 2 Participant Cost</t>
  </si>
  <si>
    <t>16-003</t>
  </si>
  <si>
    <t>Winter 1 Participant Cost</t>
  </si>
  <si>
    <t>16-004</t>
  </si>
  <si>
    <t>Winter 2 Participant Cost</t>
  </si>
  <si>
    <t>Total AutoCAD Participant Fees Revenue</t>
  </si>
  <si>
    <t>Alumni Mentorship Event Fees</t>
  </si>
  <si>
    <t>16-014</t>
  </si>
  <si>
    <t>Event Participation Fee</t>
  </si>
  <si>
    <t>Total Alumni Mentorship Event Revenue</t>
  </si>
  <si>
    <t>AutoCAD Workshops</t>
  </si>
  <si>
    <t>16-020</t>
  </si>
  <si>
    <t>Fall Participant Fees</t>
  </si>
  <si>
    <t>16-021</t>
  </si>
  <si>
    <t>Fall Instructor Cost</t>
  </si>
  <si>
    <t>16-022</t>
  </si>
  <si>
    <t>Fall Tea Room Catering</t>
  </si>
  <si>
    <t>16-023</t>
  </si>
  <si>
    <t>Winter 1 Participant Fees</t>
  </si>
  <si>
    <t>16-024</t>
  </si>
  <si>
    <t>Winter 1 Instructor Cost</t>
  </si>
  <si>
    <t>16-025</t>
  </si>
  <si>
    <t>Winter 1 Tea Room Catering</t>
  </si>
  <si>
    <t>16-026</t>
  </si>
  <si>
    <t>Winter 2 Participant Fees</t>
  </si>
  <si>
    <t>16-027</t>
  </si>
  <si>
    <t>Winter 2 Instructor Cost</t>
  </si>
  <si>
    <t>16-028</t>
  </si>
  <si>
    <t>Winter 2 Tea Room Catering</t>
  </si>
  <si>
    <t>16-029</t>
  </si>
  <si>
    <t>Winter 3 Participant Fees</t>
  </si>
  <si>
    <t>16-030</t>
  </si>
  <si>
    <t>Winter 3 Instructor Cost</t>
  </si>
  <si>
    <t>16-031</t>
  </si>
  <si>
    <t>Winter 3 Tea Room Catering</t>
  </si>
  <si>
    <t>Total AutoCAD Expenses</t>
  </si>
  <si>
    <t>Alumni Mentorship Event</t>
  </si>
  <si>
    <t>16-040</t>
  </si>
  <si>
    <t>Catering for Event</t>
  </si>
  <si>
    <t>Total Alumni Mentorship Event Expenses</t>
  </si>
  <si>
    <t xml:space="preserve">Industry and Alumni EVENTS </t>
  </si>
  <si>
    <t>16-050</t>
  </si>
  <si>
    <t>Participant Snacks - Fall</t>
  </si>
  <si>
    <t>$50/session</t>
  </si>
  <si>
    <t>16-051</t>
  </si>
  <si>
    <t>Participant Snacks - Winter</t>
  </si>
  <si>
    <t>16-052</t>
  </si>
  <si>
    <t>Thank you For Instructors</t>
  </si>
  <si>
    <t>Total Career Services Events Expenses</t>
  </si>
  <si>
    <t>Communications and Publicity</t>
  </si>
  <si>
    <t>16-060</t>
  </si>
  <si>
    <t>Event Attire</t>
  </si>
  <si>
    <t xml:space="preserve">Clothing for Committee Chairs </t>
  </si>
  <si>
    <t>16-061</t>
  </si>
  <si>
    <t>Business Cards/Posters</t>
  </si>
  <si>
    <t>16-062</t>
  </si>
  <si>
    <t>Resume Tip Sheet Print Out</t>
  </si>
  <si>
    <t>Based on P&amp;CC costs</t>
  </si>
  <si>
    <t>Total Communications and Publicity Expenses</t>
  </si>
  <si>
    <t>Director of Design - Stephan Dobri</t>
  </si>
  <si>
    <t>Roundtable Meetings</t>
  </si>
  <si>
    <t>15-010</t>
  </si>
  <si>
    <t>Food</t>
  </si>
  <si>
    <t>Design Team Roundtable, $80/meeting</t>
  </si>
  <si>
    <t>15-011</t>
  </si>
  <si>
    <t>Printouts</t>
  </si>
  <si>
    <t>Black and white, double sided</t>
  </si>
  <si>
    <t>15-012</t>
  </si>
  <si>
    <t>Clubs Roundtable, $40/meeting</t>
  </si>
  <si>
    <t>15-013</t>
  </si>
  <si>
    <t>B/W, double sided</t>
  </si>
  <si>
    <t>Total Roundtable Meetings Expenses</t>
  </si>
  <si>
    <t>Design Bay - Room 115</t>
  </si>
  <si>
    <t>15-020</t>
  </si>
  <si>
    <t>General upkeep</t>
  </si>
  <si>
    <t>Cleaning supplies (dustpans: 1@ $4.29, 1@ $19.99, broom 1@$8.39 and shop-vac: $134)</t>
  </si>
  <si>
    <t>15-021</t>
  </si>
  <si>
    <t>Alternative Storage</t>
  </si>
  <si>
    <t>Storage locker (10x10) for team(s) without room</t>
  </si>
  <si>
    <t>15-022</t>
  </si>
  <si>
    <t>Cleaning Supplies</t>
  </si>
  <si>
    <t>Windex (3x$4.29+1x$12.69) and cloths (3x$4.99) for sick new clear doors</t>
  </si>
  <si>
    <t>15-023</t>
  </si>
  <si>
    <t>Small Alternative Storage</t>
  </si>
  <si>
    <t>Small locking cabinets for teams in shared spaces</t>
  </si>
  <si>
    <t>15-024</t>
  </si>
  <si>
    <t>Wall mount</t>
  </si>
  <si>
    <t>Wall mount for brooms and such</t>
  </si>
  <si>
    <t>15-025</t>
  </si>
  <si>
    <t>Compressed Air Hose/Nozzle</t>
  </si>
  <si>
    <t>For cleaning the bay</t>
  </si>
  <si>
    <t>Total Design Bay - Room 115 Expenses</t>
  </si>
  <si>
    <t>Incentives</t>
  </si>
  <si>
    <t>15-030</t>
  </si>
  <si>
    <t>Polo Subsidies</t>
  </si>
  <si>
    <t>Subsidizing the cost of the Eng Soc Crest being placed on team polos</t>
  </si>
  <si>
    <t>15-031</t>
  </si>
  <si>
    <t>Roster Incentive</t>
  </si>
  <si>
    <t>First team to get their team roster in to me gets a reward</t>
  </si>
  <si>
    <t>15-032</t>
  </si>
  <si>
    <t>Safety Incentive</t>
  </si>
  <si>
    <t>Best general safety gets a reward</t>
  </si>
  <si>
    <t>Total Incentives Expenses</t>
  </si>
  <si>
    <t>First Aid Training</t>
  </si>
  <si>
    <t>15-040</t>
  </si>
  <si>
    <t>Standard First Aid and CPR-C</t>
  </si>
  <si>
    <t>Training for two members per team</t>
  </si>
  <si>
    <t>Total First Aid Training Expenses</t>
  </si>
  <si>
    <t>Industry Training Sessions</t>
  </si>
  <si>
    <t>15-050</t>
  </si>
  <si>
    <t>Coffee and tea for the training sessions</t>
  </si>
  <si>
    <t>3 sessions, $0.50 per person</t>
  </si>
  <si>
    <t>15-051</t>
  </si>
  <si>
    <t>Gifts for industry instructors</t>
  </si>
  <si>
    <t>Gifts for instructors from industry to show our appreciation</t>
  </si>
  <si>
    <t>Total Industry Training Expenses</t>
  </si>
  <si>
    <t>Teams Night (Team Appreciation)</t>
  </si>
  <si>
    <t>15-060</t>
  </si>
  <si>
    <t>Drinks/Clark Rental</t>
  </si>
  <si>
    <t>Drink Minimum Met</t>
  </si>
  <si>
    <t>DIRECTOR OF CONFERENCES - LORALYN BLONDIN</t>
  </si>
  <si>
    <t xml:space="preserve">Internal Conferences </t>
  </si>
  <si>
    <t>17-010</t>
  </si>
  <si>
    <t xml:space="preserve">Conference Support Fee </t>
  </si>
  <si>
    <t>Eng Soc Support Fee</t>
  </si>
  <si>
    <t>17-011</t>
  </si>
  <si>
    <t xml:space="preserve">Growth Incentive </t>
  </si>
  <si>
    <t xml:space="preserve">Presented to 1of our 8 Internal Conferences </t>
  </si>
  <si>
    <t>17-012</t>
  </si>
  <si>
    <t>FYC</t>
  </si>
  <si>
    <t>17-013</t>
  </si>
  <si>
    <t>CEEC</t>
  </si>
  <si>
    <t>17-014</t>
  </si>
  <si>
    <t>CIRQUE</t>
  </si>
  <si>
    <t>17-015</t>
  </si>
  <si>
    <t>QSC</t>
  </si>
  <si>
    <t>17-016</t>
  </si>
  <si>
    <t>QGIC</t>
  </si>
  <si>
    <t>17-017</t>
  </si>
  <si>
    <t>QGEC</t>
  </si>
  <si>
    <t>17-018</t>
  </si>
  <si>
    <t>QCBM</t>
  </si>
  <si>
    <t>17-019</t>
  </si>
  <si>
    <t>QEC</t>
  </si>
  <si>
    <t>17-020</t>
  </si>
  <si>
    <t xml:space="preserve">Appreciation Dinner </t>
  </si>
  <si>
    <t xml:space="preserve">Appreciation Dinner for Conference Heads </t>
  </si>
  <si>
    <t>Total Internal Conferences Expenses</t>
  </si>
  <si>
    <t xml:space="preserve">External Conferences </t>
  </si>
  <si>
    <t>17-030</t>
  </si>
  <si>
    <t>External Conference 1</t>
  </si>
  <si>
    <t>Delegate Fee</t>
  </si>
  <si>
    <t>17-031</t>
  </si>
  <si>
    <t>External Conference 2</t>
  </si>
  <si>
    <t>17-032</t>
  </si>
  <si>
    <t>Car rental</t>
  </si>
  <si>
    <t>17-033</t>
  </si>
  <si>
    <t>Bus/Train Fee</t>
  </si>
  <si>
    <t>17-034</t>
  </si>
  <si>
    <t>Ontario Engineering Competition</t>
  </si>
  <si>
    <t>Delegate Fees</t>
  </si>
  <si>
    <t>17-035</t>
  </si>
  <si>
    <t>17-036</t>
  </si>
  <si>
    <t>Canadian Engineering Competition</t>
  </si>
  <si>
    <t>17-037</t>
  </si>
  <si>
    <t>Transportation Subsidy (based McGill Host)</t>
  </si>
  <si>
    <t>Total External Conference Expenses</t>
  </si>
  <si>
    <t>Partial Conference Bursaries</t>
  </si>
  <si>
    <t>17-040</t>
  </si>
  <si>
    <t>17-041</t>
  </si>
  <si>
    <t>17-042</t>
  </si>
  <si>
    <t>17-043</t>
  </si>
  <si>
    <t>17-044</t>
  </si>
  <si>
    <t>17-045</t>
  </si>
  <si>
    <t>17-046</t>
  </si>
  <si>
    <t>17-047</t>
  </si>
  <si>
    <t>Total Partial Conference Bursaries Expenses</t>
  </si>
  <si>
    <t>Conference Round Table Meetings</t>
  </si>
  <si>
    <t>17-050</t>
  </si>
  <si>
    <t>Refreshments for Meeting</t>
  </si>
  <si>
    <t xml:space="preserve">Pizza/pop </t>
  </si>
  <si>
    <t>17-051</t>
  </si>
  <si>
    <t>Speaker Appreciation Gift</t>
  </si>
  <si>
    <t>Expert Presentation Gift</t>
  </si>
  <si>
    <t>Total Conference Round Table Expenses</t>
  </si>
  <si>
    <t>Conference Website</t>
  </si>
  <si>
    <t>17-060</t>
  </si>
  <si>
    <t xml:space="preserve">Website </t>
  </si>
  <si>
    <t>Total Conference Website Expenses</t>
  </si>
  <si>
    <t>External Delegates Growth</t>
  </si>
  <si>
    <t>17-070</t>
  </si>
  <si>
    <t>External Delegates Incentives</t>
  </si>
  <si>
    <t>Bursaries/other incentives</t>
  </si>
  <si>
    <t>17-071</t>
  </si>
  <si>
    <t xml:space="preserve">For trading at External Conferences </t>
  </si>
  <si>
    <t>Total External Delegates Growth Expenses</t>
  </si>
  <si>
    <t>How-to-Conference Workshop</t>
  </si>
  <si>
    <t>17-080</t>
  </si>
  <si>
    <t>Refreshments for Workshop</t>
  </si>
  <si>
    <t>17-081</t>
  </si>
  <si>
    <t>Auditorium Rental</t>
  </si>
  <si>
    <t>Workshop space</t>
  </si>
  <si>
    <t>17-082</t>
  </si>
  <si>
    <t>Gift for presenter/speakers</t>
  </si>
  <si>
    <t>Total How-to-Conference Workshop Expenses</t>
  </si>
  <si>
    <t>DIRECTOR OF FIRST YEARS - EVAN DRESSEL</t>
  </si>
  <si>
    <t>FYPCOs</t>
  </si>
  <si>
    <t>18-010</t>
  </si>
  <si>
    <t>Conference Tickets</t>
  </si>
  <si>
    <t>Money for each FYPCO to attend one conference</t>
  </si>
  <si>
    <t>18-011</t>
  </si>
  <si>
    <t>Treats and Food</t>
  </si>
  <si>
    <t>For Meetings and Director/FYPCO social</t>
  </si>
  <si>
    <t>18-012</t>
  </si>
  <si>
    <t>Appreciation</t>
  </si>
  <si>
    <t>FYPCO Jacket Bars</t>
  </si>
  <si>
    <t>Total FYPCO Expenses</t>
  </si>
  <si>
    <t>18-020</t>
  </si>
  <si>
    <t>Pass Crests</t>
  </si>
  <si>
    <t>Appreciation for Year Exec members</t>
  </si>
  <si>
    <t>Physics Cookies</t>
  </si>
  <si>
    <t>18-030</t>
  </si>
  <si>
    <t>Subway Cookies</t>
  </si>
  <si>
    <t>Cookies for 112 and 111 2nd midterms.</t>
  </si>
  <si>
    <t>18-040</t>
  </si>
  <si>
    <t>Tea Room Catering</t>
  </si>
  <si>
    <t>Hot Chocolate</t>
  </si>
  <si>
    <t>18-041</t>
  </si>
  <si>
    <t>Fruit Tray</t>
  </si>
  <si>
    <t>18-042</t>
  </si>
  <si>
    <t>Muffin Tray</t>
  </si>
  <si>
    <t>ED Meet and Greet</t>
  </si>
  <si>
    <t>18-050</t>
  </si>
  <si>
    <t>Clark Booking</t>
  </si>
  <si>
    <t>Booking Clark Hall pub</t>
  </si>
  <si>
    <t>18-051</t>
  </si>
  <si>
    <t>Cupcakes</t>
  </si>
  <si>
    <t>18-052</t>
  </si>
  <si>
    <t>Desert Tray</t>
  </si>
  <si>
    <t>Games Night</t>
  </si>
  <si>
    <t>18-060</t>
  </si>
  <si>
    <t>18-061</t>
  </si>
  <si>
    <t>Pizza</t>
  </si>
  <si>
    <t>18-062</t>
  </si>
  <si>
    <t>Beverages</t>
  </si>
  <si>
    <t>2L Soda</t>
  </si>
  <si>
    <t>18-063</t>
  </si>
  <si>
    <t>Prizes</t>
  </si>
  <si>
    <t>Bars</t>
  </si>
  <si>
    <t>Director of Services - Stewart Jensen</t>
  </si>
  <si>
    <t>Service Night</t>
  </si>
  <si>
    <t>20-010</t>
  </si>
  <si>
    <t>Service Night Invitations</t>
  </si>
  <si>
    <t>P&amp;CC Card Stock, Quarter Page DS</t>
  </si>
  <si>
    <t>20-011</t>
  </si>
  <si>
    <t>Manager Name Tags</t>
  </si>
  <si>
    <t>P&amp;CC Card Stock, 6 per page</t>
  </si>
  <si>
    <t>20-012</t>
  </si>
  <si>
    <t>15% of total drink tickets</t>
  </si>
  <si>
    <t>20-013</t>
  </si>
  <si>
    <t>Service's Brochures</t>
  </si>
  <si>
    <t>Information about the Services</t>
  </si>
  <si>
    <t>20-014</t>
  </si>
  <si>
    <t>Drink Tickets</t>
  </si>
  <si>
    <t>20-020</t>
  </si>
  <si>
    <t>Manager Dinner</t>
  </si>
  <si>
    <t>$30.00 per person</t>
  </si>
  <si>
    <t>20-030</t>
  </si>
  <si>
    <t>Manager and Staff Applications Advertisement</t>
  </si>
  <si>
    <t>20-040</t>
  </si>
  <si>
    <t xml:space="preserve">The Journal Advertisement </t>
  </si>
  <si>
    <t>Half Page Advertisement // One For Manger Application Period and One For Staff Application Period</t>
  </si>
  <si>
    <t>Poster</t>
  </si>
  <si>
    <t>P&amp;CC 11x17</t>
  </si>
  <si>
    <t>iCon Supplies</t>
  </si>
  <si>
    <t>20-050</t>
  </si>
  <si>
    <t>Manager Training</t>
  </si>
  <si>
    <t>20-060</t>
  </si>
  <si>
    <t>20-061</t>
  </si>
  <si>
    <t>20-062</t>
  </si>
  <si>
    <t>Tea Room Coffee</t>
  </si>
  <si>
    <t>iCon Transition Dinner</t>
  </si>
  <si>
    <t>20-070</t>
  </si>
  <si>
    <t>Head  iCon and Incoming Head iCon</t>
  </si>
  <si>
    <t>iCon Social</t>
  </si>
  <si>
    <t>20-080</t>
  </si>
  <si>
    <t>Tickets for show</t>
  </si>
  <si>
    <t>$10 per iCon</t>
  </si>
  <si>
    <t>Director of Information Technology - Richard Hum</t>
  </si>
  <si>
    <t>Websites</t>
  </si>
  <si>
    <t>21-001</t>
  </si>
  <si>
    <t>Domain Management Fee</t>
  </si>
  <si>
    <t>Domain name fee recovery - Expiry</t>
  </si>
  <si>
    <t>21-002</t>
  </si>
  <si>
    <t>Domain name fee recovery - Name.com</t>
  </si>
  <si>
    <t>Total Website Revenue</t>
  </si>
  <si>
    <t>Email/Network</t>
  </si>
  <si>
    <t>21-010</t>
  </si>
  <si>
    <t>License Fee</t>
  </si>
  <si>
    <t>AMS/For Microsoft</t>
  </si>
  <si>
    <t>21-011</t>
  </si>
  <si>
    <t>Firewalls</t>
  </si>
  <si>
    <t>ILC and Clark</t>
  </si>
  <si>
    <t>21-012</t>
  </si>
  <si>
    <t>CISCO Smartnet</t>
  </si>
  <si>
    <t>21-013</t>
  </si>
  <si>
    <t>SSL Certificates</t>
  </si>
  <si>
    <t>Engsoc main and ScienceQuest</t>
  </si>
  <si>
    <t>21-014</t>
  </si>
  <si>
    <t>ITS Jack Install</t>
  </si>
  <si>
    <t>Clark and ILC TV</t>
  </si>
  <si>
    <t>Total Email/Network Expenses</t>
  </si>
  <si>
    <t>21-020</t>
  </si>
  <si>
    <t>Expiry</t>
  </si>
  <si>
    <t>21-021</t>
  </si>
  <si>
    <t>Name.com</t>
  </si>
  <si>
    <t>21-022</t>
  </si>
  <si>
    <t>Akismet</t>
  </si>
  <si>
    <t>Total Website Expenses</t>
  </si>
  <si>
    <t>IT Team Incentivization</t>
  </si>
  <si>
    <t>21-030</t>
  </si>
  <si>
    <t>Jacket Bars</t>
  </si>
  <si>
    <t>21-031</t>
  </si>
  <si>
    <t>Pizza/Food</t>
  </si>
  <si>
    <t>Total IT Team Incintivization Expenses</t>
  </si>
  <si>
    <t>Servers</t>
  </si>
  <si>
    <t>21-040</t>
  </si>
  <si>
    <t>Rackspace</t>
  </si>
  <si>
    <t>2GB Cloud Server x2</t>
  </si>
  <si>
    <t>21-041</t>
  </si>
  <si>
    <t>Bandwidth</t>
  </si>
  <si>
    <t>21-042</t>
  </si>
  <si>
    <t>Cloud Backups</t>
  </si>
  <si>
    <t>21-043</t>
  </si>
  <si>
    <t>Cloud Storage</t>
  </si>
  <si>
    <t>21-044</t>
  </si>
  <si>
    <t>Management Fee</t>
  </si>
  <si>
    <t>Total Server Expenses</t>
  </si>
  <si>
    <t>Software</t>
  </si>
  <si>
    <t>21-050</t>
  </si>
  <si>
    <t>Acunetix Online Vulnerability Scanner</t>
  </si>
  <si>
    <t>Total Software Expenses</t>
  </si>
  <si>
    <t>Hardware</t>
  </si>
  <si>
    <t>21-060</t>
  </si>
  <si>
    <t>Encrypted USB</t>
  </si>
  <si>
    <t>Kingston DataTraveller Vault Privacy 3.0 4GB</t>
  </si>
  <si>
    <t>Web Training</t>
  </si>
  <si>
    <t>21-070</t>
  </si>
  <si>
    <t>Food for training session (2) - 20 People, $4/person</t>
  </si>
  <si>
    <t>Director of Events-Jerry Haron</t>
  </si>
  <si>
    <t>Dean's Wine and Cheese</t>
  </si>
  <si>
    <t>22-001</t>
  </si>
  <si>
    <t>Dean's Donation</t>
  </si>
  <si>
    <t>Dean's Wine &amp; Cheese</t>
  </si>
  <si>
    <t>22-010</t>
  </si>
  <si>
    <t>Wine</t>
  </si>
  <si>
    <t>22-011</t>
  </si>
  <si>
    <t>22-012</t>
  </si>
  <si>
    <t>Juice &amp; Other Drinks</t>
  </si>
  <si>
    <t>22-013</t>
  </si>
  <si>
    <t>Ice</t>
  </si>
  <si>
    <t>22-014</t>
  </si>
  <si>
    <t>Invitations</t>
  </si>
  <si>
    <t>Position Expenses</t>
  </si>
  <si>
    <t>22-020</t>
  </si>
  <si>
    <t>Apparel</t>
  </si>
  <si>
    <t>For Chairs and Coordinators</t>
  </si>
  <si>
    <t>22-021</t>
  </si>
  <si>
    <t>Extra Advertising</t>
  </si>
  <si>
    <t>For runover events advertising</t>
  </si>
  <si>
    <t>A/V Equipment</t>
  </si>
  <si>
    <t>22-030</t>
  </si>
  <si>
    <t>Replacement Microphones</t>
  </si>
  <si>
    <t>Sennheiser e 835</t>
  </si>
  <si>
    <t>Comm Team</t>
  </si>
  <si>
    <t>23-010</t>
  </si>
  <si>
    <t>Clothing for Comm Team</t>
  </si>
  <si>
    <t>To make us look like a team/establish an identity</t>
  </si>
  <si>
    <t>23-011</t>
  </si>
  <si>
    <t>P&amp;CC poster</t>
  </si>
  <si>
    <t>$1/square foot</t>
  </si>
  <si>
    <t>23-012</t>
  </si>
  <si>
    <t>Miscellaneous supplies</t>
  </si>
  <si>
    <t>23-013</t>
  </si>
  <si>
    <t>mid-range cost</t>
  </si>
  <si>
    <t>23-014</t>
  </si>
  <si>
    <t>Website</t>
  </si>
  <si>
    <t>One.com host</t>
  </si>
  <si>
    <t>23-015</t>
  </si>
  <si>
    <t>Sunday Work Sessions (4 times)</t>
  </si>
  <si>
    <t>4 x 30</t>
  </si>
  <si>
    <t>23-016</t>
  </si>
  <si>
    <t>Music</t>
  </si>
  <si>
    <t>Legal use of music in videos</t>
  </si>
  <si>
    <t>23-017</t>
  </si>
  <si>
    <t>Viral advertising</t>
  </si>
  <si>
    <t>Facebook advertising</t>
  </si>
  <si>
    <t>23-018</t>
  </si>
  <si>
    <t>Manager Appreciation</t>
  </si>
  <si>
    <t>Dinner</t>
  </si>
  <si>
    <t>Total Comm Team Expenses</t>
  </si>
  <si>
    <t>Director of Internal Affairs - Julianna Jeans</t>
  </si>
  <si>
    <t>Council</t>
  </si>
  <si>
    <t>24-010</t>
  </si>
  <si>
    <t>For council</t>
  </si>
  <si>
    <t>24-011</t>
  </si>
  <si>
    <t>Placards</t>
  </si>
  <si>
    <t>For new members of council</t>
  </si>
  <si>
    <t>24-012</t>
  </si>
  <si>
    <t xml:space="preserve">File Separators </t>
  </si>
  <si>
    <t>To organize council box</t>
  </si>
  <si>
    <t>24-013</t>
  </si>
  <si>
    <t>File Folders</t>
  </si>
  <si>
    <t>24-014</t>
  </si>
  <si>
    <t>For Council</t>
  </si>
  <si>
    <t>24-015</t>
  </si>
  <si>
    <t>Oct 1st</t>
  </si>
  <si>
    <t>Refreshments for council</t>
  </si>
  <si>
    <t>24-016</t>
  </si>
  <si>
    <t>Oct 29th</t>
  </si>
  <si>
    <t>24-017</t>
  </si>
  <si>
    <t>Nov 26th</t>
  </si>
  <si>
    <t>24-018</t>
  </si>
  <si>
    <t>Jan 7th</t>
  </si>
  <si>
    <t>24-019</t>
  </si>
  <si>
    <t>Jan 21st</t>
  </si>
  <si>
    <t>24-020</t>
  </si>
  <si>
    <t>Feb 25th</t>
  </si>
  <si>
    <t>24-021</t>
  </si>
  <si>
    <t>March 24th</t>
  </si>
  <si>
    <t>24-022</t>
  </si>
  <si>
    <t>AGM</t>
  </si>
  <si>
    <t>Total Council Expenses</t>
  </si>
  <si>
    <t>Elections</t>
  </si>
  <si>
    <t>24-030</t>
  </si>
  <si>
    <t>Candidate Refunds</t>
  </si>
  <si>
    <t>President</t>
  </si>
  <si>
    <t>24-031</t>
  </si>
  <si>
    <t>Vice Presidents/Senators</t>
  </si>
  <si>
    <t>24-032</t>
  </si>
  <si>
    <t>Advertising</t>
  </si>
  <si>
    <t>24-033</t>
  </si>
  <si>
    <t>Debates (Night 1)</t>
  </si>
  <si>
    <t>24-034</t>
  </si>
  <si>
    <t>Drinks</t>
  </si>
  <si>
    <t>24-035</t>
  </si>
  <si>
    <t>Debates (Night 2)</t>
  </si>
  <si>
    <t>24-036</t>
  </si>
  <si>
    <t>24-037</t>
  </si>
  <si>
    <t>Equipment Rental</t>
  </si>
  <si>
    <t>For debates (Both Nights)</t>
  </si>
  <si>
    <t>24-038</t>
  </si>
  <si>
    <t>Posters, cards, buttons</t>
  </si>
  <si>
    <t>24-039</t>
  </si>
  <si>
    <t>For Sci' 19 Elections</t>
  </si>
  <si>
    <t>24-040</t>
  </si>
  <si>
    <t>Voting Software</t>
  </si>
  <si>
    <t>from AMS</t>
  </si>
  <si>
    <t>24-041</t>
  </si>
  <si>
    <t>Refreshments</t>
  </si>
  <si>
    <t>Executive Meet and Greet</t>
  </si>
  <si>
    <t>Total Elections Expenses</t>
  </si>
  <si>
    <t>Awards</t>
  </si>
  <si>
    <t>24-050</t>
  </si>
  <si>
    <t>For students</t>
  </si>
  <si>
    <t>24-051</t>
  </si>
  <si>
    <t>For Teachers</t>
  </si>
  <si>
    <t>24-052</t>
  </si>
  <si>
    <t>Awards Committee</t>
  </si>
  <si>
    <t>24-053</t>
  </si>
  <si>
    <t>24-054</t>
  </si>
  <si>
    <t>Sword</t>
  </si>
  <si>
    <t>Engraving</t>
  </si>
  <si>
    <t>24-055</t>
  </si>
  <si>
    <t>Awards Plaque</t>
  </si>
  <si>
    <t>Updating Winners</t>
  </si>
  <si>
    <t>24-056</t>
  </si>
  <si>
    <t>Fourth Year Awards</t>
  </si>
  <si>
    <t>For Students</t>
  </si>
  <si>
    <t>Total Awards Expenses</t>
  </si>
  <si>
    <t>Banquet</t>
  </si>
  <si>
    <t>24-060</t>
  </si>
  <si>
    <t>Room Rental</t>
  </si>
  <si>
    <t>Capacity: 150-170</t>
  </si>
  <si>
    <t>24-061</t>
  </si>
  <si>
    <t>for banquet</t>
  </si>
  <si>
    <t>24-062</t>
  </si>
  <si>
    <t>per bottle</t>
  </si>
  <si>
    <t>24-063</t>
  </si>
  <si>
    <t>Gratuities</t>
  </si>
  <si>
    <t>24-064</t>
  </si>
  <si>
    <t>Busing</t>
  </si>
  <si>
    <t>To/From banquet</t>
  </si>
  <si>
    <t>24-065</t>
  </si>
  <si>
    <t>Programs</t>
  </si>
  <si>
    <t>to be given out at banquet</t>
  </si>
  <si>
    <t>24-066</t>
  </si>
  <si>
    <t>Name Cards</t>
  </si>
  <si>
    <t>for tables</t>
  </si>
  <si>
    <t>24-067</t>
  </si>
  <si>
    <t xml:space="preserve">Student Constables </t>
  </si>
  <si>
    <t>To maintain a safe environment</t>
  </si>
  <si>
    <t>Total Banquet Expenses</t>
  </si>
  <si>
    <t>DIRECTOR OF HUMAN RESOURCES - ALEXANDER REY</t>
  </si>
  <si>
    <t>INVOLVEMENT FAIRS (FALL AND WINTER)</t>
  </si>
  <si>
    <t>25-010</t>
  </si>
  <si>
    <t>In House Printing (11x17 Colour)</t>
  </si>
  <si>
    <t>25-011</t>
  </si>
  <si>
    <t>Assorted Baked Goods</t>
  </si>
  <si>
    <t>25-012</t>
  </si>
  <si>
    <t>Vegetable Tray</t>
  </si>
  <si>
    <t>25-013</t>
  </si>
  <si>
    <t>Tea</t>
  </si>
  <si>
    <t>25-014</t>
  </si>
  <si>
    <t>Involvement Fair Expenses</t>
  </si>
  <si>
    <t>STAFF CHATS AND HIRING</t>
  </si>
  <si>
    <t>25-020</t>
  </si>
  <si>
    <t xml:space="preserve">Survey Software </t>
  </si>
  <si>
    <t>1 Yr Survey Monkey Gold Subscription</t>
  </si>
  <si>
    <t>Staff Chats and Hiring Expenses</t>
  </si>
  <si>
    <t>HIRING TOWN HALL</t>
  </si>
  <si>
    <t>25-030</t>
  </si>
  <si>
    <t>Pizza Pizza, $2.00/slice (for Town Hall)</t>
  </si>
  <si>
    <t>25-031</t>
  </si>
  <si>
    <t>Juice and Pop (for Town Hall)</t>
  </si>
  <si>
    <t>25-033</t>
  </si>
  <si>
    <t>Hiring Town Hall Expenses</t>
  </si>
  <si>
    <t>ERB APPRECIATION</t>
  </si>
  <si>
    <t>25-040</t>
  </si>
  <si>
    <t>25-041</t>
  </si>
  <si>
    <t>ERB Appreciation Expenses</t>
  </si>
  <si>
    <t>ENGSOC HIRING 101</t>
  </si>
  <si>
    <t>25-050</t>
  </si>
  <si>
    <t>Tea Room Rental</t>
  </si>
  <si>
    <t>Renting the Tea Room for two hours!</t>
  </si>
  <si>
    <t>25-051</t>
  </si>
  <si>
    <t>25-052</t>
  </si>
  <si>
    <t>25-053</t>
  </si>
  <si>
    <t>25-054</t>
  </si>
  <si>
    <t>EngSoc Hiring Basics Expenses</t>
  </si>
  <si>
    <t>25-060</t>
  </si>
  <si>
    <t xml:space="preserve">Will be given when appropriate to appreciate managers </t>
  </si>
  <si>
    <t>Manager Appreciation Expenses</t>
  </si>
  <si>
    <t>TERRY FOX RUN</t>
  </si>
  <si>
    <t>Total Terry Fox Run Revenue</t>
  </si>
  <si>
    <t>EngVents</t>
  </si>
  <si>
    <t>Paintballing</t>
  </si>
  <si>
    <t>Based on last year</t>
  </si>
  <si>
    <t>Boat Cruise</t>
  </si>
  <si>
    <t>Based on last year, confirmed on website</t>
  </si>
  <si>
    <t>Boat Cruise Deposit Return</t>
  </si>
  <si>
    <t>Assuming we get the deposit back</t>
  </si>
  <si>
    <t>Discipline Dodgeball</t>
  </si>
  <si>
    <t>Foosball Tournament</t>
  </si>
  <si>
    <t>Total EngVents Revenue</t>
  </si>
  <si>
    <t>Fix'n'Clean</t>
  </si>
  <si>
    <t>Fall Sponsors</t>
  </si>
  <si>
    <t xml:space="preserve">Ali BaBa's </t>
  </si>
  <si>
    <t>Lunch for Volunteers</t>
  </si>
  <si>
    <t>Tim bits as volunteer snack</t>
  </si>
  <si>
    <t xml:space="preserve">Canadian Tire </t>
  </si>
  <si>
    <t>Cleaning supplies and gas cards</t>
  </si>
  <si>
    <t xml:space="preserve">Food Basics </t>
  </si>
  <si>
    <t>Granola bars, juice boxes, water</t>
  </si>
  <si>
    <t xml:space="preserve">Bookstore </t>
  </si>
  <si>
    <t xml:space="preserve">t shirts </t>
  </si>
  <si>
    <t>Total Fall Sponsors Revenue</t>
  </si>
  <si>
    <t xml:space="preserve">Winter Sponsors </t>
  </si>
  <si>
    <t>Bookstore</t>
  </si>
  <si>
    <t>Total Winter Sponsors Revenue</t>
  </si>
  <si>
    <t>ERC</t>
  </si>
  <si>
    <t>Total ERC Revenue</t>
  </si>
  <si>
    <t>Carol Service</t>
  </si>
  <si>
    <t>Sponsorship</t>
  </si>
  <si>
    <t>Total Coral Service Revenue</t>
  </si>
  <si>
    <t>EngWeek</t>
  </si>
  <si>
    <t>Curling</t>
  </si>
  <si>
    <t>T-sledz</t>
  </si>
  <si>
    <t>Pub Trivia</t>
  </si>
  <si>
    <t>All-Ages (Pre-Sold)</t>
  </si>
  <si>
    <t>All-Ages (At the door)</t>
  </si>
  <si>
    <t>Pub Crawl</t>
  </si>
  <si>
    <t>Karaoke</t>
  </si>
  <si>
    <t>BOTB</t>
  </si>
  <si>
    <t>Total EngWeek Revenue</t>
  </si>
  <si>
    <t>MHEC</t>
  </si>
  <si>
    <t>Total MHEC Revenue</t>
  </si>
  <si>
    <t>Food for the BBQ</t>
  </si>
  <si>
    <t>Cookies from the Tea Room</t>
  </si>
  <si>
    <t>PEC gym</t>
  </si>
  <si>
    <t>In case it rains</t>
  </si>
  <si>
    <t>Printing</t>
  </si>
  <si>
    <t>For posters and advertising</t>
  </si>
  <si>
    <t>Total Terry Fox Run Expenses</t>
  </si>
  <si>
    <t>Paintball</t>
  </si>
  <si>
    <t>1st, 2nd and 3rd place prizes</t>
  </si>
  <si>
    <t>Admission Cost</t>
  </si>
  <si>
    <t>Buses</t>
  </si>
  <si>
    <t>Extra paint</t>
  </si>
  <si>
    <t>(based on last year's demands)</t>
  </si>
  <si>
    <t>Total Paintball Expenses</t>
  </si>
  <si>
    <t>1 Cruise</t>
  </si>
  <si>
    <t>Responsibility Deposit</t>
  </si>
  <si>
    <t>Refundable</t>
  </si>
  <si>
    <t>DJ</t>
  </si>
  <si>
    <t>SOCAN Fees</t>
  </si>
  <si>
    <t>James Reid-2 Trips</t>
  </si>
  <si>
    <t>Damage Deposit</t>
  </si>
  <si>
    <t>Refundable damage deposit</t>
  </si>
  <si>
    <t>StuCons</t>
  </si>
  <si>
    <t>4 hours, 7 StuCons (if no alcohol)</t>
  </si>
  <si>
    <t>Tickets</t>
  </si>
  <si>
    <t>For tickets Staples (500 sheets)</t>
  </si>
  <si>
    <t>Total Boar Cruise Expenses</t>
  </si>
  <si>
    <t>Chutes and Lattes (tea room)</t>
  </si>
  <si>
    <t>booking tea room base fee</t>
  </si>
  <si>
    <t>Booking tea room (hourly rate)</t>
  </si>
  <si>
    <t>Coffees</t>
  </si>
  <si>
    <t>Desert trays</t>
  </si>
  <si>
    <t>Muffin trays</t>
  </si>
  <si>
    <t>Prize</t>
  </si>
  <si>
    <t>Total Chutes and Lattes (tea room) Expenses</t>
  </si>
  <si>
    <t>CHP Talent Show</t>
  </si>
  <si>
    <t>Booking Clark Hall Pub</t>
  </si>
  <si>
    <t>Total CHP Talent Show Expenses</t>
  </si>
  <si>
    <t>Gym Rental</t>
  </si>
  <si>
    <t>Tape</t>
  </si>
  <si>
    <t>Total Discipline Dodgeball Expenses</t>
  </si>
  <si>
    <t xml:space="preserve">Pizza </t>
  </si>
  <si>
    <t>Total Foosball Tournament Expenses</t>
  </si>
  <si>
    <t>Marketing</t>
  </si>
  <si>
    <t>Posters 8.5x11</t>
  </si>
  <si>
    <t>Posters 11x17</t>
  </si>
  <si>
    <t>Total Marketing Expenses</t>
  </si>
  <si>
    <t>Total EngVents Expenses</t>
  </si>
  <si>
    <t>Fall Event</t>
  </si>
  <si>
    <t>Cleaning supplies</t>
  </si>
  <si>
    <t xml:space="preserve">Add to supply closet </t>
  </si>
  <si>
    <t>Gas</t>
  </si>
  <si>
    <t>Payback Volunteers</t>
  </si>
  <si>
    <t>posters, flyers, etc.</t>
  </si>
  <si>
    <t>Sponsor Appreciation</t>
  </si>
  <si>
    <t xml:space="preserve">letters, t shirts </t>
  </si>
  <si>
    <t>Tea and Coffee</t>
  </si>
  <si>
    <t xml:space="preserve">Timbits </t>
  </si>
  <si>
    <t xml:space="preserve">Lunch for volunteers </t>
  </si>
  <si>
    <t xml:space="preserve">Snacks for volunteers </t>
  </si>
  <si>
    <t>granola bars, juice, etc.</t>
  </si>
  <si>
    <t>Total Fall Event Expenses</t>
  </si>
  <si>
    <t>Winter Event</t>
  </si>
  <si>
    <t>Total Winter Event Expenses</t>
  </si>
  <si>
    <t>Total Fix'n'Clean Expenses</t>
  </si>
  <si>
    <t>Santa Claus Parade</t>
  </si>
  <si>
    <t>Entrance Fee</t>
  </si>
  <si>
    <t>Trailer Rental</t>
  </si>
  <si>
    <t>Truck Driver</t>
  </si>
  <si>
    <t>previously has been volunteers</t>
  </si>
  <si>
    <t>Generator</t>
  </si>
  <si>
    <t>Previously by donation</t>
  </si>
  <si>
    <t>Gasoline</t>
  </si>
  <si>
    <t>Bus Rentals</t>
  </si>
  <si>
    <t>Festive hats</t>
  </si>
  <si>
    <t>$2/person</t>
  </si>
  <si>
    <t>Total Santa Claus Parade Expenses</t>
  </si>
  <si>
    <t>24 Hr. Snow Fort Building Contest</t>
  </si>
  <si>
    <t>Golden Shovel Patches</t>
  </si>
  <si>
    <t>Minimum 12</t>
  </si>
  <si>
    <t>Snow Fort Jacket Patches</t>
  </si>
  <si>
    <t>Minimum 20</t>
  </si>
  <si>
    <t>Total Snow Fort Building Competition Expenses</t>
  </si>
  <si>
    <t>Blood Drive/Swab x2</t>
  </si>
  <si>
    <t xml:space="preserve">Sugar Cookies </t>
  </si>
  <si>
    <t>$4.00/pack</t>
  </si>
  <si>
    <t>Water</t>
  </si>
  <si>
    <t>Total Blood Drive Expenses</t>
  </si>
  <si>
    <t>KGH "Volunteer Program"</t>
  </si>
  <si>
    <t>T-shirts</t>
  </si>
  <si>
    <t>if not sponsored by bookstore</t>
  </si>
  <si>
    <t>Total KGH "Volunteer Program" Expenses</t>
  </si>
  <si>
    <t>EngDay Display</t>
  </si>
  <si>
    <t>$0.10/b+w &amp; $0.60/colour</t>
  </si>
  <si>
    <t>EngDay Handouts</t>
  </si>
  <si>
    <t>$0.60/colour</t>
  </si>
  <si>
    <t>Applications</t>
  </si>
  <si>
    <t>$0.10/b+w</t>
  </si>
  <si>
    <t>Email List</t>
  </si>
  <si>
    <t>Cookies</t>
  </si>
  <si>
    <t>EngDay</t>
  </si>
  <si>
    <t>Hockey Team Sponsorship (Refer to Alex Wood)</t>
  </si>
  <si>
    <t>Sponsorship fee</t>
  </si>
  <si>
    <t>Fan Bus</t>
  </si>
  <si>
    <t>Jersey Screening Fees</t>
  </si>
  <si>
    <t xml:space="preserve">Custom Hockey Cards </t>
  </si>
  <si>
    <t>Have Comm team help</t>
  </si>
  <si>
    <t>Total Hockey Team Sponsorship Expenses</t>
  </si>
  <si>
    <t>Service</t>
  </si>
  <si>
    <t>Grant Hall Rental</t>
  </si>
  <si>
    <t>Organist</t>
  </si>
  <si>
    <t>Paid for by Chaplain</t>
  </si>
  <si>
    <t>Piano Tuning</t>
  </si>
  <si>
    <t>Additional Decorations</t>
  </si>
  <si>
    <t xml:space="preserve">Choral Risers </t>
  </si>
  <si>
    <t>May not be needed</t>
  </si>
  <si>
    <t>Total Service Expenses</t>
  </si>
  <si>
    <t>Reception</t>
  </si>
  <si>
    <t>Reception Room Rental</t>
  </si>
  <si>
    <t>Red Room - through ASUS</t>
  </si>
  <si>
    <t>Catering</t>
  </si>
  <si>
    <t>Windmills</t>
  </si>
  <si>
    <t>Hot Beverages</t>
  </si>
  <si>
    <t>Tea Room</t>
  </si>
  <si>
    <t>Napkins</t>
  </si>
  <si>
    <t>Total Reception Expenses</t>
  </si>
  <si>
    <t>Advertisement</t>
  </si>
  <si>
    <t>In House Printing</t>
  </si>
  <si>
    <t xml:space="preserve">Flyers </t>
  </si>
  <si>
    <t>In House Printing (estimate)</t>
  </si>
  <si>
    <t>Staples</t>
  </si>
  <si>
    <t>Thank-you Cards and Gifts</t>
  </si>
  <si>
    <t>Total Advertisement Expenses</t>
  </si>
  <si>
    <t>Total Carol Service Expenses</t>
  </si>
  <si>
    <t>Curling Club Deposit</t>
  </si>
  <si>
    <t>4 sheets</t>
  </si>
  <si>
    <t>Bussing</t>
  </si>
  <si>
    <t>Base Fee and Cleaning</t>
  </si>
  <si>
    <t>Stu Cons</t>
  </si>
  <si>
    <t>Assuming no increase in salary</t>
  </si>
  <si>
    <t>Duct Tape</t>
  </si>
  <si>
    <t>Assuming more in storage</t>
  </si>
  <si>
    <t>Total Curling Expenses</t>
  </si>
  <si>
    <t>All Ages</t>
  </si>
  <si>
    <t>Venue</t>
  </si>
  <si>
    <t>Decorations</t>
  </si>
  <si>
    <t>Total All Ages Expenses</t>
  </si>
  <si>
    <t>Clark Hall</t>
  </si>
  <si>
    <t>In case drink target not met</t>
  </si>
  <si>
    <t>TVs/Game consoles/Games</t>
  </si>
  <si>
    <t>Anyone who volunteers will get free admission and 1 free drink</t>
  </si>
  <si>
    <t>Prizes for winners of tournaments</t>
  </si>
  <si>
    <t>Total Hockey Expenses</t>
  </si>
  <si>
    <t>Total BOTB Expenses</t>
  </si>
  <si>
    <t>Trivia</t>
  </si>
  <si>
    <t>Food Colouring</t>
  </si>
  <si>
    <t>Purple Turbo</t>
  </si>
  <si>
    <t>Pencils</t>
  </si>
  <si>
    <t>Total Karaoke Expenses</t>
  </si>
  <si>
    <t>T-Shirts</t>
  </si>
  <si>
    <t>Total Pub Crawl Expenses</t>
  </si>
  <si>
    <t>ThunderSledz</t>
  </si>
  <si>
    <t>Canadian Tire</t>
  </si>
  <si>
    <t>Garbage Removal</t>
  </si>
  <si>
    <t>Rope</t>
  </si>
  <si>
    <t>Audio Equipment</t>
  </si>
  <si>
    <t>Extra Costs If No Snow Present</t>
  </si>
  <si>
    <t>Total Thundersledz Expenses</t>
  </si>
  <si>
    <t>EngWeek Sweaters</t>
  </si>
  <si>
    <t>Engsoc - Colour Printing</t>
  </si>
  <si>
    <t>Tent Cards</t>
  </si>
  <si>
    <t>Staples - Box of 100</t>
  </si>
  <si>
    <t xml:space="preserve">Tickets </t>
  </si>
  <si>
    <t>LAN Party</t>
  </si>
  <si>
    <t xml:space="preserve">New Xbox 360 </t>
  </si>
  <si>
    <t>Total LAN Party Expenses</t>
  </si>
  <si>
    <t>Total EngWeek Expenses</t>
  </si>
  <si>
    <t>Morning Yoga/Tea by Donation</t>
  </si>
  <si>
    <t>Steeped tea</t>
  </si>
  <si>
    <t>Total Morning Yoga/Tea by Donation Expenses</t>
  </si>
  <si>
    <t>Posters to Advertise in ILC</t>
  </si>
  <si>
    <t>Single Sided, Colour</t>
  </si>
  <si>
    <t>Total Advertising Expenses</t>
  </si>
  <si>
    <t>Clark Hall Karaoke Event</t>
  </si>
  <si>
    <t>Total Clark Hall Karaoke Expenses</t>
  </si>
  <si>
    <t>Brunch &amp; Speaker Session</t>
  </si>
  <si>
    <t>Tearoom</t>
  </si>
  <si>
    <t>Fruit</t>
  </si>
  <si>
    <t xml:space="preserve">fruit platters </t>
  </si>
  <si>
    <t>Packaged Juice</t>
  </si>
  <si>
    <t>Juice (concentrate)</t>
  </si>
  <si>
    <t>Total MHEC Expenses</t>
  </si>
  <si>
    <t>TOTAL Expenses</t>
  </si>
  <si>
    <t>26-001</t>
  </si>
  <si>
    <t>26-002</t>
  </si>
  <si>
    <t>26-003</t>
  </si>
  <si>
    <t>26-004</t>
  </si>
  <si>
    <t>26-005</t>
  </si>
  <si>
    <t>26-010</t>
  </si>
  <si>
    <t>26-011</t>
  </si>
  <si>
    <t>26-012</t>
  </si>
  <si>
    <t>26-013</t>
  </si>
  <si>
    <t>26-014</t>
  </si>
  <si>
    <t>260-020</t>
  </si>
  <si>
    <t>260-021</t>
  </si>
  <si>
    <t>260-022</t>
  </si>
  <si>
    <t>260-023</t>
  </si>
  <si>
    <t>260-024</t>
  </si>
  <si>
    <t>26-030</t>
  </si>
  <si>
    <t>26-040</t>
  </si>
  <si>
    <t>26-041</t>
  </si>
  <si>
    <t>26-042</t>
  </si>
  <si>
    <t>26-043</t>
  </si>
  <si>
    <t>26-044</t>
  </si>
  <si>
    <t>26-045</t>
  </si>
  <si>
    <t>26-046</t>
  </si>
  <si>
    <t>26-047</t>
  </si>
  <si>
    <t>26-100</t>
  </si>
  <si>
    <t>26-101</t>
  </si>
  <si>
    <t>26-102</t>
  </si>
  <si>
    <t>26-103</t>
  </si>
  <si>
    <t>26-110</t>
  </si>
  <si>
    <t>26-111</t>
  </si>
  <si>
    <t>26-112</t>
  </si>
  <si>
    <t>26-113</t>
  </si>
  <si>
    <t>26-114</t>
  </si>
  <si>
    <t>26-120</t>
  </si>
  <si>
    <t>26-121</t>
  </si>
  <si>
    <t>26-122</t>
  </si>
  <si>
    <t>26-123</t>
  </si>
  <si>
    <t>26-124</t>
  </si>
  <si>
    <t>26-125</t>
  </si>
  <si>
    <t>26-126</t>
  </si>
  <si>
    <t>26-127</t>
  </si>
  <si>
    <t>26-130</t>
  </si>
  <si>
    <t>26-131</t>
  </si>
  <si>
    <t>26-132</t>
  </si>
  <si>
    <t>26-133</t>
  </si>
  <si>
    <t>26-134</t>
  </si>
  <si>
    <t>26-138</t>
  </si>
  <si>
    <t>26-140</t>
  </si>
  <si>
    <t>26-141</t>
  </si>
  <si>
    <t>26-142</t>
  </si>
  <si>
    <t>26-150</t>
  </si>
  <si>
    <t>26-151</t>
  </si>
  <si>
    <t>26-152</t>
  </si>
  <si>
    <t>26-160</t>
  </si>
  <si>
    <t>26-161</t>
  </si>
  <si>
    <t>26-162</t>
  </si>
  <si>
    <t>26-170</t>
  </si>
  <si>
    <t>26-171</t>
  </si>
  <si>
    <t>26-180</t>
  </si>
  <si>
    <t>26-181</t>
  </si>
  <si>
    <t>26-182</t>
  </si>
  <si>
    <t>26-183</t>
  </si>
  <si>
    <t>26-184</t>
  </si>
  <si>
    <t>26-185</t>
  </si>
  <si>
    <t>26-186</t>
  </si>
  <si>
    <t>26-187</t>
  </si>
  <si>
    <t>26-190</t>
  </si>
  <si>
    <t>26-191</t>
  </si>
  <si>
    <t>26-192</t>
  </si>
  <si>
    <t>26-193</t>
  </si>
  <si>
    <t>26-194</t>
  </si>
  <si>
    <t>26-195</t>
  </si>
  <si>
    <t>26-196</t>
  </si>
  <si>
    <t>26-197</t>
  </si>
  <si>
    <t>26-200</t>
  </si>
  <si>
    <t>26-201</t>
  </si>
  <si>
    <t>26-202</t>
  </si>
  <si>
    <t>26-203</t>
  </si>
  <si>
    <t>26-204</t>
  </si>
  <si>
    <t>26-206</t>
  </si>
  <si>
    <t>26-207</t>
  </si>
  <si>
    <t>26-210</t>
  </si>
  <si>
    <t>26-212</t>
  </si>
  <si>
    <t>26-220</t>
  </si>
  <si>
    <t>26-221</t>
  </si>
  <si>
    <t>26-222</t>
  </si>
  <si>
    <t>26-230</t>
  </si>
  <si>
    <t>26-240</t>
  </si>
  <si>
    <t>26-241</t>
  </si>
  <si>
    <t>26-242</t>
  </si>
  <si>
    <t>26-243</t>
  </si>
  <si>
    <t>26-244</t>
  </si>
  <si>
    <t>26-245</t>
  </si>
  <si>
    <t>26-246</t>
  </si>
  <si>
    <t>26-247</t>
  </si>
  <si>
    <t>26-250</t>
  </si>
  <si>
    <t>26-251</t>
  </si>
  <si>
    <t>26-252</t>
  </si>
  <si>
    <t>26-253</t>
  </si>
  <si>
    <t>26-260</t>
  </si>
  <si>
    <t>26-261</t>
  </si>
  <si>
    <t>26-262</t>
  </si>
  <si>
    <t>26-263</t>
  </si>
  <si>
    <t>26-264</t>
  </si>
  <si>
    <t>26-270</t>
  </si>
  <si>
    <t>26-271</t>
  </si>
  <si>
    <t>26-272</t>
  </si>
  <si>
    <t>26-273</t>
  </si>
  <si>
    <t>26-280</t>
  </si>
  <si>
    <t>26-281</t>
  </si>
  <si>
    <t>26-282</t>
  </si>
  <si>
    <t>26-283</t>
  </si>
  <si>
    <t>26-290</t>
  </si>
  <si>
    <t>26-291</t>
  </si>
  <si>
    <t>26-292</t>
  </si>
  <si>
    <t>26-293</t>
  </si>
  <si>
    <t>26-300</t>
  </si>
  <si>
    <t>26-301</t>
  </si>
  <si>
    <t>26-302</t>
  </si>
  <si>
    <t>26-310</t>
  </si>
  <si>
    <t>26-311</t>
  </si>
  <si>
    <t>26-312</t>
  </si>
  <si>
    <t>26-320</t>
  </si>
  <si>
    <t>26-321</t>
  </si>
  <si>
    <t>26-330</t>
  </si>
  <si>
    <t>26-331</t>
  </si>
  <si>
    <t>26-332</t>
  </si>
  <si>
    <t>26-333</t>
  </si>
  <si>
    <t>26-340</t>
  </si>
  <si>
    <t>26-350</t>
  </si>
  <si>
    <t>26-351</t>
  </si>
  <si>
    <t>26-352</t>
  </si>
  <si>
    <t>26-353</t>
  </si>
  <si>
    <t>26-354</t>
  </si>
  <si>
    <t>26-355</t>
  </si>
  <si>
    <t>26-360</t>
  </si>
  <si>
    <t>26-361</t>
  </si>
  <si>
    <t>26-362</t>
  </si>
  <si>
    <t>26-363</t>
  </si>
  <si>
    <t>26-364</t>
  </si>
  <si>
    <t>26-370</t>
  </si>
  <si>
    <t>26-371</t>
  </si>
  <si>
    <t>26-380</t>
  </si>
  <si>
    <t>26-390</t>
  </si>
  <si>
    <t>26-391</t>
  </si>
  <si>
    <t>26-400</t>
  </si>
  <si>
    <t>26-401</t>
  </si>
  <si>
    <t>26-410</t>
  </si>
  <si>
    <t>26-411</t>
  </si>
  <si>
    <t>26-412</t>
  </si>
  <si>
    <t>26-413</t>
  </si>
  <si>
    <t>26-414</t>
  </si>
  <si>
    <t>Financial Training</t>
  </si>
  <si>
    <t>Safety Deposit Bag</t>
  </si>
  <si>
    <t>Pop and Water</t>
  </si>
  <si>
    <t>Total Financial Training Expenses</t>
  </si>
  <si>
    <t>VICE-PRESIDENT OPERATIONS -ANDREW CRAWFORD</t>
  </si>
  <si>
    <t>Advisory Board</t>
  </si>
  <si>
    <t>Meeting Food</t>
  </si>
  <si>
    <t>$7/member per meeting</t>
  </si>
  <si>
    <t>Transition Dinner</t>
  </si>
  <si>
    <t>Incoming and Outgoing board members</t>
  </si>
  <si>
    <t>Alumni and Faculty Gifts</t>
  </si>
  <si>
    <t>Secretary</t>
  </si>
  <si>
    <t>Salary for Meetings</t>
  </si>
  <si>
    <t>Advisory Board Expenses</t>
  </si>
  <si>
    <t>Board Long Range Strategic Planning Meeting</t>
  </si>
  <si>
    <t>Breakfast</t>
  </si>
  <si>
    <t>Lunch</t>
  </si>
  <si>
    <t>Merchandise</t>
  </si>
  <si>
    <t>Portfolios/Clipboard</t>
  </si>
  <si>
    <t>Salary for full day</t>
  </si>
  <si>
    <t>Board LRSP Meeting Expenses</t>
  </si>
  <si>
    <t>Queen's Engineering Society</t>
  </si>
  <si>
    <t>2014-2015</t>
  </si>
  <si>
    <t>BUDGET</t>
  </si>
  <si>
    <t>PRE ACTUAL</t>
  </si>
  <si>
    <t>Loss/Gain</t>
  </si>
  <si>
    <t>ACTUAL</t>
  </si>
  <si>
    <t>SALES REVENUE</t>
  </si>
  <si>
    <t xml:space="preserve">Summer BBQ </t>
  </si>
  <si>
    <t xml:space="preserve">Printing </t>
  </si>
  <si>
    <t>Council Candy</t>
  </si>
  <si>
    <t>QUESSI Management Fees</t>
  </si>
  <si>
    <t>Imaginus Poster Sale</t>
  </si>
  <si>
    <t>Net Student Interest Fees</t>
  </si>
  <si>
    <t>Total Advertising</t>
  </si>
  <si>
    <t>Engenda Sales</t>
  </si>
  <si>
    <t>Chem Note Sales</t>
  </si>
  <si>
    <t>Rollover from 2013-2014</t>
  </si>
  <si>
    <t>Total Sales Revenue</t>
  </si>
  <si>
    <t>POSITION REVENUE</t>
  </si>
  <si>
    <t>VP Operations</t>
  </si>
  <si>
    <t>VP Student Affairs</t>
  </si>
  <si>
    <t>Director of Academics</t>
  </si>
  <si>
    <t>Director of Design</t>
  </si>
  <si>
    <t>Director of Professional Development</t>
  </si>
  <si>
    <t>Director of Conferences</t>
  </si>
  <si>
    <t>Director of First Year</t>
  </si>
  <si>
    <t>Director of Finance</t>
  </si>
  <si>
    <t>Director of Services</t>
  </si>
  <si>
    <t>Director of Information Technology</t>
  </si>
  <si>
    <t>Director of Events</t>
  </si>
  <si>
    <t>Director of Communications</t>
  </si>
  <si>
    <t>Director of Internal Affairs</t>
  </si>
  <si>
    <t>Director of Human Resources</t>
  </si>
  <si>
    <t>Event Positions</t>
  </si>
  <si>
    <t>Total Position Revenue</t>
  </si>
  <si>
    <t>RECOVERY REVENUE</t>
  </si>
  <si>
    <t>Accounting Recovery</t>
  </si>
  <si>
    <t>Administration Fees Recovery</t>
  </si>
  <si>
    <t>Rent Recovery</t>
  </si>
  <si>
    <t>Telephone &amp; Long Distance Recovery</t>
  </si>
  <si>
    <t>Insurance Recovery</t>
  </si>
  <si>
    <t>Bank Charges Recovery</t>
  </si>
  <si>
    <t>Total Recovery Revenue</t>
  </si>
  <si>
    <t>ATM Revenue</t>
  </si>
  <si>
    <t>Unknown Deposits</t>
  </si>
  <si>
    <t>COST OF GOODS SOLD</t>
  </si>
  <si>
    <t>Summer BBQ</t>
  </si>
  <si>
    <t>Total Printing Expenses</t>
  </si>
  <si>
    <t>Imaginus Expenses</t>
  </si>
  <si>
    <t>Yearbook Printing</t>
  </si>
  <si>
    <t>Engenda Printing</t>
  </si>
  <si>
    <t>Chem Notes Printing</t>
  </si>
  <si>
    <t>Total Cost of Goods Sold</t>
  </si>
  <si>
    <t>POSITION EXPENSES</t>
  </si>
  <si>
    <t>Contingency</t>
  </si>
  <si>
    <t>Total Position Expenses</t>
  </si>
  <si>
    <t>PAYROLL EXPENSES</t>
  </si>
  <si>
    <t>Wages &amp; Salaries</t>
  </si>
  <si>
    <t>EI Expense</t>
  </si>
  <si>
    <t>CPP Expense</t>
  </si>
  <si>
    <t>Exec &amp; Honoraria Expenses</t>
  </si>
  <si>
    <t>Total Payroll Expenses</t>
  </si>
  <si>
    <t>ADMINISTRATIVE EXPENSES</t>
  </si>
  <si>
    <t>Accounting &amp; Legal</t>
  </si>
  <si>
    <t>Rent</t>
  </si>
  <si>
    <t>Telephone &amp; Long Distance</t>
  </si>
  <si>
    <t xml:space="preserve">Insurance </t>
  </si>
  <si>
    <t>Bank Charges</t>
  </si>
  <si>
    <t>Total Administrative Expenses</t>
  </si>
  <si>
    <t>OPERATING EXPENSES</t>
  </si>
  <si>
    <t>Keys</t>
  </si>
  <si>
    <t>Shredding</t>
  </si>
  <si>
    <t>Lounge Improvements</t>
  </si>
  <si>
    <t>Courier &amp; Postage</t>
  </si>
  <si>
    <t>Office Supplies</t>
  </si>
  <si>
    <t>ESARCK</t>
  </si>
  <si>
    <t>Travel</t>
  </si>
  <si>
    <t>Repair &amp; Maintenance</t>
  </si>
  <si>
    <t>Jacket Bursaries</t>
  </si>
  <si>
    <t>Charitable Donation</t>
  </si>
  <si>
    <t>Summer Expenses</t>
  </si>
  <si>
    <t>Total Operating Expenses</t>
  </si>
  <si>
    <t>2015-2016</t>
  </si>
  <si>
    <t>In case drink target is not met</t>
  </si>
  <si>
    <t>Propane</t>
  </si>
  <si>
    <t>For Barbeque</t>
  </si>
  <si>
    <t>For meetings, 15 Meetings, $4/person</t>
  </si>
  <si>
    <t>Speakers on education, based on 3 speakers a semester at $200 each</t>
  </si>
  <si>
    <t>14-024</t>
  </si>
  <si>
    <t>Website Costs</t>
  </si>
  <si>
    <t>bedfund.com setup</t>
  </si>
  <si>
    <t>14-016</t>
  </si>
  <si>
    <t>englinks.ca - to keep name</t>
  </si>
  <si>
    <t>Room Cost</t>
  </si>
  <si>
    <t>4 rooms per workshop - 50 people per room</t>
  </si>
  <si>
    <t>GENERAL</t>
  </si>
  <si>
    <t>00-001</t>
  </si>
  <si>
    <t>BBQ sales</t>
  </si>
  <si>
    <t>Expect same</t>
  </si>
  <si>
    <t>Printing Revenue</t>
  </si>
  <si>
    <t>00-010</t>
  </si>
  <si>
    <t>Charge from students and Services</t>
  </si>
  <si>
    <t>00-020</t>
  </si>
  <si>
    <t>Council candy</t>
  </si>
  <si>
    <t>Donations for jacket bursary</t>
  </si>
  <si>
    <t>00-030</t>
  </si>
  <si>
    <t>QUESSI</t>
  </si>
  <si>
    <t>Payment for managing bookstore Board of Directors</t>
  </si>
  <si>
    <t>00-040</t>
  </si>
  <si>
    <t>Imaginus</t>
  </si>
  <si>
    <t>Renegotiated contract</t>
  </si>
  <si>
    <t>Student Interest Fees</t>
  </si>
  <si>
    <t>00-050</t>
  </si>
  <si>
    <t>2800 students expected</t>
  </si>
  <si>
    <t>00-051</t>
  </si>
  <si>
    <t>Less allocated</t>
  </si>
  <si>
    <t>Total Advertising Revenue</t>
  </si>
  <si>
    <t>00-060</t>
  </si>
  <si>
    <t>Yearbook Advertising</t>
  </si>
  <si>
    <t>CU advertising</t>
  </si>
  <si>
    <t>00-061</t>
  </si>
  <si>
    <t>Engenda Advertising</t>
  </si>
  <si>
    <t>00-080</t>
  </si>
  <si>
    <t>Chem Note sales</t>
  </si>
  <si>
    <t>Fall and Winter</t>
  </si>
  <si>
    <t>00-090</t>
  </si>
  <si>
    <t>Budgetary Rollover</t>
  </si>
  <si>
    <t>Other Sources</t>
  </si>
  <si>
    <t>00-100</t>
  </si>
  <si>
    <t>Based on specific services bookkeeping usage</t>
  </si>
  <si>
    <t>Collected via EngServe</t>
  </si>
  <si>
    <t>00-110</t>
  </si>
  <si>
    <t>Based on specific services General Manager usage</t>
  </si>
  <si>
    <t>00-120</t>
  </si>
  <si>
    <t>Based on specific services space usage</t>
  </si>
  <si>
    <t>00-130</t>
  </si>
  <si>
    <t>Based on specific services phone usage</t>
  </si>
  <si>
    <t>00-140</t>
  </si>
  <si>
    <t>Based on total insurance</t>
  </si>
  <si>
    <t>00-150</t>
  </si>
  <si>
    <t>Debit and Credit usage</t>
  </si>
  <si>
    <t>COSTS OF GOODS SOLD</t>
  </si>
  <si>
    <t>00-160</t>
  </si>
  <si>
    <t>BBQ materials</t>
  </si>
  <si>
    <t>Drinks, hot dogs, hamburgers, buns, condiments</t>
  </si>
  <si>
    <t>00-170</t>
  </si>
  <si>
    <t>Photocopier rental</t>
  </si>
  <si>
    <t>Machine rental from OT group</t>
  </si>
  <si>
    <t>00-171</t>
  </si>
  <si>
    <t>Paper</t>
  </si>
  <si>
    <t>Printer paper from Staples</t>
  </si>
  <si>
    <t>00-172</t>
  </si>
  <si>
    <t>Printing Ink</t>
  </si>
  <si>
    <t>Expected increase</t>
  </si>
  <si>
    <t>00-180</t>
  </si>
  <si>
    <t>Candy</t>
  </si>
  <si>
    <t>00-190</t>
  </si>
  <si>
    <t>Poster sale</t>
  </si>
  <si>
    <t>Room rental</t>
  </si>
  <si>
    <t>00-200</t>
  </si>
  <si>
    <t>Sci 16</t>
  </si>
  <si>
    <t>Printing through Friesen's</t>
  </si>
  <si>
    <t>00-210</t>
  </si>
  <si>
    <t>Engendas</t>
  </si>
  <si>
    <t>00-220</t>
  </si>
  <si>
    <t>Chem Notes</t>
  </si>
  <si>
    <t>Total Costs of Goods Sold</t>
  </si>
  <si>
    <t>00-230</t>
  </si>
  <si>
    <t>00-231</t>
  </si>
  <si>
    <t>President summer salary</t>
  </si>
  <si>
    <t>Current salary + assuming CPI increase of 1.2%</t>
  </si>
  <si>
    <t>00-232</t>
  </si>
  <si>
    <t>VP Operations summer salary</t>
  </si>
  <si>
    <t>00-233</t>
  </si>
  <si>
    <t>00-240</t>
  </si>
  <si>
    <t>Employment insurance</t>
  </si>
  <si>
    <t>Based off of last year</t>
  </si>
  <si>
    <t>00-250</t>
  </si>
  <si>
    <t>Canada pension plan</t>
  </si>
  <si>
    <t>00-260</t>
  </si>
  <si>
    <t>Executive Subsidy</t>
  </si>
  <si>
    <t>Up to half year's tuition</t>
  </si>
  <si>
    <t>00-261</t>
  </si>
  <si>
    <t>Summer exec honoraria</t>
  </si>
  <si>
    <t>1 week salary per exec</t>
  </si>
  <si>
    <t>00-270</t>
  </si>
  <si>
    <t>Bookkeeping</t>
  </si>
  <si>
    <t>TurnerMoore LLP - Certified General Accountants</t>
  </si>
  <si>
    <t>00-271</t>
  </si>
  <si>
    <t>Financial review</t>
  </si>
  <si>
    <t>Collins Barrow SEO LLP</t>
  </si>
  <si>
    <t>Administration - General Manager</t>
  </si>
  <si>
    <t>00-280</t>
  </si>
  <si>
    <t>Jay Young</t>
  </si>
  <si>
    <t>Wages</t>
  </si>
  <si>
    <t>00-281</t>
  </si>
  <si>
    <t>CPP and EI</t>
  </si>
  <si>
    <t>00-282</t>
  </si>
  <si>
    <t>Parking</t>
  </si>
  <si>
    <t>On-campus parking</t>
  </si>
  <si>
    <t>00-290</t>
  </si>
  <si>
    <t>Clark Hall rent</t>
  </si>
  <si>
    <t>Charged by university for building upkeep</t>
  </si>
  <si>
    <t>00-300</t>
  </si>
  <si>
    <t>8 phone lines</t>
  </si>
  <si>
    <t>00-301</t>
  </si>
  <si>
    <t>Average monthly long distance</t>
  </si>
  <si>
    <t>Insurance</t>
  </si>
  <si>
    <t>00-310</t>
  </si>
  <si>
    <t>AMS insurance</t>
  </si>
  <si>
    <t>Overall society insurance</t>
  </si>
  <si>
    <t>00-311</t>
  </si>
  <si>
    <t>ESARCK insurance</t>
  </si>
  <si>
    <t>Liability for ESARCK land</t>
  </si>
  <si>
    <t>00-320</t>
  </si>
  <si>
    <t>Moneris rental</t>
  </si>
  <si>
    <t>Monthly rental, security fees, and service for handheld</t>
  </si>
  <si>
    <t>00-321</t>
  </si>
  <si>
    <t>Transaction fees</t>
  </si>
  <si>
    <t>Credit</t>
  </si>
  <si>
    <t>00-322</t>
  </si>
  <si>
    <t>Debit</t>
  </si>
  <si>
    <t>00-323</t>
  </si>
  <si>
    <t>Credit cards</t>
  </si>
  <si>
    <t>Annual fees for corporate cards</t>
  </si>
  <si>
    <t>00-330</t>
  </si>
  <si>
    <t>Keys for spaces</t>
  </si>
  <si>
    <t>Obtained through PPS</t>
  </si>
  <si>
    <t>00-340</t>
  </si>
  <si>
    <t>Paper shredding</t>
  </si>
  <si>
    <t>Iron Mountain</t>
  </si>
  <si>
    <t>00-360</t>
  </si>
  <si>
    <t>Mailing costs</t>
  </si>
  <si>
    <t>Through the Campus Bookstore</t>
  </si>
  <si>
    <t>00-370</t>
  </si>
  <si>
    <t>Miscellaneous office supplies</t>
  </si>
  <si>
    <t>Folders, shelves, highlighters, etc.</t>
  </si>
  <si>
    <t>00-381</t>
  </si>
  <si>
    <t>Property taxes</t>
  </si>
  <si>
    <t>00-382</t>
  </si>
  <si>
    <t>Survey Fee</t>
  </si>
  <si>
    <t>00-390</t>
  </si>
  <si>
    <t>Mileage reports</t>
  </si>
  <si>
    <t>Reimbursement for travel expenses for the society</t>
  </si>
  <si>
    <t>00-400</t>
  </si>
  <si>
    <t>Miscellaneous repair</t>
  </si>
  <si>
    <t>00-410</t>
  </si>
  <si>
    <t>Jacket bursaries for GPAs</t>
  </si>
  <si>
    <t>Summer Spending</t>
  </si>
  <si>
    <t>00-430</t>
  </si>
  <si>
    <t>Summer projects</t>
  </si>
  <si>
    <t>Breakdown of expenses to be presented to Council</t>
  </si>
  <si>
    <t>$3.00/slice</t>
  </si>
  <si>
    <t>EVENT POSITIONS</t>
  </si>
  <si>
    <t>Incase drink target is not met</t>
  </si>
  <si>
    <t>OTHER SOURCES</t>
  </si>
  <si>
    <t>Administration - General Manager Salary</t>
  </si>
  <si>
    <t>Assorted chocolate bars and candy</t>
  </si>
  <si>
    <t>Council secretary for 12 councils, 1 AGM</t>
  </si>
  <si>
    <t>VP Society Affairs summer salary</t>
  </si>
  <si>
    <t>IT Services phone bills</t>
  </si>
  <si>
    <t>Remitted to City of Kingston for grease pole site</t>
  </si>
  <si>
    <t>for grease pole site</t>
  </si>
  <si>
    <t>Unforeseen maintenance to society space</t>
  </si>
  <si>
    <t>Smart TV for Clark</t>
  </si>
  <si>
    <t>Expo Low-Odor Dry-Erase markers, chisel tip, assorted, 4/Pack</t>
  </si>
  <si>
    <t>Tutor Appreciation Dinner</t>
  </si>
  <si>
    <t>Personal Attendance Fee</t>
  </si>
  <si>
    <t xml:space="preserve">Transportation Subsidy (based UOWaterloo host) </t>
  </si>
  <si>
    <t xml:space="preserve">Start Up / Licensing Fee </t>
  </si>
  <si>
    <t xml:space="preserve">Eng Soc Merchandise </t>
  </si>
  <si>
    <t>Exam Stress Relief</t>
  </si>
  <si>
    <t>Tips for Clark</t>
  </si>
  <si>
    <t>Estimated 70 person attendance with 2 tickets per person</t>
  </si>
  <si>
    <t>TBD, on Steph's Request</t>
  </si>
  <si>
    <t>Tea Room Meat Sandwiches</t>
  </si>
  <si>
    <t>Tea Room Veggie Sandwiches</t>
  </si>
  <si>
    <t>Director of Communication-Laura Penstone</t>
  </si>
  <si>
    <t>chalk, markers, Bristol board etc.</t>
  </si>
  <si>
    <t>Lavalier Microphone</t>
  </si>
  <si>
    <t>Attendance Book</t>
  </si>
  <si>
    <t>Posters: Voting/Nominations</t>
  </si>
  <si>
    <t xml:space="preserve">Spontaneous Management Appreciation Gift </t>
  </si>
  <si>
    <t xml:space="preserve">Tim Horton's </t>
  </si>
  <si>
    <t>Booking Clark hall pub</t>
  </si>
  <si>
    <t>Tim Horton's</t>
  </si>
  <si>
    <t xml:space="preserve">Ali Baba's </t>
  </si>
  <si>
    <t xml:space="preserve">Total Marketing Expenses </t>
  </si>
  <si>
    <t>Prizes (used games from Chumleighs)</t>
  </si>
  <si>
    <t>14-050</t>
  </si>
  <si>
    <t>Total Service Night Expenses</t>
  </si>
  <si>
    <t>Fall Manager Appreciation</t>
  </si>
  <si>
    <t>Total Fall Manager Appreciation Expenses</t>
  </si>
  <si>
    <t>Winter Manager Appreciation</t>
  </si>
  <si>
    <t>Total Winter Manager Appreciation Expenses</t>
  </si>
  <si>
    <t>Total Manager and Staff Applications Advertisement Expenses</t>
  </si>
  <si>
    <t>Total iCon Supply Expenses</t>
  </si>
  <si>
    <t>Total Manager Training Expenses</t>
  </si>
  <si>
    <t>Total iCon Transition Dinner Expenses</t>
  </si>
  <si>
    <t>Total iCon Social Expenses</t>
  </si>
  <si>
    <t>Total Hardware Expenses</t>
  </si>
  <si>
    <t>Total WebTraining Expenses</t>
  </si>
  <si>
    <t>Total Dean's Wine and Cheese Expenses</t>
  </si>
  <si>
    <t>Total Position Expenses Expenses</t>
  </si>
  <si>
    <t>Total A/V Equipment Expenses</t>
  </si>
  <si>
    <t>`</t>
  </si>
  <si>
    <t>12-001</t>
  </si>
  <si>
    <t>12-002</t>
  </si>
  <si>
    <t>12-003</t>
  </si>
  <si>
    <t>12-004</t>
  </si>
  <si>
    <t>12-011</t>
  </si>
  <si>
    <t>12-012</t>
  </si>
  <si>
    <t>12-013</t>
  </si>
  <si>
    <t>12-014</t>
  </si>
  <si>
    <t>Total ERC Expenses</t>
  </si>
  <si>
    <t>arifkin.com</t>
  </si>
  <si>
    <t>MAST Competition</t>
  </si>
  <si>
    <t>Eng Soc sponsored meal</t>
  </si>
  <si>
    <t>Meal sponsored by Eng Soc for the competitors</t>
  </si>
  <si>
    <t>Total MAST Competition Expenses</t>
  </si>
  <si>
    <t>15-070</t>
  </si>
  <si>
    <t>15-071</t>
  </si>
  <si>
    <t>DIRECTOR OF FINANCE - JANE FERGUSON</t>
  </si>
  <si>
    <t>Total Safety Deposit Bag Expenses</t>
  </si>
  <si>
    <t>Total Physic Cookies Expenses</t>
  </si>
  <si>
    <t>Total Exam Stress Relief Expenses</t>
  </si>
  <si>
    <t>Total ED Meet and Greet Expenses</t>
  </si>
  <si>
    <t>Total Games Night Expenses</t>
  </si>
  <si>
    <t>Rollover from 2014-2015</t>
  </si>
  <si>
    <t>Total Faculty Support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</si>
</sst>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&quot;$&quot;#,##0.00"/>
    <numFmt numFmtId="166" formatCode="0.000%"/>
    <numFmt numFmtId="167" formatCode="&quot;$&quot;#,##0.000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name val="Segoe U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name val="Calibri"/>
      <scheme val="minor"/>
    </font>
    <font>
      <b/>
      <sz val="12"/>
      <name val="Segoe UI"/>
      <family val="2"/>
    </font>
    <font>
      <b/>
      <sz val="12"/>
      <color theme="0"/>
      <name val="Segoe UI"/>
      <family val="2"/>
    </font>
    <font>
      <sz val="12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b/>
      <sz val="14"/>
      <name val="Segoe UI"/>
      <family val="2"/>
    </font>
    <font>
      <i/>
      <sz val="12"/>
      <name val="Segoe UI"/>
      <family val="2"/>
    </font>
    <font>
      <sz val="10"/>
      <name val="Arial"/>
      <family val="2"/>
    </font>
    <font>
      <b/>
      <sz val="12"/>
      <color rgb="FFFFFFFF"/>
      <name val="Segoe UI"/>
      <family val="2"/>
    </font>
    <font>
      <b/>
      <u/>
      <sz val="11"/>
      <color theme="7" tint="-0.499984740745262"/>
      <name val="Segoe UI"/>
      <family val="2"/>
    </font>
    <font>
      <sz val="8"/>
      <name val="Calibri"/>
      <family val="2"/>
      <scheme val="minor"/>
    </font>
    <font>
      <b/>
      <sz val="22"/>
      <color theme="1"/>
      <name val="Calibri"/>
      <scheme val="minor"/>
    </font>
    <font>
      <b/>
      <i/>
      <sz val="11"/>
      <name val="Segoe UI"/>
    </font>
    <font>
      <sz val="12"/>
      <color theme="1"/>
      <name val="Segoe UI"/>
      <family val="2"/>
    </font>
    <font>
      <b/>
      <i/>
      <sz val="12"/>
      <name val="Segoe UI"/>
    </font>
    <font>
      <b/>
      <sz val="20"/>
      <color rgb="FF000000"/>
      <name val="Calibri"/>
      <family val="2"/>
      <scheme val="minor"/>
    </font>
    <font>
      <b/>
      <sz val="11"/>
      <color rgb="FFFFFFFF"/>
      <name val="Segoe UI"/>
      <family val="2"/>
    </font>
    <font>
      <b/>
      <sz val="26"/>
      <color rgb="FF7030A0"/>
      <name val="Segoe UI"/>
      <family val="2"/>
    </font>
    <font>
      <b/>
      <sz val="26"/>
      <color rgb="FF660099"/>
      <name val="Segoe UI Light"/>
      <family val="2"/>
    </font>
    <font>
      <b/>
      <sz val="26"/>
      <color rgb="FF7030A0"/>
      <name val="Segoe UI Light"/>
      <family val="2"/>
    </font>
    <font>
      <sz val="12"/>
      <color rgb="FF000000"/>
      <name val="Segoe UI"/>
      <family val="2"/>
    </font>
    <font>
      <u/>
      <sz val="10"/>
      <color theme="10"/>
      <name val="Arial"/>
      <family val="2"/>
    </font>
    <font>
      <sz val="14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660099"/>
        <bgColor rgb="FF000000"/>
      </patternFill>
    </fill>
    <fill>
      <patternFill patternType="solid">
        <fgColor rgb="FF6600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ECB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CB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12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12" borderId="0" applyNumberFormat="0" applyFill="0" applyBorder="0" applyAlignment="0" applyProtection="0"/>
  </cellStyleXfs>
  <cellXfs count="512">
    <xf numFmtId="0" fontId="0" fillId="12" borderId="0" xfId="0"/>
    <xf numFmtId="0" fontId="3" fillId="12" borderId="0" xfId="0" applyFont="1"/>
    <xf numFmtId="49" fontId="4" fillId="2" borderId="1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165" fontId="5" fillId="6" borderId="8" xfId="0" applyNumberFormat="1" applyFont="1" applyFill="1" applyBorder="1" applyAlignment="1">
      <alignment horizontal="center"/>
    </xf>
    <xf numFmtId="165" fontId="5" fillId="5" borderId="8" xfId="0" applyNumberFormat="1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165" fontId="5" fillId="6" borderId="9" xfId="0" applyNumberFormat="1" applyFont="1" applyFill="1" applyBorder="1" applyAlignment="1">
      <alignment horizontal="center"/>
    </xf>
    <xf numFmtId="165" fontId="5" fillId="7" borderId="2" xfId="0" applyNumberFormat="1" applyFont="1" applyFill="1" applyBorder="1" applyAlignment="1">
      <alignment horizontal="center"/>
    </xf>
    <xf numFmtId="1" fontId="5" fillId="7" borderId="2" xfId="0" applyNumberFormat="1" applyFont="1" applyFill="1" applyBorder="1" applyAlignment="1">
      <alignment horizontal="center"/>
    </xf>
    <xf numFmtId="165" fontId="5" fillId="7" borderId="3" xfId="0" applyNumberFormat="1" applyFont="1" applyFill="1" applyBorder="1" applyAlignment="1">
      <alignment horizontal="center"/>
    </xf>
    <xf numFmtId="0" fontId="5" fillId="6" borderId="7" xfId="0" applyFont="1" applyFill="1" applyBorder="1"/>
    <xf numFmtId="0" fontId="5" fillId="6" borderId="0" xfId="0" applyFont="1" applyFill="1" applyBorder="1"/>
    <xf numFmtId="0" fontId="6" fillId="6" borderId="0" xfId="0" applyFont="1" applyFill="1" applyBorder="1"/>
    <xf numFmtId="165" fontId="6" fillId="6" borderId="0" xfId="0" applyNumberFormat="1" applyFont="1" applyFill="1" applyBorder="1"/>
    <xf numFmtId="1" fontId="6" fillId="6" borderId="0" xfId="0" applyNumberFormat="1" applyFont="1" applyFill="1" applyBorder="1"/>
    <xf numFmtId="165" fontId="6" fillId="6" borderId="10" xfId="0" applyNumberFormat="1" applyFont="1" applyFill="1" applyBorder="1"/>
    <xf numFmtId="0" fontId="6" fillId="8" borderId="0" xfId="0" applyFont="1" applyFill="1" applyBorder="1" applyAlignment="1">
      <alignment horizontal="center"/>
    </xf>
    <xf numFmtId="165" fontId="6" fillId="8" borderId="0" xfId="0" applyNumberFormat="1" applyFont="1" applyFill="1" applyBorder="1" applyAlignment="1">
      <alignment horizontal="center"/>
    </xf>
    <xf numFmtId="1" fontId="6" fillId="8" borderId="0" xfId="0" applyNumberFormat="1" applyFont="1" applyFill="1" applyBorder="1" applyAlignment="1">
      <alignment horizontal="center"/>
    </xf>
    <xf numFmtId="165" fontId="6" fillId="8" borderId="10" xfId="0" applyNumberFormat="1" applyFont="1" applyFill="1" applyBorder="1" applyAlignment="1">
      <alignment horizontal="center"/>
    </xf>
    <xf numFmtId="0" fontId="6" fillId="6" borderId="7" xfId="0" applyFont="1" applyFill="1" applyBorder="1"/>
    <xf numFmtId="3" fontId="6" fillId="6" borderId="0" xfId="0" applyNumberFormat="1" applyFont="1" applyFill="1" applyBorder="1"/>
    <xf numFmtId="165" fontId="6" fillId="6" borderId="0" xfId="0" applyNumberFormat="1" applyFont="1" applyFill="1" applyBorder="1" applyAlignment="1">
      <alignment horizontal="center"/>
    </xf>
    <xf numFmtId="1" fontId="6" fillId="6" borderId="0" xfId="0" applyNumberFormat="1" applyFont="1" applyFill="1" applyBorder="1" applyAlignment="1">
      <alignment horizontal="center"/>
    </xf>
    <xf numFmtId="165" fontId="6" fillId="6" borderId="10" xfId="0" applyNumberFormat="1" applyFont="1" applyFill="1" applyBorder="1" applyAlignment="1">
      <alignment horizontal="center"/>
    </xf>
    <xf numFmtId="0" fontId="6" fillId="8" borderId="0" xfId="0" applyFont="1" applyFill="1" applyBorder="1"/>
    <xf numFmtId="3" fontId="6" fillId="8" borderId="0" xfId="0" applyNumberFormat="1" applyFont="1" applyFill="1" applyBorder="1"/>
    <xf numFmtId="0" fontId="5" fillId="6" borderId="4" xfId="0" applyFont="1" applyFill="1" applyBorder="1"/>
    <xf numFmtId="3" fontId="6" fillId="6" borderId="5" xfId="0" applyNumberFormat="1" applyFont="1" applyFill="1" applyBorder="1"/>
    <xf numFmtId="165" fontId="6" fillId="6" borderId="5" xfId="0" applyNumberFormat="1" applyFont="1" applyFill="1" applyBorder="1" applyAlignment="1">
      <alignment horizontal="center"/>
    </xf>
    <xf numFmtId="1" fontId="6" fillId="6" borderId="5" xfId="0" applyNumberFormat="1" applyFont="1" applyFill="1" applyBorder="1" applyAlignment="1">
      <alignment horizontal="center"/>
    </xf>
    <xf numFmtId="165" fontId="5" fillId="6" borderId="5" xfId="0" applyNumberFormat="1" applyFont="1" applyFill="1" applyBorder="1" applyAlignment="1">
      <alignment horizontal="center"/>
    </xf>
    <xf numFmtId="165" fontId="5" fillId="6" borderId="6" xfId="0" applyNumberFormat="1" applyFont="1" applyFill="1" applyBorder="1" applyAlignment="1">
      <alignment horizontal="center"/>
    </xf>
    <xf numFmtId="165" fontId="5" fillId="6" borderId="0" xfId="0" applyNumberFormat="1" applyFont="1" applyFill="1" applyBorder="1" applyAlignment="1">
      <alignment horizontal="center"/>
    </xf>
    <xf numFmtId="1" fontId="5" fillId="6" borderId="0" xfId="0" applyNumberFormat="1" applyFont="1" applyFill="1" applyBorder="1" applyAlignment="1">
      <alignment horizontal="center"/>
    </xf>
    <xf numFmtId="165" fontId="5" fillId="6" borderId="10" xfId="0" applyNumberFormat="1" applyFont="1" applyFill="1" applyBorder="1" applyAlignment="1">
      <alignment horizontal="center"/>
    </xf>
    <xf numFmtId="0" fontId="5" fillId="6" borderId="5" xfId="0" applyFont="1" applyFill="1" applyBorder="1"/>
    <xf numFmtId="1" fontId="5" fillId="6" borderId="5" xfId="0" applyNumberFormat="1" applyFont="1" applyFill="1" applyBorder="1" applyAlignment="1">
      <alignment horizontal="center"/>
    </xf>
    <xf numFmtId="165" fontId="5" fillId="9" borderId="2" xfId="0" applyNumberFormat="1" applyFont="1" applyFill="1" applyBorder="1" applyAlignment="1">
      <alignment horizontal="center"/>
    </xf>
    <xf numFmtId="1" fontId="5" fillId="9" borderId="2" xfId="0" applyNumberFormat="1" applyFont="1" applyFill="1" applyBorder="1" applyAlignment="1">
      <alignment horizontal="center"/>
    </xf>
    <xf numFmtId="3" fontId="5" fillId="6" borderId="5" xfId="0" applyNumberFormat="1" applyFont="1" applyFill="1" applyBorder="1"/>
    <xf numFmtId="0" fontId="7" fillId="6" borderId="7" xfId="0" applyFont="1" applyFill="1" applyBorder="1"/>
    <xf numFmtId="0" fontId="5" fillId="8" borderId="0" xfId="0" applyFont="1" applyFill="1" applyBorder="1"/>
    <xf numFmtId="165" fontId="5" fillId="8" borderId="0" xfId="0" applyNumberFormat="1" applyFont="1" applyFill="1" applyBorder="1" applyAlignment="1">
      <alignment horizontal="center"/>
    </xf>
    <xf numFmtId="165" fontId="5" fillId="8" borderId="9" xfId="0" applyNumberFormat="1" applyFont="1" applyFill="1" applyBorder="1" applyAlignment="1">
      <alignment horizontal="center"/>
    </xf>
    <xf numFmtId="0" fontId="5" fillId="6" borderId="1" xfId="0" applyFont="1" applyFill="1" applyBorder="1"/>
    <xf numFmtId="0" fontId="5" fillId="8" borderId="2" xfId="0" applyFont="1" applyFill="1" applyBorder="1"/>
    <xf numFmtId="165" fontId="5" fillId="8" borderId="2" xfId="0" applyNumberFormat="1" applyFont="1" applyFill="1" applyBorder="1" applyAlignment="1">
      <alignment horizontal="center"/>
    </xf>
    <xf numFmtId="165" fontId="5" fillId="8" borderId="3" xfId="0" applyNumberFormat="1" applyFont="1" applyFill="1" applyBorder="1" applyAlignment="1">
      <alignment horizontal="center"/>
    </xf>
    <xf numFmtId="0" fontId="3" fillId="6" borderId="0" xfId="0" applyFont="1" applyFill="1"/>
    <xf numFmtId="0" fontId="5" fillId="7" borderId="1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5" fillId="6" borderId="0" xfId="0" applyFont="1" applyFill="1" applyBorder="1" applyAlignment="1">
      <alignment horizontal="left"/>
    </xf>
    <xf numFmtId="165" fontId="5" fillId="5" borderId="0" xfId="0" applyNumberFormat="1" applyFont="1" applyFill="1" applyBorder="1" applyAlignment="1">
      <alignment horizontal="center"/>
    </xf>
    <xf numFmtId="1" fontId="5" fillId="5" borderId="0" xfId="0" applyNumberFormat="1" applyFont="1" applyFill="1" applyBorder="1" applyAlignment="1">
      <alignment horizontal="center"/>
    </xf>
    <xf numFmtId="1" fontId="11" fillId="6" borderId="5" xfId="0" applyNumberFormat="1" applyFont="1" applyFill="1" applyBorder="1" applyAlignment="1">
      <alignment horizontal="center"/>
    </xf>
    <xf numFmtId="165" fontId="11" fillId="6" borderId="5" xfId="0" applyNumberFormat="1" applyFont="1" applyFill="1" applyBorder="1" applyAlignment="1">
      <alignment horizontal="center"/>
    </xf>
    <xf numFmtId="165" fontId="11" fillId="6" borderId="6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2" fillId="2" borderId="2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65" fontId="12" fillId="2" borderId="5" xfId="0" applyNumberFormat="1" applyFont="1" applyFill="1" applyBorder="1" applyAlignment="1">
      <alignment horizontal="center"/>
    </xf>
    <xf numFmtId="165" fontId="12" fillId="3" borderId="6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165" fontId="11" fillId="6" borderId="8" xfId="0" applyNumberFormat="1" applyFont="1" applyFill="1" applyBorder="1" applyAlignment="1">
      <alignment horizontal="center"/>
    </xf>
    <xf numFmtId="165" fontId="11" fillId="5" borderId="8" xfId="0" applyNumberFormat="1" applyFont="1" applyFill="1" applyBorder="1" applyAlignment="1">
      <alignment horizontal="center"/>
    </xf>
    <xf numFmtId="1" fontId="11" fillId="5" borderId="8" xfId="0" applyNumberFormat="1" applyFont="1" applyFill="1" applyBorder="1" applyAlignment="1">
      <alignment horizontal="center"/>
    </xf>
    <xf numFmtId="165" fontId="11" fillId="6" borderId="9" xfId="0" applyNumberFormat="1" applyFont="1" applyFill="1" applyBorder="1" applyAlignment="1">
      <alignment horizontal="center"/>
    </xf>
    <xf numFmtId="165" fontId="11" fillId="7" borderId="2" xfId="0" applyNumberFormat="1" applyFont="1" applyFill="1" applyBorder="1" applyAlignment="1">
      <alignment horizontal="center"/>
    </xf>
    <xf numFmtId="1" fontId="11" fillId="7" borderId="2" xfId="0" applyNumberFormat="1" applyFont="1" applyFill="1" applyBorder="1" applyAlignment="1">
      <alignment horizontal="center"/>
    </xf>
    <xf numFmtId="165" fontId="11" fillId="7" borderId="3" xfId="0" applyNumberFormat="1" applyFont="1" applyFill="1" applyBorder="1" applyAlignment="1">
      <alignment horizontal="center"/>
    </xf>
    <xf numFmtId="0" fontId="11" fillId="6" borderId="7" xfId="0" applyFont="1" applyFill="1" applyBorder="1"/>
    <xf numFmtId="0" fontId="11" fillId="6" borderId="0" xfId="0" applyFont="1" applyFill="1" applyBorder="1"/>
    <xf numFmtId="0" fontId="13" fillId="6" borderId="0" xfId="0" applyFont="1" applyFill="1" applyBorder="1" applyAlignment="1">
      <alignment horizontal="center"/>
    </xf>
    <xf numFmtId="165" fontId="13" fillId="6" borderId="0" xfId="0" applyNumberFormat="1" applyFont="1" applyFill="1" applyBorder="1"/>
    <xf numFmtId="1" fontId="13" fillId="6" borderId="0" xfId="0" applyNumberFormat="1" applyFont="1" applyFill="1" applyBorder="1"/>
    <xf numFmtId="165" fontId="13" fillId="6" borderId="10" xfId="0" applyNumberFormat="1" applyFont="1" applyFill="1" applyBorder="1"/>
    <xf numFmtId="0" fontId="13" fillId="8" borderId="0" xfId="0" applyFont="1" applyFill="1" applyBorder="1" applyAlignment="1">
      <alignment horizontal="center"/>
    </xf>
    <xf numFmtId="165" fontId="13" fillId="8" borderId="0" xfId="0" applyNumberFormat="1" applyFont="1" applyFill="1" applyBorder="1"/>
    <xf numFmtId="165" fontId="13" fillId="8" borderId="0" xfId="0" applyNumberFormat="1" applyFont="1" applyFill="1" applyBorder="1" applyAlignment="1">
      <alignment horizontal="center"/>
    </xf>
    <xf numFmtId="1" fontId="13" fillId="8" borderId="0" xfId="0" applyNumberFormat="1" applyFont="1" applyFill="1" applyBorder="1" applyAlignment="1">
      <alignment horizontal="center"/>
    </xf>
    <xf numFmtId="165" fontId="13" fillId="8" borderId="10" xfId="0" applyNumberFormat="1" applyFont="1" applyFill="1" applyBorder="1" applyAlignment="1">
      <alignment horizontal="center"/>
    </xf>
    <xf numFmtId="0" fontId="13" fillId="6" borderId="0" xfId="0" applyFont="1" applyFill="1" applyBorder="1"/>
    <xf numFmtId="0" fontId="13" fillId="6" borderId="2" xfId="0" applyFont="1" applyFill="1" applyBorder="1" applyAlignment="1">
      <alignment horizontal="center"/>
    </xf>
    <xf numFmtId="3" fontId="13" fillId="6" borderId="2" xfId="0" applyNumberFormat="1" applyFont="1" applyFill="1" applyBorder="1" applyAlignment="1">
      <alignment horizontal="center"/>
    </xf>
    <xf numFmtId="165" fontId="13" fillId="6" borderId="2" xfId="0" applyNumberFormat="1" applyFont="1" applyFill="1" applyBorder="1" applyAlignment="1">
      <alignment horizontal="center"/>
    </xf>
    <xf numFmtId="1" fontId="13" fillId="6" borderId="2" xfId="0" applyNumberFormat="1" applyFont="1" applyFill="1" applyBorder="1" applyAlignment="1">
      <alignment horizontal="center"/>
    </xf>
    <xf numFmtId="165" fontId="13" fillId="6" borderId="3" xfId="0" applyNumberFormat="1" applyFont="1" applyFill="1" applyBorder="1" applyAlignment="1">
      <alignment horizontal="center"/>
    </xf>
    <xf numFmtId="0" fontId="11" fillId="6" borderId="4" xfId="0" applyFont="1" applyFill="1" applyBorder="1"/>
    <xf numFmtId="165" fontId="11" fillId="6" borderId="2" xfId="0" applyNumberFormat="1" applyFont="1" applyFill="1" applyBorder="1" applyAlignment="1">
      <alignment horizontal="center"/>
    </xf>
    <xf numFmtId="165" fontId="11" fillId="6" borderId="3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165" fontId="11" fillId="6" borderId="0" xfId="0" applyNumberFormat="1" applyFont="1" applyFill="1" applyBorder="1" applyAlignment="1">
      <alignment horizontal="center"/>
    </xf>
    <xf numFmtId="1" fontId="11" fillId="6" borderId="0" xfId="0" applyNumberFormat="1" applyFont="1" applyFill="1" applyBorder="1" applyAlignment="1">
      <alignment horizontal="center"/>
    </xf>
    <xf numFmtId="165" fontId="11" fillId="6" borderId="10" xfId="0" applyNumberFormat="1" applyFont="1" applyFill="1" applyBorder="1" applyAlignment="1">
      <alignment horizontal="center"/>
    </xf>
    <xf numFmtId="0" fontId="14" fillId="6" borderId="7" xfId="0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165" fontId="14" fillId="6" borderId="0" xfId="0" applyNumberFormat="1" applyFont="1" applyFill="1" applyBorder="1" applyAlignment="1">
      <alignment horizontal="center"/>
    </xf>
    <xf numFmtId="1" fontId="14" fillId="6" borderId="0" xfId="0" applyNumberFormat="1" applyFont="1" applyFill="1" applyBorder="1" applyAlignment="1">
      <alignment horizontal="center"/>
    </xf>
    <xf numFmtId="165" fontId="14" fillId="6" borderId="10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165" fontId="11" fillId="9" borderId="2" xfId="0" applyNumberFormat="1" applyFont="1" applyFill="1" applyBorder="1" applyAlignment="1">
      <alignment horizontal="center"/>
    </xf>
    <xf numFmtId="1" fontId="11" fillId="9" borderId="2" xfId="0" applyNumberFormat="1" applyFont="1" applyFill="1" applyBorder="1" applyAlignment="1">
      <alignment horizontal="center"/>
    </xf>
    <xf numFmtId="165" fontId="13" fillId="6" borderId="0" xfId="0" applyNumberFormat="1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165" fontId="13" fillId="6" borderId="10" xfId="0" applyNumberFormat="1" applyFont="1" applyFill="1" applyBorder="1" applyAlignment="1">
      <alignment horizontal="center"/>
    </xf>
    <xf numFmtId="0" fontId="13" fillId="6" borderId="7" xfId="0" applyFont="1" applyFill="1" applyBorder="1"/>
    <xf numFmtId="3" fontId="13" fillId="8" borderId="0" xfId="0" applyNumberFormat="1" applyFont="1" applyFill="1" applyBorder="1" applyAlignment="1">
      <alignment horizontal="center"/>
    </xf>
    <xf numFmtId="3" fontId="13" fillId="6" borderId="0" xfId="0" applyNumberFormat="1" applyFont="1" applyFill="1" applyBorder="1" applyAlignment="1">
      <alignment horizontal="center"/>
    </xf>
    <xf numFmtId="165" fontId="13" fillId="6" borderId="0" xfId="0" applyNumberFormat="1" applyFont="1" applyFill="1" applyBorder="1" applyAlignment="1">
      <alignment horizontal="left"/>
    </xf>
    <xf numFmtId="165" fontId="13" fillId="8" borderId="0" xfId="0" applyNumberFormat="1" applyFont="1" applyFill="1" applyBorder="1" applyAlignment="1">
      <alignment horizontal="left"/>
    </xf>
    <xf numFmtId="3" fontId="11" fillId="6" borderId="5" xfId="0" applyNumberFormat="1" applyFont="1" applyFill="1" applyBorder="1" applyAlignment="1">
      <alignment horizontal="center"/>
    </xf>
    <xf numFmtId="0" fontId="13" fillId="6" borderId="0" xfId="0" applyFont="1" applyFill="1"/>
    <xf numFmtId="0" fontId="0" fillId="6" borderId="0" xfId="0" applyFill="1"/>
    <xf numFmtId="0" fontId="0" fillId="6" borderId="10" xfId="0" applyFill="1" applyBorder="1"/>
    <xf numFmtId="0" fontId="0" fillId="8" borderId="0" xfId="0" applyFill="1"/>
    <xf numFmtId="0" fontId="0" fillId="8" borderId="10" xfId="0" applyFill="1" applyBorder="1"/>
    <xf numFmtId="0" fontId="11" fillId="6" borderId="2" xfId="0" applyFont="1" applyFill="1" applyBorder="1" applyAlignment="1">
      <alignment horizontal="center"/>
    </xf>
    <xf numFmtId="1" fontId="11" fillId="6" borderId="2" xfId="0" applyNumberFormat="1" applyFont="1" applyFill="1" applyBorder="1" applyAlignment="1">
      <alignment horizontal="center"/>
    </xf>
    <xf numFmtId="0" fontId="0" fillId="12" borderId="3" xfId="0" applyBorder="1"/>
    <xf numFmtId="0" fontId="15" fillId="6" borderId="7" xfId="0" applyFont="1" applyFill="1" applyBorder="1"/>
    <xf numFmtId="0" fontId="15" fillId="6" borderId="0" xfId="0" applyFont="1" applyFill="1" applyBorder="1"/>
    <xf numFmtId="0" fontId="16" fillId="7" borderId="1" xfId="0" applyFont="1" applyFill="1" applyBorder="1" applyAlignment="1">
      <alignment horizontal="left"/>
    </xf>
    <xf numFmtId="0" fontId="16" fillId="7" borderId="2" xfId="0" applyFont="1" applyFill="1" applyBorder="1" applyAlignment="1">
      <alignment horizontal="left"/>
    </xf>
    <xf numFmtId="165" fontId="16" fillId="7" borderId="2" xfId="0" applyNumberFormat="1" applyFont="1" applyFill="1" applyBorder="1" applyAlignment="1">
      <alignment horizontal="center"/>
    </xf>
    <xf numFmtId="1" fontId="16" fillId="7" borderId="2" xfId="0" applyNumberFormat="1" applyFont="1" applyFill="1" applyBorder="1" applyAlignment="1">
      <alignment horizontal="center"/>
    </xf>
    <xf numFmtId="165" fontId="16" fillId="7" borderId="3" xfId="0" applyNumberFormat="1" applyFont="1" applyFill="1" applyBorder="1" applyAlignment="1">
      <alignment horizontal="center"/>
    </xf>
    <xf numFmtId="0" fontId="16" fillId="6" borderId="7" xfId="0" applyFont="1" applyFill="1" applyBorder="1"/>
    <xf numFmtId="0" fontId="16" fillId="8" borderId="0" xfId="0" applyFont="1" applyFill="1" applyBorder="1"/>
    <xf numFmtId="0" fontId="16" fillId="8" borderId="0" xfId="0" applyFont="1" applyFill="1" applyBorder="1" applyAlignment="1">
      <alignment horizontal="center"/>
    </xf>
    <xf numFmtId="165" fontId="16" fillId="8" borderId="0" xfId="0" applyNumberFormat="1" applyFont="1" applyFill="1" applyBorder="1" applyAlignment="1">
      <alignment horizontal="center"/>
    </xf>
    <xf numFmtId="165" fontId="16" fillId="8" borderId="9" xfId="0" applyNumberFormat="1" applyFont="1" applyFill="1" applyBorder="1" applyAlignment="1">
      <alignment horizontal="center"/>
    </xf>
    <xf numFmtId="0" fontId="16" fillId="6" borderId="0" xfId="0" applyFont="1" applyFill="1" applyBorder="1"/>
    <xf numFmtId="0" fontId="16" fillId="6" borderId="0" xfId="0" applyFont="1" applyFill="1" applyBorder="1" applyAlignment="1">
      <alignment horizontal="center"/>
    </xf>
    <xf numFmtId="165" fontId="16" fillId="6" borderId="0" xfId="0" applyNumberFormat="1" applyFont="1" applyFill="1" applyBorder="1" applyAlignment="1">
      <alignment horizontal="center"/>
    </xf>
    <xf numFmtId="165" fontId="16" fillId="6" borderId="10" xfId="0" applyNumberFormat="1" applyFont="1" applyFill="1" applyBorder="1" applyAlignment="1">
      <alignment horizontal="center"/>
    </xf>
    <xf numFmtId="0" fontId="16" fillId="6" borderId="1" xfId="0" applyFont="1" applyFill="1" applyBorder="1"/>
    <xf numFmtId="0" fontId="16" fillId="8" borderId="2" xfId="0" applyFont="1" applyFill="1" applyBorder="1"/>
    <xf numFmtId="0" fontId="16" fillId="8" borderId="2" xfId="0" applyFont="1" applyFill="1" applyBorder="1" applyAlignment="1">
      <alignment horizontal="center"/>
    </xf>
    <xf numFmtId="165" fontId="16" fillId="8" borderId="2" xfId="0" applyNumberFormat="1" applyFont="1" applyFill="1" applyBorder="1" applyAlignment="1">
      <alignment horizontal="center"/>
    </xf>
    <xf numFmtId="165" fontId="16" fillId="8" borderId="3" xfId="0" applyNumberFormat="1" applyFont="1" applyFill="1" applyBorder="1" applyAlignment="1">
      <alignment horizontal="center"/>
    </xf>
    <xf numFmtId="165" fontId="11" fillId="5" borderId="0" xfId="0" applyNumberFormat="1" applyFont="1" applyFill="1" applyBorder="1" applyAlignment="1">
      <alignment horizontal="center"/>
    </xf>
    <xf numFmtId="49" fontId="12" fillId="2" borderId="8" xfId="0" applyNumberFormat="1" applyFont="1" applyFill="1" applyBorder="1" applyAlignment="1"/>
    <xf numFmtId="49" fontId="12" fillId="2" borderId="8" xfId="0" applyNumberFormat="1" applyFont="1" applyFill="1" applyBorder="1" applyAlignment="1">
      <alignment horizontal="center"/>
    </xf>
    <xf numFmtId="49" fontId="12" fillId="3" borderId="8" xfId="0" applyNumberFormat="1" applyFont="1" applyFill="1" applyBorder="1" applyAlignment="1">
      <alignment horizontal="center"/>
    </xf>
    <xf numFmtId="49" fontId="13" fillId="8" borderId="0" xfId="0" applyNumberFormat="1" applyFont="1" applyFill="1" applyBorder="1" applyAlignment="1">
      <alignment horizontal="center"/>
    </xf>
    <xf numFmtId="49" fontId="13" fillId="6" borderId="0" xfId="0" applyNumberFormat="1" applyFont="1" applyFill="1" applyBorder="1" applyAlignment="1">
      <alignment horizontal="center"/>
    </xf>
    <xf numFmtId="49" fontId="11" fillId="6" borderId="4" xfId="0" applyNumberFormat="1" applyFont="1" applyFill="1" applyBorder="1"/>
    <xf numFmtId="3" fontId="13" fillId="6" borderId="5" xfId="0" applyNumberFormat="1" applyFont="1" applyFill="1" applyBorder="1" applyAlignment="1">
      <alignment horizontal="center"/>
    </xf>
    <xf numFmtId="165" fontId="13" fillId="6" borderId="5" xfId="0" applyNumberFormat="1" applyFont="1" applyFill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3" fontId="6" fillId="8" borderId="0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3" fontId="6" fillId="6" borderId="0" xfId="0" applyNumberFormat="1" applyFont="1" applyFill="1" applyBorder="1" applyAlignment="1">
      <alignment horizontal="center"/>
    </xf>
    <xf numFmtId="0" fontId="11" fillId="6" borderId="7" xfId="0" applyFont="1" applyFill="1" applyBorder="1" applyAlignment="1">
      <alignment vertical="center"/>
    </xf>
    <xf numFmtId="49" fontId="17" fillId="6" borderId="0" xfId="0" applyNumberFormat="1" applyFont="1" applyFill="1" applyBorder="1" applyAlignment="1">
      <alignment vertical="center"/>
    </xf>
    <xf numFmtId="3" fontId="13" fillId="6" borderId="0" xfId="0" applyNumberFormat="1" applyFont="1" applyFill="1" applyBorder="1" applyAlignment="1">
      <alignment vertical="center"/>
    </xf>
    <xf numFmtId="165" fontId="13" fillId="6" borderId="0" xfId="0" applyNumberFormat="1" applyFont="1" applyFill="1" applyBorder="1" applyAlignment="1">
      <alignment horizontal="center" vertical="center"/>
    </xf>
    <xf numFmtId="1" fontId="13" fillId="6" borderId="0" xfId="0" applyNumberFormat="1" applyFont="1" applyFill="1" applyBorder="1" applyAlignment="1">
      <alignment horizontal="center" vertical="center"/>
    </xf>
    <xf numFmtId="165" fontId="13" fillId="6" borderId="10" xfId="0" applyNumberFormat="1" applyFont="1" applyFill="1" applyBorder="1" applyAlignment="1">
      <alignment horizontal="center" vertical="center"/>
    </xf>
    <xf numFmtId="49" fontId="13" fillId="8" borderId="0" xfId="0" applyNumberFormat="1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165" fontId="13" fillId="8" borderId="0" xfId="0" applyNumberFormat="1" applyFont="1" applyFill="1" applyBorder="1" applyAlignment="1">
      <alignment horizontal="center" vertical="center"/>
    </xf>
    <xf numFmtId="1" fontId="13" fillId="8" borderId="0" xfId="0" applyNumberFormat="1" applyFont="1" applyFill="1" applyBorder="1" applyAlignment="1">
      <alignment horizontal="center" vertical="center"/>
    </xf>
    <xf numFmtId="165" fontId="13" fillId="8" borderId="10" xfId="0" applyNumberFormat="1" applyFont="1" applyFill="1" applyBorder="1" applyAlignment="1">
      <alignment horizontal="center" vertical="center"/>
    </xf>
    <xf numFmtId="49" fontId="13" fillId="6" borderId="0" xfId="0" applyNumberFormat="1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vertical="center"/>
    </xf>
    <xf numFmtId="0" fontId="13" fillId="6" borderId="7" xfId="0" applyFont="1" applyFill="1" applyBorder="1" applyAlignment="1">
      <alignment vertical="center"/>
    </xf>
    <xf numFmtId="49" fontId="11" fillId="6" borderId="4" xfId="0" applyNumberFormat="1" applyFont="1" applyFill="1" applyBorder="1" applyAlignment="1">
      <alignment vertical="center"/>
    </xf>
    <xf numFmtId="0" fontId="11" fillId="6" borderId="5" xfId="0" applyFont="1" applyFill="1" applyBorder="1" applyAlignment="1">
      <alignment horizontal="center" vertical="center"/>
    </xf>
    <xf numFmtId="165" fontId="11" fillId="6" borderId="5" xfId="0" applyNumberFormat="1" applyFont="1" applyFill="1" applyBorder="1" applyAlignment="1">
      <alignment horizontal="center" vertical="center"/>
    </xf>
    <xf numFmtId="1" fontId="11" fillId="6" borderId="5" xfId="0" applyNumberFormat="1" applyFont="1" applyFill="1" applyBorder="1" applyAlignment="1">
      <alignment horizontal="center" vertical="center"/>
    </xf>
    <xf numFmtId="165" fontId="11" fillId="6" borderId="6" xfId="0" applyNumberFormat="1" applyFont="1" applyFill="1" applyBorder="1" applyAlignment="1">
      <alignment horizontal="center" vertical="center"/>
    </xf>
    <xf numFmtId="0" fontId="11" fillId="6" borderId="7" xfId="4" applyFont="1" applyFill="1" applyBorder="1"/>
    <xf numFmtId="49" fontId="11" fillId="6" borderId="0" xfId="4" applyNumberFormat="1" applyFont="1" applyFill="1" applyBorder="1"/>
    <xf numFmtId="0" fontId="13" fillId="6" borderId="0" xfId="4" applyFont="1" applyFill="1" applyBorder="1" applyAlignment="1">
      <alignment horizontal="center"/>
    </xf>
    <xf numFmtId="165" fontId="13" fillId="6" borderId="0" xfId="4" applyNumberFormat="1" applyFont="1" applyFill="1" applyBorder="1" applyAlignment="1">
      <alignment horizontal="center"/>
    </xf>
    <xf numFmtId="1" fontId="13" fillId="6" borderId="0" xfId="4" applyNumberFormat="1" applyFont="1" applyFill="1" applyBorder="1" applyAlignment="1">
      <alignment horizontal="center"/>
    </xf>
    <xf numFmtId="165" fontId="13" fillId="6" borderId="10" xfId="4" applyNumberFormat="1" applyFont="1" applyFill="1" applyBorder="1" applyAlignment="1">
      <alignment horizontal="center"/>
    </xf>
    <xf numFmtId="0" fontId="13" fillId="6" borderId="7" xfId="4" applyFont="1" applyFill="1" applyBorder="1"/>
    <xf numFmtId="49" fontId="13" fillId="8" borderId="0" xfId="4" applyNumberFormat="1" applyFont="1" applyFill="1" applyBorder="1" applyAlignment="1">
      <alignment horizontal="center"/>
    </xf>
    <xf numFmtId="3" fontId="13" fillId="8" borderId="0" xfId="4" applyNumberFormat="1" applyFont="1" applyFill="1" applyBorder="1" applyAlignment="1">
      <alignment horizontal="center"/>
    </xf>
    <xf numFmtId="165" fontId="13" fillId="8" borderId="0" xfId="4" applyNumberFormat="1" applyFont="1" applyFill="1" applyBorder="1" applyAlignment="1">
      <alignment horizontal="center"/>
    </xf>
    <xf numFmtId="1" fontId="13" fillId="8" borderId="0" xfId="4" applyNumberFormat="1" applyFont="1" applyFill="1" applyBorder="1" applyAlignment="1">
      <alignment horizontal="center"/>
    </xf>
    <xf numFmtId="165" fontId="13" fillId="8" borderId="10" xfId="4" applyNumberFormat="1" applyFont="1" applyFill="1" applyBorder="1" applyAlignment="1">
      <alignment horizontal="center"/>
    </xf>
    <xf numFmtId="49" fontId="13" fillId="6" borderId="0" xfId="4" applyNumberFormat="1" applyFont="1" applyFill="1" applyBorder="1" applyAlignment="1">
      <alignment horizontal="center"/>
    </xf>
    <xf numFmtId="3" fontId="13" fillId="6" borderId="0" xfId="4" applyNumberFormat="1" applyFont="1" applyFill="1" applyBorder="1" applyAlignment="1">
      <alignment horizontal="center"/>
    </xf>
    <xf numFmtId="49" fontId="13" fillId="6" borderId="0" xfId="4" applyNumberFormat="1" applyFont="1" applyFill="1" applyBorder="1"/>
    <xf numFmtId="3" fontId="11" fillId="6" borderId="5" xfId="0" applyNumberFormat="1" applyFont="1" applyFill="1" applyBorder="1"/>
    <xf numFmtId="165" fontId="13" fillId="6" borderId="0" xfId="4" applyNumberFormat="1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left"/>
    </xf>
    <xf numFmtId="165" fontId="6" fillId="8" borderId="10" xfId="3" applyNumberFormat="1" applyFont="1" applyFill="1" applyBorder="1" applyAlignment="1">
      <alignment horizontal="center"/>
    </xf>
    <xf numFmtId="0" fontId="13" fillId="8" borderId="0" xfId="0" applyFont="1" applyFill="1" applyBorder="1"/>
    <xf numFmtId="0" fontId="0" fillId="12" borderId="0" xfId="0" applyAlignment="1">
      <alignment horizontal="center"/>
    </xf>
    <xf numFmtId="0" fontId="0" fillId="12" borderId="0" xfId="0" applyBorder="1" applyAlignment="1">
      <alignment horizontal="center"/>
    </xf>
    <xf numFmtId="0" fontId="2" fillId="12" borderId="0" xfId="0" applyFont="1" applyBorder="1" applyAlignment="1">
      <alignment vertical="center"/>
    </xf>
    <xf numFmtId="0" fontId="3" fillId="12" borderId="0" xfId="0" applyFont="1" applyBorder="1"/>
    <xf numFmtId="0" fontId="3" fillId="12" borderId="2" xfId="0" applyFont="1" applyBorder="1" applyAlignment="1"/>
    <xf numFmtId="0" fontId="3" fillId="12" borderId="3" xfId="0" applyFont="1" applyBorder="1" applyAlignment="1"/>
    <xf numFmtId="165" fontId="6" fillId="8" borderId="0" xfId="0" applyNumberFormat="1" applyFont="1" applyFill="1" applyBorder="1" applyAlignment="1">
      <alignment horizontal="center" wrapText="1"/>
    </xf>
    <xf numFmtId="0" fontId="7" fillId="6" borderId="0" xfId="0" applyFont="1" applyFill="1" applyBorder="1"/>
    <xf numFmtId="165" fontId="6" fillId="6" borderId="0" xfId="0" applyNumberFormat="1" applyFont="1" applyFill="1" applyBorder="1" applyAlignment="1">
      <alignment horizontal="center" wrapText="1"/>
    </xf>
    <xf numFmtId="0" fontId="11" fillId="4" borderId="7" xfId="0" applyFont="1" applyFill="1" applyBorder="1"/>
    <xf numFmtId="0" fontId="11" fillId="4" borderId="0" xfId="0" applyFont="1" applyFill="1"/>
    <xf numFmtId="0" fontId="13" fillId="4" borderId="0" xfId="0" applyFont="1" applyFill="1"/>
    <xf numFmtId="165" fontId="13" fillId="4" borderId="0" xfId="0" applyNumberFormat="1" applyFont="1" applyFill="1" applyAlignment="1">
      <alignment horizontal="center"/>
    </xf>
    <xf numFmtId="1" fontId="13" fillId="4" borderId="0" xfId="0" applyNumberFormat="1" applyFont="1" applyFill="1" applyAlignment="1">
      <alignment horizontal="center"/>
    </xf>
    <xf numFmtId="0" fontId="13" fillId="4" borderId="7" xfId="0" applyFont="1" applyFill="1" applyBorder="1"/>
    <xf numFmtId="0" fontId="13" fillId="10" borderId="0" xfId="0" applyFont="1" applyFill="1"/>
    <xf numFmtId="3" fontId="13" fillId="10" borderId="0" xfId="0" applyNumberFormat="1" applyFont="1" applyFill="1"/>
    <xf numFmtId="165" fontId="13" fillId="10" borderId="0" xfId="0" applyNumberFormat="1" applyFont="1" applyFill="1" applyAlignment="1">
      <alignment horizontal="center"/>
    </xf>
    <xf numFmtId="1" fontId="13" fillId="10" borderId="0" xfId="0" applyNumberFormat="1" applyFont="1" applyFill="1" applyAlignment="1">
      <alignment horizontal="center"/>
    </xf>
    <xf numFmtId="3" fontId="13" fillId="4" borderId="0" xfId="0" applyNumberFormat="1" applyFont="1" applyFill="1"/>
    <xf numFmtId="49" fontId="19" fillId="2" borderId="1" xfId="0" applyNumberFormat="1" applyFont="1" applyFill="1" applyBorder="1"/>
    <xf numFmtId="49" fontId="19" fillId="2" borderId="2" xfId="0" applyNumberFormat="1" applyFont="1" applyFill="1" applyBorder="1" applyAlignment="1">
      <alignment horizontal="center"/>
    </xf>
    <xf numFmtId="49" fontId="19" fillId="2" borderId="3" xfId="0" applyNumberFormat="1" applyFont="1" applyFill="1" applyBorder="1" applyAlignment="1">
      <alignment horizontal="center"/>
    </xf>
    <xf numFmtId="49" fontId="19" fillId="2" borderId="5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/>
    </xf>
    <xf numFmtId="165" fontId="19" fillId="2" borderId="5" xfId="0" applyNumberFormat="1" applyFont="1" applyFill="1" applyBorder="1" applyAlignment="1">
      <alignment horizontal="center"/>
    </xf>
    <xf numFmtId="165" fontId="19" fillId="2" borderId="6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165" fontId="11" fillId="4" borderId="0" xfId="0" applyNumberFormat="1" applyFont="1" applyFill="1" applyAlignment="1">
      <alignment horizontal="center"/>
    </xf>
    <xf numFmtId="1" fontId="11" fillId="4" borderId="0" xfId="0" applyNumberFormat="1" applyFont="1" applyFill="1" applyAlignment="1">
      <alignment horizontal="center"/>
    </xf>
    <xf numFmtId="165" fontId="11" fillId="4" borderId="10" xfId="0" applyNumberFormat="1" applyFont="1" applyFill="1" applyBorder="1" applyAlignment="1">
      <alignment horizontal="center"/>
    </xf>
    <xf numFmtId="165" fontId="11" fillId="9" borderId="3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0" xfId="0" applyFont="1" applyFill="1"/>
    <xf numFmtId="165" fontId="14" fillId="4" borderId="0" xfId="0" applyNumberFormat="1" applyFont="1" applyFill="1" applyAlignment="1">
      <alignment horizontal="center"/>
    </xf>
    <xf numFmtId="1" fontId="14" fillId="4" borderId="0" xfId="0" applyNumberFormat="1" applyFont="1" applyFill="1" applyAlignment="1">
      <alignment horizontal="center"/>
    </xf>
    <xf numFmtId="165" fontId="14" fillId="4" borderId="10" xfId="0" applyNumberFormat="1" applyFont="1" applyFill="1" applyBorder="1" applyAlignment="1">
      <alignment horizontal="center"/>
    </xf>
    <xf numFmtId="0" fontId="5" fillId="4" borderId="7" xfId="0" applyFont="1" applyFill="1" applyBorder="1"/>
    <xf numFmtId="0" fontId="5" fillId="4" borderId="0" xfId="0" applyFont="1" applyFill="1"/>
    <xf numFmtId="0" fontId="6" fillId="4" borderId="0" xfId="0" applyFont="1" applyFill="1"/>
    <xf numFmtId="165" fontId="6" fillId="4" borderId="0" xfId="0" applyNumberFormat="1" applyFont="1" applyFill="1" applyAlignment="1">
      <alignment horizontal="center"/>
    </xf>
    <xf numFmtId="1" fontId="6" fillId="4" borderId="0" xfId="0" applyNumberFormat="1" applyFont="1" applyFill="1" applyAlignment="1">
      <alignment horizontal="center"/>
    </xf>
    <xf numFmtId="165" fontId="6" fillId="4" borderId="10" xfId="0" applyNumberFormat="1" applyFont="1" applyFill="1" applyBorder="1" applyAlignment="1">
      <alignment horizontal="center"/>
    </xf>
    <xf numFmtId="0" fontId="6" fillId="4" borderId="7" xfId="0" applyFont="1" applyFill="1" applyBorder="1"/>
    <xf numFmtId="165" fontId="13" fillId="4" borderId="10" xfId="0" applyNumberFormat="1" applyFont="1" applyFill="1" applyBorder="1" applyAlignment="1">
      <alignment horizontal="center"/>
    </xf>
    <xf numFmtId="165" fontId="13" fillId="10" borderId="10" xfId="0" applyNumberFormat="1" applyFont="1" applyFill="1" applyBorder="1" applyAlignment="1">
      <alignment horizontal="center"/>
    </xf>
    <xf numFmtId="0" fontId="15" fillId="4" borderId="7" xfId="0" applyFont="1" applyFill="1" applyBorder="1"/>
    <xf numFmtId="0" fontId="16" fillId="9" borderId="1" xfId="0" applyFont="1" applyFill="1" applyBorder="1" applyAlignment="1">
      <alignment horizontal="left"/>
    </xf>
    <xf numFmtId="0" fontId="11" fillId="4" borderId="4" xfId="0" applyFont="1" applyFill="1" applyBorder="1"/>
    <xf numFmtId="0" fontId="11" fillId="4" borderId="5" xfId="0" applyFont="1" applyFill="1" applyBorder="1"/>
    <xf numFmtId="165" fontId="11" fillId="4" borderId="5" xfId="0" applyNumberFormat="1" applyFont="1" applyFill="1" applyBorder="1" applyAlignment="1">
      <alignment horizontal="center"/>
    </xf>
    <xf numFmtId="1" fontId="11" fillId="4" borderId="5" xfId="0" applyNumberFormat="1" applyFont="1" applyFill="1" applyBorder="1" applyAlignment="1">
      <alignment horizontal="center"/>
    </xf>
    <xf numFmtId="165" fontId="11" fillId="4" borderId="6" xfId="0" applyNumberFormat="1" applyFont="1" applyFill="1" applyBorder="1" applyAlignment="1">
      <alignment horizontal="center"/>
    </xf>
    <xf numFmtId="0" fontId="16" fillId="4" borderId="7" xfId="0" applyFont="1" applyFill="1" applyBorder="1"/>
    <xf numFmtId="0" fontId="16" fillId="4" borderId="1" xfId="0" applyFont="1" applyFill="1" applyBorder="1"/>
    <xf numFmtId="0" fontId="15" fillId="4" borderId="0" xfId="0" applyFont="1" applyFill="1"/>
    <xf numFmtId="0" fontId="16" fillId="9" borderId="2" xfId="0" applyFont="1" applyFill="1" applyBorder="1" applyAlignment="1">
      <alignment horizontal="left"/>
    </xf>
    <xf numFmtId="165" fontId="16" fillId="9" borderId="2" xfId="0" applyNumberFormat="1" applyFont="1" applyFill="1" applyBorder="1" applyAlignment="1">
      <alignment horizontal="center"/>
    </xf>
    <xf numFmtId="1" fontId="16" fillId="9" borderId="2" xfId="0" applyNumberFormat="1" applyFont="1" applyFill="1" applyBorder="1" applyAlignment="1">
      <alignment horizontal="center"/>
    </xf>
    <xf numFmtId="165" fontId="16" fillId="9" borderId="3" xfId="0" applyNumberFormat="1" applyFont="1" applyFill="1" applyBorder="1" applyAlignment="1">
      <alignment horizontal="center"/>
    </xf>
    <xf numFmtId="0" fontId="16" fillId="10" borderId="0" xfId="0" applyFont="1" applyFill="1"/>
    <xf numFmtId="165" fontId="16" fillId="10" borderId="0" xfId="0" applyNumberFormat="1" applyFont="1" applyFill="1" applyAlignment="1">
      <alignment horizontal="center"/>
    </xf>
    <xf numFmtId="165" fontId="16" fillId="10" borderId="10" xfId="0" applyNumberFormat="1" applyFont="1" applyFill="1" applyBorder="1" applyAlignment="1">
      <alignment horizontal="center"/>
    </xf>
    <xf numFmtId="0" fontId="16" fillId="4" borderId="0" xfId="0" applyFont="1" applyFill="1"/>
    <xf numFmtId="165" fontId="16" fillId="4" borderId="0" xfId="0" applyNumberFormat="1" applyFont="1" applyFill="1" applyAlignment="1">
      <alignment horizontal="center"/>
    </xf>
    <xf numFmtId="165" fontId="16" fillId="4" borderId="10" xfId="0" applyNumberFormat="1" applyFont="1" applyFill="1" applyBorder="1" applyAlignment="1">
      <alignment horizontal="center"/>
    </xf>
    <xf numFmtId="0" fontId="16" fillId="10" borderId="2" xfId="0" applyFont="1" applyFill="1" applyBorder="1"/>
    <xf numFmtId="165" fontId="16" fillId="10" borderId="2" xfId="0" applyNumberFormat="1" applyFont="1" applyFill="1" applyBorder="1" applyAlignment="1">
      <alignment horizontal="center"/>
    </xf>
    <xf numFmtId="165" fontId="16" fillId="10" borderId="3" xfId="0" applyNumberFormat="1" applyFont="1" applyFill="1" applyBorder="1" applyAlignment="1">
      <alignment horizontal="center"/>
    </xf>
    <xf numFmtId="3" fontId="6" fillId="4" borderId="0" xfId="0" applyNumberFormat="1" applyFont="1" applyFill="1"/>
    <xf numFmtId="0" fontId="6" fillId="0" borderId="7" xfId="0" applyFont="1" applyFill="1" applyBorder="1"/>
    <xf numFmtId="165" fontId="6" fillId="6" borderId="10" xfId="3" applyNumberFormat="1" applyFont="1" applyFill="1" applyBorder="1" applyAlignment="1">
      <alignment horizontal="center"/>
    </xf>
    <xf numFmtId="1" fontId="5" fillId="8" borderId="0" xfId="0" applyNumberFormat="1" applyFont="1" applyFill="1" applyBorder="1" applyAlignment="1">
      <alignment horizontal="center"/>
    </xf>
    <xf numFmtId="165" fontId="5" fillId="8" borderId="10" xfId="0" applyNumberFormat="1" applyFont="1" applyFill="1" applyBorder="1" applyAlignment="1">
      <alignment horizontal="center"/>
    </xf>
    <xf numFmtId="0" fontId="13" fillId="5" borderId="0" xfId="0" applyFont="1" applyFill="1"/>
    <xf numFmtId="0" fontId="20" fillId="0" borderId="7" xfId="0" applyFont="1" applyFill="1" applyBorder="1"/>
    <xf numFmtId="0" fontId="13" fillId="6" borderId="0" xfId="0" applyFont="1" applyFill="1" applyAlignment="1">
      <alignment horizontal="center"/>
    </xf>
    <xf numFmtId="3" fontId="13" fillId="6" borderId="0" xfId="0" applyNumberFormat="1" applyFont="1" applyFill="1" applyAlignment="1">
      <alignment horizontal="center"/>
    </xf>
    <xf numFmtId="165" fontId="13" fillId="6" borderId="0" xfId="0" applyNumberFormat="1" applyFont="1" applyFill="1" applyAlignment="1">
      <alignment horizontal="center"/>
    </xf>
    <xf numFmtId="1" fontId="13" fillId="6" borderId="0" xfId="0" applyNumberFormat="1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165" fontId="13" fillId="5" borderId="0" xfId="0" applyNumberFormat="1" applyFont="1" applyFill="1" applyAlignment="1">
      <alignment horizontal="center"/>
    </xf>
    <xf numFmtId="0" fontId="13" fillId="11" borderId="0" xfId="0" applyFont="1" applyFill="1"/>
    <xf numFmtId="165" fontId="13" fillId="11" borderId="0" xfId="0" applyNumberFormat="1" applyFont="1" applyFill="1" applyAlignment="1">
      <alignment horizontal="center"/>
    </xf>
    <xf numFmtId="1" fontId="13" fillId="11" borderId="0" xfId="0" applyNumberFormat="1" applyFont="1" applyFill="1" applyAlignment="1">
      <alignment horizontal="center"/>
    </xf>
    <xf numFmtId="3" fontId="13" fillId="11" borderId="0" xfId="0" applyNumberFormat="1" applyFont="1" applyFill="1"/>
    <xf numFmtId="3" fontId="13" fillId="5" borderId="0" xfId="0" applyNumberFormat="1" applyFont="1" applyFill="1"/>
    <xf numFmtId="1" fontId="13" fillId="5" borderId="0" xfId="0" applyNumberFormat="1" applyFont="1" applyFill="1" applyAlignment="1">
      <alignment horizontal="center"/>
    </xf>
    <xf numFmtId="49" fontId="12" fillId="3" borderId="4" xfId="0" applyNumberFormat="1" applyFont="1" applyFill="1" applyBorder="1" applyAlignment="1">
      <alignment horizontal="center" wrapText="1"/>
    </xf>
    <xf numFmtId="165" fontId="11" fillId="6" borderId="8" xfId="0" applyNumberFormat="1" applyFont="1" applyFill="1" applyBorder="1" applyAlignment="1">
      <alignment horizontal="center" wrapText="1"/>
    </xf>
    <xf numFmtId="165" fontId="11" fillId="7" borderId="2" xfId="0" applyNumberFormat="1" applyFont="1" applyFill="1" applyBorder="1" applyAlignment="1">
      <alignment horizontal="center" wrapText="1"/>
    </xf>
    <xf numFmtId="165" fontId="13" fillId="6" borderId="0" xfId="0" applyNumberFormat="1" applyFont="1" applyFill="1" applyBorder="1" applyAlignment="1">
      <alignment wrapText="1"/>
    </xf>
    <xf numFmtId="165" fontId="13" fillId="6" borderId="5" xfId="0" applyNumberFormat="1" applyFont="1" applyFill="1" applyBorder="1" applyAlignment="1">
      <alignment horizontal="center" wrapText="1"/>
    </xf>
    <xf numFmtId="49" fontId="6" fillId="8" borderId="0" xfId="0" applyNumberFormat="1" applyFont="1" applyFill="1" applyBorder="1" applyAlignment="1">
      <alignment horizontal="center"/>
    </xf>
    <xf numFmtId="3" fontId="13" fillId="6" borderId="5" xfId="0" applyNumberFormat="1" applyFont="1" applyFill="1" applyBorder="1"/>
    <xf numFmtId="0" fontId="23" fillId="6" borderId="7" xfId="0" applyFont="1" applyFill="1" applyBorder="1"/>
    <xf numFmtId="0" fontId="11" fillId="6" borderId="2" xfId="0" applyFont="1" applyFill="1" applyBorder="1"/>
    <xf numFmtId="3" fontId="13" fillId="6" borderId="2" xfId="0" applyNumberFormat="1" applyFont="1" applyFill="1" applyBorder="1"/>
    <xf numFmtId="0" fontId="11" fillId="6" borderId="8" xfId="0" applyFont="1" applyFill="1" applyBorder="1"/>
    <xf numFmtId="3" fontId="13" fillId="6" borderId="8" xfId="0" applyNumberFormat="1" applyFont="1" applyFill="1" applyBorder="1"/>
    <xf numFmtId="165" fontId="13" fillId="6" borderId="8" xfId="0" applyNumberFormat="1" applyFont="1" applyFill="1" applyBorder="1" applyAlignment="1">
      <alignment horizontal="center"/>
    </xf>
    <xf numFmtId="1" fontId="13" fillId="6" borderId="8" xfId="0" applyNumberFormat="1" applyFont="1" applyFill="1" applyBorder="1" applyAlignment="1">
      <alignment horizontal="center"/>
    </xf>
    <xf numFmtId="3" fontId="13" fillId="6" borderId="0" xfId="0" applyNumberFormat="1" applyFont="1" applyFill="1" applyBorder="1"/>
    <xf numFmtId="3" fontId="11" fillId="6" borderId="0" xfId="0" applyNumberFormat="1" applyFont="1" applyFill="1" applyBorder="1" applyAlignment="1">
      <alignment horizontal="center"/>
    </xf>
    <xf numFmtId="165" fontId="11" fillId="6" borderId="0" xfId="0" applyNumberFormat="1" applyFont="1" applyFill="1" applyBorder="1" applyAlignment="1">
      <alignment horizontal="center" wrapText="1"/>
    </xf>
    <xf numFmtId="165" fontId="13" fillId="6" borderId="0" xfId="0" applyNumberFormat="1" applyFont="1" applyFill="1" applyBorder="1" applyAlignment="1">
      <alignment horizontal="center" wrapText="1"/>
    </xf>
    <xf numFmtId="165" fontId="13" fillId="8" borderId="0" xfId="0" applyNumberFormat="1" applyFont="1" applyFill="1" applyBorder="1" applyAlignment="1">
      <alignment horizontal="center" wrapText="1"/>
    </xf>
    <xf numFmtId="165" fontId="11" fillId="6" borderId="5" xfId="0" applyNumberFormat="1" applyFont="1" applyFill="1" applyBorder="1" applyAlignment="1">
      <alignment horizontal="center" wrapText="1"/>
    </xf>
    <xf numFmtId="49" fontId="6" fillId="8" borderId="0" xfId="0" applyNumberFormat="1" applyFont="1" applyFill="1" applyBorder="1"/>
    <xf numFmtId="49" fontId="5" fillId="8" borderId="0" xfId="0" applyNumberFormat="1" applyFont="1" applyFill="1" applyBorder="1"/>
    <xf numFmtId="49" fontId="5" fillId="6" borderId="0" xfId="0" applyNumberFormat="1" applyFont="1" applyFill="1" applyBorder="1"/>
    <xf numFmtId="0" fontId="11" fillId="8" borderId="0" xfId="0" applyFont="1" applyFill="1" applyBorder="1"/>
    <xf numFmtId="3" fontId="13" fillId="8" borderId="0" xfId="0" applyNumberFormat="1" applyFont="1" applyFill="1" applyBorder="1"/>
    <xf numFmtId="0" fontId="17" fillId="6" borderId="7" xfId="0" applyFont="1" applyFill="1" applyBorder="1"/>
    <xf numFmtId="0" fontId="13" fillId="8" borderId="0" xfId="4" applyFont="1" applyFill="1" applyBorder="1" applyAlignment="1">
      <alignment horizontal="center"/>
    </xf>
    <xf numFmtId="165" fontId="13" fillId="8" borderId="0" xfId="4" applyNumberFormat="1" applyFont="1" applyFill="1" applyBorder="1" applyAlignment="1">
      <alignment horizontal="center" wrapText="1"/>
    </xf>
    <xf numFmtId="165" fontId="13" fillId="6" borderId="0" xfId="4" applyNumberFormat="1" applyFont="1" applyFill="1" applyBorder="1" applyAlignment="1">
      <alignment horizontal="center" wrapText="1"/>
    </xf>
    <xf numFmtId="3" fontId="6" fillId="8" borderId="0" xfId="0" applyNumberFormat="1" applyFont="1" applyFill="1" applyBorder="1" applyAlignment="1">
      <alignment horizontal="left"/>
    </xf>
    <xf numFmtId="3" fontId="6" fillId="6" borderId="0" xfId="0" applyNumberFormat="1" applyFont="1" applyFill="1" applyBorder="1" applyAlignment="1">
      <alignment horizontal="left"/>
    </xf>
    <xf numFmtId="0" fontId="25" fillId="6" borderId="7" xfId="0" applyFont="1" applyFill="1" applyBorder="1"/>
    <xf numFmtId="3" fontId="13" fillId="8" borderId="0" xfId="0" applyNumberFormat="1" applyFont="1" applyFill="1" applyBorder="1" applyAlignment="1">
      <alignment horizontal="left"/>
    </xf>
    <xf numFmtId="3" fontId="13" fillId="6" borderId="0" xfId="0" applyNumberFormat="1" applyFont="1" applyFill="1" applyBorder="1" applyAlignment="1">
      <alignment horizontal="left"/>
    </xf>
    <xf numFmtId="0" fontId="11" fillId="6" borderId="5" xfId="0" applyFont="1" applyFill="1" applyBorder="1"/>
    <xf numFmtId="3" fontId="13" fillId="8" borderId="0" xfId="0" applyNumberFormat="1" applyFont="1" applyFill="1" applyBorder="1" applyAlignment="1">
      <alignment horizontal="left" wrapText="1"/>
    </xf>
    <xf numFmtId="0" fontId="13" fillId="6" borderId="0" xfId="0" applyFont="1" applyFill="1" applyBorder="1" applyAlignment="1">
      <alignment horizontal="left"/>
    </xf>
    <xf numFmtId="0" fontId="13" fillId="8" borderId="0" xfId="0" applyFont="1" applyFill="1" applyBorder="1" applyAlignment="1">
      <alignment horizontal="left"/>
    </xf>
    <xf numFmtId="0" fontId="23" fillId="5" borderId="7" xfId="0" applyFont="1" applyFill="1" applyBorder="1"/>
    <xf numFmtId="3" fontId="6" fillId="6" borderId="0" xfId="0" applyNumberFormat="1" applyFont="1" applyFill="1" applyBorder="1" applyAlignment="1">
      <alignment horizontal="center" vertical="center"/>
    </xf>
    <xf numFmtId="165" fontId="6" fillId="6" borderId="0" xfId="0" applyNumberFormat="1" applyFont="1" applyFill="1" applyBorder="1" applyAlignment="1">
      <alignment horizontal="left" vertical="center" wrapText="1"/>
    </xf>
    <xf numFmtId="3" fontId="5" fillId="6" borderId="5" xfId="0" applyNumberFormat="1" applyFont="1" applyFill="1" applyBorder="1" applyAlignment="1">
      <alignment horizontal="center"/>
    </xf>
    <xf numFmtId="3" fontId="11" fillId="6" borderId="8" xfId="0" applyNumberFormat="1" applyFont="1" applyFill="1" applyBorder="1" applyAlignment="1">
      <alignment horizontal="center"/>
    </xf>
    <xf numFmtId="1" fontId="11" fillId="6" borderId="8" xfId="0" applyNumberFormat="1" applyFont="1" applyFill="1" applyBorder="1" applyAlignment="1">
      <alignment horizontal="center"/>
    </xf>
    <xf numFmtId="3" fontId="11" fillId="6" borderId="2" xfId="0" applyNumberFormat="1" applyFont="1" applyFill="1" applyBorder="1" applyAlignment="1">
      <alignment horizontal="center"/>
    </xf>
    <xf numFmtId="165" fontId="11" fillId="6" borderId="2" xfId="0" applyNumberFormat="1" applyFont="1" applyFill="1" applyBorder="1" applyAlignment="1">
      <alignment horizontal="center" wrapText="1"/>
    </xf>
    <xf numFmtId="0" fontId="16" fillId="7" borderId="2" xfId="0" applyFont="1" applyFill="1" applyBorder="1" applyAlignment="1">
      <alignment horizontal="center"/>
    </xf>
    <xf numFmtId="165" fontId="16" fillId="7" borderId="2" xfId="0" applyNumberFormat="1" applyFont="1" applyFill="1" applyBorder="1" applyAlignment="1">
      <alignment horizontal="center" wrapText="1"/>
    </xf>
    <xf numFmtId="165" fontId="16" fillId="8" borderId="0" xfId="0" applyNumberFormat="1" applyFont="1" applyFill="1" applyBorder="1" applyAlignment="1">
      <alignment horizontal="center" wrapText="1"/>
    </xf>
    <xf numFmtId="165" fontId="16" fillId="6" borderId="0" xfId="0" applyNumberFormat="1" applyFont="1" applyFill="1" applyBorder="1" applyAlignment="1">
      <alignment horizontal="center" wrapText="1"/>
    </xf>
    <xf numFmtId="165" fontId="16" fillId="8" borderId="2" xfId="0" applyNumberFormat="1" applyFont="1" applyFill="1" applyBorder="1" applyAlignment="1">
      <alignment horizontal="center" wrapText="1"/>
    </xf>
    <xf numFmtId="49" fontId="27" fillId="2" borderId="1" xfId="0" applyNumberFormat="1" applyFont="1" applyFill="1" applyBorder="1"/>
    <xf numFmtId="49" fontId="27" fillId="2" borderId="2" xfId="0" applyNumberFormat="1" applyFont="1" applyFill="1" applyBorder="1" applyAlignment="1">
      <alignment horizontal="center"/>
    </xf>
    <xf numFmtId="49" fontId="27" fillId="2" borderId="3" xfId="0" applyNumberFormat="1" applyFont="1" applyFill="1" applyBorder="1" applyAlignment="1">
      <alignment horizontal="center"/>
    </xf>
    <xf numFmtId="49" fontId="27" fillId="2" borderId="5" xfId="0" applyNumberFormat="1" applyFont="1" applyFill="1" applyBorder="1" applyAlignment="1">
      <alignment horizontal="center"/>
    </xf>
    <xf numFmtId="1" fontId="27" fillId="2" borderId="5" xfId="0" applyNumberFormat="1" applyFont="1" applyFill="1" applyBorder="1" applyAlignment="1">
      <alignment horizontal="center"/>
    </xf>
    <xf numFmtId="165" fontId="27" fillId="2" borderId="5" xfId="0" applyNumberFormat="1" applyFont="1" applyFill="1" applyBorder="1" applyAlignment="1">
      <alignment horizontal="center"/>
    </xf>
    <xf numFmtId="165" fontId="27" fillId="2" borderId="6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165" fontId="5" fillId="4" borderId="0" xfId="0" applyNumberFormat="1" applyFont="1" applyFill="1" applyAlignment="1">
      <alignment horizontal="center"/>
    </xf>
    <xf numFmtId="1" fontId="5" fillId="4" borderId="0" xfId="0" applyNumberFormat="1" applyFont="1" applyFill="1" applyAlignment="1">
      <alignment horizontal="center"/>
    </xf>
    <xf numFmtId="165" fontId="5" fillId="4" borderId="10" xfId="0" applyNumberFormat="1" applyFont="1" applyFill="1" applyBorder="1" applyAlignment="1">
      <alignment horizontal="center"/>
    </xf>
    <xf numFmtId="165" fontId="5" fillId="9" borderId="3" xfId="0" applyNumberFormat="1" applyFont="1" applyFill="1" applyBorder="1" applyAlignment="1">
      <alignment horizontal="center"/>
    </xf>
    <xf numFmtId="0" fontId="5" fillId="10" borderId="0" xfId="0" applyFont="1" applyFill="1"/>
    <xf numFmtId="165" fontId="5" fillId="10" borderId="0" xfId="0" applyNumberFormat="1" applyFont="1" applyFill="1" applyAlignment="1">
      <alignment horizontal="center"/>
    </xf>
    <xf numFmtId="165" fontId="5" fillId="10" borderId="10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5" fillId="10" borderId="2" xfId="0" applyFont="1" applyFill="1" applyBorder="1"/>
    <xf numFmtId="165" fontId="5" fillId="10" borderId="2" xfId="0" applyNumberFormat="1" applyFont="1" applyFill="1" applyBorder="1" applyAlignment="1">
      <alignment horizontal="center"/>
    </xf>
    <xf numFmtId="165" fontId="5" fillId="10" borderId="3" xfId="0" applyNumberFormat="1" applyFont="1" applyFill="1" applyBorder="1" applyAlignment="1">
      <alignment horizontal="center"/>
    </xf>
    <xf numFmtId="0" fontId="11" fillId="6" borderId="4" xfId="0" applyFont="1" applyFill="1" applyBorder="1" applyAlignment="1">
      <alignment horizontal="left"/>
    </xf>
    <xf numFmtId="0" fontId="11" fillId="6" borderId="5" xfId="0" applyFont="1" applyFill="1" applyBorder="1" applyAlignment="1">
      <alignment horizontal="center"/>
    </xf>
    <xf numFmtId="49" fontId="13" fillId="6" borderId="0" xfId="0" applyNumberFormat="1" applyFont="1" applyFill="1" applyBorder="1"/>
    <xf numFmtId="49" fontId="28" fillId="6" borderId="8" xfId="0" applyNumberFormat="1" applyFont="1" applyFill="1" applyBorder="1" applyAlignment="1">
      <alignment vertical="center"/>
    </xf>
    <xf numFmtId="49" fontId="28" fillId="6" borderId="7" xfId="0" applyNumberFormat="1" applyFont="1" applyFill="1" applyBorder="1" applyAlignment="1">
      <alignment vertical="center"/>
    </xf>
    <xf numFmtId="49" fontId="28" fillId="6" borderId="0" xfId="0" applyNumberFormat="1" applyFont="1" applyFill="1" applyBorder="1" applyAlignment="1">
      <alignment vertical="center"/>
    </xf>
    <xf numFmtId="49" fontId="28" fillId="6" borderId="1" xfId="0" applyNumberFormat="1" applyFont="1" applyFill="1" applyBorder="1" applyAlignment="1">
      <alignment vertical="center"/>
    </xf>
    <xf numFmtId="49" fontId="28" fillId="6" borderId="2" xfId="0" applyNumberFormat="1" applyFont="1" applyFill="1" applyBorder="1" applyAlignment="1">
      <alignment vertical="center"/>
    </xf>
    <xf numFmtId="49" fontId="11" fillId="6" borderId="13" xfId="0" applyNumberFormat="1" applyFont="1" applyFill="1" applyBorder="1" applyAlignment="1">
      <alignment horizontal="center"/>
    </xf>
    <xf numFmtId="49" fontId="12" fillId="3" borderId="13" xfId="0" applyNumberFormat="1" applyFont="1" applyFill="1" applyBorder="1" applyAlignment="1">
      <alignment horizontal="center"/>
    </xf>
    <xf numFmtId="49" fontId="12" fillId="2" borderId="13" xfId="0" applyNumberFormat="1" applyFont="1" applyFill="1" applyBorder="1" applyAlignment="1">
      <alignment horizontal="center"/>
    </xf>
    <xf numFmtId="165" fontId="11" fillId="5" borderId="9" xfId="0" applyNumberFormat="1" applyFont="1" applyFill="1" applyBorder="1" applyAlignment="1">
      <alignment horizontal="center"/>
    </xf>
    <xf numFmtId="165" fontId="31" fillId="8" borderId="10" xfId="0" applyNumberFormat="1" applyFont="1" applyFill="1" applyBorder="1" applyAlignment="1">
      <alignment horizontal="center"/>
    </xf>
    <xf numFmtId="165" fontId="31" fillId="6" borderId="10" xfId="0" applyNumberFormat="1" applyFont="1" applyFill="1" applyBorder="1" applyAlignment="1">
      <alignment horizontal="center"/>
    </xf>
    <xf numFmtId="3" fontId="32" fillId="8" borderId="0" xfId="9" applyNumberFormat="1" applyFill="1" applyBorder="1"/>
    <xf numFmtId="3" fontId="32" fillId="6" borderId="0" xfId="9" applyNumberFormat="1" applyFill="1" applyBorder="1"/>
    <xf numFmtId="165" fontId="13" fillId="8" borderId="0" xfId="3" applyNumberFormat="1" applyFont="1" applyFill="1" applyBorder="1" applyAlignment="1">
      <alignment horizontal="center"/>
    </xf>
    <xf numFmtId="165" fontId="13" fillId="8" borderId="3" xfId="0" applyNumberFormat="1" applyFont="1" applyFill="1" applyBorder="1" applyAlignment="1">
      <alignment horizontal="center"/>
    </xf>
    <xf numFmtId="0" fontId="33" fillId="0" borderId="7" xfId="0" applyFont="1" applyFill="1" applyBorder="1"/>
    <xf numFmtId="165" fontId="33" fillId="8" borderId="0" xfId="0" applyNumberFormat="1" applyFont="1" applyFill="1" applyBorder="1" applyAlignment="1">
      <alignment horizontal="center"/>
    </xf>
    <xf numFmtId="165" fontId="33" fillId="8" borderId="10" xfId="0" applyNumberFormat="1" applyFont="1" applyFill="1" applyBorder="1" applyAlignment="1">
      <alignment horizontal="center"/>
    </xf>
    <xf numFmtId="0" fontId="33" fillId="6" borderId="7" xfId="0" applyFont="1" applyFill="1" applyBorder="1"/>
    <xf numFmtId="165" fontId="33" fillId="6" borderId="0" xfId="0" applyNumberFormat="1" applyFont="1" applyFill="1" applyBorder="1" applyAlignment="1">
      <alignment horizontal="center"/>
    </xf>
    <xf numFmtId="165" fontId="33" fillId="6" borderId="10" xfId="0" applyNumberFormat="1" applyFont="1" applyFill="1" applyBorder="1" applyAlignment="1">
      <alignment horizontal="center"/>
    </xf>
    <xf numFmtId="0" fontId="33" fillId="0" borderId="1" xfId="0" applyFont="1" applyFill="1" applyBorder="1"/>
    <xf numFmtId="165" fontId="33" fillId="8" borderId="2" xfId="0" applyNumberFormat="1" applyFont="1" applyFill="1" applyBorder="1" applyAlignment="1">
      <alignment horizontal="center"/>
    </xf>
    <xf numFmtId="165" fontId="33" fillId="8" borderId="3" xfId="0" applyNumberFormat="1" applyFont="1" applyFill="1" applyBorder="1" applyAlignment="1">
      <alignment horizontal="center"/>
    </xf>
    <xf numFmtId="0" fontId="5" fillId="6" borderId="2" xfId="0" applyFont="1" applyFill="1" applyBorder="1"/>
    <xf numFmtId="165" fontId="5" fillId="6" borderId="2" xfId="0" applyNumberFormat="1" applyFont="1" applyFill="1" applyBorder="1" applyAlignment="1">
      <alignment horizontal="center"/>
    </xf>
    <xf numFmtId="1" fontId="5" fillId="6" borderId="2" xfId="0" applyNumberFormat="1" applyFont="1" applyFill="1" applyBorder="1" applyAlignment="1">
      <alignment horizontal="center"/>
    </xf>
    <xf numFmtId="165" fontId="5" fillId="6" borderId="3" xfId="0" applyNumberFormat="1" applyFont="1" applyFill="1" applyBorder="1" applyAlignment="1">
      <alignment horizontal="center"/>
    </xf>
    <xf numFmtId="0" fontId="5" fillId="6" borderId="8" xfId="0" applyFont="1" applyFill="1" applyBorder="1"/>
    <xf numFmtId="1" fontId="5" fillId="6" borderId="8" xfId="0" applyNumberFormat="1" applyFont="1" applyFill="1" applyBorder="1" applyAlignment="1">
      <alignment horizontal="center"/>
    </xf>
    <xf numFmtId="49" fontId="6" fillId="6" borderId="0" xfId="0" applyNumberFormat="1" applyFont="1" applyFill="1" applyBorder="1" applyAlignment="1">
      <alignment horizontal="center"/>
    </xf>
    <xf numFmtId="49" fontId="12" fillId="3" borderId="4" xfId="0" applyNumberFormat="1" applyFont="1" applyFill="1" applyBorder="1" applyAlignment="1">
      <alignment horizontal="center"/>
    </xf>
    <xf numFmtId="165" fontId="11" fillId="4" borderId="8" xfId="0" applyNumberFormat="1" applyFont="1" applyFill="1" applyBorder="1" applyAlignment="1">
      <alignment horizontal="center"/>
    </xf>
    <xf numFmtId="1" fontId="11" fillId="4" borderId="8" xfId="0" applyNumberFormat="1" applyFont="1" applyFill="1" applyBorder="1" applyAlignment="1">
      <alignment horizontal="center"/>
    </xf>
    <xf numFmtId="0" fontId="11" fillId="5" borderId="7" xfId="0" applyFont="1" applyFill="1" applyBorder="1"/>
    <xf numFmtId="0" fontId="13" fillId="10" borderId="2" xfId="0" applyFont="1" applyFill="1" applyBorder="1" applyAlignment="1">
      <alignment horizontal="center"/>
    </xf>
    <xf numFmtId="3" fontId="13" fillId="10" borderId="2" xfId="0" applyNumberFormat="1" applyFont="1" applyFill="1" applyBorder="1" applyAlignment="1">
      <alignment horizontal="center"/>
    </xf>
    <xf numFmtId="165" fontId="13" fillId="10" borderId="2" xfId="0" applyNumberFormat="1" applyFont="1" applyFill="1" applyBorder="1" applyAlignment="1">
      <alignment horizontal="center"/>
    </xf>
    <xf numFmtId="1" fontId="13" fillId="10" borderId="2" xfId="0" applyNumberFormat="1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165" fontId="13" fillId="4" borderId="5" xfId="0" applyNumberFormat="1" applyFont="1" applyFill="1" applyBorder="1" applyAlignment="1">
      <alignment horizontal="center"/>
    </xf>
    <xf numFmtId="1" fontId="13" fillId="4" borderId="5" xfId="0" applyNumberFormat="1" applyFont="1" applyFill="1" applyBorder="1" applyAlignment="1">
      <alignment horizontal="center"/>
    </xf>
    <xf numFmtId="0" fontId="25" fillId="4" borderId="7" xfId="0" applyFont="1" applyFill="1" applyBorder="1"/>
    <xf numFmtId="165" fontId="13" fillId="5" borderId="5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left"/>
    </xf>
    <xf numFmtId="0" fontId="14" fillId="4" borderId="7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left"/>
    </xf>
    <xf numFmtId="49" fontId="6" fillId="6" borderId="0" xfId="0" applyNumberFormat="1" applyFont="1" applyFill="1" applyBorder="1"/>
    <xf numFmtId="0" fontId="16" fillId="7" borderId="2" xfId="0" applyFont="1" applyFill="1" applyBorder="1" applyAlignment="1">
      <alignment horizontal="left"/>
    </xf>
    <xf numFmtId="0" fontId="5" fillId="6" borderId="0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left"/>
    </xf>
    <xf numFmtId="165" fontId="13" fillId="11" borderId="0" xfId="0" applyNumberFormat="1" applyFont="1" applyFill="1" applyBorder="1" applyAlignment="1">
      <alignment horizontal="center"/>
    </xf>
    <xf numFmtId="165" fontId="13" fillId="5" borderId="0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165" fontId="13" fillId="5" borderId="0" xfId="0" applyNumberFormat="1" applyFont="1" applyFill="1" applyBorder="1" applyAlignment="1">
      <alignment horizontal="center" wrapText="1"/>
    </xf>
    <xf numFmtId="1" fontId="13" fillId="5" borderId="0" xfId="0" applyNumberFormat="1" applyFont="1" applyFill="1" applyBorder="1" applyAlignment="1">
      <alignment horizontal="center"/>
    </xf>
    <xf numFmtId="0" fontId="24" fillId="6" borderId="0" xfId="0" applyFont="1" applyFill="1" applyBorder="1"/>
    <xf numFmtId="0" fontId="3" fillId="12" borderId="0" xfId="0" applyFont="1" applyBorder="1" applyAlignment="1">
      <alignment horizontal="center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13" fillId="11" borderId="0" xfId="0" applyFont="1" applyFill="1" applyBorder="1" applyAlignment="1">
      <alignment horizontal="center"/>
    </xf>
    <xf numFmtId="1" fontId="13" fillId="11" borderId="0" xfId="0" applyNumberFormat="1" applyFont="1" applyFill="1" applyBorder="1" applyAlignment="1">
      <alignment horizontal="center"/>
    </xf>
    <xf numFmtId="165" fontId="16" fillId="8" borderId="10" xfId="0" applyNumberFormat="1" applyFont="1" applyFill="1" applyBorder="1" applyAlignment="1">
      <alignment horizontal="center"/>
    </xf>
    <xf numFmtId="165" fontId="12" fillId="2" borderId="6" xfId="0" applyNumberFormat="1" applyFont="1" applyFill="1" applyBorder="1" applyAlignment="1">
      <alignment horizontal="center"/>
    </xf>
    <xf numFmtId="165" fontId="11" fillId="4" borderId="9" xfId="0" applyNumberFormat="1" applyFont="1" applyFill="1" applyBorder="1" applyAlignment="1">
      <alignment horizontal="center"/>
    </xf>
    <xf numFmtId="0" fontId="11" fillId="4" borderId="0" xfId="0" applyFont="1" applyFill="1" applyBorder="1"/>
    <xf numFmtId="0" fontId="13" fillId="4" borderId="0" xfId="0" applyFont="1" applyFill="1" applyBorder="1" applyAlignment="1">
      <alignment horizontal="center"/>
    </xf>
    <xf numFmtId="165" fontId="13" fillId="4" borderId="0" xfId="0" applyNumberFormat="1" applyFont="1" applyFill="1" applyBorder="1" applyAlignment="1">
      <alignment horizontal="center"/>
    </xf>
    <xf numFmtId="1" fontId="13" fillId="4" borderId="0" xfId="0" applyNumberFormat="1" applyFont="1" applyFill="1" applyBorder="1" applyAlignment="1">
      <alignment horizontal="center"/>
    </xf>
    <xf numFmtId="0" fontId="13" fillId="10" borderId="0" xfId="0" applyFont="1" applyFill="1" applyBorder="1" applyAlignment="1">
      <alignment horizontal="center"/>
    </xf>
    <xf numFmtId="165" fontId="13" fillId="10" borderId="0" xfId="0" applyNumberFormat="1" applyFont="1" applyFill="1" applyBorder="1" applyAlignment="1">
      <alignment horizontal="center"/>
    </xf>
    <xf numFmtId="1" fontId="13" fillId="10" borderId="0" xfId="0" applyNumberFormat="1" applyFont="1" applyFill="1" applyBorder="1" applyAlignment="1">
      <alignment horizontal="center"/>
    </xf>
    <xf numFmtId="0" fontId="11" fillId="5" borderId="0" xfId="0" applyFont="1" applyFill="1" applyBorder="1"/>
    <xf numFmtId="3" fontId="13" fillId="5" borderId="0" xfId="0" applyNumberFormat="1" applyFont="1" applyFill="1" applyBorder="1" applyAlignment="1">
      <alignment horizontal="center"/>
    </xf>
    <xf numFmtId="165" fontId="13" fillId="5" borderId="10" xfId="0" applyNumberFormat="1" applyFont="1" applyFill="1" applyBorder="1" applyAlignment="1">
      <alignment horizontal="center"/>
    </xf>
    <xf numFmtId="3" fontId="13" fillId="10" borderId="0" xfId="0" applyNumberFormat="1" applyFont="1" applyFill="1" applyBorder="1" applyAlignment="1">
      <alignment horizontal="center"/>
    </xf>
    <xf numFmtId="3" fontId="13" fillId="4" borderId="0" xfId="0" applyNumberFormat="1" applyFont="1" applyFill="1" applyBorder="1" applyAlignment="1">
      <alignment horizontal="center"/>
    </xf>
    <xf numFmtId="165" fontId="13" fillId="10" borderId="3" xfId="0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/>
    </xf>
    <xf numFmtId="1" fontId="11" fillId="4" borderId="0" xfId="0" applyNumberFormat="1" applyFont="1" applyFill="1" applyBorder="1" applyAlignment="1">
      <alignment horizontal="center"/>
    </xf>
    <xf numFmtId="0" fontId="0" fillId="6" borderId="0" xfId="0" applyFill="1" applyBorder="1"/>
    <xf numFmtId="0" fontId="14" fillId="4" borderId="0" xfId="0" applyFont="1" applyFill="1" applyBorder="1" applyAlignment="1">
      <alignment horizontal="center"/>
    </xf>
    <xf numFmtId="165" fontId="14" fillId="4" borderId="0" xfId="0" applyNumberFormat="1" applyFont="1" applyFill="1" applyBorder="1" applyAlignment="1">
      <alignment horizontal="center"/>
    </xf>
    <xf numFmtId="1" fontId="14" fillId="4" borderId="0" xfId="0" applyNumberFormat="1" applyFont="1" applyFill="1" applyBorder="1" applyAlignment="1">
      <alignment horizontal="center"/>
    </xf>
    <xf numFmtId="165" fontId="13" fillId="11" borderId="1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7" fontId="13" fillId="4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5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6" fillId="10" borderId="0" xfId="0" applyFont="1" applyFill="1" applyBorder="1" applyAlignment="1">
      <alignment horizontal="left"/>
    </xf>
    <xf numFmtId="165" fontId="16" fillId="10" borderId="0" xfId="0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left"/>
    </xf>
    <xf numFmtId="165" fontId="16" fillId="4" borderId="0" xfId="0" applyNumberFormat="1" applyFont="1" applyFill="1" applyBorder="1" applyAlignment="1">
      <alignment horizontal="center"/>
    </xf>
    <xf numFmtId="0" fontId="6" fillId="6" borderId="10" xfId="0" applyFont="1" applyFill="1" applyBorder="1"/>
    <xf numFmtId="0" fontId="11" fillId="7" borderId="1" xfId="0" applyFont="1" applyFill="1" applyBorder="1" applyAlignment="1">
      <alignment horizontal="left"/>
    </xf>
    <xf numFmtId="0" fontId="11" fillId="7" borderId="2" xfId="0" applyFont="1" applyFill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16" fillId="7" borderId="2" xfId="0" applyFont="1" applyFill="1" applyBorder="1" applyAlignment="1">
      <alignment horizontal="left"/>
    </xf>
    <xf numFmtId="49" fontId="29" fillId="6" borderId="12" xfId="0" applyNumberFormat="1" applyFont="1" applyFill="1" applyBorder="1" applyAlignment="1">
      <alignment horizontal="center" vertical="center"/>
    </xf>
    <xf numFmtId="49" fontId="30" fillId="6" borderId="8" xfId="0" applyNumberFormat="1" applyFont="1" applyFill="1" applyBorder="1" applyAlignment="1">
      <alignment horizontal="center" vertical="center"/>
    </xf>
    <xf numFmtId="49" fontId="30" fillId="6" borderId="9" xfId="0" applyNumberFormat="1" applyFont="1" applyFill="1" applyBorder="1" applyAlignment="1">
      <alignment horizontal="center" vertical="center"/>
    </xf>
    <xf numFmtId="49" fontId="30" fillId="6" borderId="7" xfId="0" applyNumberFormat="1" applyFont="1" applyFill="1" applyBorder="1" applyAlignment="1">
      <alignment horizontal="center" vertical="center"/>
    </xf>
    <xf numFmtId="49" fontId="30" fillId="6" borderId="0" xfId="0" applyNumberFormat="1" applyFont="1" applyFill="1" applyBorder="1" applyAlignment="1">
      <alignment horizontal="center" vertical="center"/>
    </xf>
    <xf numFmtId="49" fontId="30" fillId="6" borderId="10" xfId="0" applyNumberFormat="1" applyFont="1" applyFill="1" applyBorder="1" applyAlignment="1">
      <alignment horizontal="center" vertical="center"/>
    </xf>
    <xf numFmtId="49" fontId="30" fillId="6" borderId="1" xfId="0" applyNumberFormat="1" applyFont="1" applyFill="1" applyBorder="1" applyAlignment="1">
      <alignment horizontal="center" vertical="center"/>
    </xf>
    <xf numFmtId="49" fontId="30" fillId="6" borderId="2" xfId="0" applyNumberFormat="1" applyFont="1" applyFill="1" applyBorder="1" applyAlignment="1">
      <alignment horizontal="center" vertical="center"/>
    </xf>
    <xf numFmtId="49" fontId="30" fillId="6" borderId="3" xfId="0" applyNumberFormat="1" applyFont="1" applyFill="1" applyBorder="1" applyAlignment="1">
      <alignment horizontal="center" vertical="center"/>
    </xf>
    <xf numFmtId="49" fontId="11" fillId="6" borderId="12" xfId="0" applyNumberFormat="1" applyFont="1" applyFill="1" applyBorder="1" applyAlignment="1">
      <alignment horizontal="center"/>
    </xf>
    <xf numFmtId="49" fontId="11" fillId="6" borderId="9" xfId="0" applyNumberFormat="1" applyFont="1" applyFill="1" applyBorder="1" applyAlignment="1">
      <alignment horizontal="center"/>
    </xf>
    <xf numFmtId="49" fontId="11" fillId="6" borderId="13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1" fillId="6" borderId="8" xfId="0" applyNumberFormat="1" applyFont="1" applyFill="1" applyBorder="1" applyAlignment="1">
      <alignment horizontal="center"/>
    </xf>
    <xf numFmtId="49" fontId="11" fillId="6" borderId="4" xfId="0" applyNumberFormat="1" applyFont="1" applyFill="1" applyBorder="1" applyAlignment="1">
      <alignment horizontal="center"/>
    </xf>
    <xf numFmtId="49" fontId="11" fillId="6" borderId="5" xfId="0" applyNumberFormat="1" applyFont="1" applyFill="1" applyBorder="1" applyAlignment="1">
      <alignment horizontal="center"/>
    </xf>
    <xf numFmtId="0" fontId="11" fillId="9" borderId="1" xfId="0" applyFont="1" applyFill="1" applyBorder="1" applyAlignment="1">
      <alignment horizontal="left"/>
    </xf>
    <xf numFmtId="0" fontId="11" fillId="9" borderId="2" xfId="0" applyFont="1" applyFill="1" applyBorder="1" applyAlignment="1">
      <alignment horizontal="left"/>
    </xf>
    <xf numFmtId="0" fontId="16" fillId="9" borderId="1" xfId="0" applyFont="1" applyFill="1" applyBorder="1" applyAlignment="1">
      <alignment horizontal="left"/>
    </xf>
    <xf numFmtId="0" fontId="16" fillId="9" borderId="2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6" fillId="4" borderId="1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2" fillId="6" borderId="0" xfId="0" applyFont="1" applyFill="1" applyAlignment="1">
      <alignment horizontal="left" vertical="center"/>
    </xf>
    <xf numFmtId="49" fontId="10" fillId="6" borderId="2" xfId="0" applyNumberFormat="1" applyFont="1" applyFill="1" applyBorder="1" applyAlignment="1">
      <alignment horizontal="center"/>
    </xf>
    <xf numFmtId="49" fontId="11" fillId="6" borderId="2" xfId="0" applyNumberFormat="1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22" fillId="12" borderId="12" xfId="0" applyFont="1" applyBorder="1" applyAlignment="1">
      <alignment horizontal="left"/>
    </xf>
    <xf numFmtId="0" fontId="22" fillId="12" borderId="8" xfId="0" applyFont="1" applyBorder="1" applyAlignment="1">
      <alignment horizontal="left"/>
    </xf>
    <xf numFmtId="0" fontId="22" fillId="12" borderId="9" xfId="0" applyFont="1" applyBorder="1" applyAlignment="1">
      <alignment horizontal="left"/>
    </xf>
  </cellXfs>
  <cellStyles count="14">
    <cellStyle name="Currency" xfId="3" builtinId="4"/>
    <cellStyle name="Followed Hyperlink" xfId="2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1" builtinId="8" hidden="1"/>
    <cellStyle name="Hyperlink" xfId="5" builtinId="8" hidden="1"/>
    <cellStyle name="Hyperlink" xfId="7" builtinId="8" hidden="1"/>
    <cellStyle name="Hyperlink" xfId="9" builtinId="8"/>
    <cellStyle name="Normal" xfId="0" builtinId="0" customBuiltin="1"/>
    <cellStyle name="Normal 6" xf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23" Type="http://schemas.openxmlformats.org/officeDocument/2006/relationships/customXml" Target="../customXml/item1.xml"/><Relationship Id="rId24" Type="http://schemas.openxmlformats.org/officeDocument/2006/relationships/customXml" Target="../customXml/item2.xml"/><Relationship Id="rId25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101600</xdr:rowOff>
    </xdr:from>
    <xdr:to>
      <xdr:col>1</xdr:col>
      <xdr:colOff>660401</xdr:colOff>
      <xdr:row>3</xdr:row>
      <xdr:rowOff>401553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101600"/>
          <a:ext cx="1244601" cy="1633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0"/>
  <sheetViews>
    <sheetView topLeftCell="A26" workbookViewId="0">
      <selection activeCell="A38" sqref="A38:XFD38"/>
    </sheetView>
  </sheetViews>
  <sheetFormatPr baseColWidth="10" defaultRowHeight="15" x14ac:dyDescent="0"/>
  <cols>
    <col min="2" max="2" width="32.1640625" customWidth="1"/>
    <col min="3" max="3" width="33.5" customWidth="1"/>
    <col min="4" max="4" width="23.83203125" customWidth="1"/>
    <col min="5" max="5" width="11.33203125" customWidth="1"/>
    <col min="6" max="6" width="16.83203125" bestFit="1" customWidth="1"/>
    <col min="7" max="7" width="46.83203125" customWidth="1"/>
  </cols>
  <sheetData>
    <row r="1" spans="1:7" ht="35">
      <c r="A1" s="372"/>
      <c r="B1" s="373"/>
      <c r="C1" s="476" t="s">
        <v>1139</v>
      </c>
      <c r="D1" s="477"/>
      <c r="E1" s="477"/>
      <c r="F1" s="477"/>
      <c r="G1" s="478"/>
    </row>
    <row r="2" spans="1:7" ht="35">
      <c r="A2" s="374"/>
      <c r="B2" s="375"/>
      <c r="C2" s="479"/>
      <c r="D2" s="480"/>
      <c r="E2" s="480"/>
      <c r="F2" s="480"/>
      <c r="G2" s="481"/>
    </row>
    <row r="3" spans="1:7" ht="35">
      <c r="A3" s="374"/>
      <c r="B3" s="375"/>
      <c r="C3" s="479"/>
      <c r="D3" s="480"/>
      <c r="E3" s="480"/>
      <c r="F3" s="480"/>
      <c r="G3" s="481"/>
    </row>
    <row r="4" spans="1:7" ht="35">
      <c r="A4" s="376"/>
      <c r="B4" s="377"/>
      <c r="C4" s="482"/>
      <c r="D4" s="483"/>
      <c r="E4" s="483"/>
      <c r="F4" s="483"/>
      <c r="G4" s="484"/>
    </row>
    <row r="5" spans="1:7" ht="16">
      <c r="A5" s="485"/>
      <c r="B5" s="486"/>
      <c r="C5" s="487" t="s">
        <v>1221</v>
      </c>
      <c r="D5" s="487"/>
      <c r="E5" s="378"/>
      <c r="F5" s="487" t="s">
        <v>1140</v>
      </c>
      <c r="G5" s="487"/>
    </row>
    <row r="6" spans="1:7" ht="16">
      <c r="A6" s="488"/>
      <c r="B6" s="489"/>
      <c r="C6" s="379" t="s">
        <v>1141</v>
      </c>
      <c r="D6" s="380" t="s">
        <v>1142</v>
      </c>
      <c r="E6" s="380" t="s">
        <v>1143</v>
      </c>
      <c r="F6" s="379" t="s">
        <v>1141</v>
      </c>
      <c r="G6" s="380" t="s">
        <v>1144</v>
      </c>
    </row>
    <row r="7" spans="1:7" ht="16">
      <c r="A7" s="76"/>
      <c r="B7" s="78"/>
      <c r="C7" s="79"/>
      <c r="D7" s="80"/>
      <c r="E7" s="80"/>
      <c r="F7" s="79"/>
      <c r="G7" s="381"/>
    </row>
    <row r="8" spans="1:7" ht="16">
      <c r="A8" s="472" t="s">
        <v>9</v>
      </c>
      <c r="B8" s="473"/>
      <c r="C8" s="83"/>
      <c r="D8" s="83"/>
      <c r="E8" s="83"/>
      <c r="F8" s="83"/>
      <c r="G8" s="85"/>
    </row>
    <row r="9" spans="1:7" ht="16">
      <c r="A9" s="86" t="s">
        <v>1145</v>
      </c>
      <c r="B9" s="97"/>
      <c r="C9" s="89"/>
      <c r="D9" s="89"/>
      <c r="E9" s="89"/>
      <c r="F9" s="89"/>
      <c r="G9" s="91"/>
    </row>
    <row r="10" spans="1:7" ht="16">
      <c r="A10" s="86"/>
      <c r="B10" s="210" t="s">
        <v>1146</v>
      </c>
      <c r="C10" s="94">
        <f>General!H7</f>
        <v>1800</v>
      </c>
      <c r="D10" s="94"/>
      <c r="E10" s="94">
        <f>D10-D62</f>
        <v>0</v>
      </c>
      <c r="F10" s="94">
        <v>2700</v>
      </c>
      <c r="G10" s="382">
        <v>850</v>
      </c>
    </row>
    <row r="11" spans="1:7" ht="16">
      <c r="A11" s="122"/>
      <c r="B11" s="314" t="s">
        <v>1147</v>
      </c>
      <c r="C11" s="119">
        <f>General!H9</f>
        <v>7500</v>
      </c>
      <c r="D11" s="119"/>
      <c r="E11" s="94">
        <f t="shared" ref="E11:E12" si="0">D11-D63</f>
        <v>0</v>
      </c>
      <c r="F11" s="119">
        <v>1250</v>
      </c>
      <c r="G11" s="121">
        <v>5233.2</v>
      </c>
    </row>
    <row r="12" spans="1:7" ht="16">
      <c r="A12" s="122"/>
      <c r="B12" s="324" t="s">
        <v>1148</v>
      </c>
      <c r="C12" s="94">
        <f>General!H12</f>
        <v>400</v>
      </c>
      <c r="D12" s="94"/>
      <c r="E12" s="94">
        <f t="shared" si="0"/>
        <v>0</v>
      </c>
      <c r="F12" s="94">
        <v>300</v>
      </c>
      <c r="G12" s="382">
        <v>382.45</v>
      </c>
    </row>
    <row r="13" spans="1:7" ht="16">
      <c r="A13" s="122"/>
      <c r="B13" s="314" t="s">
        <v>1149</v>
      </c>
      <c r="C13" s="119">
        <f>General!H14</f>
        <v>37500</v>
      </c>
      <c r="D13" s="119"/>
      <c r="E13" s="119">
        <f>D13</f>
        <v>0</v>
      </c>
      <c r="F13" s="119">
        <v>37322.160000000003</v>
      </c>
      <c r="G13" s="383">
        <v>37322.160000000003</v>
      </c>
    </row>
    <row r="14" spans="1:7" ht="16">
      <c r="A14" s="122"/>
      <c r="B14" s="324" t="s">
        <v>1150</v>
      </c>
      <c r="C14" s="94">
        <f>General!H16</f>
        <v>8000</v>
      </c>
      <c r="D14" s="94"/>
      <c r="E14" s="94">
        <f>D14-D65</f>
        <v>0</v>
      </c>
      <c r="F14" s="94">
        <v>9040</v>
      </c>
      <c r="G14" s="96">
        <v>9040</v>
      </c>
    </row>
    <row r="15" spans="1:7" ht="16">
      <c r="A15" s="122"/>
      <c r="B15" s="314" t="s">
        <v>1151</v>
      </c>
      <c r="C15" s="119">
        <f>SUM(General!H18:H19)</f>
        <v>161408</v>
      </c>
      <c r="D15" s="119"/>
      <c r="E15" s="119">
        <f>D15-D103+D45-SUM(D94:D97)-SUM(D112:D122)</f>
        <v>0</v>
      </c>
      <c r="F15" s="119">
        <v>168782.07</v>
      </c>
      <c r="G15" s="121">
        <v>161252.32</v>
      </c>
    </row>
    <row r="16" spans="1:7" ht="16">
      <c r="A16" s="122"/>
      <c r="B16" s="324" t="s">
        <v>1152</v>
      </c>
      <c r="C16" s="94">
        <f>SUM(General!H21:H22)</f>
        <v>26000</v>
      </c>
      <c r="D16" s="94"/>
      <c r="E16" s="94">
        <f>D16-D66-D67</f>
        <v>0</v>
      </c>
      <c r="F16" s="94">
        <v>26000</v>
      </c>
      <c r="G16" s="96">
        <v>26403.3</v>
      </c>
    </row>
    <row r="17" spans="1:7" ht="16">
      <c r="A17" s="122"/>
      <c r="B17" s="314" t="s">
        <v>1153</v>
      </c>
      <c r="C17" s="119">
        <v>0</v>
      </c>
      <c r="D17" s="119"/>
      <c r="E17" s="119"/>
      <c r="F17" s="119">
        <v>50</v>
      </c>
      <c r="G17" s="121">
        <v>65</v>
      </c>
    </row>
    <row r="18" spans="1:7" ht="16">
      <c r="A18" s="122"/>
      <c r="B18" s="324" t="s">
        <v>1154</v>
      </c>
      <c r="C18" s="94">
        <f>General!H25</f>
        <v>10500</v>
      </c>
      <c r="D18" s="94"/>
      <c r="E18" s="94">
        <f>D18-D68</f>
        <v>0</v>
      </c>
      <c r="F18" s="94">
        <v>24750</v>
      </c>
      <c r="G18" s="96">
        <v>13010.25</v>
      </c>
    </row>
    <row r="19" spans="1:7" ht="16">
      <c r="A19" s="122"/>
      <c r="B19" s="324" t="s">
        <v>1155</v>
      </c>
      <c r="C19" s="94">
        <f>General!H27</f>
        <v>25000</v>
      </c>
      <c r="D19" s="94"/>
      <c r="E19" s="94"/>
      <c r="F19" s="94">
        <v>22193.200000000001</v>
      </c>
      <c r="G19" s="96">
        <v>0</v>
      </c>
    </row>
    <row r="20" spans="1:7" ht="16">
      <c r="A20" s="86"/>
      <c r="B20" s="103" t="s">
        <v>1156</v>
      </c>
      <c r="C20" s="67">
        <f>SUM(C10:C19)</f>
        <v>278108</v>
      </c>
      <c r="D20" s="67">
        <f>SUM(D10:D18)</f>
        <v>0</v>
      </c>
      <c r="E20" s="67">
        <f>SUM(E10:E18)</f>
        <v>0</v>
      </c>
      <c r="F20" s="67">
        <f>SUM(F10:F19)</f>
        <v>292387.43</v>
      </c>
      <c r="G20" s="68">
        <f>SUM(G10:G19)</f>
        <v>253558.68</v>
      </c>
    </row>
    <row r="21" spans="1:7" ht="16">
      <c r="A21" s="86"/>
      <c r="B21" s="87"/>
      <c r="C21" s="107"/>
      <c r="D21" s="107"/>
      <c r="E21" s="107"/>
      <c r="F21" s="107"/>
      <c r="G21" s="109"/>
    </row>
    <row r="22" spans="1:7" ht="16">
      <c r="A22" s="86" t="s">
        <v>1157</v>
      </c>
      <c r="B22" s="97"/>
      <c r="C22" s="119"/>
      <c r="D22" s="119"/>
      <c r="E22" s="119"/>
      <c r="F22" s="119"/>
      <c r="G22" s="121"/>
    </row>
    <row r="23" spans="1:7" ht="16">
      <c r="A23" s="122"/>
      <c r="B23" s="384" t="s">
        <v>622</v>
      </c>
      <c r="C23" s="94">
        <f>'11-Pres'!H49+SUMMARY!H50</f>
        <v>6000</v>
      </c>
      <c r="D23" s="94"/>
      <c r="E23" s="94">
        <f t="shared" ref="E23:E25" si="1">D23-D72</f>
        <v>0</v>
      </c>
      <c r="F23" s="94">
        <v>0</v>
      </c>
      <c r="G23" s="96">
        <v>0</v>
      </c>
    </row>
    <row r="24" spans="1:7" ht="16">
      <c r="A24" s="122"/>
      <c r="B24" s="385" t="s">
        <v>1158</v>
      </c>
      <c r="C24" s="119">
        <f>'12-VPOPS'!H28</f>
        <v>0</v>
      </c>
      <c r="D24" s="119"/>
      <c r="E24" s="119">
        <f t="shared" si="1"/>
        <v>0</v>
      </c>
      <c r="F24" s="119">
        <v>0</v>
      </c>
      <c r="G24" s="121">
        <v>0</v>
      </c>
    </row>
    <row r="25" spans="1:7" ht="16">
      <c r="A25" s="122"/>
      <c r="B25" s="384" t="s">
        <v>1159</v>
      </c>
      <c r="C25" s="94">
        <f>'13-VPSA'!H40</f>
        <v>0</v>
      </c>
      <c r="D25" s="94"/>
      <c r="E25" s="94">
        <f t="shared" si="1"/>
        <v>0</v>
      </c>
      <c r="F25" s="94">
        <v>0</v>
      </c>
      <c r="G25" s="96">
        <v>0</v>
      </c>
    </row>
    <row r="26" spans="1:7" ht="16">
      <c r="A26" s="122"/>
      <c r="B26" s="385" t="s">
        <v>1160</v>
      </c>
      <c r="C26" s="119">
        <f>'14-Academics'!H55</f>
        <v>12000</v>
      </c>
      <c r="D26" s="119"/>
      <c r="E26" s="119">
        <f>D26-D75</f>
        <v>0</v>
      </c>
      <c r="F26" s="119">
        <v>11950</v>
      </c>
      <c r="G26" s="121">
        <v>4608.45</v>
      </c>
    </row>
    <row r="27" spans="1:7" ht="16">
      <c r="A27" s="122"/>
      <c r="B27" s="384" t="s">
        <v>1161</v>
      </c>
      <c r="C27" s="94">
        <f>'15-Design'!H59</f>
        <v>0</v>
      </c>
      <c r="D27" s="94"/>
      <c r="E27" s="94">
        <f t="shared" ref="E27:E38" si="2">D27-D76</f>
        <v>0</v>
      </c>
      <c r="F27" s="94">
        <v>0</v>
      </c>
      <c r="G27" s="96">
        <v>0</v>
      </c>
    </row>
    <row r="28" spans="1:7" ht="16">
      <c r="A28" s="122"/>
      <c r="B28" s="385" t="s">
        <v>1162</v>
      </c>
      <c r="C28" s="119">
        <f>'16-PD'!H58</f>
        <v>9900</v>
      </c>
      <c r="D28" s="119"/>
      <c r="E28" s="119">
        <f t="shared" si="2"/>
        <v>0</v>
      </c>
      <c r="F28" s="119">
        <v>9600</v>
      </c>
      <c r="G28" s="121">
        <v>6960</v>
      </c>
    </row>
    <row r="29" spans="1:7" ht="16">
      <c r="A29" s="122"/>
      <c r="B29" s="384" t="s">
        <v>1163</v>
      </c>
      <c r="C29" s="94">
        <f>'17-CONF'!H75</f>
        <v>0</v>
      </c>
      <c r="D29" s="94"/>
      <c r="E29" s="94">
        <f t="shared" si="2"/>
        <v>0</v>
      </c>
      <c r="F29" s="94">
        <v>0</v>
      </c>
      <c r="G29" s="96">
        <v>0</v>
      </c>
    </row>
    <row r="30" spans="1:7" ht="16">
      <c r="A30" s="122"/>
      <c r="B30" s="385" t="s">
        <v>1164</v>
      </c>
      <c r="C30" s="119">
        <f>'18-DoFY'!H51</f>
        <v>0</v>
      </c>
      <c r="D30" s="119"/>
      <c r="E30" s="119">
        <f t="shared" si="2"/>
        <v>0</v>
      </c>
      <c r="F30" s="119">
        <v>4000</v>
      </c>
      <c r="G30" s="121">
        <v>3158.25</v>
      </c>
    </row>
    <row r="31" spans="1:7" ht="16">
      <c r="A31" s="122"/>
      <c r="B31" s="384" t="s">
        <v>1165</v>
      </c>
      <c r="C31" s="94">
        <f>'19-Finances'!H23</f>
        <v>0</v>
      </c>
      <c r="D31" s="94"/>
      <c r="E31" s="94">
        <f t="shared" si="2"/>
        <v>0</v>
      </c>
      <c r="F31" s="94">
        <v>0</v>
      </c>
      <c r="G31" s="96">
        <v>0</v>
      </c>
    </row>
    <row r="32" spans="1:7" ht="16">
      <c r="A32" s="122"/>
      <c r="B32" s="385" t="s">
        <v>1166</v>
      </c>
      <c r="C32" s="119">
        <f>'20-Services'!H57</f>
        <v>0</v>
      </c>
      <c r="D32" s="119"/>
      <c r="E32" s="119">
        <f t="shared" si="2"/>
        <v>0</v>
      </c>
      <c r="F32" s="119">
        <v>0</v>
      </c>
      <c r="G32" s="121">
        <v>0</v>
      </c>
    </row>
    <row r="33" spans="1:7" ht="16">
      <c r="A33" s="122"/>
      <c r="B33" s="384" t="s">
        <v>1167</v>
      </c>
      <c r="C33" s="94">
        <f>'21-IT'!H55</f>
        <v>384.2</v>
      </c>
      <c r="D33" s="94"/>
      <c r="E33" s="94">
        <f t="shared" si="2"/>
        <v>0</v>
      </c>
      <c r="F33" s="94">
        <v>2209.15</v>
      </c>
      <c r="G33" s="96">
        <v>0</v>
      </c>
    </row>
    <row r="34" spans="1:7" ht="16">
      <c r="A34" s="122"/>
      <c r="B34" s="385" t="s">
        <v>1168</v>
      </c>
      <c r="C34" s="119">
        <f>'22-Events'!H36</f>
        <v>1250</v>
      </c>
      <c r="D34" s="119"/>
      <c r="E34" s="119">
        <f t="shared" si="2"/>
        <v>0</v>
      </c>
      <c r="F34" s="119">
        <v>1250</v>
      </c>
      <c r="G34" s="121">
        <v>0</v>
      </c>
    </row>
    <row r="35" spans="1:7" ht="16">
      <c r="A35" s="122"/>
      <c r="B35" s="384" t="s">
        <v>1169</v>
      </c>
      <c r="C35" s="94">
        <f>'23-Comm'!H25</f>
        <v>0</v>
      </c>
      <c r="D35" s="94"/>
      <c r="E35" s="94">
        <f t="shared" si="2"/>
        <v>0</v>
      </c>
      <c r="F35" s="94">
        <v>0</v>
      </c>
      <c r="G35" s="96">
        <v>0</v>
      </c>
    </row>
    <row r="36" spans="1:7" ht="16">
      <c r="A36" s="122"/>
      <c r="B36" s="385" t="s">
        <v>1170</v>
      </c>
      <c r="C36" s="119">
        <f>'24-IA'!H68</f>
        <v>0</v>
      </c>
      <c r="D36" s="119"/>
      <c r="E36" s="119">
        <f t="shared" si="2"/>
        <v>0</v>
      </c>
      <c r="F36" s="119">
        <v>0</v>
      </c>
      <c r="G36" s="121">
        <v>0</v>
      </c>
    </row>
    <row r="37" spans="1:7" ht="16">
      <c r="A37" s="122"/>
      <c r="B37" s="384" t="s">
        <v>1171</v>
      </c>
      <c r="C37" s="94">
        <f>'25-HR'!H53</f>
        <v>0</v>
      </c>
      <c r="D37" s="94"/>
      <c r="E37" s="94">
        <f t="shared" si="2"/>
        <v>0</v>
      </c>
      <c r="F37" s="94">
        <v>0</v>
      </c>
      <c r="G37" s="96">
        <v>0</v>
      </c>
    </row>
    <row r="38" spans="1:7" ht="16">
      <c r="A38" s="122"/>
      <c r="B38" s="385" t="s">
        <v>1172</v>
      </c>
      <c r="C38" s="119">
        <f>'26-EVOPS'!H282</f>
        <v>16233</v>
      </c>
      <c r="D38" s="119"/>
      <c r="E38" s="119">
        <f t="shared" si="2"/>
        <v>0</v>
      </c>
      <c r="F38" s="119">
        <v>30255.67</v>
      </c>
      <c r="G38" s="121">
        <v>7044.54</v>
      </c>
    </row>
    <row r="39" spans="1:7" ht="16">
      <c r="A39" s="122"/>
      <c r="B39" s="324"/>
      <c r="C39" s="94"/>
      <c r="D39" s="94"/>
      <c r="E39" s="94"/>
      <c r="F39" s="94"/>
      <c r="G39" s="96"/>
    </row>
    <row r="40" spans="1:7" ht="16">
      <c r="A40" s="122"/>
      <c r="B40" s="314"/>
      <c r="C40" s="119"/>
      <c r="D40" s="119"/>
      <c r="E40" s="119"/>
      <c r="F40" s="119"/>
      <c r="G40" s="121"/>
    </row>
    <row r="41" spans="1:7" ht="16">
      <c r="A41" s="86"/>
      <c r="B41" s="103" t="s">
        <v>1173</v>
      </c>
      <c r="C41" s="67">
        <f>SUM(C23:C40)</f>
        <v>45767.199999999997</v>
      </c>
      <c r="D41" s="67">
        <f>SUM(D23:D40)</f>
        <v>0</v>
      </c>
      <c r="E41" s="67">
        <f>SUM(E23:E38)</f>
        <v>0</v>
      </c>
      <c r="F41" s="67">
        <f>SUM(F23:F38)</f>
        <v>59264.82</v>
      </c>
      <c r="G41" s="68">
        <f>SUM(G23:G38)</f>
        <v>21771.24</v>
      </c>
    </row>
    <row r="42" spans="1:7" ht="16">
      <c r="A42" s="86"/>
      <c r="B42" s="87"/>
      <c r="C42" s="107"/>
      <c r="D42" s="107"/>
      <c r="E42" s="107"/>
      <c r="F42" s="107"/>
      <c r="G42" s="109"/>
    </row>
    <row r="43" spans="1:7" ht="16">
      <c r="A43" s="86" t="s">
        <v>1174</v>
      </c>
      <c r="B43" s="97"/>
      <c r="C43" s="119"/>
      <c r="D43" s="119"/>
      <c r="E43" s="119"/>
      <c r="F43" s="119"/>
      <c r="G43" s="121"/>
    </row>
    <row r="44" spans="1:7" ht="16">
      <c r="A44" s="122"/>
      <c r="B44" s="324" t="s">
        <v>1175</v>
      </c>
      <c r="C44" s="94">
        <f>General!H34</f>
        <v>10178.678399999999</v>
      </c>
      <c r="D44" s="94"/>
      <c r="E44" s="94">
        <f>D44-D102</f>
        <v>0</v>
      </c>
      <c r="F44" s="94">
        <v>9011.2800000000007</v>
      </c>
      <c r="G44" s="382">
        <v>9011.2800000000007</v>
      </c>
    </row>
    <row r="45" spans="1:7" ht="16">
      <c r="A45" s="122"/>
      <c r="B45" s="314" t="s">
        <v>1176</v>
      </c>
      <c r="C45" s="119">
        <f>General!H36</f>
        <v>48368.248800000001</v>
      </c>
      <c r="D45" s="119"/>
      <c r="E45" s="119"/>
      <c r="F45" s="119">
        <v>42803.76</v>
      </c>
      <c r="G45" s="121">
        <v>42803.76</v>
      </c>
    </row>
    <row r="46" spans="1:7" ht="16">
      <c r="A46" s="122"/>
      <c r="B46" s="324" t="s">
        <v>1177</v>
      </c>
      <c r="C46" s="94">
        <f>General!H38</f>
        <v>18759.853199999998</v>
      </c>
      <c r="D46" s="94"/>
      <c r="E46" s="94">
        <f>D46-D104</f>
        <v>0</v>
      </c>
      <c r="F46" s="94">
        <v>16601.64</v>
      </c>
      <c r="G46" s="382">
        <v>16601.64</v>
      </c>
    </row>
    <row r="47" spans="1:7" ht="16">
      <c r="A47" s="122"/>
      <c r="B47" s="314" t="s">
        <v>1178</v>
      </c>
      <c r="C47" s="119">
        <f>General!H40</f>
        <v>3480.8519999999994</v>
      </c>
      <c r="D47" s="119"/>
      <c r="E47" s="119">
        <f>D47-D105</f>
        <v>0</v>
      </c>
      <c r="F47" s="119">
        <v>3544.56</v>
      </c>
      <c r="G47" s="383">
        <v>3544.56</v>
      </c>
    </row>
    <row r="48" spans="1:7" ht="16">
      <c r="A48" s="122"/>
      <c r="B48" s="324" t="s">
        <v>1179</v>
      </c>
      <c r="C48" s="94">
        <f>General!H42</f>
        <v>3616.0451999999996</v>
      </c>
      <c r="D48" s="94"/>
      <c r="E48" s="94">
        <f>D48-D106</f>
        <v>0</v>
      </c>
      <c r="F48" s="386">
        <v>3200.04</v>
      </c>
      <c r="G48" s="382">
        <v>3200.04</v>
      </c>
    </row>
    <row r="49" spans="1:7" ht="16">
      <c r="A49" s="122"/>
      <c r="B49" s="314" t="s">
        <v>1180</v>
      </c>
      <c r="C49" s="119">
        <f>General!H44</f>
        <v>790.95479999999998</v>
      </c>
      <c r="D49" s="119"/>
      <c r="E49" s="119">
        <f>D49-D107</f>
        <v>0</v>
      </c>
      <c r="F49" s="119">
        <v>2499.96</v>
      </c>
      <c r="G49" s="383">
        <v>4731.1899999999996</v>
      </c>
    </row>
    <row r="50" spans="1:7" ht="16">
      <c r="A50" s="122"/>
      <c r="B50" s="324"/>
      <c r="C50" s="94"/>
      <c r="D50" s="94"/>
      <c r="E50" s="94"/>
      <c r="F50" s="94"/>
      <c r="G50" s="96"/>
    </row>
    <row r="51" spans="1:7" ht="16">
      <c r="A51" s="86"/>
      <c r="B51" s="103" t="s">
        <v>1181</v>
      </c>
      <c r="C51" s="67">
        <f>SUM(C44:C49)</f>
        <v>85194.632399999988</v>
      </c>
      <c r="D51" s="67">
        <f>SUM(D44:D49)</f>
        <v>0</v>
      </c>
      <c r="E51" s="67">
        <f>SUM(E44:E49)</f>
        <v>0</v>
      </c>
      <c r="F51" s="67">
        <f>SUM(F44:F49)</f>
        <v>77661.239999999991</v>
      </c>
      <c r="G51" s="68">
        <f>SUM(G44:G49)</f>
        <v>79892.469999999987</v>
      </c>
    </row>
    <row r="52" spans="1:7" ht="16">
      <c r="A52" s="86"/>
      <c r="B52" s="87"/>
      <c r="C52" s="107"/>
      <c r="D52" s="107"/>
      <c r="E52" s="107"/>
      <c r="F52" s="107"/>
      <c r="G52" s="109"/>
    </row>
    <row r="53" spans="1:7" ht="16">
      <c r="A53" s="86" t="s">
        <v>1394</v>
      </c>
      <c r="B53" s="97"/>
      <c r="C53" s="119"/>
      <c r="D53" s="119"/>
      <c r="E53" s="119"/>
      <c r="F53" s="119"/>
      <c r="G53" s="121"/>
    </row>
    <row r="54" spans="1:7" ht="16">
      <c r="A54" s="122"/>
      <c r="B54" s="324" t="s">
        <v>1182</v>
      </c>
      <c r="C54" s="94">
        <f>General!H29</f>
        <v>8000</v>
      </c>
      <c r="D54" s="94"/>
      <c r="E54" s="94">
        <f>D54+D55</f>
        <v>0</v>
      </c>
      <c r="F54" s="94">
        <v>0</v>
      </c>
      <c r="G54" s="382">
        <v>7771.2</v>
      </c>
    </row>
    <row r="55" spans="1:7" ht="16">
      <c r="A55" s="122"/>
      <c r="B55" s="314" t="s">
        <v>1183</v>
      </c>
      <c r="C55" s="119">
        <v>0</v>
      </c>
      <c r="D55" s="119"/>
      <c r="E55" s="119"/>
      <c r="F55" s="119">
        <v>0</v>
      </c>
      <c r="G55" s="121">
        <v>2999.8</v>
      </c>
    </row>
    <row r="56" spans="1:7" ht="16">
      <c r="A56" s="86"/>
      <c r="B56" s="103" t="s">
        <v>1181</v>
      </c>
      <c r="C56" s="67">
        <f>SUM(C54:C55)</f>
        <v>8000</v>
      </c>
      <c r="D56" s="67">
        <f>SUM(D54:D55)</f>
        <v>0</v>
      </c>
      <c r="E56" s="67"/>
      <c r="F56" s="67">
        <f>SUM(F54:F55)</f>
        <v>0</v>
      </c>
      <c r="G56" s="68">
        <f>SUM(G54:G55)</f>
        <v>10771</v>
      </c>
    </row>
    <row r="57" spans="1:7" ht="16">
      <c r="A57" s="86"/>
      <c r="B57" s="87"/>
      <c r="C57" s="107"/>
      <c r="D57" s="107"/>
      <c r="E57" s="107"/>
      <c r="F57" s="107"/>
      <c r="G57" s="109"/>
    </row>
    <row r="58" spans="1:7" ht="17">
      <c r="A58" s="110"/>
      <c r="B58" s="111" t="s">
        <v>11</v>
      </c>
      <c r="C58" s="107">
        <f>SUM(C41+C20+C51)</f>
        <v>409069.83240000001</v>
      </c>
      <c r="D58" s="107">
        <f>SUM(D41+D20+D51+D56)</f>
        <v>0</v>
      </c>
      <c r="E58" s="107"/>
      <c r="F58" s="107">
        <f>SUM(F41+F20+F51)</f>
        <v>429313.49</v>
      </c>
      <c r="G58" s="109">
        <f>SUM(G41+G20+G51+G56)</f>
        <v>365993.38999999996</v>
      </c>
    </row>
    <row r="59" spans="1:7" ht="17">
      <c r="A59" s="110"/>
      <c r="B59" s="111"/>
      <c r="C59" s="107"/>
      <c r="D59" s="107"/>
      <c r="E59" s="107"/>
      <c r="F59" s="107"/>
      <c r="G59" s="109"/>
    </row>
    <row r="60" spans="1:7" ht="16">
      <c r="A60" s="472" t="s">
        <v>12</v>
      </c>
      <c r="B60" s="473"/>
      <c r="C60" s="83"/>
      <c r="D60" s="117"/>
      <c r="E60" s="117"/>
      <c r="F60" s="83"/>
      <c r="G60" s="242"/>
    </row>
    <row r="61" spans="1:7" ht="16">
      <c r="A61" s="86" t="s">
        <v>1184</v>
      </c>
      <c r="B61" s="97"/>
      <c r="C61" s="119"/>
      <c r="D61" s="119"/>
      <c r="E61" s="119"/>
      <c r="F61" s="119"/>
      <c r="G61" s="121"/>
    </row>
    <row r="62" spans="1:7" ht="16">
      <c r="A62" s="122"/>
      <c r="B62" s="324" t="s">
        <v>1185</v>
      </c>
      <c r="C62" s="94">
        <f>General!H53</f>
        <v>1800</v>
      </c>
      <c r="D62" s="94"/>
      <c r="E62" s="94"/>
      <c r="F62" s="94">
        <v>2847.6</v>
      </c>
      <c r="G62" s="382">
        <v>1831.6</v>
      </c>
    </row>
    <row r="63" spans="1:7" ht="16">
      <c r="A63" s="122"/>
      <c r="B63" s="314" t="s">
        <v>1186</v>
      </c>
      <c r="C63" s="119">
        <f>SUM(General!H55:H57)</f>
        <v>7838.32</v>
      </c>
      <c r="D63" s="119"/>
      <c r="E63" s="119"/>
      <c r="F63" s="119">
        <v>7166.46</v>
      </c>
      <c r="G63" s="121">
        <v>7310.12</v>
      </c>
    </row>
    <row r="64" spans="1:7" ht="16">
      <c r="A64" s="122"/>
      <c r="B64" s="324" t="s">
        <v>1148</v>
      </c>
      <c r="C64" s="94">
        <f>General!H60</f>
        <v>0</v>
      </c>
      <c r="D64" s="94"/>
      <c r="E64" s="94"/>
      <c r="F64" s="94">
        <v>120</v>
      </c>
      <c r="G64" s="382">
        <v>110.85</v>
      </c>
    </row>
    <row r="65" spans="1:7" ht="16">
      <c r="A65" s="122"/>
      <c r="B65" s="314" t="s">
        <v>1187</v>
      </c>
      <c r="C65" s="119">
        <f>General!H62</f>
        <v>0</v>
      </c>
      <c r="D65" s="119"/>
      <c r="E65" s="119"/>
      <c r="F65" s="119">
        <v>1915.35</v>
      </c>
      <c r="G65" s="383">
        <v>0</v>
      </c>
    </row>
    <row r="66" spans="1:7" ht="16">
      <c r="A66" s="122"/>
      <c r="B66" s="324" t="s">
        <v>1188</v>
      </c>
      <c r="C66" s="94">
        <f>General!H64</f>
        <v>14000</v>
      </c>
      <c r="D66" s="94"/>
      <c r="E66" s="94"/>
      <c r="F66" s="386">
        <v>12430</v>
      </c>
      <c r="G66" s="382">
        <v>12719.01</v>
      </c>
    </row>
    <row r="67" spans="1:7" ht="16">
      <c r="A67" s="122"/>
      <c r="B67" s="314" t="s">
        <v>1189</v>
      </c>
      <c r="C67" s="119">
        <f>General!H66</f>
        <v>9000</v>
      </c>
      <c r="D67" s="119"/>
      <c r="E67" s="119"/>
      <c r="F67" s="119">
        <v>9432.68</v>
      </c>
      <c r="G67" s="383">
        <v>9432.68</v>
      </c>
    </row>
    <row r="68" spans="1:7" ht="16">
      <c r="A68" s="122"/>
      <c r="B68" s="324" t="s">
        <v>1190</v>
      </c>
      <c r="C68" s="94">
        <f>General!H68</f>
        <v>14500</v>
      </c>
      <c r="D68" s="94"/>
      <c r="E68" s="94"/>
      <c r="F68" s="94">
        <v>26748</v>
      </c>
      <c r="G68" s="382">
        <v>12448.09</v>
      </c>
    </row>
    <row r="69" spans="1:7" ht="16">
      <c r="A69" s="86"/>
      <c r="B69" s="103" t="s">
        <v>1191</v>
      </c>
      <c r="C69" s="67">
        <f>SUM(C62:C68)</f>
        <v>47138.32</v>
      </c>
      <c r="D69" s="67">
        <f>SUM(D62:D68)</f>
        <v>0</v>
      </c>
      <c r="E69" s="67"/>
      <c r="F69" s="67">
        <f>SUM(F62:F68)</f>
        <v>60660.09</v>
      </c>
      <c r="G69" s="68">
        <f>SUM(G62:G68)</f>
        <v>43852.350000000006</v>
      </c>
    </row>
    <row r="70" spans="1:7" ht="16">
      <c r="A70" s="86"/>
      <c r="B70" s="87"/>
      <c r="C70" s="107"/>
      <c r="D70" s="107"/>
      <c r="E70" s="107"/>
      <c r="F70" s="107"/>
      <c r="G70" s="109"/>
    </row>
    <row r="71" spans="1:7" ht="16">
      <c r="A71" s="86" t="s">
        <v>1192</v>
      </c>
      <c r="B71" s="97"/>
      <c r="C71" s="119"/>
      <c r="D71" s="119"/>
      <c r="E71" s="119"/>
      <c r="F71" s="119"/>
      <c r="G71" s="121"/>
    </row>
    <row r="72" spans="1:7" ht="16">
      <c r="A72" s="325"/>
      <c r="B72" s="384" t="s">
        <v>622</v>
      </c>
      <c r="C72" s="94">
        <f>'11-Pres'!H50</f>
        <v>14985.7</v>
      </c>
      <c r="D72" s="94"/>
      <c r="E72" s="94"/>
      <c r="F72" s="94">
        <v>13533.05</v>
      </c>
      <c r="G72" s="96">
        <v>9139.58</v>
      </c>
    </row>
    <row r="73" spans="1:7" ht="16">
      <c r="A73" s="325"/>
      <c r="B73" s="385" t="s">
        <v>1158</v>
      </c>
      <c r="C73" s="119">
        <f>'12-VPOPS'!H29</f>
        <v>3162.7370000000001</v>
      </c>
      <c r="D73" s="119"/>
      <c r="E73" s="119"/>
      <c r="F73" s="119">
        <v>2606.0100000000002</v>
      </c>
      <c r="G73" s="121">
        <v>1981.84</v>
      </c>
    </row>
    <row r="74" spans="1:7" ht="16">
      <c r="A74" s="325"/>
      <c r="B74" s="384" t="s">
        <v>1159</v>
      </c>
      <c r="C74" s="94">
        <f>'13-VPSA'!H41</f>
        <v>3196.3832999999995</v>
      </c>
      <c r="D74" s="94"/>
      <c r="E74" s="94"/>
      <c r="F74" s="94">
        <v>1395.55</v>
      </c>
      <c r="G74" s="96">
        <v>1912.1</v>
      </c>
    </row>
    <row r="75" spans="1:7" ht="16">
      <c r="A75" s="325"/>
      <c r="B75" s="385" t="s">
        <v>1160</v>
      </c>
      <c r="C75" s="119">
        <f>'14-Academics'!H56</f>
        <v>14080.3467</v>
      </c>
      <c r="D75" s="119"/>
      <c r="E75" s="119"/>
      <c r="F75" s="119">
        <v>17808.849999999999</v>
      </c>
      <c r="G75" s="121">
        <v>8112.98</v>
      </c>
    </row>
    <row r="76" spans="1:7" ht="16">
      <c r="A76" s="325"/>
      <c r="B76" s="384" t="s">
        <v>1161</v>
      </c>
      <c r="C76" s="94">
        <f>'15-Design'!H60</f>
        <v>11255.093799999999</v>
      </c>
      <c r="D76" s="94"/>
      <c r="E76" s="94"/>
      <c r="F76" s="94">
        <v>7655.5</v>
      </c>
      <c r="G76" s="96">
        <v>1337.76</v>
      </c>
    </row>
    <row r="77" spans="1:7" ht="16">
      <c r="A77" s="325"/>
      <c r="B77" s="385" t="s">
        <v>1162</v>
      </c>
      <c r="C77" s="119">
        <f>'16-PD'!H59</f>
        <v>11562.349999999999</v>
      </c>
      <c r="D77" s="119"/>
      <c r="E77" s="119"/>
      <c r="F77" s="119">
        <v>12218.2</v>
      </c>
      <c r="G77" s="121">
        <v>8471.89</v>
      </c>
    </row>
    <row r="78" spans="1:7" ht="16">
      <c r="A78" s="325"/>
      <c r="B78" s="384" t="s">
        <v>1163</v>
      </c>
      <c r="C78" s="94">
        <f>'17-CONF'!H76</f>
        <v>15950.45</v>
      </c>
      <c r="D78" s="94"/>
      <c r="E78" s="94"/>
      <c r="F78" s="94">
        <v>15237.2</v>
      </c>
      <c r="G78" s="96">
        <v>8719.94</v>
      </c>
    </row>
    <row r="79" spans="1:7" ht="16">
      <c r="A79" s="325"/>
      <c r="B79" s="385" t="s">
        <v>1164</v>
      </c>
      <c r="C79" s="119">
        <f>'18-DoFY'!H52</f>
        <v>5706.4999999999991</v>
      </c>
      <c r="D79" s="119"/>
      <c r="E79" s="119"/>
      <c r="F79" s="119">
        <v>13064.08</v>
      </c>
      <c r="G79" s="121">
        <v>11566.33</v>
      </c>
    </row>
    <row r="80" spans="1:7" ht="16">
      <c r="A80" s="325"/>
      <c r="B80" s="384" t="s">
        <v>1165</v>
      </c>
      <c r="C80" s="94">
        <f>'19-Finances'!H24</f>
        <v>284.19499999999999</v>
      </c>
      <c r="D80" s="94"/>
      <c r="E80" s="94"/>
      <c r="F80" s="94">
        <v>628.28</v>
      </c>
      <c r="G80" s="96">
        <v>95.65</v>
      </c>
    </row>
    <row r="81" spans="1:7" ht="16">
      <c r="A81" s="325"/>
      <c r="B81" s="385" t="s">
        <v>1166</v>
      </c>
      <c r="C81" s="119">
        <f>'20-Services'!H58</f>
        <v>4242.9794999999995</v>
      </c>
      <c r="D81" s="119"/>
      <c r="E81" s="119"/>
      <c r="F81" s="119">
        <v>3243.49</v>
      </c>
      <c r="G81" s="121">
        <v>2120.9</v>
      </c>
    </row>
    <row r="82" spans="1:7" ht="16">
      <c r="A82" s="325"/>
      <c r="B82" s="384" t="s">
        <v>1167</v>
      </c>
      <c r="C82" s="94">
        <f>'21-IT'!H56</f>
        <v>8531.6695</v>
      </c>
      <c r="D82" s="94"/>
      <c r="E82" s="94"/>
      <c r="F82" s="94">
        <v>19683.87</v>
      </c>
      <c r="G82" s="96">
        <v>3990.37</v>
      </c>
    </row>
    <row r="83" spans="1:7" ht="16">
      <c r="A83" s="325"/>
      <c r="B83" s="385" t="s">
        <v>1168</v>
      </c>
      <c r="C83" s="119">
        <f>'22-Events'!H37</f>
        <v>3361.857</v>
      </c>
      <c r="D83" s="119"/>
      <c r="E83" s="119"/>
      <c r="F83" s="119">
        <v>3287.45</v>
      </c>
      <c r="G83" s="121">
        <v>3085.26</v>
      </c>
    </row>
    <row r="84" spans="1:7" ht="16">
      <c r="A84" s="325"/>
      <c r="B84" s="384" t="s">
        <v>1169</v>
      </c>
      <c r="C84" s="94">
        <f>'23-Comm'!H26</f>
        <v>2165.08</v>
      </c>
      <c r="D84" s="94"/>
      <c r="E84" s="94"/>
      <c r="F84" s="94">
        <v>1186.5</v>
      </c>
      <c r="G84" s="96">
        <v>193.51</v>
      </c>
    </row>
    <row r="85" spans="1:7" ht="16">
      <c r="A85" s="325"/>
      <c r="B85" s="385" t="s">
        <v>1170</v>
      </c>
      <c r="C85" s="119">
        <f>'24-IA'!H69</f>
        <v>18396.400000000001</v>
      </c>
      <c r="D85" s="119"/>
      <c r="E85" s="119"/>
      <c r="F85" s="119">
        <v>22778.37</v>
      </c>
      <c r="G85" s="121">
        <v>20977.07</v>
      </c>
    </row>
    <row r="86" spans="1:7" ht="16">
      <c r="A86" s="325"/>
      <c r="B86" s="384" t="s">
        <v>1171</v>
      </c>
      <c r="C86" s="94">
        <f>'25-HR'!H54</f>
        <v>3859.77</v>
      </c>
      <c r="D86" s="94"/>
      <c r="E86" s="94"/>
      <c r="F86" s="94">
        <v>962.59</v>
      </c>
      <c r="G86" s="96">
        <v>604.51</v>
      </c>
    </row>
    <row r="87" spans="1:7" ht="16">
      <c r="A87" s="122"/>
      <c r="B87" s="385" t="s">
        <v>1172</v>
      </c>
      <c r="C87" s="119">
        <f>'26-EVOPS'!H283</f>
        <v>27136.603299999999</v>
      </c>
      <c r="D87" s="119"/>
      <c r="E87" s="119"/>
      <c r="F87" s="119">
        <v>29461.65</v>
      </c>
      <c r="G87" s="121">
        <v>8217.36</v>
      </c>
    </row>
    <row r="88" spans="1:7" ht="16">
      <c r="A88" s="122"/>
      <c r="B88" s="210" t="s">
        <v>1193</v>
      </c>
      <c r="C88" s="94">
        <f>0.1*SUM(C72:C87)</f>
        <v>14787.811510000003</v>
      </c>
      <c r="D88" s="94"/>
      <c r="E88" s="94"/>
      <c r="F88" s="94">
        <v>16475.060000000001</v>
      </c>
      <c r="G88" s="96"/>
    </row>
    <row r="89" spans="1:7" ht="16">
      <c r="A89" s="122"/>
      <c r="B89" s="97"/>
      <c r="C89" s="119"/>
      <c r="D89" s="119"/>
      <c r="E89" s="119"/>
      <c r="F89" s="119"/>
      <c r="G89" s="383"/>
    </row>
    <row r="90" spans="1:7" ht="16">
      <c r="A90" s="122"/>
      <c r="B90" s="210"/>
      <c r="C90" s="94"/>
      <c r="D90" s="94"/>
      <c r="E90" s="94"/>
      <c r="F90" s="94"/>
      <c r="G90" s="96"/>
    </row>
    <row r="91" spans="1:7" ht="16">
      <c r="A91" s="122"/>
      <c r="B91" s="103" t="s">
        <v>1194</v>
      </c>
      <c r="C91" s="67">
        <f>SUM(C72:C89)</f>
        <v>162665.92661000002</v>
      </c>
      <c r="D91" s="67">
        <f>SUM(D72:D89)</f>
        <v>0</v>
      </c>
      <c r="E91" s="67"/>
      <c r="F91" s="67">
        <f>SUM(F72:F89)</f>
        <v>181225.69999999998</v>
      </c>
      <c r="G91" s="68">
        <f>SUM(G72:G89)</f>
        <v>90527.05</v>
      </c>
    </row>
    <row r="92" spans="1:7" ht="16">
      <c r="A92" s="122"/>
      <c r="B92" s="97"/>
      <c r="C92" s="119"/>
      <c r="D92" s="119"/>
      <c r="E92" s="119"/>
      <c r="F92" s="119"/>
      <c r="G92" s="121"/>
    </row>
    <row r="93" spans="1:7" ht="16">
      <c r="A93" s="86" t="s">
        <v>1195</v>
      </c>
      <c r="B93" s="97"/>
      <c r="C93" s="119"/>
      <c r="D93" s="119"/>
      <c r="E93" s="119"/>
      <c r="F93" s="119"/>
      <c r="G93" s="121"/>
    </row>
    <row r="94" spans="1:7" ht="16">
      <c r="A94" s="122"/>
      <c r="B94" s="324" t="s">
        <v>1196</v>
      </c>
      <c r="C94" s="94">
        <f>SUM(General!H74:H77)</f>
        <v>29722.736000000001</v>
      </c>
      <c r="D94" s="94"/>
      <c r="E94" s="94"/>
      <c r="F94" s="94">
        <v>29379.57</v>
      </c>
      <c r="G94" s="96">
        <v>29479.57</v>
      </c>
    </row>
    <row r="95" spans="1:7" ht="16">
      <c r="A95" s="122"/>
      <c r="B95" s="97" t="s">
        <v>1197</v>
      </c>
      <c r="C95" s="119">
        <f>General!H80</f>
        <v>800</v>
      </c>
      <c r="D95" s="119"/>
      <c r="E95" s="119"/>
      <c r="F95" s="119">
        <v>797.32799999999997</v>
      </c>
      <c r="G95" s="121">
        <v>797.33</v>
      </c>
    </row>
    <row r="96" spans="1:7" ht="16">
      <c r="A96" s="122"/>
      <c r="B96" s="210" t="s">
        <v>1198</v>
      </c>
      <c r="C96" s="94">
        <f>General!H82</f>
        <v>1200</v>
      </c>
      <c r="D96" s="94"/>
      <c r="E96" s="94"/>
      <c r="F96" s="94">
        <v>1203.1199999999999</v>
      </c>
      <c r="G96" s="96">
        <v>1203.1199999999999</v>
      </c>
    </row>
    <row r="97" spans="1:7" ht="16">
      <c r="A97" s="325"/>
      <c r="B97" s="97" t="s">
        <v>1199</v>
      </c>
      <c r="C97" s="119">
        <f>SUM(General!H84:H85)</f>
        <v>12774.5</v>
      </c>
      <c r="D97" s="119"/>
      <c r="E97" s="119"/>
      <c r="F97" s="119">
        <v>8774.5</v>
      </c>
      <c r="G97" s="121">
        <v>9015.36</v>
      </c>
    </row>
    <row r="98" spans="1:7" ht="16">
      <c r="A98" s="122"/>
      <c r="B98" s="210"/>
      <c r="C98" s="94"/>
      <c r="D98" s="94"/>
      <c r="E98" s="94"/>
      <c r="F98" s="94"/>
      <c r="G98" s="387"/>
    </row>
    <row r="99" spans="1:7" ht="16">
      <c r="A99" s="122"/>
      <c r="B99" s="103" t="s">
        <v>1200</v>
      </c>
      <c r="C99" s="67">
        <f>SUM(C94:C97)</f>
        <v>44497.236000000004</v>
      </c>
      <c r="D99" s="67">
        <f>SUM(D94:D97)</f>
        <v>0</v>
      </c>
      <c r="E99" s="67"/>
      <c r="F99" s="67">
        <f>SUM(F94:F97)</f>
        <v>40154.517999999996</v>
      </c>
      <c r="G99" s="68">
        <f>SUM(G94:G97)</f>
        <v>40495.380000000005</v>
      </c>
    </row>
    <row r="100" spans="1:7" ht="16">
      <c r="A100" s="122"/>
      <c r="B100" s="97"/>
      <c r="C100" s="119"/>
      <c r="D100" s="119"/>
      <c r="E100" s="119"/>
      <c r="F100" s="119"/>
      <c r="G100" s="121"/>
    </row>
    <row r="101" spans="1:7" ht="16">
      <c r="A101" s="86" t="s">
        <v>1201</v>
      </c>
      <c r="B101" s="97"/>
      <c r="C101" s="119"/>
      <c r="D101" s="119"/>
      <c r="E101" s="119"/>
      <c r="F101" s="119"/>
      <c r="G101" s="121"/>
    </row>
    <row r="102" spans="1:7" ht="16">
      <c r="A102" s="122"/>
      <c r="B102" s="324" t="s">
        <v>1202</v>
      </c>
      <c r="C102" s="94">
        <f>SUM(General!H91:H92)</f>
        <v>14500</v>
      </c>
      <c r="D102" s="94"/>
      <c r="E102" s="94"/>
      <c r="F102" s="94">
        <v>20735.5</v>
      </c>
      <c r="G102" s="96">
        <v>14512.99</v>
      </c>
    </row>
    <row r="103" spans="1:7" ht="16">
      <c r="A103" s="122" t="s">
        <v>10</v>
      </c>
      <c r="B103" s="97" t="s">
        <v>1395</v>
      </c>
      <c r="C103" s="119">
        <f>SUM(General!H95:H97)</f>
        <v>67468</v>
      </c>
      <c r="D103" s="119"/>
      <c r="E103" s="119"/>
      <c r="F103" s="119">
        <v>67441.7</v>
      </c>
      <c r="G103" s="121">
        <v>68673.7</v>
      </c>
    </row>
    <row r="104" spans="1:7" ht="16">
      <c r="A104" s="122"/>
      <c r="B104" s="210" t="s">
        <v>1203</v>
      </c>
      <c r="C104" s="94">
        <f>General!H99</f>
        <v>20280</v>
      </c>
      <c r="D104" s="94"/>
      <c r="E104" s="94"/>
      <c r="F104" s="94">
        <v>20280</v>
      </c>
      <c r="G104" s="96">
        <v>20280</v>
      </c>
    </row>
    <row r="105" spans="1:7" ht="16">
      <c r="A105" s="122"/>
      <c r="B105" s="97" t="s">
        <v>1204</v>
      </c>
      <c r="C105" s="119">
        <f>SUM(General!H101:H102)</f>
        <v>5280</v>
      </c>
      <c r="D105" s="119"/>
      <c r="E105" s="119"/>
      <c r="F105" s="119">
        <v>5280</v>
      </c>
      <c r="G105" s="121">
        <v>5977.2</v>
      </c>
    </row>
    <row r="106" spans="1:7" ht="16">
      <c r="A106" s="86"/>
      <c r="B106" s="210" t="s">
        <v>1205</v>
      </c>
      <c r="C106" s="94">
        <f>SUM(General!H105:H106)</f>
        <v>5400</v>
      </c>
      <c r="D106" s="94"/>
      <c r="E106" s="94"/>
      <c r="F106" s="94">
        <v>5135.4000000000005</v>
      </c>
      <c r="G106" s="96">
        <v>5279.8</v>
      </c>
    </row>
    <row r="107" spans="1:7" ht="16">
      <c r="A107" s="86"/>
      <c r="B107" s="97" t="s">
        <v>1206</v>
      </c>
      <c r="C107" s="119">
        <f>SUM(General!H109:H112)</f>
        <v>3500</v>
      </c>
      <c r="D107" s="119"/>
      <c r="E107" s="119"/>
      <c r="F107" s="119">
        <v>3503.53</v>
      </c>
      <c r="G107" s="121">
        <v>4875.7700000000004</v>
      </c>
    </row>
    <row r="108" spans="1:7" ht="16">
      <c r="A108" s="122"/>
      <c r="B108" s="210"/>
      <c r="C108" s="94"/>
      <c r="D108" s="94"/>
      <c r="E108" s="94"/>
      <c r="F108" s="94"/>
      <c r="G108" s="96"/>
    </row>
    <row r="109" spans="1:7" ht="16">
      <c r="A109" s="122"/>
      <c r="B109" s="103" t="s">
        <v>1207</v>
      </c>
      <c r="C109" s="67">
        <f>SUM(C102:C107)</f>
        <v>116428</v>
      </c>
      <c r="D109" s="67">
        <f>SUM(D102:D107)</f>
        <v>0</v>
      </c>
      <c r="E109" s="67"/>
      <c r="F109" s="67">
        <f>SUM(F102:F107)</f>
        <v>122376.12999999999</v>
      </c>
      <c r="G109" s="68">
        <f>SUM(G102:G107)</f>
        <v>119599.46</v>
      </c>
    </row>
    <row r="110" spans="1:7" ht="16">
      <c r="A110" s="122"/>
      <c r="B110" s="87"/>
      <c r="C110" s="107"/>
      <c r="D110" s="107"/>
      <c r="E110" s="107"/>
      <c r="F110" s="107"/>
      <c r="G110" s="109"/>
    </row>
    <row r="111" spans="1:7" ht="16">
      <c r="A111" s="86" t="s">
        <v>1208</v>
      </c>
      <c r="B111" s="97"/>
      <c r="C111" s="119"/>
      <c r="D111" s="119"/>
      <c r="E111" s="119"/>
      <c r="F111" s="119"/>
      <c r="G111" s="121"/>
    </row>
    <row r="112" spans="1:7" ht="16">
      <c r="A112" s="86"/>
      <c r="B112" s="210" t="s">
        <v>1209</v>
      </c>
      <c r="C112" s="94">
        <f>General!H119</f>
        <v>400</v>
      </c>
      <c r="D112" s="94"/>
      <c r="E112" s="94"/>
      <c r="F112" s="94">
        <v>30</v>
      </c>
      <c r="G112" s="96">
        <v>13.53</v>
      </c>
    </row>
    <row r="113" spans="1:7" ht="16">
      <c r="A113" s="86"/>
      <c r="B113" s="97" t="s">
        <v>1210</v>
      </c>
      <c r="C113" s="119">
        <f>General!H121</f>
        <v>550</v>
      </c>
      <c r="D113" s="119"/>
      <c r="E113" s="119"/>
      <c r="F113" s="119">
        <v>523.69000000000005</v>
      </c>
      <c r="G113" s="121">
        <v>113.61</v>
      </c>
    </row>
    <row r="114" spans="1:7" ht="16">
      <c r="A114" s="86"/>
      <c r="B114" s="210" t="s">
        <v>1211</v>
      </c>
      <c r="C114" s="94">
        <v>0</v>
      </c>
      <c r="D114" s="94"/>
      <c r="E114" s="94"/>
      <c r="F114" s="94">
        <v>565</v>
      </c>
      <c r="G114" s="96">
        <v>3615.7</v>
      </c>
    </row>
    <row r="115" spans="1:7" ht="16">
      <c r="A115" s="86"/>
      <c r="B115" s="97" t="s">
        <v>1212</v>
      </c>
      <c r="C115" s="119">
        <f>General!H123</f>
        <v>600</v>
      </c>
      <c r="D115" s="119"/>
      <c r="E115" s="119"/>
      <c r="F115" s="119">
        <v>542.4</v>
      </c>
      <c r="G115" s="121">
        <v>542.4</v>
      </c>
    </row>
    <row r="116" spans="1:7" ht="16">
      <c r="A116" s="86"/>
      <c r="B116" s="210" t="s">
        <v>1213</v>
      </c>
      <c r="C116" s="94">
        <f>General!H125</f>
        <v>600</v>
      </c>
      <c r="D116" s="94"/>
      <c r="E116" s="94"/>
      <c r="F116" s="94">
        <v>542.4</v>
      </c>
      <c r="G116" s="96">
        <v>542.4</v>
      </c>
    </row>
    <row r="117" spans="1:7" ht="16">
      <c r="A117" s="86"/>
      <c r="B117" s="97" t="s">
        <v>1214</v>
      </c>
      <c r="C117" s="119">
        <f>SUM(General!H127:H128)</f>
        <v>2900</v>
      </c>
      <c r="D117" s="119"/>
      <c r="E117" s="119"/>
      <c r="F117" s="119">
        <v>4937.8100000000004</v>
      </c>
      <c r="G117" s="121">
        <v>4937.8100000000004</v>
      </c>
    </row>
    <row r="118" spans="1:7" ht="16">
      <c r="A118" s="86"/>
      <c r="B118" s="210" t="s">
        <v>1215</v>
      </c>
      <c r="C118" s="94">
        <f>General!H130</f>
        <v>1000</v>
      </c>
      <c r="D118" s="94"/>
      <c r="E118" s="94"/>
      <c r="F118" s="94">
        <v>1000</v>
      </c>
      <c r="G118" s="96">
        <v>1000</v>
      </c>
    </row>
    <row r="119" spans="1:7" ht="16">
      <c r="A119" s="86"/>
      <c r="B119" s="97" t="s">
        <v>1216</v>
      </c>
      <c r="C119" s="119">
        <f>General!H132</f>
        <v>600</v>
      </c>
      <c r="D119" s="119"/>
      <c r="E119" s="119"/>
      <c r="F119" s="119">
        <v>536.75</v>
      </c>
      <c r="G119" s="121">
        <v>536.75</v>
      </c>
    </row>
    <row r="120" spans="1:7" ht="16">
      <c r="A120" s="86"/>
      <c r="B120" s="210" t="s">
        <v>1217</v>
      </c>
      <c r="C120" s="94">
        <f>General!H134</f>
        <v>1000</v>
      </c>
      <c r="D120" s="94"/>
      <c r="E120" s="94"/>
      <c r="F120" s="94">
        <v>164.4</v>
      </c>
      <c r="G120" s="96">
        <v>164.4</v>
      </c>
    </row>
    <row r="121" spans="1:7" ht="16">
      <c r="A121" s="86"/>
      <c r="B121" s="97" t="s">
        <v>1218</v>
      </c>
      <c r="C121" s="119">
        <v>0</v>
      </c>
      <c r="D121" s="119"/>
      <c r="E121" s="119"/>
      <c r="F121" s="119">
        <v>0</v>
      </c>
      <c r="G121" s="121">
        <v>0</v>
      </c>
    </row>
    <row r="122" spans="1:7" ht="16">
      <c r="A122" s="86"/>
      <c r="B122" s="210" t="s">
        <v>1219</v>
      </c>
      <c r="C122" s="94">
        <f>General!H136</f>
        <v>15000</v>
      </c>
      <c r="D122" s="94"/>
      <c r="E122" s="94"/>
      <c r="F122" s="94">
        <v>15000</v>
      </c>
      <c r="G122" s="387">
        <v>10000</v>
      </c>
    </row>
    <row r="123" spans="1:7" ht="16">
      <c r="A123" s="122"/>
      <c r="B123" s="103" t="s">
        <v>1220</v>
      </c>
      <c r="C123" s="67">
        <f>SUM(C112:C122)</f>
        <v>22650</v>
      </c>
      <c r="D123" s="67">
        <f>SUM(D112:D122)</f>
        <v>0</v>
      </c>
      <c r="E123" s="67"/>
      <c r="F123" s="67">
        <f>SUM(F112:F122)</f>
        <v>23842.45</v>
      </c>
      <c r="G123" s="68">
        <f>SUM(G112:G122)</f>
        <v>21466.6</v>
      </c>
    </row>
    <row r="124" spans="1:7" ht="16">
      <c r="A124" s="122"/>
      <c r="B124" s="314"/>
      <c r="C124" s="119"/>
      <c r="D124" s="119"/>
      <c r="E124" s="119"/>
      <c r="F124" s="119"/>
      <c r="G124" s="121"/>
    </row>
    <row r="125" spans="1:7" ht="17">
      <c r="A125" s="136"/>
      <c r="B125" s="111" t="s">
        <v>13</v>
      </c>
      <c r="C125" s="113">
        <f>C123+C109+C99+C91+C69</f>
        <v>393379.48261000001</v>
      </c>
      <c r="D125" s="113">
        <f>D123+D109+D99+D91+D69</f>
        <v>0</v>
      </c>
      <c r="E125" s="113"/>
      <c r="F125" s="113">
        <f>F123+F109+F99+F91+F69</f>
        <v>428258.88799999992</v>
      </c>
      <c r="G125" s="115">
        <f>G123+G109+G99+G91+G69</f>
        <v>315940.83999999997</v>
      </c>
    </row>
    <row r="126" spans="1:7" ht="17">
      <c r="A126" s="136"/>
      <c r="B126" s="111"/>
      <c r="C126" s="113"/>
      <c r="D126" s="113"/>
      <c r="E126" s="113"/>
      <c r="F126" s="113"/>
      <c r="G126" s="115"/>
    </row>
    <row r="127" spans="1:7" ht="18">
      <c r="A127" s="474" t="s">
        <v>14</v>
      </c>
      <c r="B127" s="475"/>
      <c r="C127" s="140"/>
      <c r="D127" s="140"/>
      <c r="E127" s="140"/>
      <c r="F127" s="140"/>
      <c r="G127" s="142"/>
    </row>
    <row r="128" spans="1:7" ht="18">
      <c r="A128" s="388"/>
      <c r="B128" s="144" t="s">
        <v>15</v>
      </c>
      <c r="C128" s="389">
        <f>C58</f>
        <v>409069.83240000001</v>
      </c>
      <c r="D128" s="389">
        <f>D58</f>
        <v>0</v>
      </c>
      <c r="E128" s="389"/>
      <c r="F128" s="389">
        <f>F58</f>
        <v>429313.49</v>
      </c>
      <c r="G128" s="390">
        <f>G58</f>
        <v>365993.38999999996</v>
      </c>
    </row>
    <row r="129" spans="1:7" ht="18">
      <c r="A129" s="391"/>
      <c r="B129" s="148" t="s">
        <v>16</v>
      </c>
      <c r="C129" s="392">
        <f>C125</f>
        <v>393379.48261000001</v>
      </c>
      <c r="D129" s="392">
        <f>D125</f>
        <v>0</v>
      </c>
      <c r="E129" s="392"/>
      <c r="F129" s="392">
        <f>F125</f>
        <v>428258.88799999992</v>
      </c>
      <c r="G129" s="393">
        <f>G125</f>
        <v>315940.83999999997</v>
      </c>
    </row>
    <row r="130" spans="1:7" ht="18">
      <c r="A130" s="394"/>
      <c r="B130" s="153" t="s">
        <v>17</v>
      </c>
      <c r="C130" s="395">
        <f>C128-C129</f>
        <v>15690.349790000007</v>
      </c>
      <c r="D130" s="395">
        <f>D128-D129</f>
        <v>0</v>
      </c>
      <c r="E130" s="395"/>
      <c r="F130" s="395">
        <f>F128-F129</f>
        <v>1054.6020000000717</v>
      </c>
      <c r="G130" s="396">
        <f>G128-G129</f>
        <v>50052.549999999988</v>
      </c>
    </row>
  </sheetData>
  <mergeCells count="8">
    <mergeCell ref="A60:B60"/>
    <mergeCell ref="A127:B127"/>
    <mergeCell ref="C1:G4"/>
    <mergeCell ref="A5:B5"/>
    <mergeCell ref="C5:D5"/>
    <mergeCell ref="F5:G5"/>
    <mergeCell ref="A6:B6"/>
    <mergeCell ref="A8:B8"/>
  </mergeCells>
  <hyperlinks>
    <hyperlink ref="B23" location="'11-PRES'!A1" display="President"/>
    <hyperlink ref="B24" location="'12-VPOPS'!A1" display="VP Operations"/>
    <hyperlink ref="B25" location="'13-VPSA'!A1" display="VP Student Affairs"/>
    <hyperlink ref="B26" location="'14 - Academics'!A1" display="Director of Academics"/>
    <hyperlink ref="B27" location="'15-Design'!A1" display="Director of Design"/>
    <hyperlink ref="B28" location="'16-PD'!A1" display="Director of Professional Development"/>
    <hyperlink ref="B29" location="'17-CONFS'!A1" display="Director of Conferences"/>
    <hyperlink ref="B30" location="'18-FY'!A1" display="Director of First Year"/>
    <hyperlink ref="B31" location="'19-FINANCE'!A1" display="Director of Finance"/>
    <hyperlink ref="B32" location="'20-SERVICES'!A1" display="Director of Services"/>
    <hyperlink ref="B33" location="'21-IT'!A1" display="Director of Information Technology"/>
    <hyperlink ref="B34" location="'22-EVENTS'!A1" display="Director of Events"/>
    <hyperlink ref="B35" location="'23-COMM'!A1" display="Director of Communications"/>
    <hyperlink ref="B36" location="'24-IA'!A1" display="Director of Internal Affairs"/>
    <hyperlink ref="B37" location="'25-HR'!A1" display="Director of Human Resources"/>
    <hyperlink ref="B38" location="'26-EVPOS'!A1" display="Event Positions"/>
    <hyperlink ref="B72" location="'11-PRES'!A1" display="President"/>
    <hyperlink ref="B73" location="'12-VPOPS'!A1" display="VP Operations"/>
    <hyperlink ref="B74" location="'13-VPSA'!A1" display="VP Student Affairs"/>
    <hyperlink ref="B75" location="'14 - Academics'!A1" display="Director of Academics"/>
    <hyperlink ref="B76" location="'15-Design'!A1" display="Director of Design"/>
    <hyperlink ref="B77" location="'16-PD'!A1" display="Director of Professional Development"/>
    <hyperlink ref="B78" location="'17-CONFS'!A1" display="Director of Conferences"/>
    <hyperlink ref="B79" location="'18-FY'!A1" display="Director of First Year"/>
    <hyperlink ref="B80" location="'19-FINANCE'!A1" display="Director of Finance"/>
    <hyperlink ref="B81" location="'20-SERVICES'!A1" display="Director of Services"/>
    <hyperlink ref="B82" location="'21-IT'!A1" display="Director of Information Technology"/>
    <hyperlink ref="B83" location="'22-EVENTS'!A1" display="Director of Events"/>
    <hyperlink ref="B84" location="'23-COMM'!A1" display="Director of Communications"/>
    <hyperlink ref="B85" location="'24-IA'!A1" display="Director of Internal Affairs"/>
    <hyperlink ref="B86" location="'25-HR'!A1" display="Director of Human Resources"/>
    <hyperlink ref="B87" location="'26-EVPOS'!A1" display="Event Positions"/>
  </hyperlinks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6" workbookViewId="0">
      <selection activeCell="F18" sqref="F18"/>
    </sheetView>
  </sheetViews>
  <sheetFormatPr baseColWidth="10" defaultRowHeight="15" x14ac:dyDescent="0"/>
  <cols>
    <col min="3" max="3" width="32.5" customWidth="1"/>
    <col min="4" max="4" width="29.5" customWidth="1"/>
    <col min="8" max="8" width="11.6640625" bestFit="1" customWidth="1"/>
  </cols>
  <sheetData>
    <row r="1" spans="1:10" ht="25">
      <c r="A1" s="505" t="s">
        <v>391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>
      <c r="A5" s="20"/>
      <c r="B5" s="21"/>
      <c r="C5" s="21"/>
      <c r="D5" s="43"/>
      <c r="E5" s="43"/>
      <c r="F5" s="44"/>
      <c r="G5" s="43"/>
      <c r="H5" s="43"/>
      <c r="I5" s="43"/>
      <c r="J5" s="45"/>
    </row>
    <row r="6" spans="1:10">
      <c r="A6" s="20"/>
      <c r="B6" s="21"/>
      <c r="C6" s="21" t="s">
        <v>11</v>
      </c>
      <c r="D6" s="43"/>
      <c r="E6" s="43"/>
      <c r="F6" s="44"/>
      <c r="G6" s="43"/>
      <c r="H6" s="43">
        <v>0</v>
      </c>
      <c r="I6" s="43">
        <v>0</v>
      </c>
      <c r="J6" s="45">
        <v>0</v>
      </c>
    </row>
    <row r="7" spans="1:10">
      <c r="A7" s="20"/>
      <c r="B7" s="21"/>
      <c r="C7" s="21"/>
      <c r="D7" s="43"/>
      <c r="E7" s="43"/>
      <c r="F7" s="44"/>
      <c r="G7" s="43"/>
      <c r="H7" s="43"/>
      <c r="I7" s="43"/>
      <c r="J7" s="45"/>
    </row>
    <row r="8" spans="1:10">
      <c r="A8" s="497" t="s">
        <v>12</v>
      </c>
      <c r="B8" s="498"/>
      <c r="C8" s="498"/>
      <c r="D8" s="17"/>
      <c r="E8" s="48"/>
      <c r="F8" s="49"/>
      <c r="G8" s="48"/>
      <c r="H8" s="48"/>
      <c r="I8" s="48"/>
      <c r="J8" s="19"/>
    </row>
    <row r="9" spans="1:10">
      <c r="A9" s="20" t="s">
        <v>392</v>
      </c>
      <c r="B9" s="21"/>
      <c r="C9" s="22"/>
      <c r="D9" s="32"/>
      <c r="E9" s="32"/>
      <c r="F9" s="33"/>
      <c r="G9" s="32"/>
      <c r="H9" s="32"/>
      <c r="I9" s="32"/>
      <c r="J9" s="34"/>
    </row>
    <row r="10" spans="1:10">
      <c r="A10" s="30"/>
      <c r="B10" s="35" t="s">
        <v>393</v>
      </c>
      <c r="C10" s="36" t="s">
        <v>394</v>
      </c>
      <c r="D10" s="27" t="s">
        <v>395</v>
      </c>
      <c r="E10" s="27">
        <v>150</v>
      </c>
      <c r="F10" s="28">
        <v>15</v>
      </c>
      <c r="G10" s="27">
        <f>E10*F10</f>
        <v>2250</v>
      </c>
      <c r="H10" s="27">
        <f>G10*1.13</f>
        <v>2542.4999999999995</v>
      </c>
      <c r="I10" s="27"/>
      <c r="J10" s="29"/>
    </row>
    <row r="11" spans="1:10">
      <c r="A11" s="30"/>
      <c r="B11" s="22" t="s">
        <v>396</v>
      </c>
      <c r="C11" s="31" t="s">
        <v>397</v>
      </c>
      <c r="D11" s="32" t="s">
        <v>398</v>
      </c>
      <c r="E11" s="32">
        <v>250</v>
      </c>
      <c r="F11" s="33">
        <v>1</v>
      </c>
      <c r="G11" s="32">
        <f t="shared" ref="G11:G12" si="0">E11*F11</f>
        <v>250</v>
      </c>
      <c r="H11" s="32">
        <f t="shared" ref="H11:H12" si="1">G11*1.13</f>
        <v>282.5</v>
      </c>
      <c r="I11" s="32"/>
      <c r="J11" s="34"/>
    </row>
    <row r="12" spans="1:10">
      <c r="A12" s="30"/>
      <c r="B12" s="35" t="s">
        <v>399</v>
      </c>
      <c r="C12" s="36" t="s">
        <v>400</v>
      </c>
      <c r="D12" s="27" t="s">
        <v>401</v>
      </c>
      <c r="E12" s="27">
        <v>8</v>
      </c>
      <c r="F12" s="28">
        <v>15</v>
      </c>
      <c r="G12" s="27">
        <f t="shared" si="0"/>
        <v>120</v>
      </c>
      <c r="H12" s="27">
        <f t="shared" si="1"/>
        <v>135.6</v>
      </c>
      <c r="I12" s="27"/>
      <c r="J12" s="29"/>
    </row>
    <row r="13" spans="1:10" s="129" customFormat="1">
      <c r="A13" s="30"/>
      <c r="B13" s="22"/>
      <c r="C13" s="31"/>
      <c r="D13" s="32"/>
      <c r="E13" s="32"/>
      <c r="F13" s="33"/>
      <c r="G13" s="32"/>
      <c r="H13" s="32"/>
      <c r="I13" s="32"/>
      <c r="J13" s="34"/>
    </row>
    <row r="14" spans="1:10">
      <c r="A14" s="30"/>
      <c r="B14" s="37" t="s">
        <v>402</v>
      </c>
      <c r="C14" s="50"/>
      <c r="D14" s="41"/>
      <c r="E14" s="41"/>
      <c r="F14" s="47"/>
      <c r="G14" s="41"/>
      <c r="H14" s="41">
        <f>SUM(H9:H12)</f>
        <v>2960.5999999999995</v>
      </c>
      <c r="I14" s="41">
        <f>SUM(I9:I12)</f>
        <v>0</v>
      </c>
      <c r="J14" s="42">
        <f>SUM(J9:J12)</f>
        <v>0</v>
      </c>
    </row>
    <row r="15" spans="1:10">
      <c r="A15" s="20"/>
      <c r="B15" s="21"/>
      <c r="C15" s="21"/>
      <c r="D15" s="43"/>
      <c r="E15" s="43"/>
      <c r="F15" s="44"/>
      <c r="G15" s="43"/>
      <c r="H15" s="43"/>
      <c r="I15" s="43"/>
      <c r="J15" s="45"/>
    </row>
    <row r="16" spans="1:10">
      <c r="A16" s="20" t="s">
        <v>400</v>
      </c>
      <c r="B16" s="21"/>
      <c r="C16" s="22"/>
      <c r="D16" s="32"/>
      <c r="E16" s="32"/>
      <c r="F16" s="33"/>
      <c r="G16" s="32"/>
      <c r="H16" s="32"/>
      <c r="I16" s="32"/>
      <c r="J16" s="34"/>
    </row>
    <row r="17" spans="1:10">
      <c r="A17" s="51"/>
      <c r="B17" s="35" t="s">
        <v>403</v>
      </c>
      <c r="C17" s="36" t="s">
        <v>404</v>
      </c>
      <c r="D17" s="27" t="s">
        <v>405</v>
      </c>
      <c r="E17" s="27">
        <v>10</v>
      </c>
      <c r="F17" s="28">
        <v>20</v>
      </c>
      <c r="G17" s="27">
        <f>E17*F17</f>
        <v>200</v>
      </c>
      <c r="H17" s="27">
        <f>G17*1.13</f>
        <v>225.99999999999997</v>
      </c>
      <c r="I17" s="27"/>
      <c r="J17" s="29"/>
    </row>
    <row r="18" spans="1:10" s="129" customFormat="1">
      <c r="A18" s="30"/>
      <c r="B18" s="22"/>
      <c r="C18" s="22"/>
      <c r="D18" s="32"/>
      <c r="E18" s="32"/>
      <c r="F18" s="33"/>
      <c r="G18" s="32"/>
      <c r="H18" s="32"/>
      <c r="I18" s="32"/>
      <c r="J18" s="34"/>
    </row>
    <row r="19" spans="1:10">
      <c r="A19" s="30"/>
      <c r="B19" s="37" t="s">
        <v>25</v>
      </c>
      <c r="C19" s="46"/>
      <c r="D19" s="41"/>
      <c r="E19" s="41"/>
      <c r="F19" s="47"/>
      <c r="G19" s="41"/>
      <c r="H19" s="41">
        <f>SUM(H17:H18)</f>
        <v>225.99999999999997</v>
      </c>
      <c r="I19" s="41">
        <f>SUM(I17:I18)</f>
        <v>0</v>
      </c>
      <c r="J19" s="42">
        <f>SUM(J17:J18)</f>
        <v>0</v>
      </c>
    </row>
    <row r="20" spans="1:10">
      <c r="A20" s="30"/>
      <c r="B20" s="22"/>
      <c r="C20" s="22"/>
      <c r="D20" s="32"/>
      <c r="E20" s="32"/>
      <c r="F20" s="33"/>
      <c r="G20" s="32"/>
      <c r="H20" s="32"/>
      <c r="I20" s="32"/>
      <c r="J20" s="34"/>
    </row>
    <row r="21" spans="1:10">
      <c r="A21" s="20" t="s">
        <v>406</v>
      </c>
      <c r="B21" s="21"/>
      <c r="C21" s="22"/>
      <c r="D21" s="32"/>
      <c r="E21" s="32"/>
      <c r="F21" s="33"/>
      <c r="G21" s="32"/>
      <c r="H21" s="32"/>
      <c r="I21" s="32"/>
      <c r="J21" s="34"/>
    </row>
    <row r="22" spans="1:10">
      <c r="A22" s="30"/>
      <c r="B22" s="35" t="s">
        <v>407</v>
      </c>
      <c r="C22" s="36" t="s">
        <v>408</v>
      </c>
      <c r="D22" s="27" t="s">
        <v>409</v>
      </c>
      <c r="E22" s="27">
        <v>19.5</v>
      </c>
      <c r="F22" s="28">
        <v>40</v>
      </c>
      <c r="G22" s="27">
        <f t="shared" ref="G22" si="2">E22*F22</f>
        <v>780</v>
      </c>
      <c r="H22" s="27">
        <f t="shared" ref="H22" si="3">G22*1.13</f>
        <v>881.39999999999986</v>
      </c>
      <c r="I22" s="27"/>
      <c r="J22" s="29"/>
    </row>
    <row r="23" spans="1:10" s="129" customFormat="1">
      <c r="A23" s="30"/>
      <c r="B23" s="22"/>
      <c r="C23" s="22"/>
      <c r="D23" s="32"/>
      <c r="E23" s="32"/>
      <c r="F23" s="33"/>
      <c r="G23" s="32"/>
      <c r="H23" s="32"/>
      <c r="I23" s="32"/>
      <c r="J23" s="34"/>
    </row>
    <row r="24" spans="1:10">
      <c r="A24" s="30"/>
      <c r="B24" s="37" t="s">
        <v>1463</v>
      </c>
      <c r="C24" s="46"/>
      <c r="D24" s="41"/>
      <c r="E24" s="41"/>
      <c r="F24" s="47"/>
      <c r="G24" s="41"/>
      <c r="H24" s="41">
        <f>SUM(H22:H23)</f>
        <v>881.39999999999986</v>
      </c>
      <c r="I24" s="41">
        <f>SUM(I22:I23)</f>
        <v>0</v>
      </c>
      <c r="J24" s="42">
        <f>SUM(J22:J23)</f>
        <v>0</v>
      </c>
    </row>
    <row r="25" spans="1:10">
      <c r="A25" s="30"/>
      <c r="B25" s="22"/>
      <c r="C25" s="22"/>
      <c r="D25" s="32"/>
      <c r="E25" s="32"/>
      <c r="F25" s="33"/>
      <c r="G25" s="32"/>
      <c r="H25" s="32"/>
      <c r="I25" s="32"/>
      <c r="J25" s="34"/>
    </row>
    <row r="26" spans="1:10">
      <c r="A26" s="20" t="s">
        <v>1410</v>
      </c>
      <c r="B26" s="21"/>
      <c r="C26" s="22"/>
      <c r="D26" s="32"/>
      <c r="E26" s="32"/>
      <c r="F26" s="33"/>
      <c r="G26" s="32"/>
      <c r="H26" s="32"/>
      <c r="I26" s="32"/>
      <c r="J26" s="34"/>
    </row>
    <row r="27" spans="1:10">
      <c r="A27" s="30" t="s">
        <v>10</v>
      </c>
      <c r="B27" s="22" t="s">
        <v>410</v>
      </c>
      <c r="C27" s="22" t="s">
        <v>411</v>
      </c>
      <c r="D27" s="32" t="s">
        <v>412</v>
      </c>
      <c r="E27" s="32">
        <v>60</v>
      </c>
      <c r="F27" s="33">
        <v>1</v>
      </c>
      <c r="G27" s="32">
        <f t="shared" ref="G27:G29" si="4">E27*F27</f>
        <v>60</v>
      </c>
      <c r="H27" s="32">
        <f t="shared" ref="H27:H29" si="5">G27*1.13</f>
        <v>67.8</v>
      </c>
      <c r="I27" s="32"/>
      <c r="J27" s="34"/>
    </row>
    <row r="28" spans="1:10">
      <c r="A28" s="30"/>
      <c r="B28" s="35" t="s">
        <v>413</v>
      </c>
      <c r="C28" s="35" t="s">
        <v>411</v>
      </c>
      <c r="D28" s="27" t="s">
        <v>414</v>
      </c>
      <c r="E28" s="27">
        <v>30</v>
      </c>
      <c r="F28" s="28">
        <v>3</v>
      </c>
      <c r="G28" s="27">
        <f t="shared" si="4"/>
        <v>90</v>
      </c>
      <c r="H28" s="27">
        <f t="shared" si="5"/>
        <v>101.69999999999999</v>
      </c>
      <c r="I28" s="27"/>
      <c r="J28" s="29"/>
    </row>
    <row r="29" spans="1:10">
      <c r="A29" s="30"/>
      <c r="B29" s="22" t="s">
        <v>415</v>
      </c>
      <c r="C29" s="22" t="s">
        <v>411</v>
      </c>
      <c r="D29" s="32" t="s">
        <v>416</v>
      </c>
      <c r="E29" s="32">
        <v>18</v>
      </c>
      <c r="F29" s="33">
        <v>2</v>
      </c>
      <c r="G29" s="32">
        <f t="shared" si="4"/>
        <v>36</v>
      </c>
      <c r="H29" s="32">
        <f t="shared" si="5"/>
        <v>40.679999999999993</v>
      </c>
      <c r="I29" s="32"/>
      <c r="J29" s="34"/>
    </row>
    <row r="30" spans="1:10" s="129" customFormat="1">
      <c r="A30" s="30"/>
      <c r="B30" s="22"/>
      <c r="C30" s="22"/>
      <c r="D30" s="32"/>
      <c r="E30" s="32"/>
      <c r="F30" s="33"/>
      <c r="G30" s="32"/>
      <c r="H30" s="32"/>
      <c r="I30" s="32"/>
      <c r="J30" s="34"/>
    </row>
    <row r="31" spans="1:10">
      <c r="A31" s="30"/>
      <c r="B31" s="37" t="s">
        <v>1464</v>
      </c>
      <c r="C31" s="46"/>
      <c r="D31" s="41"/>
      <c r="E31" s="41"/>
      <c r="F31" s="47"/>
      <c r="G31" s="41"/>
      <c r="H31" s="41">
        <f>SUM(H27:H30)</f>
        <v>210.18</v>
      </c>
      <c r="I31" s="41">
        <f>SUM(I27:I30)</f>
        <v>0</v>
      </c>
      <c r="J31" s="42">
        <f>SUM(J27:J30)</f>
        <v>0</v>
      </c>
    </row>
    <row r="32" spans="1:10">
      <c r="A32" s="30"/>
      <c r="B32" s="22"/>
      <c r="C32" s="21"/>
      <c r="D32" s="43"/>
      <c r="E32" s="43"/>
      <c r="F32" s="44"/>
      <c r="G32" s="43"/>
      <c r="H32" s="43"/>
      <c r="I32" s="43"/>
      <c r="J32" s="45"/>
    </row>
    <row r="33" spans="1:10">
      <c r="A33" s="20" t="s">
        <v>417</v>
      </c>
      <c r="B33" s="21"/>
      <c r="C33" s="22"/>
      <c r="D33" s="32"/>
      <c r="E33" s="32"/>
      <c r="F33" s="33"/>
      <c r="G33" s="32"/>
      <c r="H33" s="32"/>
      <c r="I33" s="32"/>
      <c r="J33" s="34"/>
    </row>
    <row r="34" spans="1:10">
      <c r="A34" s="20"/>
      <c r="B34" s="52" t="s">
        <v>418</v>
      </c>
      <c r="C34" s="36" t="s">
        <v>419</v>
      </c>
      <c r="D34" s="27" t="s">
        <v>420</v>
      </c>
      <c r="E34" s="27">
        <v>400</v>
      </c>
      <c r="F34" s="28">
        <v>1</v>
      </c>
      <c r="G34" s="27">
        <f t="shared" ref="G34:G36" si="6">E34*F34</f>
        <v>400</v>
      </c>
      <c r="H34" s="27">
        <f t="shared" ref="H34:H36" si="7">G34*1.13</f>
        <v>451.99999999999994</v>
      </c>
      <c r="I34" s="27"/>
      <c r="J34" s="29"/>
    </row>
    <row r="35" spans="1:10">
      <c r="A35" s="20"/>
      <c r="B35" s="21" t="s">
        <v>421</v>
      </c>
      <c r="C35" s="22" t="s">
        <v>411</v>
      </c>
      <c r="D35" s="32" t="s">
        <v>422</v>
      </c>
      <c r="E35" s="32">
        <v>2.5</v>
      </c>
      <c r="F35" s="33">
        <v>40</v>
      </c>
      <c r="G35" s="32">
        <f t="shared" si="6"/>
        <v>100</v>
      </c>
      <c r="H35" s="32">
        <f t="shared" si="7"/>
        <v>112.99999999999999</v>
      </c>
      <c r="I35" s="32"/>
      <c r="J35" s="34"/>
    </row>
    <row r="36" spans="1:10">
      <c r="A36" s="20"/>
      <c r="B36" s="52" t="s">
        <v>423</v>
      </c>
      <c r="C36" s="35" t="s">
        <v>411</v>
      </c>
      <c r="D36" s="27" t="s">
        <v>424</v>
      </c>
      <c r="E36" s="27">
        <v>14</v>
      </c>
      <c r="F36" s="28">
        <v>4</v>
      </c>
      <c r="G36" s="27">
        <f t="shared" si="6"/>
        <v>56</v>
      </c>
      <c r="H36" s="27">
        <f t="shared" si="7"/>
        <v>63.279999999999994</v>
      </c>
      <c r="I36" s="27"/>
      <c r="J36" s="29"/>
    </row>
    <row r="37" spans="1:10" s="129" customFormat="1">
      <c r="A37" s="20"/>
      <c r="B37" s="21"/>
      <c r="C37" s="22"/>
      <c r="D37" s="32"/>
      <c r="E37" s="32"/>
      <c r="F37" s="33"/>
      <c r="G37" s="32"/>
      <c r="H37" s="32"/>
      <c r="I37" s="32"/>
      <c r="J37" s="34"/>
    </row>
    <row r="38" spans="1:10">
      <c r="A38" s="30"/>
      <c r="B38" s="37" t="s">
        <v>1465</v>
      </c>
      <c r="C38" s="46"/>
      <c r="D38" s="41"/>
      <c r="E38" s="41"/>
      <c r="F38" s="47"/>
      <c r="G38" s="41"/>
      <c r="H38" s="41">
        <f>SUM(H34:H37)</f>
        <v>628.27999999999986</v>
      </c>
      <c r="I38" s="41">
        <f>SUM(I34:I37)</f>
        <v>0</v>
      </c>
      <c r="J38" s="42">
        <f>SUM(J34:J37)</f>
        <v>0</v>
      </c>
    </row>
    <row r="39" spans="1:10">
      <c r="A39" s="30"/>
      <c r="B39" s="21"/>
      <c r="C39" s="21"/>
      <c r="D39" s="43"/>
      <c r="E39" s="43"/>
      <c r="F39" s="44"/>
      <c r="G39" s="43"/>
      <c r="H39" s="43"/>
      <c r="I39" s="43"/>
      <c r="J39" s="45"/>
    </row>
    <row r="40" spans="1:10">
      <c r="A40" s="20" t="s">
        <v>425</v>
      </c>
      <c r="B40" s="21"/>
      <c r="C40" s="22"/>
      <c r="D40" s="32"/>
      <c r="E40" s="32"/>
      <c r="F40" s="33"/>
      <c r="G40" s="32"/>
      <c r="H40" s="32"/>
      <c r="I40" s="32"/>
      <c r="J40" s="34"/>
    </row>
    <row r="41" spans="1:10">
      <c r="A41" s="20"/>
      <c r="B41" s="52" t="s">
        <v>426</v>
      </c>
      <c r="C41" s="36" t="s">
        <v>419</v>
      </c>
      <c r="D41" s="27" t="s">
        <v>420</v>
      </c>
      <c r="E41" s="27">
        <v>400</v>
      </c>
      <c r="F41" s="28">
        <v>1</v>
      </c>
      <c r="G41" s="27">
        <f t="shared" ref="G41:G44" si="8">E41*F41</f>
        <v>400</v>
      </c>
      <c r="H41" s="27">
        <f t="shared" ref="H41:H44" si="9">G41*1.13</f>
        <v>451.99999999999994</v>
      </c>
      <c r="I41" s="27"/>
      <c r="J41" s="29"/>
    </row>
    <row r="42" spans="1:10">
      <c r="A42" s="20"/>
      <c r="B42" s="21" t="s">
        <v>427</v>
      </c>
      <c r="C42" s="22" t="s">
        <v>248</v>
      </c>
      <c r="D42" s="32" t="s">
        <v>428</v>
      </c>
      <c r="E42" s="32">
        <v>19.420000000000002</v>
      </c>
      <c r="F42" s="33">
        <v>10</v>
      </c>
      <c r="G42" s="32">
        <f t="shared" si="8"/>
        <v>194.20000000000002</v>
      </c>
      <c r="H42" s="32">
        <f t="shared" si="9"/>
        <v>219.446</v>
      </c>
      <c r="I42" s="32"/>
      <c r="J42" s="34"/>
    </row>
    <row r="43" spans="1:10">
      <c r="A43" s="20"/>
      <c r="B43" s="52" t="s">
        <v>429</v>
      </c>
      <c r="C43" s="35" t="s">
        <v>430</v>
      </c>
      <c r="D43" s="27" t="s">
        <v>431</v>
      </c>
      <c r="E43" s="27">
        <v>3.38</v>
      </c>
      <c r="F43" s="28">
        <v>10</v>
      </c>
      <c r="G43" s="27">
        <f t="shared" si="8"/>
        <v>33.799999999999997</v>
      </c>
      <c r="H43" s="27">
        <f t="shared" si="9"/>
        <v>38.193999999999996</v>
      </c>
      <c r="I43" s="27"/>
      <c r="J43" s="29"/>
    </row>
    <row r="44" spans="1:10">
      <c r="A44" s="20"/>
      <c r="B44" s="21" t="s">
        <v>432</v>
      </c>
      <c r="C44" s="22" t="s">
        <v>433</v>
      </c>
      <c r="D44" s="32" t="s">
        <v>434</v>
      </c>
      <c r="E44" s="32">
        <v>8</v>
      </c>
      <c r="F44" s="33">
        <v>10</v>
      </c>
      <c r="G44" s="32">
        <f t="shared" si="8"/>
        <v>80</v>
      </c>
      <c r="H44" s="32">
        <f t="shared" si="9"/>
        <v>90.399999999999991</v>
      </c>
      <c r="I44" s="32"/>
      <c r="J44" s="34"/>
    </row>
    <row r="45" spans="1:10" s="129" customFormat="1">
      <c r="A45" s="20"/>
      <c r="B45" s="21"/>
      <c r="C45" s="22"/>
      <c r="D45" s="32"/>
      <c r="E45" s="32"/>
      <c r="F45" s="33"/>
      <c r="G45" s="32"/>
      <c r="H45" s="32"/>
      <c r="I45" s="32"/>
      <c r="J45" s="34"/>
    </row>
    <row r="46" spans="1:10">
      <c r="A46" s="30"/>
      <c r="B46" s="37" t="s">
        <v>1466</v>
      </c>
      <c r="C46" s="46"/>
      <c r="D46" s="41"/>
      <c r="E46" s="41"/>
      <c r="F46" s="47"/>
      <c r="G46" s="41"/>
      <c r="H46" s="41">
        <f>SUM(H41:H45)</f>
        <v>800.03999999999985</v>
      </c>
      <c r="I46" s="41">
        <f>SUM(I41:I45)</f>
        <v>0</v>
      </c>
      <c r="J46" s="42">
        <f>SUM(J41:J45)</f>
        <v>0</v>
      </c>
    </row>
    <row r="47" spans="1:10">
      <c r="A47" s="30"/>
      <c r="B47" s="22"/>
      <c r="C47" s="31"/>
      <c r="D47" s="32"/>
      <c r="E47" s="32"/>
      <c r="F47" s="33"/>
      <c r="G47" s="32"/>
      <c r="H47" s="32"/>
      <c r="I47" s="32"/>
      <c r="J47" s="34"/>
    </row>
    <row r="48" spans="1:10">
      <c r="A48" s="30"/>
      <c r="B48" s="22"/>
      <c r="C48" s="21" t="s">
        <v>13</v>
      </c>
      <c r="D48" s="43"/>
      <c r="E48" s="43"/>
      <c r="F48" s="44"/>
      <c r="G48" s="43"/>
      <c r="H48" s="43">
        <f>SUM(H46,H38,H31,H24,H19,H14)</f>
        <v>5706.4999999999991</v>
      </c>
      <c r="I48" s="43">
        <f>SUM(I46,I38,I31,I24,I19,I14,)</f>
        <v>0</v>
      </c>
      <c r="J48" s="43">
        <f>SUM(J46,J38,J31,J24,J19,J14,)</f>
        <v>0</v>
      </c>
    </row>
    <row r="49" spans="1:10">
      <c r="A49" s="30"/>
      <c r="B49" s="22"/>
      <c r="C49" s="21"/>
      <c r="D49" s="43"/>
      <c r="E49" s="43"/>
      <c r="F49" s="44"/>
      <c r="G49" s="43"/>
      <c r="H49" s="43"/>
      <c r="I49" s="43"/>
      <c r="J49" s="45"/>
    </row>
    <row r="50" spans="1:10">
      <c r="A50" s="497" t="s">
        <v>14</v>
      </c>
      <c r="B50" s="498"/>
      <c r="C50" s="498"/>
      <c r="D50" s="17"/>
      <c r="E50" s="17"/>
      <c r="F50" s="18"/>
      <c r="G50" s="17"/>
      <c r="H50" s="17"/>
      <c r="I50" s="17"/>
      <c r="J50" s="19"/>
    </row>
    <row r="51" spans="1:10">
      <c r="A51" s="20"/>
      <c r="B51" s="52" t="s">
        <v>15</v>
      </c>
      <c r="C51" s="52"/>
      <c r="D51" s="53"/>
      <c r="E51" s="53"/>
      <c r="F51" s="53"/>
      <c r="G51" s="53"/>
      <c r="H51" s="53">
        <f>H6</f>
        <v>0</v>
      </c>
      <c r="I51" s="53">
        <f>I6</f>
        <v>0</v>
      </c>
      <c r="J51" s="54">
        <f>J6</f>
        <v>0</v>
      </c>
    </row>
    <row r="52" spans="1:10">
      <c r="A52" s="20"/>
      <c r="B52" s="21" t="s">
        <v>16</v>
      </c>
      <c r="C52" s="21"/>
      <c r="D52" s="43"/>
      <c r="E52" s="43"/>
      <c r="F52" s="43"/>
      <c r="G52" s="43"/>
      <c r="H52" s="43">
        <f>H48</f>
        <v>5706.4999999999991</v>
      </c>
      <c r="I52" s="43">
        <f t="shared" ref="I52:J52" si="10">I48</f>
        <v>0</v>
      </c>
      <c r="J52" s="45">
        <f t="shared" si="10"/>
        <v>0</v>
      </c>
    </row>
    <row r="53" spans="1:10">
      <c r="A53" s="55"/>
      <c r="B53" s="56" t="s">
        <v>17</v>
      </c>
      <c r="C53" s="56"/>
      <c r="D53" s="57"/>
      <c r="E53" s="57"/>
      <c r="F53" s="57"/>
      <c r="G53" s="57"/>
      <c r="H53" s="57">
        <f>H51-H52</f>
        <v>-5706.4999999999991</v>
      </c>
      <c r="I53" s="57">
        <f t="shared" ref="I53:J53" si="11">I51-I52</f>
        <v>0</v>
      </c>
      <c r="J53" s="58">
        <f t="shared" si="11"/>
        <v>0</v>
      </c>
    </row>
  </sheetData>
  <mergeCells count="4">
    <mergeCell ref="A1:J1"/>
    <mergeCell ref="A4:C4"/>
    <mergeCell ref="A8:C8"/>
    <mergeCell ref="A50:C5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8" sqref="B18"/>
    </sheetView>
  </sheetViews>
  <sheetFormatPr baseColWidth="10" defaultRowHeight="15" x14ac:dyDescent="0"/>
  <cols>
    <col min="4" max="4" width="20.5" customWidth="1"/>
    <col min="7" max="7" width="11" bestFit="1" customWidth="1"/>
  </cols>
  <sheetData>
    <row r="1" spans="1:10" ht="25">
      <c r="A1" s="499" t="s">
        <v>1461</v>
      </c>
      <c r="B1" s="499"/>
      <c r="C1" s="499"/>
      <c r="D1" s="499"/>
      <c r="E1" s="499"/>
      <c r="F1" s="499"/>
      <c r="G1" s="499"/>
      <c r="H1" s="499"/>
      <c r="I1" s="499"/>
      <c r="J1" s="500"/>
    </row>
    <row r="2" spans="1:10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>
      <c r="A5" s="20"/>
      <c r="B5" s="21"/>
      <c r="C5" s="21"/>
      <c r="D5" s="43"/>
      <c r="E5" s="43"/>
      <c r="F5" s="44"/>
      <c r="G5" s="43"/>
      <c r="H5" s="43"/>
      <c r="I5" s="43"/>
      <c r="J5" s="45"/>
    </row>
    <row r="6" spans="1:10">
      <c r="A6" s="20"/>
      <c r="B6" s="21"/>
      <c r="C6" s="21" t="s">
        <v>11</v>
      </c>
      <c r="D6" s="43"/>
      <c r="E6" s="43"/>
      <c r="F6" s="44"/>
      <c r="G6" s="43"/>
      <c r="H6" s="43">
        <v>0</v>
      </c>
      <c r="I6" s="43">
        <v>0</v>
      </c>
      <c r="J6" s="45">
        <v>0</v>
      </c>
    </row>
    <row r="7" spans="1:10">
      <c r="A7" s="20"/>
      <c r="B7" s="21"/>
      <c r="C7" s="21"/>
      <c r="D7" s="43"/>
      <c r="E7" s="43"/>
      <c r="F7" s="44"/>
      <c r="G7" s="43"/>
      <c r="H7" s="43"/>
      <c r="I7" s="43"/>
      <c r="J7" s="45"/>
    </row>
    <row r="8" spans="1:10">
      <c r="A8" s="497" t="s">
        <v>12</v>
      </c>
      <c r="B8" s="498"/>
      <c r="C8" s="498"/>
      <c r="D8" s="17"/>
      <c r="E8" s="48"/>
      <c r="F8" s="49"/>
      <c r="G8" s="48"/>
      <c r="H8" s="48"/>
      <c r="I8" s="48"/>
      <c r="J8" s="19"/>
    </row>
    <row r="9" spans="1:10">
      <c r="A9" s="20" t="s">
        <v>1118</v>
      </c>
      <c r="B9" s="21"/>
      <c r="C9" s="22"/>
      <c r="D9" s="32"/>
      <c r="E9" s="32"/>
      <c r="F9" s="33"/>
      <c r="G9" s="32"/>
      <c r="H9" s="32"/>
      <c r="I9" s="32"/>
      <c r="J9" s="34"/>
    </row>
    <row r="10" spans="1:10">
      <c r="A10" s="30"/>
      <c r="B10" s="35" t="s">
        <v>393</v>
      </c>
      <c r="C10" s="36" t="s">
        <v>248</v>
      </c>
      <c r="D10" s="27" t="s">
        <v>428</v>
      </c>
      <c r="E10" s="27">
        <v>3</v>
      </c>
      <c r="F10" s="28">
        <v>30</v>
      </c>
      <c r="G10" s="27">
        <f>E10*F10</f>
        <v>90</v>
      </c>
      <c r="H10" s="27">
        <f>G10*1.13</f>
        <v>101.69999999999999</v>
      </c>
      <c r="I10" s="27"/>
      <c r="J10" s="29"/>
    </row>
    <row r="11" spans="1:10">
      <c r="A11" s="30"/>
      <c r="B11" s="22" t="s">
        <v>396</v>
      </c>
      <c r="C11" s="31" t="s">
        <v>630</v>
      </c>
      <c r="D11" s="32" t="s">
        <v>1120</v>
      </c>
      <c r="E11" s="32">
        <v>1</v>
      </c>
      <c r="F11" s="33">
        <v>30</v>
      </c>
      <c r="G11" s="32">
        <f t="shared" ref="G11" si="0">E11*F11</f>
        <v>30</v>
      </c>
      <c r="H11" s="32">
        <f t="shared" ref="H11" si="1">G11*1.13</f>
        <v>33.9</v>
      </c>
      <c r="I11" s="32"/>
      <c r="J11" s="34"/>
    </row>
    <row r="12" spans="1:10" s="129" customFormat="1">
      <c r="A12" s="30"/>
      <c r="B12" s="22"/>
      <c r="C12" s="31"/>
      <c r="D12" s="32"/>
      <c r="E12" s="32"/>
      <c r="F12" s="33"/>
      <c r="G12" s="32"/>
      <c r="H12" s="32"/>
      <c r="I12" s="32"/>
      <c r="J12" s="34"/>
    </row>
    <row r="13" spans="1:10">
      <c r="A13" s="30"/>
      <c r="B13" s="37" t="s">
        <v>1121</v>
      </c>
      <c r="C13" s="50"/>
      <c r="D13" s="41"/>
      <c r="E13" s="41"/>
      <c r="F13" s="47"/>
      <c r="G13" s="41"/>
      <c r="H13" s="41">
        <f>SUM(H9:H12)</f>
        <v>135.6</v>
      </c>
      <c r="I13" s="41">
        <f>SUM(I9:I12)</f>
        <v>0</v>
      </c>
      <c r="J13" s="42">
        <f>SUM(J9:J12)</f>
        <v>0</v>
      </c>
    </row>
    <row r="14" spans="1:10">
      <c r="A14" s="20"/>
      <c r="B14" s="21"/>
      <c r="C14" s="21"/>
      <c r="D14" s="43"/>
      <c r="E14" s="43"/>
      <c r="F14" s="44"/>
      <c r="G14" s="43"/>
      <c r="H14" s="43"/>
      <c r="I14" s="43"/>
      <c r="J14" s="45"/>
    </row>
    <row r="15" spans="1:10">
      <c r="A15" s="20" t="s">
        <v>1119</v>
      </c>
      <c r="B15" s="21"/>
      <c r="C15" s="22"/>
      <c r="D15" s="32"/>
      <c r="E15" s="32"/>
      <c r="F15" s="33"/>
      <c r="G15" s="32"/>
      <c r="H15" s="32"/>
      <c r="I15" s="32"/>
      <c r="J15" s="34"/>
    </row>
    <row r="16" spans="1:10">
      <c r="A16" s="51"/>
      <c r="B16" s="35" t="s">
        <v>403</v>
      </c>
      <c r="C16" s="36" t="s">
        <v>1119</v>
      </c>
      <c r="D16" s="27" t="s">
        <v>1454</v>
      </c>
      <c r="E16" s="27">
        <v>131.5</v>
      </c>
      <c r="F16" s="28">
        <v>1</v>
      </c>
      <c r="G16" s="27">
        <f>F16*E16</f>
        <v>131.5</v>
      </c>
      <c r="H16" s="27">
        <f>G16*1.13</f>
        <v>148.595</v>
      </c>
      <c r="I16" s="27"/>
      <c r="J16" s="29"/>
    </row>
    <row r="17" spans="1:10">
      <c r="A17" s="30"/>
      <c r="B17" s="22"/>
      <c r="C17" s="22"/>
      <c r="D17" s="32"/>
      <c r="E17" s="32"/>
      <c r="F17" s="33"/>
      <c r="G17" s="32"/>
      <c r="H17" s="32"/>
      <c r="I17" s="32"/>
      <c r="J17" s="34"/>
    </row>
    <row r="18" spans="1:10">
      <c r="A18" s="30"/>
      <c r="B18" s="37" t="s">
        <v>1462</v>
      </c>
      <c r="C18" s="46"/>
      <c r="D18" s="41"/>
      <c r="E18" s="41"/>
      <c r="F18" s="47"/>
      <c r="G18" s="41"/>
      <c r="H18" s="41">
        <f>SUM(H16:H17)</f>
        <v>148.595</v>
      </c>
      <c r="I18" s="41">
        <f>SUM(I16:I17)</f>
        <v>0</v>
      </c>
      <c r="J18" s="42">
        <f>SUM(J16:J17)</f>
        <v>0</v>
      </c>
    </row>
    <row r="19" spans="1:10">
      <c r="A19" s="30"/>
      <c r="B19" s="22"/>
      <c r="C19" s="31"/>
      <c r="D19" s="32"/>
      <c r="E19" s="32"/>
      <c r="F19" s="33"/>
      <c r="G19" s="32"/>
      <c r="H19" s="32"/>
      <c r="I19" s="32"/>
      <c r="J19" s="34"/>
    </row>
    <row r="20" spans="1:10">
      <c r="A20" s="30"/>
      <c r="B20" s="22"/>
      <c r="C20" s="21" t="s">
        <v>13</v>
      </c>
      <c r="D20" s="43"/>
      <c r="E20" s="43"/>
      <c r="F20" s="44"/>
      <c r="G20" s="43"/>
      <c r="H20" s="43">
        <f>SUM(H18+H13)</f>
        <v>284.19499999999999</v>
      </c>
      <c r="I20" s="43">
        <f t="shared" ref="I20:J20" si="2">SUM(I18+I13)</f>
        <v>0</v>
      </c>
      <c r="J20" s="45">
        <f t="shared" si="2"/>
        <v>0</v>
      </c>
    </row>
    <row r="21" spans="1:10">
      <c r="A21" s="30"/>
      <c r="B21" s="22"/>
      <c r="C21" s="21"/>
      <c r="D21" s="43"/>
      <c r="E21" s="43"/>
      <c r="F21" s="44"/>
      <c r="G21" s="43"/>
      <c r="H21" s="43"/>
      <c r="I21" s="43"/>
      <c r="J21" s="45"/>
    </row>
    <row r="22" spans="1:10">
      <c r="A22" s="497" t="s">
        <v>14</v>
      </c>
      <c r="B22" s="498"/>
      <c r="C22" s="498"/>
      <c r="D22" s="17"/>
      <c r="E22" s="17"/>
      <c r="F22" s="18"/>
      <c r="G22" s="17"/>
      <c r="H22" s="17"/>
      <c r="I22" s="17"/>
      <c r="J22" s="19"/>
    </row>
    <row r="23" spans="1:10">
      <c r="A23" s="20"/>
      <c r="B23" s="52" t="s">
        <v>15</v>
      </c>
      <c r="C23" s="52"/>
      <c r="D23" s="53"/>
      <c r="E23" s="53"/>
      <c r="F23" s="53"/>
      <c r="G23" s="53"/>
      <c r="H23" s="53">
        <f>H6</f>
        <v>0</v>
      </c>
      <c r="I23" s="53">
        <f>I6</f>
        <v>0</v>
      </c>
      <c r="J23" s="54">
        <f>J6</f>
        <v>0</v>
      </c>
    </row>
    <row r="24" spans="1:10">
      <c r="A24" s="20"/>
      <c r="B24" s="21" t="s">
        <v>16</v>
      </c>
      <c r="C24" s="21"/>
      <c r="D24" s="43"/>
      <c r="E24" s="43"/>
      <c r="F24" s="43"/>
      <c r="G24" s="43"/>
      <c r="H24" s="43">
        <f>H20</f>
        <v>284.19499999999999</v>
      </c>
      <c r="I24" s="43">
        <f t="shared" ref="I24:J24" si="3">I20</f>
        <v>0</v>
      </c>
      <c r="J24" s="45">
        <f t="shared" si="3"/>
        <v>0</v>
      </c>
    </row>
    <row r="25" spans="1:10">
      <c r="A25" s="55"/>
      <c r="B25" s="56" t="s">
        <v>17</v>
      </c>
      <c r="C25" s="56"/>
      <c r="D25" s="57"/>
      <c r="E25" s="57"/>
      <c r="F25" s="57"/>
      <c r="G25" s="57"/>
      <c r="H25" s="57">
        <f>H23-H24</f>
        <v>-284.19499999999999</v>
      </c>
      <c r="I25" s="57">
        <f t="shared" ref="I25:J25" si="4">I23-I24</f>
        <v>0</v>
      </c>
      <c r="J25" s="58">
        <f t="shared" si="4"/>
        <v>0</v>
      </c>
    </row>
  </sheetData>
  <mergeCells count="4">
    <mergeCell ref="A1:J1"/>
    <mergeCell ref="A4:C4"/>
    <mergeCell ref="A8:C8"/>
    <mergeCell ref="A22:C2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19" workbookViewId="0">
      <selection activeCell="B54" sqref="B54"/>
    </sheetView>
  </sheetViews>
  <sheetFormatPr baseColWidth="10" defaultRowHeight="15" x14ac:dyDescent="0"/>
  <cols>
    <col min="3" max="3" width="23.83203125" customWidth="1"/>
    <col min="4" max="4" width="30.6640625" customWidth="1"/>
    <col min="8" max="8" width="11.6640625" bestFit="1" customWidth="1"/>
  </cols>
  <sheetData>
    <row r="1" spans="1:10" ht="25">
      <c r="A1" s="213" t="s">
        <v>435</v>
      </c>
      <c r="B1" s="214"/>
      <c r="C1" s="214"/>
      <c r="D1" s="215"/>
      <c r="E1" s="215"/>
      <c r="F1" s="215"/>
      <c r="G1" s="215"/>
      <c r="H1" s="215"/>
      <c r="I1" s="215"/>
      <c r="J1" s="216"/>
    </row>
    <row r="2" spans="1:10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 ht="16">
      <c r="A5" s="220"/>
      <c r="B5" s="221"/>
      <c r="C5" s="221"/>
      <c r="D5" s="239"/>
      <c r="E5" s="239"/>
      <c r="F5" s="240"/>
      <c r="G5" s="239"/>
      <c r="H5" s="239"/>
      <c r="I5" s="239"/>
      <c r="J5" s="241"/>
    </row>
    <row r="6" spans="1:10" ht="17">
      <c r="A6" s="243"/>
      <c r="B6" s="244"/>
      <c r="C6" s="244" t="s">
        <v>11</v>
      </c>
      <c r="D6" s="245"/>
      <c r="E6" s="245"/>
      <c r="F6" s="246"/>
      <c r="G6" s="245"/>
      <c r="H6" s="245">
        <v>0</v>
      </c>
      <c r="I6" s="245">
        <v>0</v>
      </c>
      <c r="J6" s="247">
        <v>0</v>
      </c>
    </row>
    <row r="7" spans="1:10" ht="17">
      <c r="A7" s="243"/>
      <c r="B7" s="244"/>
      <c r="C7" s="244"/>
      <c r="D7" s="239"/>
      <c r="E7" s="239"/>
      <c r="F7" s="240"/>
      <c r="G7" s="239"/>
      <c r="H7" s="239"/>
      <c r="I7" s="239"/>
      <c r="J7" s="241"/>
    </row>
    <row r="8" spans="1:10">
      <c r="A8" s="497" t="s">
        <v>12</v>
      </c>
      <c r="B8" s="498"/>
      <c r="C8" s="498"/>
      <c r="D8" s="17"/>
      <c r="E8" s="48"/>
      <c r="F8" s="49"/>
      <c r="G8" s="48"/>
      <c r="H8" s="48"/>
      <c r="I8" s="48"/>
      <c r="J8" s="19"/>
    </row>
    <row r="9" spans="1:10">
      <c r="A9" s="20" t="s">
        <v>436</v>
      </c>
      <c r="B9" s="21"/>
      <c r="C9" s="22"/>
      <c r="D9" s="32"/>
      <c r="E9" s="32"/>
      <c r="F9" s="33"/>
      <c r="G9" s="32"/>
      <c r="H9" s="32"/>
      <c r="I9" s="32"/>
      <c r="J9" s="34"/>
    </row>
    <row r="10" spans="1:10">
      <c r="A10" s="30"/>
      <c r="B10" s="35" t="s">
        <v>437</v>
      </c>
      <c r="C10" s="36" t="s">
        <v>438</v>
      </c>
      <c r="D10" s="27" t="s">
        <v>439</v>
      </c>
      <c r="E10" s="27">
        <v>0.85</v>
      </c>
      <c r="F10" s="28">
        <v>100</v>
      </c>
      <c r="G10" s="27">
        <f>E10*F10</f>
        <v>85</v>
      </c>
      <c r="H10" s="27">
        <f>G10*1.13</f>
        <v>96.05</v>
      </c>
      <c r="I10" s="27"/>
      <c r="J10" s="29"/>
    </row>
    <row r="11" spans="1:10">
      <c r="A11" s="30"/>
      <c r="B11" s="22" t="s">
        <v>440</v>
      </c>
      <c r="C11" s="31" t="s">
        <v>441</v>
      </c>
      <c r="D11" s="32" t="s">
        <v>442</v>
      </c>
      <c r="E11" s="32">
        <v>0.85</v>
      </c>
      <c r="F11" s="33">
        <v>3</v>
      </c>
      <c r="G11" s="32">
        <f t="shared" ref="G11:G14" si="0">E11*F11</f>
        <v>2.5499999999999998</v>
      </c>
      <c r="H11" s="32">
        <f t="shared" ref="H11:H13" si="1">G11*1.13</f>
        <v>2.8814999999999995</v>
      </c>
      <c r="I11" s="32"/>
      <c r="J11" s="34"/>
    </row>
    <row r="12" spans="1:10">
      <c r="A12" s="30"/>
      <c r="B12" s="35" t="s">
        <v>443</v>
      </c>
      <c r="C12" s="36" t="s">
        <v>1411</v>
      </c>
      <c r="D12" s="27" t="s">
        <v>444</v>
      </c>
      <c r="E12" s="27">
        <f>G14*0.15</f>
        <v>126</v>
      </c>
      <c r="F12" s="28">
        <v>1</v>
      </c>
      <c r="G12" s="27">
        <f t="shared" si="0"/>
        <v>126</v>
      </c>
      <c r="H12" s="27">
        <f>G12</f>
        <v>126</v>
      </c>
      <c r="I12" s="27"/>
      <c r="J12" s="29"/>
    </row>
    <row r="13" spans="1:10" s="129" customFormat="1">
      <c r="A13" s="30"/>
      <c r="B13" s="22" t="s">
        <v>445</v>
      </c>
      <c r="C13" s="31" t="s">
        <v>446</v>
      </c>
      <c r="D13" s="32" t="s">
        <v>447</v>
      </c>
      <c r="E13" s="32">
        <v>0.79</v>
      </c>
      <c r="F13" s="33">
        <v>150</v>
      </c>
      <c r="G13" s="32">
        <f t="shared" si="0"/>
        <v>118.5</v>
      </c>
      <c r="H13" s="32">
        <f t="shared" si="1"/>
        <v>133.905</v>
      </c>
      <c r="I13" s="32"/>
      <c r="J13" s="282"/>
    </row>
    <row r="14" spans="1:10" ht="17" customHeight="1">
      <c r="A14" s="30"/>
      <c r="B14" s="35" t="s">
        <v>448</v>
      </c>
      <c r="C14" s="36" t="s">
        <v>449</v>
      </c>
      <c r="D14" s="217" t="s">
        <v>1412</v>
      </c>
      <c r="E14" s="27">
        <v>6</v>
      </c>
      <c r="F14" s="28">
        <v>140</v>
      </c>
      <c r="G14" s="27">
        <f t="shared" si="0"/>
        <v>840</v>
      </c>
      <c r="H14" s="27">
        <f>G14</f>
        <v>840</v>
      </c>
      <c r="I14" s="27"/>
      <c r="J14" s="209"/>
    </row>
    <row r="15" spans="1:10" s="129" customFormat="1">
      <c r="A15" s="30"/>
      <c r="B15" s="22"/>
      <c r="C15" s="31"/>
      <c r="D15" s="32"/>
      <c r="E15" s="32"/>
      <c r="F15" s="33"/>
      <c r="G15" s="32"/>
      <c r="H15" s="32"/>
      <c r="I15" s="32"/>
      <c r="J15" s="34"/>
    </row>
    <row r="16" spans="1:10">
      <c r="A16" s="30"/>
      <c r="B16" s="37" t="s">
        <v>1429</v>
      </c>
      <c r="C16" s="50"/>
      <c r="D16" s="41"/>
      <c r="E16" s="41"/>
      <c r="F16" s="47"/>
      <c r="G16" s="41"/>
      <c r="H16" s="41">
        <f>SUM(H9:H14)</f>
        <v>1198.8364999999999</v>
      </c>
      <c r="I16" s="41">
        <f>SUM(I9:I13)</f>
        <v>0</v>
      </c>
      <c r="J16" s="42">
        <f>SUM(J9:J13)</f>
        <v>0</v>
      </c>
    </row>
    <row r="17" spans="1:10">
      <c r="A17" s="20"/>
      <c r="B17" s="21"/>
      <c r="C17" s="21"/>
      <c r="D17" s="43"/>
      <c r="E17" s="43"/>
      <c r="F17" s="44"/>
      <c r="G17" s="43"/>
      <c r="H17" s="43"/>
      <c r="I17" s="43"/>
      <c r="J17" s="45"/>
    </row>
    <row r="18" spans="1:10">
      <c r="A18" s="20" t="s">
        <v>1430</v>
      </c>
      <c r="B18" s="21"/>
      <c r="C18" s="22"/>
      <c r="D18" s="32"/>
      <c r="E18" s="32"/>
      <c r="F18" s="33"/>
      <c r="G18" s="32"/>
      <c r="H18" s="32"/>
      <c r="I18" s="32"/>
      <c r="J18" s="34"/>
    </row>
    <row r="19" spans="1:10">
      <c r="A19" s="51"/>
      <c r="B19" s="35" t="s">
        <v>450</v>
      </c>
      <c r="C19" s="36" t="s">
        <v>451</v>
      </c>
      <c r="D19" s="27" t="s">
        <v>452</v>
      </c>
      <c r="E19" s="27">
        <v>30</v>
      </c>
      <c r="F19" s="28">
        <v>23</v>
      </c>
      <c r="G19" s="27">
        <f>E19*F19</f>
        <v>690</v>
      </c>
      <c r="H19" s="27">
        <f>G19*1.13</f>
        <v>779.69999999999993</v>
      </c>
      <c r="I19" s="27"/>
      <c r="J19" s="29"/>
    </row>
    <row r="20" spans="1:10">
      <c r="A20" s="51"/>
      <c r="B20" s="218"/>
      <c r="C20" s="31"/>
      <c r="D20" s="32"/>
      <c r="E20" s="32"/>
      <c r="F20" s="33"/>
      <c r="G20" s="32">
        <f t="shared" ref="G20" si="2">E20*F20</f>
        <v>0</v>
      </c>
      <c r="H20" s="32">
        <f t="shared" ref="H20" si="3">G20*1.13</f>
        <v>0</v>
      </c>
      <c r="I20" s="32"/>
      <c r="J20" s="34"/>
    </row>
    <row r="21" spans="1:10">
      <c r="A21" s="30"/>
      <c r="B21" s="37" t="s">
        <v>1431</v>
      </c>
      <c r="C21" s="46"/>
      <c r="D21" s="41"/>
      <c r="E21" s="41"/>
      <c r="F21" s="47"/>
      <c r="G21" s="41"/>
      <c r="H21" s="41">
        <f>SUM(H19:H20)</f>
        <v>779.69999999999993</v>
      </c>
      <c r="I21" s="41">
        <f>SUM(I19:I20)</f>
        <v>0</v>
      </c>
      <c r="J21" s="42">
        <f>SUM(J19:J20)</f>
        <v>0</v>
      </c>
    </row>
    <row r="22" spans="1:10">
      <c r="A22" s="30"/>
      <c r="B22" s="22"/>
      <c r="C22" s="22"/>
      <c r="D22" s="32"/>
      <c r="E22" s="32"/>
      <c r="F22" s="33"/>
      <c r="G22" s="32"/>
      <c r="H22" s="32"/>
      <c r="I22" s="32"/>
      <c r="J22" s="34"/>
    </row>
    <row r="23" spans="1:10">
      <c r="A23" s="20" t="s">
        <v>1432</v>
      </c>
      <c r="B23" s="21"/>
      <c r="C23" s="22"/>
      <c r="D23" s="32"/>
      <c r="E23" s="32"/>
      <c r="F23" s="33"/>
      <c r="G23" s="32"/>
      <c r="H23" s="32"/>
      <c r="I23" s="32"/>
      <c r="J23" s="34"/>
    </row>
    <row r="24" spans="1:10">
      <c r="A24" s="30"/>
      <c r="B24" s="35" t="s">
        <v>453</v>
      </c>
      <c r="C24" s="36" t="s">
        <v>451</v>
      </c>
      <c r="D24" s="27" t="s">
        <v>452</v>
      </c>
      <c r="E24" s="27">
        <v>30</v>
      </c>
      <c r="F24" s="28">
        <v>23</v>
      </c>
      <c r="G24" s="27">
        <f t="shared" ref="G24" si="4">E24*F24</f>
        <v>690</v>
      </c>
      <c r="H24" s="27">
        <f t="shared" ref="H24" si="5">G24*1.13</f>
        <v>779.69999999999993</v>
      </c>
      <c r="I24" s="27"/>
      <c r="J24" s="29"/>
    </row>
    <row r="25" spans="1:10">
      <c r="A25" s="30"/>
      <c r="B25" s="22"/>
      <c r="C25" s="22"/>
      <c r="D25" s="32"/>
      <c r="E25" s="32"/>
      <c r="F25" s="33"/>
      <c r="G25" s="32"/>
      <c r="H25" s="32"/>
      <c r="I25" s="32"/>
      <c r="J25" s="34"/>
    </row>
    <row r="26" spans="1:10">
      <c r="A26" s="30"/>
      <c r="B26" s="37" t="s">
        <v>1433</v>
      </c>
      <c r="C26" s="46"/>
      <c r="D26" s="41"/>
      <c r="E26" s="41"/>
      <c r="F26" s="47"/>
      <c r="G26" s="41"/>
      <c r="H26" s="41">
        <f>SUM(H24:H25)</f>
        <v>779.69999999999993</v>
      </c>
      <c r="I26" s="41">
        <f>SUM(I24:I25)</f>
        <v>0</v>
      </c>
      <c r="J26" s="42">
        <f>SUM(J24:J25)</f>
        <v>0</v>
      </c>
    </row>
    <row r="27" spans="1:10">
      <c r="A27" s="30"/>
      <c r="B27" s="22"/>
      <c r="C27" s="22"/>
      <c r="D27" s="32"/>
      <c r="E27" s="32"/>
      <c r="F27" s="33"/>
      <c r="G27" s="32"/>
      <c r="H27" s="32"/>
      <c r="I27" s="32"/>
      <c r="J27" s="34"/>
    </row>
    <row r="28" spans="1:10">
      <c r="A28" s="20" t="s">
        <v>454</v>
      </c>
      <c r="B28" s="21"/>
      <c r="C28" s="22"/>
      <c r="D28" s="32"/>
      <c r="E28" s="32"/>
      <c r="F28" s="33"/>
      <c r="G28" s="32"/>
      <c r="H28" s="32"/>
      <c r="I28" s="32"/>
      <c r="J28" s="34"/>
    </row>
    <row r="29" spans="1:10" ht="20" customHeight="1">
      <c r="A29" s="30" t="s">
        <v>10</v>
      </c>
      <c r="B29" s="22" t="s">
        <v>455</v>
      </c>
      <c r="C29" s="22" t="s">
        <v>456</v>
      </c>
      <c r="D29" s="219" t="s">
        <v>457</v>
      </c>
      <c r="E29" s="119">
        <v>372.75</v>
      </c>
      <c r="F29" s="33">
        <v>2</v>
      </c>
      <c r="G29" s="32">
        <f t="shared" ref="G29:G30" si="6">E29*F29</f>
        <v>745.5</v>
      </c>
      <c r="H29" s="32">
        <f t="shared" ref="H29:H30" si="7">G29*1.13</f>
        <v>842.41499999999996</v>
      </c>
      <c r="I29" s="32"/>
      <c r="J29" s="34"/>
    </row>
    <row r="30" spans="1:10" ht="16">
      <c r="A30" s="30"/>
      <c r="B30" s="35"/>
      <c r="C30" s="35" t="s">
        <v>458</v>
      </c>
      <c r="D30" s="27" t="s">
        <v>459</v>
      </c>
      <c r="E30" s="94">
        <v>0.89</v>
      </c>
      <c r="F30" s="28">
        <v>40</v>
      </c>
      <c r="G30" s="27">
        <f t="shared" si="6"/>
        <v>35.6</v>
      </c>
      <c r="H30" s="27">
        <f t="shared" si="7"/>
        <v>40.227999999999994</v>
      </c>
      <c r="I30" s="27"/>
      <c r="J30" s="29"/>
    </row>
    <row r="31" spans="1:10">
      <c r="A31" s="30"/>
      <c r="B31" s="22"/>
      <c r="C31" s="22"/>
      <c r="D31" s="32"/>
      <c r="E31" s="32"/>
      <c r="F31" s="33"/>
      <c r="G31" s="32"/>
      <c r="H31" s="32"/>
      <c r="I31" s="32"/>
      <c r="J31" s="34"/>
    </row>
    <row r="32" spans="1:10">
      <c r="A32" s="30"/>
      <c r="B32" s="37" t="s">
        <v>1434</v>
      </c>
      <c r="C32" s="46"/>
      <c r="D32" s="41"/>
      <c r="E32" s="41"/>
      <c r="F32" s="47"/>
      <c r="G32" s="41"/>
      <c r="H32" s="41">
        <f>SUM(H29:H31)</f>
        <v>882.64299999999992</v>
      </c>
      <c r="I32" s="41">
        <f>SUM(I29:I31)</f>
        <v>0</v>
      </c>
      <c r="J32" s="42">
        <f>SUM(J29:J31)</f>
        <v>0</v>
      </c>
    </row>
    <row r="33" spans="1:10">
      <c r="A33" s="30"/>
      <c r="B33" s="22"/>
      <c r="C33" s="21"/>
      <c r="D33" s="43"/>
      <c r="E33" s="43"/>
      <c r="F33" s="44"/>
      <c r="G33" s="43"/>
      <c r="H33" s="43"/>
      <c r="I33" s="43"/>
      <c r="J33" s="45"/>
    </row>
    <row r="34" spans="1:10">
      <c r="A34" s="20" t="s">
        <v>460</v>
      </c>
      <c r="B34" s="21"/>
      <c r="C34" s="22"/>
      <c r="D34" s="32"/>
      <c r="E34" s="32"/>
      <c r="F34" s="33"/>
      <c r="G34" s="32"/>
      <c r="H34" s="32"/>
      <c r="I34" s="32"/>
      <c r="J34" s="34"/>
    </row>
    <row r="35" spans="1:10">
      <c r="A35" s="20"/>
      <c r="B35" s="52" t="s">
        <v>461</v>
      </c>
      <c r="C35" s="35" t="s">
        <v>1413</v>
      </c>
      <c r="D35" s="27"/>
      <c r="E35" s="27">
        <v>100</v>
      </c>
      <c r="F35" s="28">
        <v>1</v>
      </c>
      <c r="G35" s="27">
        <f t="shared" ref="G35" si="8">E35*F35</f>
        <v>100</v>
      </c>
      <c r="H35" s="27">
        <f>G35</f>
        <v>100</v>
      </c>
      <c r="I35" s="27"/>
      <c r="J35" s="29"/>
    </row>
    <row r="36" spans="1:10">
      <c r="A36" s="20"/>
      <c r="B36" s="21"/>
      <c r="C36" s="22"/>
      <c r="D36" s="32"/>
      <c r="E36" s="32"/>
      <c r="F36" s="33"/>
      <c r="G36" s="32"/>
      <c r="H36" s="32"/>
      <c r="I36" s="32"/>
      <c r="J36" s="34"/>
    </row>
    <row r="37" spans="1:10">
      <c r="A37" s="30"/>
      <c r="B37" s="37" t="s">
        <v>1435</v>
      </c>
      <c r="C37" s="46"/>
      <c r="D37" s="41"/>
      <c r="E37" s="41"/>
      <c r="F37" s="47"/>
      <c r="G37" s="41"/>
      <c r="H37" s="41">
        <f>SUM(H35:H36)</f>
        <v>100</v>
      </c>
      <c r="I37" s="41">
        <f>SUM(I35:I36)</f>
        <v>0</v>
      </c>
      <c r="J37" s="42">
        <f>SUM(J35:J36)</f>
        <v>0</v>
      </c>
    </row>
    <row r="38" spans="1:10">
      <c r="A38" s="30"/>
      <c r="B38" s="21"/>
      <c r="C38" s="21"/>
      <c r="D38" s="43"/>
      <c r="E38" s="43"/>
      <c r="F38" s="44"/>
      <c r="G38" s="43"/>
      <c r="H38" s="43"/>
      <c r="I38" s="43"/>
      <c r="J38" s="45"/>
    </row>
    <row r="39" spans="1:10">
      <c r="A39" s="20" t="s">
        <v>462</v>
      </c>
      <c r="B39" s="21"/>
      <c r="C39" s="22"/>
      <c r="D39" s="32"/>
      <c r="E39" s="32"/>
      <c r="F39" s="33"/>
      <c r="G39" s="32"/>
      <c r="H39" s="32"/>
      <c r="I39" s="32"/>
      <c r="J39" s="34"/>
    </row>
    <row r="40" spans="1:10">
      <c r="A40" s="20"/>
      <c r="B40" s="52" t="s">
        <v>463</v>
      </c>
      <c r="C40" s="35" t="s">
        <v>1414</v>
      </c>
      <c r="D40" s="27"/>
      <c r="E40" s="27">
        <v>70</v>
      </c>
      <c r="F40" s="28">
        <v>1</v>
      </c>
      <c r="G40" s="27">
        <f t="shared" ref="G40:G42" si="9">E40*F40</f>
        <v>70</v>
      </c>
      <c r="H40" s="27">
        <f t="shared" ref="H40:H42" si="10">G40*1.13</f>
        <v>79.099999999999994</v>
      </c>
      <c r="I40" s="27"/>
      <c r="J40" s="29"/>
    </row>
    <row r="41" spans="1:10">
      <c r="A41" s="20"/>
      <c r="B41" s="21" t="s">
        <v>464</v>
      </c>
      <c r="C41" s="22" t="s">
        <v>1415</v>
      </c>
      <c r="D41" s="32"/>
      <c r="E41" s="32">
        <v>60</v>
      </c>
      <c r="F41" s="33">
        <v>1</v>
      </c>
      <c r="G41" s="32">
        <f t="shared" si="9"/>
        <v>60</v>
      </c>
      <c r="H41" s="32">
        <f t="shared" si="10"/>
        <v>67.8</v>
      </c>
      <c r="I41" s="32"/>
      <c r="J41" s="34"/>
    </row>
    <row r="42" spans="1:10">
      <c r="A42" s="20"/>
      <c r="B42" s="52" t="s">
        <v>465</v>
      </c>
      <c r="C42" s="35" t="s">
        <v>466</v>
      </c>
      <c r="D42" s="27"/>
      <c r="E42" s="27">
        <v>40</v>
      </c>
      <c r="F42" s="28">
        <v>1</v>
      </c>
      <c r="G42" s="27">
        <f t="shared" si="9"/>
        <v>40</v>
      </c>
      <c r="H42" s="27">
        <f t="shared" si="10"/>
        <v>45.199999999999996</v>
      </c>
      <c r="I42" s="27"/>
      <c r="J42" s="29"/>
    </row>
    <row r="43" spans="1:10">
      <c r="A43" s="20"/>
      <c r="B43" s="21"/>
      <c r="C43" s="22"/>
      <c r="D43" s="32"/>
      <c r="E43" s="32"/>
      <c r="F43" s="33"/>
      <c r="G43" s="32"/>
      <c r="H43" s="32"/>
      <c r="I43" s="32"/>
      <c r="J43" s="34"/>
    </row>
    <row r="44" spans="1:10">
      <c r="A44" s="30"/>
      <c r="B44" s="37" t="s">
        <v>1436</v>
      </c>
      <c r="C44" s="46"/>
      <c r="D44" s="41"/>
      <c r="E44" s="41"/>
      <c r="F44" s="47"/>
      <c r="G44" s="41"/>
      <c r="H44" s="41">
        <f>SUM(H40:H43)</f>
        <v>192.09999999999997</v>
      </c>
      <c r="I44" s="41">
        <f>SUM(I40:I43)</f>
        <v>0</v>
      </c>
      <c r="J44" s="42">
        <f>SUM(J40:J43)</f>
        <v>0</v>
      </c>
    </row>
    <row r="45" spans="1:10">
      <c r="A45" s="30"/>
      <c r="B45" s="22"/>
      <c r="C45" s="31"/>
      <c r="D45" s="32"/>
      <c r="E45" s="32"/>
      <c r="F45" s="33"/>
      <c r="G45" s="32"/>
      <c r="H45" s="32"/>
      <c r="I45" s="32"/>
      <c r="J45" s="34"/>
    </row>
    <row r="46" spans="1:10">
      <c r="A46" s="20" t="s">
        <v>467</v>
      </c>
      <c r="B46" s="21"/>
      <c r="C46" s="22"/>
      <c r="D46" s="32"/>
      <c r="E46" s="32"/>
      <c r="F46" s="33"/>
      <c r="G46" s="32"/>
      <c r="H46" s="32"/>
      <c r="I46" s="32"/>
      <c r="J46" s="34"/>
    </row>
    <row r="47" spans="1:10">
      <c r="A47" s="20"/>
      <c r="B47" s="52" t="s">
        <v>468</v>
      </c>
      <c r="C47" s="35" t="s">
        <v>469</v>
      </c>
      <c r="D47" s="27"/>
      <c r="E47" s="27">
        <v>50</v>
      </c>
      <c r="F47" s="28">
        <v>2</v>
      </c>
      <c r="G47" s="27">
        <f t="shared" ref="G47" si="11">E47*F47</f>
        <v>100</v>
      </c>
      <c r="H47" s="27">
        <f>G47</f>
        <v>100</v>
      </c>
      <c r="I47" s="27"/>
      <c r="J47" s="29"/>
    </row>
    <row r="48" spans="1:10">
      <c r="A48" s="20"/>
      <c r="B48" s="21"/>
      <c r="C48" s="22"/>
      <c r="D48" s="32"/>
      <c r="E48" s="32"/>
      <c r="F48" s="33"/>
      <c r="G48" s="32"/>
      <c r="H48" s="32"/>
      <c r="I48" s="32"/>
      <c r="J48" s="34"/>
    </row>
    <row r="49" spans="1:10">
      <c r="A49" s="30"/>
      <c r="B49" s="37" t="s">
        <v>1437</v>
      </c>
      <c r="C49" s="46"/>
      <c r="D49" s="41"/>
      <c r="E49" s="41"/>
      <c r="F49" s="47"/>
      <c r="G49" s="41"/>
      <c r="H49" s="41">
        <f>SUM(H47:H48)</f>
        <v>100</v>
      </c>
      <c r="I49" s="41">
        <f>SUM(I47:I48)</f>
        <v>0</v>
      </c>
      <c r="J49" s="42">
        <f>SUM(J47:J48)</f>
        <v>0</v>
      </c>
    </row>
    <row r="50" spans="1:10">
      <c r="A50" s="20" t="s">
        <v>470</v>
      </c>
      <c r="B50" s="21"/>
      <c r="C50" s="22"/>
      <c r="D50" s="32"/>
      <c r="E50" s="32"/>
      <c r="F50" s="33"/>
      <c r="G50" s="32"/>
      <c r="H50" s="32"/>
      <c r="I50" s="32"/>
      <c r="J50" s="34"/>
    </row>
    <row r="51" spans="1:10">
      <c r="A51" s="20"/>
      <c r="B51" s="52" t="s">
        <v>471</v>
      </c>
      <c r="C51" s="35" t="s">
        <v>472</v>
      </c>
      <c r="D51" s="27" t="s">
        <v>473</v>
      </c>
      <c r="E51" s="27">
        <v>10</v>
      </c>
      <c r="F51" s="28">
        <v>21</v>
      </c>
      <c r="G51" s="27">
        <f t="shared" ref="G51" si="12">E51*F51</f>
        <v>210</v>
      </c>
      <c r="H51" s="27">
        <f>G51</f>
        <v>210</v>
      </c>
      <c r="I51" s="27"/>
      <c r="J51" s="29"/>
    </row>
    <row r="52" spans="1:10">
      <c r="A52" s="20"/>
      <c r="B52" s="21"/>
      <c r="C52" s="22"/>
      <c r="D52" s="32"/>
      <c r="E52" s="32"/>
      <c r="F52" s="33"/>
      <c r="G52" s="32"/>
      <c r="H52" s="32"/>
      <c r="I52" s="32"/>
      <c r="J52" s="34"/>
    </row>
    <row r="53" spans="1:10">
      <c r="A53" s="30"/>
      <c r="B53" s="37" t="s">
        <v>1438</v>
      </c>
      <c r="C53" s="46"/>
      <c r="D53" s="41"/>
      <c r="E53" s="41"/>
      <c r="F53" s="47"/>
      <c r="G53" s="41"/>
      <c r="H53" s="41">
        <f>SUM(H51:H52)</f>
        <v>210</v>
      </c>
      <c r="I53" s="41">
        <f>SUM(I51:I52)</f>
        <v>0</v>
      </c>
      <c r="J53" s="42">
        <f>SUM(J51:J52)</f>
        <v>0</v>
      </c>
    </row>
    <row r="54" spans="1:10">
      <c r="A54" s="30"/>
      <c r="B54" s="22"/>
      <c r="C54" s="21" t="s">
        <v>13</v>
      </c>
      <c r="D54" s="43"/>
      <c r="E54" s="43"/>
      <c r="F54" s="44"/>
      <c r="G54" s="43"/>
      <c r="H54" s="43">
        <f>H37+H32+H26+H21+H16+H44+H49+H53</f>
        <v>4242.9794999999995</v>
      </c>
      <c r="I54" s="43">
        <f>I37+I32+I26+I21+I16+I44+I49+I53</f>
        <v>0</v>
      </c>
      <c r="J54" s="45">
        <f>J37+J32+J26+J21+J16+J44+J49+J53</f>
        <v>0</v>
      </c>
    </row>
    <row r="55" spans="1:10">
      <c r="A55" s="30"/>
      <c r="B55" s="22"/>
      <c r="C55" s="21"/>
      <c r="D55" s="43"/>
      <c r="E55" s="43"/>
      <c r="F55" s="44"/>
      <c r="G55" s="43"/>
      <c r="H55" s="43"/>
      <c r="I55" s="43"/>
      <c r="J55" s="45"/>
    </row>
    <row r="56" spans="1:10">
      <c r="A56" s="497" t="s">
        <v>14</v>
      </c>
      <c r="B56" s="498"/>
      <c r="C56" s="498"/>
      <c r="D56" s="17"/>
      <c r="E56" s="17"/>
      <c r="F56" s="18"/>
      <c r="G56" s="17"/>
      <c r="H56" s="17"/>
      <c r="I56" s="17"/>
      <c r="J56" s="19"/>
    </row>
    <row r="57" spans="1:10">
      <c r="A57" s="20"/>
      <c r="B57" s="52" t="s">
        <v>15</v>
      </c>
      <c r="C57" s="52"/>
      <c r="D57" s="53"/>
      <c r="E57" s="53"/>
      <c r="F57" s="53"/>
      <c r="G57" s="53"/>
      <c r="H57" s="53">
        <v>0</v>
      </c>
      <c r="I57" s="53">
        <v>0</v>
      </c>
      <c r="J57" s="54">
        <v>0</v>
      </c>
    </row>
    <row r="58" spans="1:10">
      <c r="A58" s="20"/>
      <c r="B58" s="21" t="s">
        <v>16</v>
      </c>
      <c r="C58" s="21"/>
      <c r="D58" s="43"/>
      <c r="E58" s="43"/>
      <c r="F58" s="43"/>
      <c r="G58" s="43"/>
      <c r="H58" s="43">
        <f>H54</f>
        <v>4242.9794999999995</v>
      </c>
      <c r="I58" s="43">
        <f>I54</f>
        <v>0</v>
      </c>
      <c r="J58" s="45">
        <f>J54</f>
        <v>0</v>
      </c>
    </row>
    <row r="59" spans="1:10">
      <c r="A59" s="55"/>
      <c r="B59" s="56" t="s">
        <v>17</v>
      </c>
      <c r="C59" s="56"/>
      <c r="D59" s="57"/>
      <c r="E59" s="57"/>
      <c r="F59" s="57"/>
      <c r="G59" s="57"/>
      <c r="H59" s="57">
        <f>H57-H58</f>
        <v>-4242.9794999999995</v>
      </c>
      <c r="I59" s="57">
        <f t="shared" ref="I59:J59" si="13">I57-I58</f>
        <v>0</v>
      </c>
      <c r="J59" s="58">
        <f t="shared" si="13"/>
        <v>0</v>
      </c>
    </row>
  </sheetData>
  <mergeCells count="3">
    <mergeCell ref="A4:C4"/>
    <mergeCell ref="A8:C8"/>
    <mergeCell ref="A56:C56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6" workbookViewId="0">
      <selection activeCell="E29" sqref="E29"/>
    </sheetView>
  </sheetViews>
  <sheetFormatPr baseColWidth="10" defaultRowHeight="15" x14ac:dyDescent="0"/>
  <cols>
    <col min="3" max="3" width="24.1640625" customWidth="1"/>
    <col min="4" max="4" width="28.1640625" customWidth="1"/>
    <col min="8" max="8" width="11.6640625" bestFit="1" customWidth="1"/>
  </cols>
  <sheetData>
    <row r="1" spans="1:10" ht="25">
      <c r="A1" s="505" t="s">
        <v>474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>
      <c r="A5" s="20" t="s">
        <v>475</v>
      </c>
      <c r="B5" s="21"/>
      <c r="C5" s="22"/>
      <c r="D5" s="23"/>
      <c r="E5" s="23"/>
      <c r="F5" s="24"/>
      <c r="G5" s="23"/>
      <c r="H5" s="23"/>
      <c r="I5" s="23"/>
      <c r="J5" s="25"/>
    </row>
    <row r="6" spans="1:10">
      <c r="A6" s="20"/>
      <c r="B6" s="26" t="s">
        <v>476</v>
      </c>
      <c r="C6" s="26" t="s">
        <v>477</v>
      </c>
      <c r="D6" s="27" t="s">
        <v>478</v>
      </c>
      <c r="E6" s="27">
        <v>25</v>
      </c>
      <c r="F6" s="28">
        <v>10</v>
      </c>
      <c r="G6" s="27">
        <f>E6*F6</f>
        <v>250</v>
      </c>
      <c r="H6" s="27">
        <f>G6*1.13</f>
        <v>282.5</v>
      </c>
      <c r="I6" s="27"/>
      <c r="J6" s="29"/>
    </row>
    <row r="7" spans="1:10">
      <c r="A7" s="30"/>
      <c r="B7" s="168" t="s">
        <v>479</v>
      </c>
      <c r="C7" s="169" t="s">
        <v>477</v>
      </c>
      <c r="D7" s="32" t="s">
        <v>480</v>
      </c>
      <c r="E7" s="32">
        <v>10</v>
      </c>
      <c r="F7" s="33">
        <v>9</v>
      </c>
      <c r="G7" s="32">
        <f t="shared" ref="G7" si="0">E7*F7</f>
        <v>90</v>
      </c>
      <c r="H7" s="32">
        <f t="shared" ref="H7" si="1">G7*1.13</f>
        <v>101.69999999999999</v>
      </c>
      <c r="I7" s="32"/>
      <c r="J7" s="34"/>
    </row>
    <row r="8" spans="1:10">
      <c r="A8" s="30"/>
      <c r="B8" s="37" t="s">
        <v>481</v>
      </c>
      <c r="C8" s="38"/>
      <c r="D8" s="39"/>
      <c r="E8" s="39"/>
      <c r="F8" s="40"/>
      <c r="G8" s="39"/>
      <c r="H8" s="41">
        <f>SUM(H5:H7)</f>
        <v>384.2</v>
      </c>
      <c r="I8" s="41">
        <f>SUM(I5:I7)</f>
        <v>0</v>
      </c>
      <c r="J8" s="42">
        <f>SUM(J5:J7)</f>
        <v>0</v>
      </c>
    </row>
    <row r="9" spans="1:10">
      <c r="A9" s="20"/>
      <c r="B9" s="21"/>
      <c r="C9" s="21"/>
      <c r="D9" s="43"/>
      <c r="E9" s="43"/>
      <c r="F9" s="44"/>
      <c r="G9" s="43"/>
      <c r="H9" s="43"/>
      <c r="I9" s="43"/>
      <c r="J9" s="45"/>
    </row>
    <row r="10" spans="1:10">
      <c r="A10" s="20"/>
      <c r="B10" s="21"/>
      <c r="C10" s="21" t="s">
        <v>11</v>
      </c>
      <c r="D10" s="43"/>
      <c r="E10" s="43"/>
      <c r="F10" s="44"/>
      <c r="G10" s="43"/>
      <c r="H10" s="43">
        <f>H8</f>
        <v>384.2</v>
      </c>
      <c r="I10" s="43">
        <f>I8</f>
        <v>0</v>
      </c>
      <c r="J10" s="43">
        <f>J8</f>
        <v>0</v>
      </c>
    </row>
    <row r="11" spans="1:10">
      <c r="A11" s="20"/>
      <c r="B11" s="21"/>
      <c r="C11" s="21"/>
      <c r="D11" s="43"/>
      <c r="E11" s="43"/>
      <c r="F11" s="44"/>
      <c r="G11" s="43"/>
      <c r="H11" s="43"/>
      <c r="I11" s="43"/>
      <c r="J11" s="45"/>
    </row>
    <row r="12" spans="1:10">
      <c r="A12" s="497" t="s">
        <v>12</v>
      </c>
      <c r="B12" s="498"/>
      <c r="C12" s="498"/>
      <c r="D12" s="17"/>
      <c r="E12" s="48"/>
      <c r="F12" s="49"/>
      <c r="G12" s="48"/>
      <c r="H12" s="48"/>
      <c r="I12" s="48"/>
      <c r="J12" s="19"/>
    </row>
    <row r="13" spans="1:10">
      <c r="A13" s="20" t="s">
        <v>482</v>
      </c>
      <c r="B13" s="21"/>
      <c r="C13" s="22"/>
      <c r="D13" s="32"/>
      <c r="E13" s="32"/>
      <c r="F13" s="33"/>
      <c r="G13" s="32"/>
      <c r="H13" s="32"/>
      <c r="I13" s="32"/>
      <c r="J13" s="34"/>
    </row>
    <row r="14" spans="1:10">
      <c r="A14" s="30"/>
      <c r="B14" s="35" t="s">
        <v>483</v>
      </c>
      <c r="C14" s="36" t="s">
        <v>484</v>
      </c>
      <c r="D14" s="27" t="s">
        <v>485</v>
      </c>
      <c r="E14" s="27">
        <v>1503.88</v>
      </c>
      <c r="F14" s="28">
        <v>1</v>
      </c>
      <c r="G14" s="27">
        <f>E14*F14</f>
        <v>1503.88</v>
      </c>
      <c r="H14" s="27">
        <f>G14*1.13</f>
        <v>1699.3843999999999</v>
      </c>
      <c r="I14" s="27"/>
      <c r="J14" s="29"/>
    </row>
    <row r="15" spans="1:10">
      <c r="A15" s="30"/>
      <c r="B15" s="22" t="s">
        <v>486</v>
      </c>
      <c r="C15" s="31" t="s">
        <v>487</v>
      </c>
      <c r="D15" s="32" t="s">
        <v>488</v>
      </c>
      <c r="E15" s="32">
        <v>250</v>
      </c>
      <c r="F15" s="33">
        <v>2</v>
      </c>
      <c r="G15" s="32">
        <f t="shared" ref="G15:G18" si="2">E15*F15</f>
        <v>500</v>
      </c>
      <c r="H15" s="32">
        <f t="shared" ref="H15:H18" si="3">G15*1.13</f>
        <v>565</v>
      </c>
      <c r="I15" s="32"/>
      <c r="J15" s="34"/>
    </row>
    <row r="16" spans="1:10">
      <c r="A16" s="30"/>
      <c r="B16" s="35" t="s">
        <v>489</v>
      </c>
      <c r="C16" s="36" t="s">
        <v>490</v>
      </c>
      <c r="D16" s="27"/>
      <c r="E16" s="27">
        <v>68.040000000000006</v>
      </c>
      <c r="F16" s="28">
        <v>1</v>
      </c>
      <c r="G16" s="27">
        <f t="shared" si="2"/>
        <v>68.040000000000006</v>
      </c>
      <c r="H16" s="27">
        <f t="shared" si="3"/>
        <v>76.885199999999998</v>
      </c>
      <c r="I16" s="27"/>
      <c r="J16" s="29"/>
    </row>
    <row r="17" spans="1:10">
      <c r="A17" s="30"/>
      <c r="B17" s="22" t="s">
        <v>491</v>
      </c>
      <c r="C17" s="31" t="s">
        <v>492</v>
      </c>
      <c r="D17" s="32" t="s">
        <v>493</v>
      </c>
      <c r="E17" s="32">
        <v>150</v>
      </c>
      <c r="F17" s="33">
        <v>2</v>
      </c>
      <c r="G17" s="32">
        <f t="shared" si="2"/>
        <v>300</v>
      </c>
      <c r="H17" s="32">
        <f t="shared" si="3"/>
        <v>338.99999999999994</v>
      </c>
      <c r="I17" s="32"/>
      <c r="J17" s="34"/>
    </row>
    <row r="18" spans="1:10">
      <c r="A18" s="30"/>
      <c r="B18" s="35" t="s">
        <v>494</v>
      </c>
      <c r="C18" s="36" t="s">
        <v>495</v>
      </c>
      <c r="D18" s="27" t="s">
        <v>496</v>
      </c>
      <c r="E18" s="27">
        <v>110</v>
      </c>
      <c r="F18" s="28">
        <v>2</v>
      </c>
      <c r="G18" s="27">
        <f t="shared" si="2"/>
        <v>220</v>
      </c>
      <c r="H18" s="27">
        <f t="shared" si="3"/>
        <v>248.59999999999997</v>
      </c>
      <c r="I18" s="27"/>
      <c r="J18" s="209"/>
    </row>
    <row r="19" spans="1:10">
      <c r="A19" s="30"/>
      <c r="B19" s="37" t="s">
        <v>497</v>
      </c>
      <c r="C19" s="50"/>
      <c r="D19" s="41"/>
      <c r="E19" s="41"/>
      <c r="F19" s="47"/>
      <c r="G19" s="41"/>
      <c r="H19" s="41">
        <f>SUM(H13:H18)</f>
        <v>2928.8696</v>
      </c>
      <c r="I19" s="41">
        <f>SUM(I13:I18)</f>
        <v>0</v>
      </c>
      <c r="J19" s="42">
        <f>SUM(J13:J18)</f>
        <v>0</v>
      </c>
    </row>
    <row r="20" spans="1:10">
      <c r="A20" s="20"/>
      <c r="B20" s="21"/>
      <c r="C20" s="21"/>
      <c r="D20" s="43"/>
      <c r="E20" s="43"/>
      <c r="F20" s="44"/>
      <c r="G20" s="43"/>
      <c r="H20" s="43"/>
      <c r="I20" s="43"/>
      <c r="J20" s="45"/>
    </row>
    <row r="21" spans="1:10">
      <c r="A21" s="20" t="s">
        <v>475</v>
      </c>
      <c r="B21" s="21"/>
      <c r="C21" s="22"/>
      <c r="D21" s="32"/>
      <c r="E21" s="32"/>
      <c r="F21" s="33"/>
      <c r="G21" s="32"/>
      <c r="H21" s="32"/>
      <c r="I21" s="32"/>
      <c r="J21" s="34"/>
    </row>
    <row r="22" spans="1:10">
      <c r="A22" s="51"/>
      <c r="B22" s="35" t="s">
        <v>498</v>
      </c>
      <c r="C22" s="36" t="s">
        <v>477</v>
      </c>
      <c r="D22" s="27" t="s">
        <v>499</v>
      </c>
      <c r="E22" s="27">
        <v>25</v>
      </c>
      <c r="F22" s="28">
        <v>10</v>
      </c>
      <c r="G22" s="27">
        <f>E22*F22</f>
        <v>250</v>
      </c>
      <c r="H22" s="27">
        <f>G22*1.13</f>
        <v>282.5</v>
      </c>
      <c r="I22" s="27"/>
      <c r="J22" s="29"/>
    </row>
    <row r="23" spans="1:10">
      <c r="A23" s="51"/>
      <c r="B23" s="22" t="s">
        <v>500</v>
      </c>
      <c r="C23" s="31" t="s">
        <v>477</v>
      </c>
      <c r="D23" s="32" t="s">
        <v>501</v>
      </c>
      <c r="E23" s="32">
        <v>10</v>
      </c>
      <c r="F23" s="33">
        <v>9</v>
      </c>
      <c r="G23" s="32">
        <f t="shared" ref="G23:G24" si="4">E23*F23</f>
        <v>90</v>
      </c>
      <c r="H23" s="32">
        <f t="shared" ref="H23:H24" si="5">G23*1.13</f>
        <v>101.69999999999999</v>
      </c>
      <c r="I23" s="32"/>
      <c r="J23" s="34"/>
    </row>
    <row r="24" spans="1:10">
      <c r="A24" s="51"/>
      <c r="B24" s="35" t="s">
        <v>502</v>
      </c>
      <c r="C24" s="36" t="s">
        <v>503</v>
      </c>
      <c r="D24" s="27"/>
      <c r="E24" s="27">
        <v>5</v>
      </c>
      <c r="F24" s="28">
        <v>12</v>
      </c>
      <c r="G24" s="27">
        <f t="shared" si="4"/>
        <v>60</v>
      </c>
      <c r="H24" s="27">
        <f t="shared" si="5"/>
        <v>67.8</v>
      </c>
      <c r="I24" s="27"/>
      <c r="J24" s="29"/>
    </row>
    <row r="25" spans="1:10">
      <c r="A25" s="30"/>
      <c r="B25" s="37" t="s">
        <v>504</v>
      </c>
      <c r="C25" s="46"/>
      <c r="D25" s="41"/>
      <c r="E25" s="41"/>
      <c r="F25" s="47"/>
      <c r="G25" s="41"/>
      <c r="H25" s="41">
        <f>SUM(H22:H24)</f>
        <v>452</v>
      </c>
      <c r="I25" s="41">
        <f>SUM(I22:I24)</f>
        <v>0</v>
      </c>
      <c r="J25" s="42">
        <f>SUM(J22:J24)</f>
        <v>0</v>
      </c>
    </row>
    <row r="26" spans="1:10">
      <c r="A26" s="30"/>
      <c r="B26" s="22"/>
      <c r="C26" s="22"/>
      <c r="D26" s="32"/>
      <c r="E26" s="32"/>
      <c r="F26" s="33"/>
      <c r="G26" s="32"/>
      <c r="H26" s="32"/>
      <c r="I26" s="32"/>
      <c r="J26" s="34"/>
    </row>
    <row r="27" spans="1:10">
      <c r="A27" s="20" t="s">
        <v>505</v>
      </c>
      <c r="B27" s="21"/>
      <c r="C27" s="22"/>
      <c r="D27" s="32"/>
      <c r="E27" s="32"/>
      <c r="F27" s="33"/>
      <c r="G27" s="32"/>
      <c r="H27" s="32"/>
      <c r="I27" s="32"/>
      <c r="J27" s="34"/>
    </row>
    <row r="28" spans="1:10">
      <c r="A28" s="30"/>
      <c r="B28" s="35" t="s">
        <v>506</v>
      </c>
      <c r="C28" s="36" t="s">
        <v>507</v>
      </c>
      <c r="D28" s="27"/>
      <c r="E28" s="27">
        <v>8</v>
      </c>
      <c r="F28" s="28">
        <v>10</v>
      </c>
      <c r="G28" s="27">
        <f t="shared" ref="G28:G29" si="6">E28*F28</f>
        <v>80</v>
      </c>
      <c r="H28" s="27">
        <f t="shared" ref="H28:H29" si="7">G28*1.13</f>
        <v>90.399999999999991</v>
      </c>
      <c r="I28" s="27"/>
      <c r="J28" s="29"/>
    </row>
    <row r="29" spans="1:10">
      <c r="A29" s="30"/>
      <c r="B29" s="22" t="s">
        <v>508</v>
      </c>
      <c r="C29" s="22" t="s">
        <v>509</v>
      </c>
      <c r="D29" s="32" t="s">
        <v>1225</v>
      </c>
      <c r="E29" s="32">
        <v>3</v>
      </c>
      <c r="F29" s="33">
        <f>(11*15)</f>
        <v>165</v>
      </c>
      <c r="G29" s="32">
        <f t="shared" si="6"/>
        <v>495</v>
      </c>
      <c r="H29" s="32">
        <f t="shared" si="7"/>
        <v>559.34999999999991</v>
      </c>
      <c r="I29" s="32"/>
      <c r="J29" s="34"/>
    </row>
    <row r="30" spans="1:10">
      <c r="A30" s="30"/>
      <c r="B30" s="37" t="s">
        <v>510</v>
      </c>
      <c r="C30" s="46"/>
      <c r="D30" s="41"/>
      <c r="E30" s="41"/>
      <c r="F30" s="47"/>
      <c r="G30" s="41"/>
      <c r="H30" s="41">
        <f>SUM(H28:H29)</f>
        <v>649.74999999999989</v>
      </c>
      <c r="I30" s="41">
        <f>SUM(I28:I29)</f>
        <v>0</v>
      </c>
      <c r="J30" s="42">
        <f>SUM(J28:J29)</f>
        <v>0</v>
      </c>
    </row>
    <row r="31" spans="1:10">
      <c r="A31" s="30"/>
      <c r="B31" s="22"/>
      <c r="C31" s="22"/>
      <c r="D31" s="32"/>
      <c r="E31" s="32"/>
      <c r="F31" s="33"/>
      <c r="G31" s="32"/>
      <c r="H31" s="32"/>
      <c r="I31" s="32"/>
      <c r="J31" s="34"/>
    </row>
    <row r="32" spans="1:10">
      <c r="A32" s="20" t="s">
        <v>511</v>
      </c>
      <c r="B32" s="21"/>
      <c r="C32" s="22"/>
      <c r="D32" s="32"/>
      <c r="E32" s="32"/>
      <c r="F32" s="33"/>
      <c r="G32" s="32"/>
      <c r="H32" s="32"/>
      <c r="I32" s="32"/>
      <c r="J32" s="34"/>
    </row>
    <row r="33" spans="1:10">
      <c r="A33" s="30"/>
      <c r="B33" s="35" t="s">
        <v>512</v>
      </c>
      <c r="C33" s="36" t="s">
        <v>513</v>
      </c>
      <c r="D33" s="27" t="s">
        <v>514</v>
      </c>
      <c r="E33" s="27">
        <v>93.44</v>
      </c>
      <c r="F33" s="28">
        <v>12</v>
      </c>
      <c r="G33" s="27">
        <f t="shared" ref="G33:G37" si="8">E33*F33</f>
        <v>1121.28</v>
      </c>
      <c r="H33" s="27">
        <f t="shared" ref="H33:H37" si="9">G33*1.13</f>
        <v>1267.0463999999999</v>
      </c>
      <c r="I33" s="27"/>
      <c r="J33" s="29"/>
    </row>
    <row r="34" spans="1:10">
      <c r="A34" s="30" t="s">
        <v>10</v>
      </c>
      <c r="B34" s="22" t="s">
        <v>515</v>
      </c>
      <c r="C34" s="22" t="s">
        <v>513</v>
      </c>
      <c r="D34" s="32" t="s">
        <v>516</v>
      </c>
      <c r="E34" s="32">
        <v>12</v>
      </c>
      <c r="F34" s="33">
        <v>12</v>
      </c>
      <c r="G34" s="32">
        <f t="shared" si="8"/>
        <v>144</v>
      </c>
      <c r="H34" s="32">
        <f t="shared" si="9"/>
        <v>162.71999999999997</v>
      </c>
      <c r="I34" s="32"/>
      <c r="J34" s="34"/>
    </row>
    <row r="35" spans="1:10">
      <c r="A35" s="30"/>
      <c r="B35" s="35" t="s">
        <v>517</v>
      </c>
      <c r="C35" s="35" t="s">
        <v>513</v>
      </c>
      <c r="D35" s="27" t="s">
        <v>518</v>
      </c>
      <c r="E35" s="27">
        <v>30</v>
      </c>
      <c r="F35" s="28">
        <v>12</v>
      </c>
      <c r="G35" s="27">
        <f t="shared" si="8"/>
        <v>360</v>
      </c>
      <c r="H35" s="27">
        <f t="shared" si="9"/>
        <v>406.79999999999995</v>
      </c>
      <c r="I35" s="27"/>
      <c r="J35" s="29"/>
    </row>
    <row r="36" spans="1:10">
      <c r="A36" s="30"/>
      <c r="B36" s="22" t="s">
        <v>519</v>
      </c>
      <c r="C36" s="22" t="s">
        <v>513</v>
      </c>
      <c r="D36" s="32" t="s">
        <v>520</v>
      </c>
      <c r="E36" s="32">
        <v>11.97</v>
      </c>
      <c r="F36" s="33">
        <v>12</v>
      </c>
      <c r="G36" s="32">
        <f t="shared" si="8"/>
        <v>143.64000000000001</v>
      </c>
      <c r="H36" s="32">
        <f t="shared" si="9"/>
        <v>162.31319999999999</v>
      </c>
      <c r="I36" s="32"/>
      <c r="J36" s="34"/>
    </row>
    <row r="37" spans="1:10">
      <c r="A37" s="20"/>
      <c r="B37" s="52" t="s">
        <v>521</v>
      </c>
      <c r="C37" s="35" t="s">
        <v>513</v>
      </c>
      <c r="D37" s="27" t="s">
        <v>522</v>
      </c>
      <c r="E37" s="27">
        <v>50</v>
      </c>
      <c r="F37" s="28">
        <v>12</v>
      </c>
      <c r="G37" s="27">
        <f t="shared" si="8"/>
        <v>600</v>
      </c>
      <c r="H37" s="27">
        <f t="shared" si="9"/>
        <v>677.99999999999989</v>
      </c>
      <c r="I37" s="27"/>
      <c r="J37" s="29"/>
    </row>
    <row r="38" spans="1:10">
      <c r="A38" s="30"/>
      <c r="B38" s="37" t="s">
        <v>523</v>
      </c>
      <c r="C38" s="46"/>
      <c r="D38" s="41"/>
      <c r="E38" s="41"/>
      <c r="F38" s="47"/>
      <c r="G38" s="41"/>
      <c r="H38" s="41">
        <f>SUM(H33:H37)</f>
        <v>2676.8795999999998</v>
      </c>
      <c r="I38" s="41">
        <f>SUM(I33:I37)</f>
        <v>0</v>
      </c>
      <c r="J38" s="42">
        <f>SUM(J33:J37)</f>
        <v>0</v>
      </c>
    </row>
    <row r="39" spans="1:10">
      <c r="A39" s="30"/>
      <c r="B39" s="22"/>
      <c r="C39" s="21"/>
      <c r="D39" s="43"/>
      <c r="E39" s="43"/>
      <c r="F39" s="44"/>
      <c r="G39" s="43"/>
      <c r="H39" s="43"/>
      <c r="I39" s="43"/>
      <c r="J39" s="45"/>
    </row>
    <row r="40" spans="1:10">
      <c r="A40" s="20" t="s">
        <v>524</v>
      </c>
      <c r="B40" s="21"/>
      <c r="C40" s="22"/>
      <c r="D40" s="32"/>
      <c r="E40" s="32"/>
      <c r="F40" s="33"/>
      <c r="G40" s="32"/>
      <c r="H40" s="32"/>
      <c r="I40" s="32"/>
      <c r="J40" s="34"/>
    </row>
    <row r="41" spans="1:10">
      <c r="A41" s="20"/>
      <c r="B41" s="52" t="s">
        <v>525</v>
      </c>
      <c r="C41" s="35" t="s">
        <v>526</v>
      </c>
      <c r="D41" s="27"/>
      <c r="E41" s="27">
        <v>1350</v>
      </c>
      <c r="F41" s="28">
        <v>1</v>
      </c>
      <c r="G41" s="27">
        <f t="shared" ref="G41" si="10">E41*F41</f>
        <v>1350</v>
      </c>
      <c r="H41" s="27">
        <f t="shared" ref="H41" si="11">G41*1.13</f>
        <v>1525.4999999999998</v>
      </c>
      <c r="I41" s="27"/>
      <c r="J41" s="29"/>
    </row>
    <row r="42" spans="1:10">
      <c r="A42" s="30"/>
      <c r="B42" s="37" t="s">
        <v>527</v>
      </c>
      <c r="C42" s="46"/>
      <c r="D42" s="41"/>
      <c r="E42" s="41"/>
      <c r="F42" s="47"/>
      <c r="G42" s="41"/>
      <c r="H42" s="41">
        <f>SUM(H41:H41)</f>
        <v>1525.4999999999998</v>
      </c>
      <c r="I42" s="41">
        <f>SUM(I41:I41)</f>
        <v>0</v>
      </c>
      <c r="J42" s="42">
        <f>SUM(J41:J41)</f>
        <v>0</v>
      </c>
    </row>
    <row r="43" spans="1:10">
      <c r="A43" s="30"/>
      <c r="B43" s="21"/>
      <c r="C43" s="21"/>
      <c r="D43" s="43"/>
      <c r="E43" s="43"/>
      <c r="F43" s="44"/>
      <c r="G43" s="43"/>
      <c r="H43" s="43"/>
      <c r="I43" s="43"/>
      <c r="J43" s="45"/>
    </row>
    <row r="44" spans="1:10">
      <c r="A44" s="20" t="s">
        <v>528</v>
      </c>
      <c r="B44" s="21"/>
      <c r="C44" s="22"/>
      <c r="D44" s="32"/>
      <c r="E44" s="32"/>
      <c r="F44" s="33"/>
      <c r="G44" s="32"/>
      <c r="H44" s="32"/>
      <c r="I44" s="32"/>
      <c r="J44" s="34"/>
    </row>
    <row r="45" spans="1:10">
      <c r="A45" s="20"/>
      <c r="B45" s="52" t="s">
        <v>529</v>
      </c>
      <c r="C45" s="35" t="s">
        <v>530</v>
      </c>
      <c r="D45" s="27" t="s">
        <v>531</v>
      </c>
      <c r="E45" s="27">
        <v>34.770000000000003</v>
      </c>
      <c r="F45" s="28">
        <v>3</v>
      </c>
      <c r="G45" s="27">
        <f t="shared" ref="G45" si="12">E45*F45</f>
        <v>104.31</v>
      </c>
      <c r="H45" s="27">
        <f t="shared" ref="H45" si="13">G45*1.13</f>
        <v>117.87029999999999</v>
      </c>
      <c r="I45" s="27"/>
      <c r="J45" s="29"/>
    </row>
    <row r="46" spans="1:10">
      <c r="A46" s="30"/>
      <c r="B46" s="37" t="s">
        <v>1439</v>
      </c>
      <c r="C46" s="46"/>
      <c r="D46" s="41"/>
      <c r="E46" s="41"/>
      <c r="F46" s="47"/>
      <c r="G46" s="41"/>
      <c r="H46" s="41">
        <f>SUM(H45:H45)</f>
        <v>117.87029999999999</v>
      </c>
      <c r="I46" s="41">
        <f>SUM(I45:I45)</f>
        <v>0</v>
      </c>
      <c r="J46" s="42">
        <f>SUM(J45:J45)</f>
        <v>0</v>
      </c>
    </row>
    <row r="47" spans="1:10">
      <c r="A47" s="30"/>
      <c r="B47" s="21"/>
      <c r="C47" s="21"/>
      <c r="D47" s="43"/>
      <c r="E47" s="43"/>
      <c r="F47" s="44"/>
      <c r="G47" s="43"/>
      <c r="H47" s="43"/>
      <c r="I47" s="43"/>
      <c r="J47" s="45"/>
    </row>
    <row r="48" spans="1:10">
      <c r="A48" s="20" t="s">
        <v>532</v>
      </c>
      <c r="B48" s="21"/>
      <c r="C48" s="22"/>
      <c r="D48" s="32"/>
      <c r="E48" s="32"/>
      <c r="F48" s="33"/>
      <c r="G48" s="32"/>
      <c r="H48" s="32"/>
      <c r="I48" s="32"/>
      <c r="J48" s="34"/>
    </row>
    <row r="49" spans="1:10">
      <c r="A49" s="20"/>
      <c r="B49" s="52" t="s">
        <v>533</v>
      </c>
      <c r="C49" s="35" t="s">
        <v>509</v>
      </c>
      <c r="D49" s="27" t="s">
        <v>534</v>
      </c>
      <c r="E49" s="27">
        <v>4</v>
      </c>
      <c r="F49" s="28">
        <v>40</v>
      </c>
      <c r="G49" s="27">
        <f t="shared" ref="G49" si="14">E49*F49</f>
        <v>160</v>
      </c>
      <c r="H49" s="27">
        <f t="shared" ref="H49" si="15">G49*1.13</f>
        <v>180.79999999999998</v>
      </c>
      <c r="I49" s="27"/>
      <c r="J49" s="29"/>
    </row>
    <row r="50" spans="1:10">
      <c r="A50" s="30"/>
      <c r="B50" s="37" t="s">
        <v>1440</v>
      </c>
      <c r="C50" s="46"/>
      <c r="D50" s="41"/>
      <c r="E50" s="41"/>
      <c r="F50" s="47"/>
      <c r="G50" s="41"/>
      <c r="H50" s="41">
        <f>SUM(H49:H49)</f>
        <v>180.79999999999998</v>
      </c>
      <c r="I50" s="41">
        <f>SUM(I49:I49)</f>
        <v>0</v>
      </c>
      <c r="J50" s="42">
        <f>SUM(J49:J49)</f>
        <v>0</v>
      </c>
    </row>
    <row r="51" spans="1:10">
      <c r="A51" s="30"/>
      <c r="B51" s="22"/>
      <c r="C51" s="31"/>
      <c r="D51" s="32"/>
      <c r="E51" s="32"/>
      <c r="F51" s="33"/>
      <c r="G51" s="32"/>
      <c r="H51" s="32"/>
      <c r="I51" s="32"/>
      <c r="J51" s="34"/>
    </row>
    <row r="52" spans="1:10">
      <c r="A52" s="30"/>
      <c r="B52" s="22"/>
      <c r="C52" s="21" t="s">
        <v>13</v>
      </c>
      <c r="D52" s="43"/>
      <c r="E52" s="43"/>
      <c r="F52" s="44"/>
      <c r="G52" s="43"/>
      <c r="H52" s="43">
        <f>H50+H42+H38+H30+H25+H19+H46</f>
        <v>8531.6695</v>
      </c>
      <c r="I52" s="43">
        <f>I50+I42+I38+I30+I25+I19+I46</f>
        <v>0</v>
      </c>
      <c r="J52" s="45">
        <f>J50+J42+J38+J30+J25+J19+J46</f>
        <v>0</v>
      </c>
    </row>
    <row r="53" spans="1:10">
      <c r="A53" s="30"/>
      <c r="B53" s="22"/>
      <c r="C53" s="21"/>
      <c r="D53" s="43"/>
      <c r="E53" s="43"/>
      <c r="F53" s="44"/>
      <c r="G53" s="43"/>
      <c r="H53" s="43"/>
      <c r="I53" s="43"/>
      <c r="J53" s="45"/>
    </row>
    <row r="54" spans="1:10">
      <c r="A54" s="497" t="s">
        <v>14</v>
      </c>
      <c r="B54" s="498"/>
      <c r="C54" s="498"/>
      <c r="D54" s="17"/>
      <c r="E54" s="17"/>
      <c r="F54" s="18"/>
      <c r="G54" s="17"/>
      <c r="H54" s="17"/>
      <c r="I54" s="17"/>
      <c r="J54" s="19"/>
    </row>
    <row r="55" spans="1:10">
      <c r="A55" s="20"/>
      <c r="B55" s="52" t="s">
        <v>15</v>
      </c>
      <c r="C55" s="52"/>
      <c r="D55" s="53"/>
      <c r="E55" s="53"/>
      <c r="F55" s="53"/>
      <c r="G55" s="53"/>
      <c r="H55" s="53">
        <f>H10</f>
        <v>384.2</v>
      </c>
      <c r="I55" s="53">
        <f>I10</f>
        <v>0</v>
      </c>
      <c r="J55" s="54">
        <f>J10</f>
        <v>0</v>
      </c>
    </row>
    <row r="56" spans="1:10">
      <c r="A56" s="20"/>
      <c r="B56" s="21" t="s">
        <v>16</v>
      </c>
      <c r="C56" s="21"/>
      <c r="D56" s="43"/>
      <c r="E56" s="43"/>
      <c r="F56" s="43"/>
      <c r="G56" s="43"/>
      <c r="H56" s="43">
        <f>H52</f>
        <v>8531.6695</v>
      </c>
      <c r="I56" s="43">
        <f t="shared" ref="I56:J56" si="16">I52</f>
        <v>0</v>
      </c>
      <c r="J56" s="45">
        <f t="shared" si="16"/>
        <v>0</v>
      </c>
    </row>
    <row r="57" spans="1:10">
      <c r="A57" s="55"/>
      <c r="B57" s="56" t="s">
        <v>17</v>
      </c>
      <c r="C57" s="56"/>
      <c r="D57" s="57"/>
      <c r="E57" s="57"/>
      <c r="F57" s="57"/>
      <c r="G57" s="57"/>
      <c r="H57" s="57">
        <f>H55-H56</f>
        <v>-8147.4695000000002</v>
      </c>
      <c r="I57" s="57">
        <f t="shared" ref="I57:J57" si="17">I55-I56</f>
        <v>0</v>
      </c>
      <c r="J57" s="58">
        <f t="shared" si="17"/>
        <v>0</v>
      </c>
    </row>
  </sheetData>
  <mergeCells count="4">
    <mergeCell ref="A1:J1"/>
    <mergeCell ref="A4:C4"/>
    <mergeCell ref="A12:C12"/>
    <mergeCell ref="A54:C5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B14" sqref="B14"/>
    </sheetView>
  </sheetViews>
  <sheetFormatPr baseColWidth="10" defaultRowHeight="15" x14ac:dyDescent="0"/>
  <cols>
    <col min="3" max="3" width="25.83203125" customWidth="1"/>
    <col min="4" max="4" width="21.33203125" customWidth="1"/>
    <col min="7" max="8" width="11.83203125" bestFit="1" customWidth="1"/>
  </cols>
  <sheetData>
    <row r="1" spans="1:10" ht="25">
      <c r="A1" s="505" t="s">
        <v>535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>
      <c r="A5" s="20" t="s">
        <v>536</v>
      </c>
      <c r="B5" s="21"/>
      <c r="C5" s="22"/>
      <c r="D5" s="23"/>
      <c r="E5" s="23"/>
      <c r="F5" s="24"/>
      <c r="G5" s="23"/>
      <c r="H5" s="23"/>
      <c r="I5" s="23"/>
      <c r="J5" s="25"/>
    </row>
    <row r="6" spans="1:10">
      <c r="A6" s="20"/>
      <c r="B6" s="26" t="s">
        <v>537</v>
      </c>
      <c r="C6" s="26" t="s">
        <v>538</v>
      </c>
      <c r="D6" s="27"/>
      <c r="E6" s="27">
        <v>1250</v>
      </c>
      <c r="F6" s="28">
        <v>1</v>
      </c>
      <c r="G6" s="27">
        <f>E6*F6</f>
        <v>1250</v>
      </c>
      <c r="H6" s="27">
        <v>1250</v>
      </c>
      <c r="I6" s="27"/>
      <c r="J6" s="29"/>
    </row>
    <row r="7" spans="1:10">
      <c r="A7" s="30"/>
      <c r="B7" s="35"/>
      <c r="C7" s="36"/>
      <c r="D7" s="27"/>
      <c r="E7" s="27"/>
      <c r="F7" s="28"/>
      <c r="G7" s="27"/>
      <c r="H7" s="27"/>
      <c r="I7" s="27"/>
      <c r="J7" s="29"/>
    </row>
    <row r="8" spans="1:10">
      <c r="A8" s="30"/>
      <c r="B8" s="37" t="s">
        <v>536</v>
      </c>
      <c r="C8" s="38"/>
      <c r="D8" s="39"/>
      <c r="E8" s="39"/>
      <c r="F8" s="40"/>
      <c r="G8" s="39"/>
      <c r="H8" s="41">
        <f>SUM(H5:H6)</f>
        <v>1250</v>
      </c>
      <c r="I8" s="41">
        <f>SUM(I5:I6)</f>
        <v>0</v>
      </c>
      <c r="J8" s="42">
        <f>SUM(J5:J6)</f>
        <v>0</v>
      </c>
    </row>
    <row r="9" spans="1:10">
      <c r="A9" s="20"/>
      <c r="B9" s="21"/>
      <c r="C9" s="21"/>
      <c r="D9" s="43"/>
      <c r="E9" s="43"/>
      <c r="F9" s="44"/>
      <c r="G9" s="43"/>
      <c r="H9" s="43"/>
      <c r="I9" s="43"/>
      <c r="J9" s="45"/>
    </row>
    <row r="10" spans="1:10">
      <c r="A10" s="20"/>
      <c r="B10" s="21"/>
      <c r="C10" s="21" t="s">
        <v>11</v>
      </c>
      <c r="D10" s="43"/>
      <c r="E10" s="43"/>
      <c r="F10" s="44"/>
      <c r="G10" s="43"/>
      <c r="H10" s="43">
        <f>H8</f>
        <v>1250</v>
      </c>
      <c r="I10" s="43">
        <f>I8</f>
        <v>0</v>
      </c>
      <c r="J10" s="45">
        <f>J8</f>
        <v>0</v>
      </c>
    </row>
    <row r="11" spans="1:10">
      <c r="A11" s="20"/>
      <c r="B11" s="21"/>
      <c r="C11" s="21"/>
      <c r="D11" s="43"/>
      <c r="E11" s="43"/>
      <c r="F11" s="44"/>
      <c r="G11" s="43"/>
      <c r="H11" s="43"/>
      <c r="I11" s="43"/>
      <c r="J11" s="45"/>
    </row>
    <row r="12" spans="1:10">
      <c r="A12" s="497" t="s">
        <v>12</v>
      </c>
      <c r="B12" s="498"/>
      <c r="C12" s="498"/>
      <c r="D12" s="17"/>
      <c r="E12" s="48"/>
      <c r="F12" s="49"/>
      <c r="G12" s="48"/>
      <c r="H12" s="48"/>
      <c r="I12" s="48"/>
      <c r="J12" s="19"/>
    </row>
    <row r="13" spans="1:10" ht="16">
      <c r="A13" s="220" t="s">
        <v>539</v>
      </c>
      <c r="B13" s="221"/>
      <c r="C13" s="222"/>
      <c r="D13" s="223"/>
      <c r="E13" s="223"/>
      <c r="F13" s="224"/>
      <c r="G13" s="223"/>
      <c r="H13" s="223"/>
      <c r="I13" s="32"/>
      <c r="J13" s="34"/>
    </row>
    <row r="14" spans="1:10" ht="16">
      <c r="A14" s="225"/>
      <c r="B14" s="226" t="s">
        <v>540</v>
      </c>
      <c r="C14" s="227" t="s">
        <v>541</v>
      </c>
      <c r="D14" s="228"/>
      <c r="E14" s="228">
        <v>15</v>
      </c>
      <c r="F14" s="229">
        <v>80</v>
      </c>
      <c r="G14" s="228">
        <f>F14*E14</f>
        <v>1200</v>
      </c>
      <c r="H14" s="228">
        <f>G14</f>
        <v>1200</v>
      </c>
      <c r="I14" s="27"/>
      <c r="J14" s="29"/>
    </row>
    <row r="15" spans="1:10" ht="16">
      <c r="A15" s="225"/>
      <c r="B15" s="222" t="s">
        <v>542</v>
      </c>
      <c r="C15" s="230" t="s">
        <v>248</v>
      </c>
      <c r="D15" s="223"/>
      <c r="E15" s="223">
        <v>5.5</v>
      </c>
      <c r="F15" s="224">
        <v>200</v>
      </c>
      <c r="G15" s="223">
        <v>1100</v>
      </c>
      <c r="H15" s="223">
        <f>G15*1.13</f>
        <v>1242.9999999999998</v>
      </c>
      <c r="I15" s="32"/>
      <c r="J15" s="34"/>
    </row>
    <row r="16" spans="1:10" ht="16">
      <c r="A16" s="225"/>
      <c r="B16" s="226" t="s">
        <v>543</v>
      </c>
      <c r="C16" s="227" t="s">
        <v>544</v>
      </c>
      <c r="D16" s="228"/>
      <c r="E16" s="228">
        <v>5</v>
      </c>
      <c r="F16" s="229">
        <v>6</v>
      </c>
      <c r="G16" s="228">
        <v>30</v>
      </c>
      <c r="H16" s="228">
        <v>33.9</v>
      </c>
      <c r="I16" s="27"/>
      <c r="J16" s="29"/>
    </row>
    <row r="17" spans="1:10" ht="16">
      <c r="A17" s="225"/>
      <c r="B17" s="222" t="s">
        <v>545</v>
      </c>
      <c r="C17" s="230" t="s">
        <v>546</v>
      </c>
      <c r="D17" s="223"/>
      <c r="E17" s="223">
        <v>4</v>
      </c>
      <c r="F17" s="224">
        <v>1</v>
      </c>
      <c r="G17" s="223">
        <v>4</v>
      </c>
      <c r="H17" s="223">
        <v>4.5199999999999996</v>
      </c>
      <c r="I17" s="32"/>
      <c r="J17" s="34"/>
    </row>
    <row r="18" spans="1:10" ht="16">
      <c r="A18" s="225"/>
      <c r="B18" s="226" t="s">
        <v>547</v>
      </c>
      <c r="C18" s="227" t="s">
        <v>548</v>
      </c>
      <c r="D18" s="228"/>
      <c r="E18" s="228">
        <v>0.25</v>
      </c>
      <c r="F18" s="229">
        <v>200</v>
      </c>
      <c r="G18" s="228">
        <v>50</v>
      </c>
      <c r="H18" s="228">
        <v>50</v>
      </c>
      <c r="I18" s="27"/>
      <c r="J18" s="209"/>
    </row>
    <row r="19" spans="1:10">
      <c r="A19" s="30"/>
      <c r="B19" s="35"/>
      <c r="C19" s="36"/>
      <c r="D19" s="27"/>
      <c r="E19" s="27"/>
      <c r="F19" s="28"/>
      <c r="G19" s="27"/>
      <c r="H19" s="27"/>
      <c r="I19" s="27"/>
      <c r="J19" s="29"/>
    </row>
    <row r="20" spans="1:10">
      <c r="A20" s="30"/>
      <c r="B20" s="37" t="s">
        <v>1441</v>
      </c>
      <c r="C20" s="50"/>
      <c r="D20" s="41"/>
      <c r="E20" s="41"/>
      <c r="F20" s="47"/>
      <c r="G20" s="41"/>
      <c r="H20" s="41">
        <f>SUM(H13:H18)</f>
        <v>2531.42</v>
      </c>
      <c r="I20" s="41">
        <f>SUM(I13:I18)</f>
        <v>0</v>
      </c>
      <c r="J20" s="42">
        <f>SUM(J13:J18)</f>
        <v>0</v>
      </c>
    </row>
    <row r="21" spans="1:10">
      <c r="A21" s="20"/>
      <c r="B21" s="21"/>
      <c r="C21" s="21"/>
      <c r="D21" s="43"/>
      <c r="E21" s="43"/>
      <c r="F21" s="44"/>
      <c r="G21" s="43"/>
      <c r="H21" s="43"/>
      <c r="I21" s="43"/>
      <c r="J21" s="45"/>
    </row>
    <row r="22" spans="1:10">
      <c r="A22" s="20" t="s">
        <v>549</v>
      </c>
      <c r="B22" s="21"/>
      <c r="C22" s="22"/>
      <c r="D22" s="32"/>
      <c r="E22" s="32"/>
      <c r="F22" s="33"/>
      <c r="G22" s="32"/>
      <c r="H22" s="32"/>
      <c r="I22" s="32"/>
      <c r="J22" s="34"/>
    </row>
    <row r="23" spans="1:10">
      <c r="A23" s="51"/>
      <c r="B23" s="35" t="s">
        <v>550</v>
      </c>
      <c r="C23" s="36" t="s">
        <v>551</v>
      </c>
      <c r="D23" s="27" t="s">
        <v>552</v>
      </c>
      <c r="E23" s="27">
        <v>45</v>
      </c>
      <c r="F23" s="28">
        <v>11</v>
      </c>
      <c r="G23" s="27">
        <f>E23*F23</f>
        <v>495</v>
      </c>
      <c r="H23" s="27">
        <f>G23*1.13</f>
        <v>559.34999999999991</v>
      </c>
      <c r="I23" s="27"/>
      <c r="J23" s="29"/>
    </row>
    <row r="24" spans="1:10">
      <c r="A24" s="51"/>
      <c r="B24" s="22" t="s">
        <v>553</v>
      </c>
      <c r="C24" s="31" t="s">
        <v>554</v>
      </c>
      <c r="D24" s="32" t="s">
        <v>555</v>
      </c>
      <c r="E24" s="32">
        <v>30</v>
      </c>
      <c r="F24" s="33">
        <v>1</v>
      </c>
      <c r="G24" s="32">
        <v>40</v>
      </c>
      <c r="H24" s="32">
        <f t="shared" ref="H24" si="0">G24*1.13</f>
        <v>45.199999999999996</v>
      </c>
      <c r="I24" s="32"/>
      <c r="J24" s="34"/>
    </row>
    <row r="25" spans="1:10">
      <c r="A25" s="30"/>
      <c r="B25" s="35"/>
      <c r="C25" s="35"/>
      <c r="D25" s="27"/>
      <c r="E25" s="27"/>
      <c r="F25" s="28"/>
      <c r="G25" s="27"/>
      <c r="H25" s="27"/>
      <c r="I25" s="27"/>
      <c r="J25" s="29"/>
    </row>
    <row r="26" spans="1:10">
      <c r="A26" s="30"/>
      <c r="B26" s="37" t="s">
        <v>1442</v>
      </c>
      <c r="C26" s="46"/>
      <c r="D26" s="41"/>
      <c r="E26" s="41"/>
      <c r="F26" s="47"/>
      <c r="G26" s="41"/>
      <c r="H26" s="41">
        <f>SUM(H23:H25)</f>
        <v>604.54999999999995</v>
      </c>
      <c r="I26" s="41">
        <f>SUM(I23:I25)</f>
        <v>0</v>
      </c>
      <c r="J26" s="42">
        <f>SUM(J23:J25)</f>
        <v>0</v>
      </c>
    </row>
    <row r="27" spans="1:10">
      <c r="A27" s="30"/>
      <c r="B27" s="22"/>
      <c r="C27" s="22"/>
      <c r="D27" s="32"/>
      <c r="E27" s="32"/>
      <c r="F27" s="33"/>
      <c r="G27" s="32"/>
      <c r="H27" s="32"/>
      <c r="I27" s="32"/>
      <c r="J27" s="34"/>
    </row>
    <row r="28" spans="1:10">
      <c r="A28" s="20" t="s">
        <v>556</v>
      </c>
      <c r="B28" s="21"/>
      <c r="C28" s="22"/>
      <c r="D28" s="32"/>
      <c r="E28" s="32"/>
      <c r="F28" s="33"/>
      <c r="G28" s="32"/>
      <c r="H28" s="32"/>
      <c r="I28" s="32"/>
      <c r="J28" s="34"/>
    </row>
    <row r="29" spans="1:10">
      <c r="A29" s="30"/>
      <c r="B29" s="35" t="s">
        <v>557</v>
      </c>
      <c r="C29" s="36" t="s">
        <v>558</v>
      </c>
      <c r="D29" s="27" t="s">
        <v>559</v>
      </c>
      <c r="E29" s="27">
        <v>99.95</v>
      </c>
      <c r="F29" s="28">
        <v>2</v>
      </c>
      <c r="G29" s="27">
        <f t="shared" ref="G29" si="1">E29*F29</f>
        <v>199.9</v>
      </c>
      <c r="H29" s="27">
        <f t="shared" ref="H29" si="2">G29*1.13</f>
        <v>225.88699999999997</v>
      </c>
      <c r="I29" s="27"/>
      <c r="J29" s="29"/>
    </row>
    <row r="30" spans="1:10">
      <c r="A30" s="30"/>
      <c r="B30" s="35"/>
      <c r="C30" s="35"/>
      <c r="D30" s="27"/>
      <c r="E30" s="27"/>
      <c r="F30" s="28"/>
      <c r="G30" s="27"/>
      <c r="H30" s="27"/>
      <c r="I30" s="27"/>
      <c r="J30" s="29"/>
    </row>
    <row r="31" spans="1:10">
      <c r="A31" s="30"/>
      <c r="B31" s="37" t="s">
        <v>1443</v>
      </c>
      <c r="C31" s="46"/>
      <c r="D31" s="41"/>
      <c r="E31" s="41"/>
      <c r="F31" s="47"/>
      <c r="G31" s="41"/>
      <c r="H31" s="41">
        <f>SUM(H29:H30)</f>
        <v>225.88699999999997</v>
      </c>
      <c r="I31" s="41">
        <f>SUM(I29:I30)</f>
        <v>0</v>
      </c>
      <c r="J31" s="42">
        <f>SUM(J29:J30)</f>
        <v>0</v>
      </c>
    </row>
    <row r="32" spans="1:10">
      <c r="A32" s="30"/>
      <c r="B32" s="22"/>
      <c r="C32" s="31"/>
      <c r="D32" s="32"/>
      <c r="E32" s="32"/>
      <c r="F32" s="33"/>
      <c r="G32" s="32"/>
      <c r="H32" s="32"/>
      <c r="I32" s="32"/>
      <c r="J32" s="34"/>
    </row>
    <row r="33" spans="1:10">
      <c r="A33" s="30"/>
      <c r="B33" s="22"/>
      <c r="C33" s="21" t="s">
        <v>13</v>
      </c>
      <c r="D33" s="43"/>
      <c r="E33" s="43"/>
      <c r="F33" s="44"/>
      <c r="G33" s="43"/>
      <c r="H33" s="43">
        <f>H31+H26+H20</f>
        <v>3361.857</v>
      </c>
      <c r="I33" s="43">
        <f>I31+I26+I20</f>
        <v>0</v>
      </c>
      <c r="J33" s="45">
        <f>J31+J26+J20</f>
        <v>0</v>
      </c>
    </row>
    <row r="34" spans="1:10">
      <c r="A34" s="30"/>
      <c r="B34" s="22"/>
      <c r="C34" s="21"/>
      <c r="D34" s="43"/>
      <c r="E34" s="43"/>
      <c r="F34" s="44"/>
      <c r="G34" s="43"/>
      <c r="H34" s="43"/>
      <c r="I34" s="43"/>
      <c r="J34" s="45"/>
    </row>
    <row r="35" spans="1:10">
      <c r="A35" s="497" t="s">
        <v>14</v>
      </c>
      <c r="B35" s="498"/>
      <c r="C35" s="498"/>
      <c r="D35" s="17"/>
      <c r="E35" s="17"/>
      <c r="F35" s="18"/>
      <c r="G35" s="17"/>
      <c r="H35" s="17"/>
      <c r="I35" s="17"/>
      <c r="J35" s="19"/>
    </row>
    <row r="36" spans="1:10">
      <c r="A36" s="20"/>
      <c r="B36" s="52" t="s">
        <v>15</v>
      </c>
      <c r="C36" s="52"/>
      <c r="D36" s="53"/>
      <c r="E36" s="53"/>
      <c r="F36" s="53"/>
      <c r="G36" s="53"/>
      <c r="H36" s="53">
        <f>H10</f>
        <v>1250</v>
      </c>
      <c r="I36" s="53">
        <f>I10</f>
        <v>0</v>
      </c>
      <c r="J36" s="54">
        <f>J10</f>
        <v>0</v>
      </c>
    </row>
    <row r="37" spans="1:10">
      <c r="A37" s="20"/>
      <c r="B37" s="21" t="s">
        <v>16</v>
      </c>
      <c r="C37" s="21"/>
      <c r="D37" s="43"/>
      <c r="E37" s="43"/>
      <c r="F37" s="43"/>
      <c r="G37" s="43"/>
      <c r="H37" s="43">
        <f>H33</f>
        <v>3361.857</v>
      </c>
      <c r="I37" s="43">
        <f t="shared" ref="I37:J37" si="3">I33</f>
        <v>0</v>
      </c>
      <c r="J37" s="45">
        <f t="shared" si="3"/>
        <v>0</v>
      </c>
    </row>
    <row r="38" spans="1:10">
      <c r="A38" s="55"/>
      <c r="B38" s="56" t="s">
        <v>17</v>
      </c>
      <c r="C38" s="56"/>
      <c r="D38" s="57"/>
      <c r="E38" s="57"/>
      <c r="F38" s="57"/>
      <c r="G38" s="57"/>
      <c r="H38" s="57">
        <f>H36-H37</f>
        <v>-2111.857</v>
      </c>
      <c r="I38" s="57">
        <f t="shared" ref="I38:J38" si="4">I36-I37</f>
        <v>0</v>
      </c>
      <c r="J38" s="58">
        <f t="shared" si="4"/>
        <v>0</v>
      </c>
    </row>
  </sheetData>
  <mergeCells count="4">
    <mergeCell ref="A1:J1"/>
    <mergeCell ref="A4:C4"/>
    <mergeCell ref="A12:C12"/>
    <mergeCell ref="A35:C3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17" sqref="F17"/>
    </sheetView>
  </sheetViews>
  <sheetFormatPr baseColWidth="10" defaultRowHeight="15" x14ac:dyDescent="0"/>
  <cols>
    <col min="3" max="3" width="28.83203125" customWidth="1"/>
    <col min="4" max="4" width="29.5" customWidth="1"/>
    <col min="8" max="8" width="14.6640625" bestFit="1" customWidth="1"/>
  </cols>
  <sheetData>
    <row r="1" spans="1:10" ht="25">
      <c r="A1" s="505" t="s">
        <v>1416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 ht="16">
      <c r="A2" s="231"/>
      <c r="B2" s="232" t="s">
        <v>0</v>
      </c>
      <c r="C2" s="233" t="s">
        <v>1</v>
      </c>
      <c r="D2" s="234" t="s">
        <v>2</v>
      </c>
      <c r="E2" s="234" t="s">
        <v>3</v>
      </c>
      <c r="F2" s="235" t="s">
        <v>4</v>
      </c>
      <c r="G2" s="236" t="s">
        <v>5</v>
      </c>
      <c r="H2" s="236" t="s">
        <v>6</v>
      </c>
      <c r="I2" s="236" t="s">
        <v>7</v>
      </c>
      <c r="J2" s="237" t="s">
        <v>8</v>
      </c>
    </row>
    <row r="3" spans="1:10" ht="16">
      <c r="A3" s="76"/>
      <c r="B3" s="238"/>
      <c r="C3" s="238"/>
      <c r="D3" s="239"/>
      <c r="E3" s="239"/>
      <c r="F3" s="240"/>
      <c r="G3" s="239"/>
      <c r="H3" s="239"/>
      <c r="I3" s="239"/>
      <c r="J3" s="241"/>
    </row>
    <row r="4" spans="1:10" ht="16">
      <c r="A4" s="493" t="s">
        <v>9</v>
      </c>
      <c r="B4" s="494"/>
      <c r="C4" s="494"/>
      <c r="D4" s="117"/>
      <c r="E4" s="117"/>
      <c r="F4" s="118"/>
      <c r="G4" s="117"/>
      <c r="H4" s="117"/>
      <c r="I4" s="117"/>
      <c r="J4" s="242"/>
    </row>
    <row r="5" spans="1:10" ht="16">
      <c r="A5" s="220"/>
      <c r="B5" s="221"/>
      <c r="C5" s="221"/>
      <c r="D5" s="239"/>
      <c r="E5" s="239"/>
      <c r="F5" s="240"/>
      <c r="G5" s="239"/>
      <c r="H5" s="239"/>
      <c r="I5" s="239"/>
      <c r="J5" s="241"/>
    </row>
    <row r="6" spans="1:10" ht="17">
      <c r="A6" s="243"/>
      <c r="B6" s="244"/>
      <c r="C6" s="244" t="s">
        <v>11</v>
      </c>
      <c r="D6" s="245"/>
      <c r="E6" s="245"/>
      <c r="F6" s="246"/>
      <c r="G6" s="245"/>
      <c r="H6" s="245">
        <v>0</v>
      </c>
      <c r="I6" s="245">
        <v>0</v>
      </c>
      <c r="J6" s="247">
        <v>0</v>
      </c>
    </row>
    <row r="7" spans="1:10" ht="17">
      <c r="A7" s="243"/>
      <c r="B7" s="244"/>
      <c r="C7" s="244"/>
      <c r="D7" s="239"/>
      <c r="E7" s="239"/>
      <c r="F7" s="240"/>
      <c r="G7" s="239"/>
      <c r="H7" s="239"/>
      <c r="I7" s="239"/>
      <c r="J7" s="241"/>
    </row>
    <row r="8" spans="1:10" ht="16">
      <c r="A8" s="493" t="s">
        <v>12</v>
      </c>
      <c r="B8" s="494"/>
      <c r="C8" s="494"/>
      <c r="D8" s="117"/>
      <c r="E8" s="117"/>
      <c r="F8" s="118"/>
      <c r="G8" s="117"/>
      <c r="H8" s="117"/>
      <c r="I8" s="117"/>
      <c r="J8" s="242"/>
    </row>
    <row r="9" spans="1:10">
      <c r="A9" s="248" t="s">
        <v>560</v>
      </c>
      <c r="B9" s="249"/>
      <c r="C9" s="250"/>
      <c r="D9" s="251"/>
      <c r="E9" s="251"/>
      <c r="F9" s="252"/>
      <c r="G9" s="251"/>
      <c r="H9" s="251"/>
      <c r="I9" s="251"/>
      <c r="J9" s="253"/>
    </row>
    <row r="10" spans="1:10" ht="16">
      <c r="A10" s="254"/>
      <c r="B10" s="222" t="s">
        <v>561</v>
      </c>
      <c r="C10" s="230" t="s">
        <v>562</v>
      </c>
      <c r="D10" s="223" t="s">
        <v>563</v>
      </c>
      <c r="E10" s="223">
        <v>50</v>
      </c>
      <c r="F10" s="224">
        <v>18</v>
      </c>
      <c r="G10" s="223">
        <v>900</v>
      </c>
      <c r="H10" s="223">
        <f>G10*1.13</f>
        <v>1016.9999999999999</v>
      </c>
      <c r="I10" s="223"/>
      <c r="J10" s="255"/>
    </row>
    <row r="11" spans="1:10" ht="16">
      <c r="A11" s="254"/>
      <c r="B11" s="226" t="s">
        <v>564</v>
      </c>
      <c r="C11" s="227" t="s">
        <v>565</v>
      </c>
      <c r="D11" s="228" t="s">
        <v>566</v>
      </c>
      <c r="E11" s="228">
        <v>1</v>
      </c>
      <c r="F11" s="229">
        <v>200</v>
      </c>
      <c r="G11" s="228">
        <v>200</v>
      </c>
      <c r="H11" s="228">
        <v>226</v>
      </c>
      <c r="I11" s="228"/>
      <c r="J11" s="256"/>
    </row>
    <row r="12" spans="1:10" ht="16">
      <c r="A12" s="254"/>
      <c r="B12" s="222" t="s">
        <v>567</v>
      </c>
      <c r="C12" s="230" t="s">
        <v>568</v>
      </c>
      <c r="D12" s="223" t="s">
        <v>1417</v>
      </c>
      <c r="E12" s="223">
        <v>100</v>
      </c>
      <c r="F12" s="224">
        <v>1</v>
      </c>
      <c r="G12" s="223">
        <v>100</v>
      </c>
      <c r="H12" s="223">
        <v>113</v>
      </c>
      <c r="I12" s="223"/>
      <c r="J12" s="255"/>
    </row>
    <row r="13" spans="1:10" ht="16">
      <c r="A13" s="254"/>
      <c r="B13" s="226" t="s">
        <v>569</v>
      </c>
      <c r="C13" s="227" t="s">
        <v>1418</v>
      </c>
      <c r="D13" s="228" t="s">
        <v>570</v>
      </c>
      <c r="E13" s="228">
        <v>70</v>
      </c>
      <c r="F13" s="229">
        <v>1</v>
      </c>
      <c r="G13" s="228">
        <v>70</v>
      </c>
      <c r="H13" s="228">
        <v>79.099999999999994</v>
      </c>
      <c r="I13" s="228"/>
      <c r="J13" s="256"/>
    </row>
    <row r="14" spans="1:10" ht="16">
      <c r="A14" s="254"/>
      <c r="B14" s="222" t="s">
        <v>571</v>
      </c>
      <c r="C14" s="230" t="s">
        <v>572</v>
      </c>
      <c r="D14" s="223" t="s">
        <v>573</v>
      </c>
      <c r="E14" s="223">
        <v>16</v>
      </c>
      <c r="F14" s="224">
        <v>1</v>
      </c>
      <c r="G14" s="223">
        <v>16</v>
      </c>
      <c r="H14" s="223">
        <v>18.079999999999998</v>
      </c>
      <c r="I14" s="223"/>
      <c r="J14" s="255"/>
    </row>
    <row r="15" spans="1:10" ht="16">
      <c r="A15" s="220"/>
      <c r="B15" s="226" t="s">
        <v>574</v>
      </c>
      <c r="C15" s="227" t="s">
        <v>428</v>
      </c>
      <c r="D15" s="228" t="s">
        <v>575</v>
      </c>
      <c r="E15" s="228">
        <v>3</v>
      </c>
      <c r="F15" s="229" t="s">
        <v>576</v>
      </c>
      <c r="G15" s="228">
        <v>360</v>
      </c>
      <c r="H15" s="228">
        <v>406.8</v>
      </c>
      <c r="I15" s="228"/>
      <c r="J15" s="256"/>
    </row>
    <row r="16" spans="1:10" ht="16">
      <c r="A16" s="225"/>
      <c r="B16" s="222" t="s">
        <v>577</v>
      </c>
      <c r="C16" s="230" t="s">
        <v>578</v>
      </c>
      <c r="D16" s="223" t="s">
        <v>579</v>
      </c>
      <c r="E16" s="223">
        <v>40</v>
      </c>
      <c r="F16" s="224">
        <v>3</v>
      </c>
      <c r="G16" s="223">
        <v>120</v>
      </c>
      <c r="H16" s="223">
        <v>135.6</v>
      </c>
      <c r="I16" s="223"/>
      <c r="J16" s="255"/>
    </row>
    <row r="17" spans="1:10" ht="17">
      <c r="A17" s="257"/>
      <c r="B17" s="226" t="s">
        <v>580</v>
      </c>
      <c r="C17" s="227" t="s">
        <v>581</v>
      </c>
      <c r="D17" s="228" t="s">
        <v>582</v>
      </c>
      <c r="E17" s="228">
        <v>150</v>
      </c>
      <c r="F17" s="229">
        <v>1</v>
      </c>
      <c r="G17" s="228">
        <v>150</v>
      </c>
      <c r="H17" s="228">
        <v>169.5</v>
      </c>
      <c r="I17" s="228"/>
      <c r="J17" s="256"/>
    </row>
    <row r="18" spans="1:10" ht="17">
      <c r="A18" s="257"/>
      <c r="B18" s="222" t="s">
        <v>583</v>
      </c>
      <c r="C18" s="230" t="s">
        <v>584</v>
      </c>
      <c r="D18" s="223" t="s">
        <v>585</v>
      </c>
      <c r="E18" s="223">
        <v>45</v>
      </c>
      <c r="F18" s="224">
        <v>5</v>
      </c>
      <c r="G18" s="223">
        <v>225</v>
      </c>
      <c r="H18" s="223">
        <v>254.25</v>
      </c>
      <c r="I18" s="223"/>
      <c r="J18" s="255"/>
    </row>
    <row r="19" spans="1:10" ht="16">
      <c r="B19" s="259" t="s">
        <v>586</v>
      </c>
      <c r="C19" s="260"/>
      <c r="D19" s="261"/>
      <c r="E19" s="261"/>
      <c r="F19" s="262"/>
      <c r="G19" s="261"/>
      <c r="H19" s="261">
        <v>2165.08</v>
      </c>
      <c r="I19" s="261">
        <v>0</v>
      </c>
      <c r="J19" s="263">
        <v>0</v>
      </c>
    </row>
    <row r="20" spans="1:10" ht="16">
      <c r="A20" s="129"/>
      <c r="B20" s="221"/>
      <c r="C20" s="221"/>
      <c r="D20" s="239"/>
      <c r="E20" s="239"/>
      <c r="F20" s="240"/>
      <c r="G20" s="239"/>
      <c r="H20" s="239"/>
      <c r="I20" s="239"/>
      <c r="J20" s="241"/>
    </row>
    <row r="21" spans="1:10" ht="16">
      <c r="A21" s="129"/>
      <c r="B21" s="222"/>
      <c r="C21" s="230"/>
      <c r="D21" s="223"/>
      <c r="E21" s="223"/>
      <c r="F21" s="224"/>
      <c r="G21" s="223"/>
      <c r="H21" s="223"/>
      <c r="I21" s="223"/>
      <c r="J21" s="255"/>
    </row>
    <row r="22" spans="1:10" ht="17">
      <c r="A22" s="129"/>
      <c r="B22" s="266"/>
      <c r="C22" s="244" t="s">
        <v>13</v>
      </c>
      <c r="D22" s="245"/>
      <c r="E22" s="245"/>
      <c r="F22" s="246"/>
      <c r="G22" s="245"/>
      <c r="H22" s="245">
        <f>H19</f>
        <v>2165.08</v>
      </c>
      <c r="I22" s="245">
        <v>0</v>
      </c>
      <c r="J22" s="247">
        <v>0</v>
      </c>
    </row>
    <row r="23" spans="1:10" ht="17">
      <c r="A23" s="285"/>
      <c r="B23" s="266"/>
      <c r="C23" s="244"/>
      <c r="D23" s="245"/>
      <c r="E23" s="245"/>
      <c r="F23" s="246"/>
      <c r="G23" s="245"/>
      <c r="H23" s="245"/>
      <c r="I23" s="245"/>
      <c r="J23" s="247"/>
    </row>
    <row r="24" spans="1:10" ht="18">
      <c r="A24" s="258" t="s">
        <v>14</v>
      </c>
      <c r="B24" s="267"/>
      <c r="C24" s="267"/>
      <c r="D24" s="268"/>
      <c r="E24" s="268"/>
      <c r="F24" s="269"/>
      <c r="G24" s="268"/>
      <c r="H24" s="268"/>
      <c r="I24" s="268"/>
      <c r="J24" s="270"/>
    </row>
    <row r="25" spans="1:10" ht="18">
      <c r="A25" s="264"/>
      <c r="B25" s="271" t="s">
        <v>15</v>
      </c>
      <c r="C25" s="271"/>
      <c r="D25" s="272"/>
      <c r="E25" s="272"/>
      <c r="F25" s="272"/>
      <c r="G25" s="272"/>
      <c r="H25" s="272">
        <v>0</v>
      </c>
      <c r="I25" s="272">
        <v>0</v>
      </c>
      <c r="J25" s="273">
        <v>0</v>
      </c>
    </row>
    <row r="26" spans="1:10" ht="18">
      <c r="A26" s="264"/>
      <c r="B26" s="274" t="s">
        <v>16</v>
      </c>
      <c r="C26" s="274"/>
      <c r="D26" s="275"/>
      <c r="E26" s="275"/>
      <c r="F26" s="275"/>
      <c r="G26" s="275"/>
      <c r="H26" s="275">
        <f>H22</f>
        <v>2165.08</v>
      </c>
      <c r="I26" s="275">
        <v>0</v>
      </c>
      <c r="J26" s="276">
        <v>0</v>
      </c>
    </row>
    <row r="27" spans="1:10" ht="18">
      <c r="A27" s="265"/>
      <c r="B27" s="277" t="s">
        <v>17</v>
      </c>
      <c r="C27" s="277"/>
      <c r="D27" s="278"/>
      <c r="E27" s="278"/>
      <c r="F27" s="278"/>
      <c r="G27" s="278"/>
      <c r="H27" s="278">
        <f>H25-H26</f>
        <v>-2165.08</v>
      </c>
      <c r="I27" s="278">
        <v>0</v>
      </c>
      <c r="J27" s="279">
        <v>0</v>
      </c>
    </row>
  </sheetData>
  <mergeCells count="3">
    <mergeCell ref="A4:C4"/>
    <mergeCell ref="A8:C8"/>
    <mergeCell ref="A1:J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A4" workbookViewId="0">
      <selection activeCell="B63" sqref="A63:XFD63"/>
    </sheetView>
  </sheetViews>
  <sheetFormatPr baseColWidth="10" defaultRowHeight="15" x14ac:dyDescent="0"/>
  <cols>
    <col min="3" max="3" width="43.1640625" customWidth="1"/>
    <col min="4" max="4" width="37.6640625" customWidth="1"/>
    <col min="8" max="8" width="12.83203125" bestFit="1" customWidth="1"/>
  </cols>
  <sheetData>
    <row r="1" spans="1:10" ht="25">
      <c r="A1" s="505" t="s">
        <v>587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>
      <c r="A5" s="20"/>
      <c r="B5" s="21"/>
      <c r="C5" s="21"/>
      <c r="D5" s="43"/>
      <c r="E5" s="43"/>
      <c r="F5" s="44"/>
      <c r="G5" s="43"/>
      <c r="H5" s="43"/>
      <c r="I5" s="43"/>
      <c r="J5" s="45"/>
    </row>
    <row r="6" spans="1:10">
      <c r="A6" s="20"/>
      <c r="B6" s="21"/>
      <c r="C6" s="21" t="s">
        <v>11</v>
      </c>
      <c r="D6" s="43"/>
      <c r="E6" s="43"/>
      <c r="F6" s="44"/>
      <c r="G6" s="43"/>
      <c r="H6" s="43">
        <v>0</v>
      </c>
      <c r="I6" s="43">
        <v>0</v>
      </c>
      <c r="J6" s="45">
        <v>0</v>
      </c>
    </row>
    <row r="7" spans="1:10">
      <c r="A7" s="20"/>
      <c r="B7" s="21"/>
      <c r="C7" s="21"/>
      <c r="D7" s="43"/>
      <c r="E7" s="43"/>
      <c r="F7" s="44"/>
      <c r="G7" s="43"/>
      <c r="H7" s="43"/>
      <c r="I7" s="43"/>
      <c r="J7" s="45"/>
    </row>
    <row r="8" spans="1:10">
      <c r="A8" s="497" t="s">
        <v>12</v>
      </c>
      <c r="B8" s="498"/>
      <c r="C8" s="498"/>
      <c r="D8" s="17"/>
      <c r="E8" s="48"/>
      <c r="F8" s="49"/>
      <c r="G8" s="48"/>
      <c r="H8" s="48"/>
      <c r="I8" s="48"/>
      <c r="J8" s="19"/>
    </row>
    <row r="9" spans="1:10">
      <c r="A9" s="20" t="s">
        <v>588</v>
      </c>
      <c r="B9" s="21"/>
      <c r="C9" s="22"/>
      <c r="D9" s="32"/>
      <c r="E9" s="32"/>
      <c r="F9" s="33"/>
      <c r="G9" s="32"/>
      <c r="H9" s="32"/>
      <c r="I9" s="32"/>
      <c r="J9" s="34"/>
    </row>
    <row r="10" spans="1:10">
      <c r="A10" s="254"/>
      <c r="B10" s="250" t="s">
        <v>589</v>
      </c>
      <c r="C10" s="280" t="s">
        <v>125</v>
      </c>
      <c r="D10" s="251" t="s">
        <v>590</v>
      </c>
      <c r="E10" s="251">
        <v>10</v>
      </c>
      <c r="F10" s="252">
        <v>1</v>
      </c>
      <c r="G10" s="251">
        <v>10</v>
      </c>
      <c r="H10" s="251">
        <v>11.3</v>
      </c>
      <c r="I10" s="251"/>
      <c r="J10" s="253"/>
    </row>
    <row r="11" spans="1:10">
      <c r="A11" s="30"/>
      <c r="B11" s="35" t="s">
        <v>591</v>
      </c>
      <c r="C11" s="36" t="s">
        <v>592</v>
      </c>
      <c r="D11" s="27" t="s">
        <v>593</v>
      </c>
      <c r="E11" s="27">
        <v>30</v>
      </c>
      <c r="F11" s="28">
        <v>1</v>
      </c>
      <c r="G11" s="27">
        <f>E11*F11</f>
        <v>30</v>
      </c>
      <c r="H11" s="27">
        <f>G11*1.13</f>
        <v>33.9</v>
      </c>
      <c r="I11" s="27"/>
      <c r="J11" s="29"/>
    </row>
    <row r="12" spans="1:10">
      <c r="A12" s="30"/>
      <c r="B12" s="22" t="s">
        <v>594</v>
      </c>
      <c r="C12" s="31" t="s">
        <v>595</v>
      </c>
      <c r="D12" s="32" t="s">
        <v>596</v>
      </c>
      <c r="E12" s="32">
        <v>10</v>
      </c>
      <c r="F12" s="33">
        <v>1</v>
      </c>
      <c r="G12" s="32">
        <f t="shared" ref="G12" si="0">E12*F12</f>
        <v>10</v>
      </c>
      <c r="H12" s="32">
        <f t="shared" ref="H12" si="1">G12*1.13</f>
        <v>11.299999999999999</v>
      </c>
      <c r="I12" s="32"/>
      <c r="J12" s="34"/>
    </row>
    <row r="13" spans="1:10">
      <c r="A13" s="30"/>
      <c r="B13" s="35" t="s">
        <v>597</v>
      </c>
      <c r="C13" s="36" t="s">
        <v>598</v>
      </c>
      <c r="D13" s="27" t="s">
        <v>596</v>
      </c>
      <c r="E13" s="27">
        <v>10</v>
      </c>
      <c r="F13" s="28">
        <v>1</v>
      </c>
      <c r="G13" s="27">
        <f>E13*F13</f>
        <v>10</v>
      </c>
      <c r="H13" s="27">
        <f>G13*1.13</f>
        <v>11.299999999999999</v>
      </c>
      <c r="I13" s="27"/>
      <c r="J13" s="29"/>
    </row>
    <row r="14" spans="1:10">
      <c r="A14" s="281"/>
      <c r="B14" s="22" t="s">
        <v>599</v>
      </c>
      <c r="C14" s="31" t="s">
        <v>1419</v>
      </c>
      <c r="D14" s="32" t="s">
        <v>600</v>
      </c>
      <c r="E14" s="32">
        <v>10</v>
      </c>
      <c r="F14" s="33">
        <v>1</v>
      </c>
      <c r="G14" s="32">
        <f t="shared" ref="G14:G22" si="2">E14*F14</f>
        <v>10</v>
      </c>
      <c r="H14" s="32">
        <f t="shared" ref="H14:H22" si="3">G14*1.13</f>
        <v>11.299999999999999</v>
      </c>
      <c r="I14" s="32"/>
      <c r="J14" s="34"/>
    </row>
    <row r="15" spans="1:10">
      <c r="A15" s="30"/>
      <c r="B15" s="35" t="s">
        <v>601</v>
      </c>
      <c r="C15" s="36" t="s">
        <v>602</v>
      </c>
      <c r="D15" s="27" t="s">
        <v>603</v>
      </c>
      <c r="E15" s="27">
        <v>3</v>
      </c>
      <c r="F15" s="28">
        <v>60</v>
      </c>
      <c r="G15" s="27">
        <f t="shared" si="2"/>
        <v>180</v>
      </c>
      <c r="H15" s="27">
        <f t="shared" si="3"/>
        <v>203.39999999999998</v>
      </c>
      <c r="I15" s="27"/>
      <c r="J15" s="29"/>
    </row>
    <row r="16" spans="1:10">
      <c r="A16" s="30"/>
      <c r="B16" s="22" t="s">
        <v>604</v>
      </c>
      <c r="C16" s="31" t="s">
        <v>605</v>
      </c>
      <c r="D16" s="32" t="s">
        <v>603</v>
      </c>
      <c r="E16" s="32">
        <v>3</v>
      </c>
      <c r="F16" s="33">
        <v>60</v>
      </c>
      <c r="G16" s="32">
        <f t="shared" si="2"/>
        <v>180</v>
      </c>
      <c r="H16" s="32">
        <f t="shared" si="3"/>
        <v>203.39999999999998</v>
      </c>
      <c r="I16" s="32"/>
      <c r="J16" s="34"/>
    </row>
    <row r="17" spans="1:10">
      <c r="A17" s="30"/>
      <c r="B17" s="35" t="s">
        <v>606</v>
      </c>
      <c r="C17" s="36" t="s">
        <v>607</v>
      </c>
      <c r="D17" s="27" t="s">
        <v>603</v>
      </c>
      <c r="E17" s="27">
        <v>3</v>
      </c>
      <c r="F17" s="28">
        <v>60</v>
      </c>
      <c r="G17" s="27">
        <f t="shared" si="2"/>
        <v>180</v>
      </c>
      <c r="H17" s="27">
        <f t="shared" si="3"/>
        <v>203.39999999999998</v>
      </c>
      <c r="I17" s="27"/>
      <c r="J17" s="29"/>
    </row>
    <row r="18" spans="1:10">
      <c r="A18" s="30"/>
      <c r="B18" s="22" t="s">
        <v>608</v>
      </c>
      <c r="C18" s="31" t="s">
        <v>609</v>
      </c>
      <c r="D18" s="32" t="s">
        <v>603</v>
      </c>
      <c r="E18" s="32">
        <v>3</v>
      </c>
      <c r="F18" s="33">
        <v>80</v>
      </c>
      <c r="G18" s="32">
        <f t="shared" si="2"/>
        <v>240</v>
      </c>
      <c r="H18" s="32">
        <f t="shared" si="3"/>
        <v>271.2</v>
      </c>
      <c r="I18" s="32"/>
      <c r="J18" s="34"/>
    </row>
    <row r="19" spans="1:10">
      <c r="A19" s="30"/>
      <c r="B19" s="35" t="s">
        <v>610</v>
      </c>
      <c r="C19" s="36" t="s">
        <v>611</v>
      </c>
      <c r="D19" s="27" t="s">
        <v>603</v>
      </c>
      <c r="E19" s="27">
        <v>3</v>
      </c>
      <c r="F19" s="28">
        <v>60</v>
      </c>
      <c r="G19" s="27">
        <f t="shared" si="2"/>
        <v>180</v>
      </c>
      <c r="H19" s="27">
        <f t="shared" si="3"/>
        <v>203.39999999999998</v>
      </c>
      <c r="I19" s="27"/>
      <c r="J19" s="209"/>
    </row>
    <row r="20" spans="1:10">
      <c r="A20" s="30"/>
      <c r="B20" s="22" t="s">
        <v>612</v>
      </c>
      <c r="C20" s="31" t="s">
        <v>613</v>
      </c>
      <c r="D20" s="32" t="s">
        <v>603</v>
      </c>
      <c r="E20" s="32">
        <v>3</v>
      </c>
      <c r="F20" s="33">
        <v>60</v>
      </c>
      <c r="G20" s="32">
        <f t="shared" si="2"/>
        <v>180</v>
      </c>
      <c r="H20" s="32">
        <f t="shared" si="3"/>
        <v>203.39999999999998</v>
      </c>
      <c r="I20" s="32"/>
      <c r="J20" s="34"/>
    </row>
    <row r="21" spans="1:10">
      <c r="A21" s="30"/>
      <c r="B21" s="22" t="s">
        <v>614</v>
      </c>
      <c r="C21" s="31" t="s">
        <v>615</v>
      </c>
      <c r="D21" s="32" t="s">
        <v>603</v>
      </c>
      <c r="E21" s="32">
        <v>3</v>
      </c>
      <c r="F21" s="33">
        <v>60</v>
      </c>
      <c r="G21" s="32">
        <f t="shared" si="2"/>
        <v>180</v>
      </c>
      <c r="H21" s="32">
        <f t="shared" si="3"/>
        <v>203.39999999999998</v>
      </c>
      <c r="I21" s="32"/>
      <c r="J21" s="282"/>
    </row>
    <row r="22" spans="1:10">
      <c r="A22" s="30"/>
      <c r="B22" s="35" t="s">
        <v>616</v>
      </c>
      <c r="C22" s="36" t="s">
        <v>617</v>
      </c>
      <c r="D22" s="27" t="s">
        <v>603</v>
      </c>
      <c r="E22" s="27">
        <v>3</v>
      </c>
      <c r="F22" s="28">
        <v>100</v>
      </c>
      <c r="G22" s="27">
        <f t="shared" si="2"/>
        <v>300</v>
      </c>
      <c r="H22" s="27">
        <f t="shared" si="3"/>
        <v>338.99999999999994</v>
      </c>
      <c r="I22" s="27"/>
      <c r="J22" s="29"/>
    </row>
    <row r="23" spans="1:10">
      <c r="A23" s="30"/>
      <c r="B23" s="22"/>
      <c r="C23" s="31"/>
      <c r="D23" s="32"/>
      <c r="E23" s="32"/>
      <c r="F23" s="33"/>
      <c r="G23" s="32"/>
      <c r="H23" s="32"/>
      <c r="I23" s="32"/>
      <c r="J23" s="34"/>
    </row>
    <row r="24" spans="1:10">
      <c r="A24" s="30"/>
      <c r="B24" s="37" t="s">
        <v>618</v>
      </c>
      <c r="C24" s="50"/>
      <c r="D24" s="41"/>
      <c r="E24" s="41"/>
      <c r="F24" s="47"/>
      <c r="G24" s="41"/>
      <c r="H24" s="41">
        <f>SUM(H10:H22)</f>
        <v>1909.7000000000003</v>
      </c>
      <c r="I24" s="41">
        <f>SUM(I9:I22)</f>
        <v>0</v>
      </c>
      <c r="J24" s="42">
        <f>SUM(J9:J22)</f>
        <v>0</v>
      </c>
    </row>
    <row r="25" spans="1:10">
      <c r="A25" s="20"/>
      <c r="B25" s="21"/>
      <c r="C25" s="21"/>
      <c r="D25" s="43"/>
      <c r="E25" s="43"/>
      <c r="F25" s="44"/>
      <c r="G25" s="43"/>
      <c r="H25" s="43"/>
      <c r="I25" s="43"/>
      <c r="J25" s="45"/>
    </row>
    <row r="26" spans="1:10">
      <c r="A26" s="20" t="s">
        <v>619</v>
      </c>
      <c r="B26" s="21"/>
      <c r="C26" s="22"/>
      <c r="D26" s="32"/>
      <c r="E26" s="32"/>
      <c r="F26" s="33"/>
      <c r="G26" s="32"/>
      <c r="H26" s="32"/>
      <c r="I26" s="32"/>
      <c r="J26" s="34"/>
    </row>
    <row r="27" spans="1:10">
      <c r="A27" s="51"/>
      <c r="B27" s="35" t="s">
        <v>620</v>
      </c>
      <c r="C27" s="36" t="s">
        <v>621</v>
      </c>
      <c r="D27" s="27" t="s">
        <v>622</v>
      </c>
      <c r="E27" s="27">
        <v>80</v>
      </c>
      <c r="F27" s="28">
        <v>3</v>
      </c>
      <c r="G27" s="27">
        <f>E27*F27</f>
        <v>240</v>
      </c>
      <c r="H27" s="27">
        <f>G27*1.13</f>
        <v>271.2</v>
      </c>
      <c r="I27" s="27"/>
      <c r="J27" s="29"/>
    </row>
    <row r="28" spans="1:10">
      <c r="A28" s="51"/>
      <c r="B28" s="22" t="s">
        <v>623</v>
      </c>
      <c r="C28" s="31" t="s">
        <v>621</v>
      </c>
      <c r="D28" s="32" t="s">
        <v>624</v>
      </c>
      <c r="E28" s="32">
        <v>50</v>
      </c>
      <c r="F28" s="33">
        <v>10</v>
      </c>
      <c r="G28" s="32">
        <f t="shared" ref="G28:G38" si="4">E28*F28</f>
        <v>500</v>
      </c>
      <c r="H28" s="32">
        <f t="shared" ref="H28:H38" si="5">G28*1.13</f>
        <v>565</v>
      </c>
      <c r="I28" s="32"/>
      <c r="J28" s="34"/>
    </row>
    <row r="29" spans="1:10">
      <c r="A29" s="51"/>
      <c r="B29" s="35" t="s">
        <v>625</v>
      </c>
      <c r="C29" s="36" t="s">
        <v>626</v>
      </c>
      <c r="D29" s="27" t="s">
        <v>1420</v>
      </c>
      <c r="E29" s="27">
        <v>200</v>
      </c>
      <c r="F29" s="28">
        <v>1</v>
      </c>
      <c r="G29" s="27">
        <f t="shared" si="4"/>
        <v>200</v>
      </c>
      <c r="H29" s="27">
        <f t="shared" si="5"/>
        <v>225.99999999999997</v>
      </c>
      <c r="I29" s="27"/>
      <c r="J29" s="29"/>
    </row>
    <row r="30" spans="1:10">
      <c r="A30" s="51"/>
      <c r="B30" s="22" t="s">
        <v>627</v>
      </c>
      <c r="C30" s="31" t="s">
        <v>248</v>
      </c>
      <c r="D30" s="32" t="s">
        <v>628</v>
      </c>
      <c r="E30" s="32">
        <v>2</v>
      </c>
      <c r="F30" s="33">
        <v>80</v>
      </c>
      <c r="G30" s="32">
        <f t="shared" si="4"/>
        <v>160</v>
      </c>
      <c r="H30" s="32">
        <f t="shared" si="5"/>
        <v>180.79999999999998</v>
      </c>
      <c r="I30" s="32"/>
      <c r="J30" s="34"/>
    </row>
    <row r="31" spans="1:10">
      <c r="A31" s="51"/>
      <c r="B31" s="35" t="s">
        <v>629</v>
      </c>
      <c r="C31" s="36" t="s">
        <v>630</v>
      </c>
      <c r="D31" s="27" t="s">
        <v>628</v>
      </c>
      <c r="E31" s="27">
        <v>0.5</v>
      </c>
      <c r="F31" s="28">
        <v>80</v>
      </c>
      <c r="G31" s="27">
        <f t="shared" si="4"/>
        <v>40</v>
      </c>
      <c r="H31" s="27">
        <f t="shared" si="5"/>
        <v>45.199999999999996</v>
      </c>
      <c r="I31" s="27"/>
      <c r="J31" s="29"/>
    </row>
    <row r="32" spans="1:10">
      <c r="A32" s="51"/>
      <c r="B32" s="22" t="s">
        <v>631</v>
      </c>
      <c r="C32" s="31" t="s">
        <v>248</v>
      </c>
      <c r="D32" s="32" t="s">
        <v>632</v>
      </c>
      <c r="E32" s="32">
        <v>2</v>
      </c>
      <c r="F32" s="33">
        <v>80</v>
      </c>
      <c r="G32" s="32">
        <f t="shared" si="4"/>
        <v>160</v>
      </c>
      <c r="H32" s="32">
        <f t="shared" si="5"/>
        <v>180.79999999999998</v>
      </c>
      <c r="I32" s="32"/>
      <c r="J32" s="34"/>
    </row>
    <row r="33" spans="1:10">
      <c r="A33" s="51"/>
      <c r="B33" s="35" t="s">
        <v>633</v>
      </c>
      <c r="C33" s="36" t="s">
        <v>630</v>
      </c>
      <c r="D33" s="27" t="s">
        <v>632</v>
      </c>
      <c r="E33" s="27">
        <v>0.5</v>
      </c>
      <c r="F33" s="28">
        <v>80</v>
      </c>
      <c r="G33" s="27">
        <f t="shared" si="4"/>
        <v>40</v>
      </c>
      <c r="H33" s="27">
        <f t="shared" si="5"/>
        <v>45.199999999999996</v>
      </c>
      <c r="I33" s="27"/>
      <c r="J33" s="29"/>
    </row>
    <row r="34" spans="1:10">
      <c r="A34" s="51"/>
      <c r="B34" s="22" t="s">
        <v>634</v>
      </c>
      <c r="C34" s="31" t="s">
        <v>635</v>
      </c>
      <c r="D34" s="32" t="s">
        <v>636</v>
      </c>
      <c r="E34" s="32">
        <v>170</v>
      </c>
      <c r="F34" s="33">
        <v>1</v>
      </c>
      <c r="G34" s="32">
        <f t="shared" si="4"/>
        <v>170</v>
      </c>
      <c r="H34" s="32">
        <f t="shared" si="5"/>
        <v>192.1</v>
      </c>
      <c r="I34" s="32"/>
      <c r="J34" s="34"/>
    </row>
    <row r="35" spans="1:10">
      <c r="A35" s="51"/>
      <c r="B35" s="22" t="s">
        <v>637</v>
      </c>
      <c r="C35" s="31" t="s">
        <v>626</v>
      </c>
      <c r="D35" s="32" t="s">
        <v>638</v>
      </c>
      <c r="E35" s="32">
        <v>30</v>
      </c>
      <c r="F35" s="33">
        <v>1</v>
      </c>
      <c r="G35" s="32">
        <f t="shared" si="4"/>
        <v>30</v>
      </c>
      <c r="H35" s="32">
        <f t="shared" si="5"/>
        <v>33.9</v>
      </c>
      <c r="I35" s="32"/>
      <c r="J35" s="34"/>
    </row>
    <row r="36" spans="1:10">
      <c r="A36" s="51"/>
      <c r="B36" s="35" t="s">
        <v>639</v>
      </c>
      <c r="C36" s="36" t="s">
        <v>248</v>
      </c>
      <c r="D36" s="27" t="s">
        <v>640</v>
      </c>
      <c r="E36" s="27">
        <v>2</v>
      </c>
      <c r="F36" s="28">
        <v>200</v>
      </c>
      <c r="G36" s="27">
        <f t="shared" si="4"/>
        <v>400</v>
      </c>
      <c r="H36" s="27">
        <f t="shared" si="5"/>
        <v>451.99999999999994</v>
      </c>
      <c r="I36" s="27"/>
      <c r="J36" s="29"/>
    </row>
    <row r="37" spans="1:10">
      <c r="A37" s="51"/>
      <c r="B37" s="22" t="s">
        <v>641</v>
      </c>
      <c r="C37" s="31" t="s">
        <v>642</v>
      </c>
      <c r="D37" s="32" t="s">
        <v>643</v>
      </c>
      <c r="E37" s="32">
        <v>50</v>
      </c>
      <c r="F37" s="33">
        <v>1</v>
      </c>
      <c r="G37" s="32">
        <f t="shared" si="4"/>
        <v>50</v>
      </c>
      <c r="H37" s="32">
        <f t="shared" si="5"/>
        <v>56.499999999999993</v>
      </c>
      <c r="I37" s="32"/>
      <c r="J37" s="34"/>
    </row>
    <row r="38" spans="1:10">
      <c r="A38" s="51"/>
      <c r="B38" s="35" t="s">
        <v>644</v>
      </c>
      <c r="C38" s="36" t="s">
        <v>645</v>
      </c>
      <c r="D38" s="27" t="s">
        <v>646</v>
      </c>
      <c r="E38" s="27">
        <v>160</v>
      </c>
      <c r="F38" s="28">
        <v>1</v>
      </c>
      <c r="G38" s="27">
        <f t="shared" si="4"/>
        <v>160</v>
      </c>
      <c r="H38" s="27">
        <f t="shared" si="5"/>
        <v>180.79999999999998</v>
      </c>
      <c r="I38" s="27"/>
      <c r="J38" s="29"/>
    </row>
    <row r="39" spans="1:10">
      <c r="A39" s="30"/>
      <c r="B39" s="22"/>
      <c r="C39" s="22"/>
      <c r="D39" s="32"/>
      <c r="E39" s="32"/>
      <c r="F39" s="33"/>
      <c r="G39" s="32"/>
      <c r="H39" s="32"/>
      <c r="I39" s="32"/>
      <c r="J39" s="34"/>
    </row>
    <row r="40" spans="1:10">
      <c r="A40" s="30"/>
      <c r="B40" s="37" t="s">
        <v>647</v>
      </c>
      <c r="C40" s="46"/>
      <c r="D40" s="41"/>
      <c r="E40" s="41"/>
      <c r="F40" s="47"/>
      <c r="G40" s="41"/>
      <c r="H40" s="41">
        <f>SUM(H27:H38)</f>
        <v>2429.5</v>
      </c>
      <c r="I40" s="41">
        <f>SUM(I27:I39)</f>
        <v>0</v>
      </c>
      <c r="J40" s="42">
        <f>SUM(J27:J39)</f>
        <v>0</v>
      </c>
    </row>
    <row r="41" spans="1:10">
      <c r="A41" s="30"/>
      <c r="B41" s="22"/>
      <c r="C41" s="22"/>
      <c r="D41" s="32"/>
      <c r="E41" s="32"/>
      <c r="F41" s="33"/>
      <c r="G41" s="32"/>
      <c r="H41" s="32"/>
      <c r="I41" s="32"/>
      <c r="J41" s="34"/>
    </row>
    <row r="42" spans="1:10">
      <c r="A42" s="20" t="s">
        <v>648</v>
      </c>
      <c r="B42" s="21"/>
      <c r="C42" s="22"/>
      <c r="D42" s="32"/>
      <c r="E42" s="32"/>
      <c r="F42" s="33"/>
      <c r="G42" s="32"/>
      <c r="H42" s="32"/>
      <c r="I42" s="32"/>
      <c r="J42" s="34"/>
    </row>
    <row r="43" spans="1:10">
      <c r="A43" s="30"/>
      <c r="B43" s="35" t="s">
        <v>649</v>
      </c>
      <c r="C43" s="36" t="s">
        <v>648</v>
      </c>
      <c r="D43" s="27" t="s">
        <v>650</v>
      </c>
      <c r="E43" s="27">
        <v>200</v>
      </c>
      <c r="F43" s="28">
        <v>1</v>
      </c>
      <c r="G43" s="27">
        <f t="shared" ref="G43:G49" si="6">E43*F43</f>
        <v>200</v>
      </c>
      <c r="H43" s="27">
        <f t="shared" ref="H43:H49" si="7">G43*1.13</f>
        <v>225.99999999999997</v>
      </c>
      <c r="I43" s="27"/>
      <c r="J43" s="29"/>
    </row>
    <row r="44" spans="1:10">
      <c r="A44" s="30"/>
      <c r="B44" s="22" t="s">
        <v>651</v>
      </c>
      <c r="C44" s="22" t="s">
        <v>648</v>
      </c>
      <c r="D44" s="32" t="s">
        <v>652</v>
      </c>
      <c r="E44" s="32">
        <v>60</v>
      </c>
      <c r="F44" s="33">
        <v>3</v>
      </c>
      <c r="G44" s="32">
        <f t="shared" si="6"/>
        <v>180</v>
      </c>
      <c r="H44" s="32">
        <f t="shared" si="7"/>
        <v>203.39999999999998</v>
      </c>
      <c r="I44" s="32"/>
      <c r="J44" s="34"/>
    </row>
    <row r="45" spans="1:10">
      <c r="A45" s="30"/>
      <c r="B45" s="35" t="s">
        <v>653</v>
      </c>
      <c r="C45" s="35" t="s">
        <v>248</v>
      </c>
      <c r="D45" s="27" t="s">
        <v>654</v>
      </c>
      <c r="E45" s="27">
        <v>6</v>
      </c>
      <c r="F45" s="28">
        <v>13</v>
      </c>
      <c r="G45" s="27">
        <f t="shared" si="6"/>
        <v>78</v>
      </c>
      <c r="H45" s="27">
        <f t="shared" si="7"/>
        <v>88.139999999999986</v>
      </c>
      <c r="I45" s="27"/>
      <c r="J45" s="29"/>
    </row>
    <row r="46" spans="1:10">
      <c r="A46" s="30"/>
      <c r="B46" s="22" t="s">
        <v>655</v>
      </c>
      <c r="C46" s="22" t="s">
        <v>630</v>
      </c>
      <c r="D46" s="32" t="s">
        <v>654</v>
      </c>
      <c r="E46" s="32">
        <v>1.5</v>
      </c>
      <c r="F46" s="33">
        <v>13</v>
      </c>
      <c r="G46" s="32">
        <f t="shared" si="6"/>
        <v>19.5</v>
      </c>
      <c r="H46" s="32">
        <f t="shared" si="7"/>
        <v>22.034999999999997</v>
      </c>
      <c r="I46" s="32"/>
      <c r="J46" s="34"/>
    </row>
    <row r="47" spans="1:10">
      <c r="A47" s="51"/>
      <c r="B47" s="35" t="s">
        <v>656</v>
      </c>
      <c r="C47" s="35" t="s">
        <v>657</v>
      </c>
      <c r="D47" s="27" t="s">
        <v>658</v>
      </c>
      <c r="E47" s="27">
        <v>35</v>
      </c>
      <c r="F47" s="28">
        <v>1</v>
      </c>
      <c r="G47" s="27">
        <f t="shared" si="6"/>
        <v>35</v>
      </c>
      <c r="H47" s="27">
        <f t="shared" si="7"/>
        <v>39.549999999999997</v>
      </c>
      <c r="I47" s="27"/>
      <c r="J47" s="29"/>
    </row>
    <row r="48" spans="1:10">
      <c r="A48" s="30"/>
      <c r="B48" s="22" t="s">
        <v>659</v>
      </c>
      <c r="C48" s="22" t="s">
        <v>660</v>
      </c>
      <c r="D48" s="32" t="s">
        <v>661</v>
      </c>
      <c r="E48" s="32">
        <v>10</v>
      </c>
      <c r="F48" s="33">
        <v>1</v>
      </c>
      <c r="G48" s="32">
        <f t="shared" si="6"/>
        <v>10</v>
      </c>
      <c r="H48" s="32">
        <f t="shared" si="7"/>
        <v>11.299999999999999</v>
      </c>
      <c r="I48" s="32"/>
      <c r="J48" s="34"/>
    </row>
    <row r="49" spans="1:10">
      <c r="A49" s="51"/>
      <c r="B49" s="35" t="s">
        <v>662</v>
      </c>
      <c r="C49" s="35" t="s">
        <v>663</v>
      </c>
      <c r="D49" s="27" t="s">
        <v>664</v>
      </c>
      <c r="E49" s="27">
        <v>4.6500000000000004</v>
      </c>
      <c r="F49" s="28">
        <v>150</v>
      </c>
      <c r="G49" s="27">
        <f t="shared" si="6"/>
        <v>697.5</v>
      </c>
      <c r="H49" s="27">
        <f t="shared" si="7"/>
        <v>788.17499999999995</v>
      </c>
      <c r="I49" s="27"/>
      <c r="J49" s="29"/>
    </row>
    <row r="50" spans="1:10">
      <c r="A50" s="30"/>
      <c r="B50" s="22"/>
      <c r="C50" s="22"/>
      <c r="D50" s="32"/>
      <c r="E50" s="32"/>
      <c r="F50" s="33"/>
      <c r="G50" s="32"/>
      <c r="H50" s="32"/>
      <c r="I50" s="32"/>
      <c r="J50" s="34"/>
    </row>
    <row r="51" spans="1:10">
      <c r="A51" s="30"/>
      <c r="B51" s="37" t="s">
        <v>665</v>
      </c>
      <c r="C51" s="46"/>
      <c r="D51" s="41"/>
      <c r="E51" s="41"/>
      <c r="F51" s="47"/>
      <c r="G51" s="41"/>
      <c r="H51" s="41">
        <f>SUM(H43:H49)</f>
        <v>1378.6</v>
      </c>
      <c r="I51" s="41">
        <f>SUM(I43:I50)</f>
        <v>0</v>
      </c>
      <c r="J51" s="42">
        <f>SUM(J43:J50)</f>
        <v>0</v>
      </c>
    </row>
    <row r="52" spans="1:10">
      <c r="A52" s="30"/>
      <c r="B52" s="22"/>
      <c r="C52" s="22"/>
      <c r="D52" s="32"/>
      <c r="E52" s="32"/>
      <c r="F52" s="33"/>
      <c r="G52" s="32"/>
      <c r="H52" s="32"/>
      <c r="I52" s="32"/>
      <c r="J52" s="34"/>
    </row>
    <row r="53" spans="1:10">
      <c r="A53" s="20" t="s">
        <v>666</v>
      </c>
      <c r="B53" s="21"/>
      <c r="C53" s="22"/>
      <c r="D53" s="32"/>
      <c r="E53" s="32"/>
      <c r="F53" s="33"/>
      <c r="G53" s="32"/>
      <c r="H53" s="32"/>
      <c r="I53" s="32"/>
      <c r="J53" s="34"/>
    </row>
    <row r="54" spans="1:10">
      <c r="A54" s="30"/>
      <c r="B54" s="35" t="s">
        <v>667</v>
      </c>
      <c r="C54" s="36" t="s">
        <v>668</v>
      </c>
      <c r="D54" s="27" t="s">
        <v>669</v>
      </c>
      <c r="E54" s="27">
        <v>500</v>
      </c>
      <c r="F54" s="28">
        <v>1</v>
      </c>
      <c r="G54" s="27">
        <f t="shared" ref="G54:G61" si="8">E54*F54</f>
        <v>500</v>
      </c>
      <c r="H54" s="27">
        <f t="shared" ref="H54:H61" si="9">G54*1.13</f>
        <v>565</v>
      </c>
      <c r="I54" s="27"/>
      <c r="J54" s="29"/>
    </row>
    <row r="55" spans="1:10">
      <c r="A55" s="30" t="s">
        <v>10</v>
      </c>
      <c r="B55" s="22" t="s">
        <v>670</v>
      </c>
      <c r="C55" s="22" t="s">
        <v>585</v>
      </c>
      <c r="D55" s="32" t="s">
        <v>671</v>
      </c>
      <c r="E55" s="32">
        <v>50</v>
      </c>
      <c r="F55" s="33">
        <v>150</v>
      </c>
      <c r="G55" s="32">
        <f t="shared" si="8"/>
        <v>7500</v>
      </c>
      <c r="H55" s="32">
        <f t="shared" si="9"/>
        <v>8475</v>
      </c>
      <c r="I55" s="32"/>
      <c r="J55" s="34"/>
    </row>
    <row r="56" spans="1:10">
      <c r="A56" s="30"/>
      <c r="B56" s="35" t="s">
        <v>672</v>
      </c>
      <c r="C56" s="35" t="s">
        <v>541</v>
      </c>
      <c r="D56" s="27" t="s">
        <v>673</v>
      </c>
      <c r="E56" s="27">
        <v>30</v>
      </c>
      <c r="F56" s="28">
        <v>50</v>
      </c>
      <c r="G56" s="27">
        <f t="shared" si="8"/>
        <v>1500</v>
      </c>
      <c r="H56" s="27">
        <f t="shared" si="9"/>
        <v>1694.9999999999998</v>
      </c>
      <c r="I56" s="27"/>
      <c r="J56" s="29"/>
    </row>
    <row r="57" spans="1:10">
      <c r="A57" s="30"/>
      <c r="B57" s="22" t="s">
        <v>674</v>
      </c>
      <c r="C57" s="22" t="s">
        <v>675</v>
      </c>
      <c r="D57" s="32" t="s">
        <v>671</v>
      </c>
      <c r="E57" s="32">
        <v>1000</v>
      </c>
      <c r="F57" s="33">
        <v>1</v>
      </c>
      <c r="G57" s="32">
        <f t="shared" si="8"/>
        <v>1000</v>
      </c>
      <c r="H57" s="32">
        <f t="shared" si="9"/>
        <v>1130</v>
      </c>
      <c r="I57" s="32"/>
      <c r="J57" s="34"/>
    </row>
    <row r="58" spans="1:10">
      <c r="A58" s="20"/>
      <c r="B58" s="52" t="s">
        <v>676</v>
      </c>
      <c r="C58" s="35" t="s">
        <v>677</v>
      </c>
      <c r="D58" s="27" t="s">
        <v>678</v>
      </c>
      <c r="E58" s="27">
        <v>280</v>
      </c>
      <c r="F58" s="28">
        <v>1</v>
      </c>
      <c r="G58" s="27">
        <f t="shared" si="8"/>
        <v>280</v>
      </c>
      <c r="H58" s="27">
        <f t="shared" si="9"/>
        <v>316.39999999999998</v>
      </c>
      <c r="I58" s="27"/>
      <c r="J58" s="29"/>
    </row>
    <row r="59" spans="1:10">
      <c r="A59" s="20"/>
      <c r="B59" s="21" t="s">
        <v>679</v>
      </c>
      <c r="C59" s="22" t="s">
        <v>680</v>
      </c>
      <c r="D59" s="32" t="s">
        <v>681</v>
      </c>
      <c r="E59" s="32">
        <v>0.5</v>
      </c>
      <c r="F59" s="33">
        <v>150</v>
      </c>
      <c r="G59" s="32">
        <f t="shared" si="8"/>
        <v>75</v>
      </c>
      <c r="H59" s="32">
        <f t="shared" si="9"/>
        <v>84.749999999999986</v>
      </c>
      <c r="I59" s="32"/>
      <c r="J59" s="34"/>
    </row>
    <row r="60" spans="1:10">
      <c r="A60" s="20"/>
      <c r="B60" s="52" t="s">
        <v>682</v>
      </c>
      <c r="C60" s="35" t="s">
        <v>683</v>
      </c>
      <c r="D60" s="27" t="s">
        <v>684</v>
      </c>
      <c r="E60" s="27">
        <v>0.1</v>
      </c>
      <c r="F60" s="28">
        <v>150</v>
      </c>
      <c r="G60" s="27">
        <f t="shared" si="8"/>
        <v>15</v>
      </c>
      <c r="H60" s="27">
        <f t="shared" si="9"/>
        <v>16.95</v>
      </c>
      <c r="I60" s="27"/>
      <c r="J60" s="29"/>
    </row>
    <row r="61" spans="1:10">
      <c r="A61" s="20"/>
      <c r="B61" s="21" t="s">
        <v>685</v>
      </c>
      <c r="C61" s="22" t="s">
        <v>686</v>
      </c>
      <c r="D61" s="32" t="s">
        <v>687</v>
      </c>
      <c r="E61" s="32">
        <v>350</v>
      </c>
      <c r="F61" s="33">
        <v>1</v>
      </c>
      <c r="G61" s="32">
        <f t="shared" si="8"/>
        <v>350</v>
      </c>
      <c r="H61" s="32">
        <f t="shared" si="9"/>
        <v>395.49999999999994</v>
      </c>
      <c r="I61" s="32"/>
      <c r="J61" s="34"/>
    </row>
    <row r="62" spans="1:10">
      <c r="A62" s="30"/>
      <c r="B62" s="35"/>
      <c r="C62" s="52"/>
      <c r="D62" s="53"/>
      <c r="E62" s="53"/>
      <c r="F62" s="283"/>
      <c r="G62" s="53"/>
      <c r="H62" s="53"/>
      <c r="I62" s="53"/>
      <c r="J62" s="284"/>
    </row>
    <row r="63" spans="1:10">
      <c r="A63" s="30"/>
      <c r="B63" s="37" t="s">
        <v>688</v>
      </c>
      <c r="C63" s="46"/>
      <c r="D63" s="41"/>
      <c r="E63" s="41"/>
      <c r="F63" s="47"/>
      <c r="G63" s="41"/>
      <c r="H63" s="41">
        <f>SUM(H54:H61)</f>
        <v>12678.6</v>
      </c>
      <c r="I63" s="41">
        <f>SUM(I54:I62)</f>
        <v>0</v>
      </c>
      <c r="J63" s="42">
        <f>SUM(J54:J62)</f>
        <v>0</v>
      </c>
    </row>
    <row r="64" spans="1:10">
      <c r="A64" s="30"/>
      <c r="B64" s="21"/>
      <c r="C64" s="21"/>
      <c r="D64" s="43"/>
      <c r="E64" s="43"/>
      <c r="F64" s="44"/>
      <c r="G64" s="43"/>
      <c r="H64" s="43"/>
      <c r="I64" s="43"/>
      <c r="J64" s="45"/>
    </row>
    <row r="65" spans="1:10">
      <c r="A65" s="30"/>
      <c r="B65" s="22"/>
      <c r="C65" s="21" t="s">
        <v>13</v>
      </c>
      <c r="D65" s="43"/>
      <c r="E65" s="43"/>
      <c r="F65" s="44"/>
      <c r="G65" s="43"/>
      <c r="H65" s="43">
        <f>H63+H51+H40+H24</f>
        <v>18396.400000000001</v>
      </c>
      <c r="I65" s="43">
        <f>I63+I51+I40+I24</f>
        <v>0</v>
      </c>
      <c r="J65" s="45">
        <f>J63+J51+J40+J24</f>
        <v>0</v>
      </c>
    </row>
    <row r="66" spans="1:10">
      <c r="A66" s="30"/>
      <c r="B66" s="22"/>
      <c r="C66" s="21"/>
      <c r="D66" s="43"/>
      <c r="E66" s="43"/>
      <c r="F66" s="44"/>
      <c r="G66" s="43"/>
      <c r="H66" s="43"/>
      <c r="I66" s="43"/>
      <c r="J66" s="45"/>
    </row>
    <row r="67" spans="1:10">
      <c r="A67" s="497" t="s">
        <v>14</v>
      </c>
      <c r="B67" s="498"/>
      <c r="C67" s="498"/>
      <c r="D67" s="17"/>
      <c r="E67" s="17"/>
      <c r="F67" s="18"/>
      <c r="G67" s="17"/>
      <c r="H67" s="17"/>
      <c r="I67" s="17"/>
      <c r="J67" s="19"/>
    </row>
    <row r="68" spans="1:10">
      <c r="A68" s="20"/>
      <c r="B68" s="52" t="s">
        <v>15</v>
      </c>
      <c r="C68" s="52"/>
      <c r="D68" s="53"/>
      <c r="E68" s="53"/>
      <c r="F68" s="53"/>
      <c r="G68" s="53"/>
      <c r="H68" s="53">
        <v>0</v>
      </c>
      <c r="I68" s="53">
        <f>I6</f>
        <v>0</v>
      </c>
      <c r="J68" s="54">
        <f>J6</f>
        <v>0</v>
      </c>
    </row>
    <row r="69" spans="1:10">
      <c r="A69" s="20"/>
      <c r="B69" s="21" t="s">
        <v>16</v>
      </c>
      <c r="C69" s="21"/>
      <c r="D69" s="43"/>
      <c r="E69" s="43"/>
      <c r="F69" s="43"/>
      <c r="G69" s="43"/>
      <c r="H69" s="43">
        <f>H65</f>
        <v>18396.400000000001</v>
      </c>
      <c r="I69" s="43">
        <f t="shared" ref="I69:J69" si="10">I65</f>
        <v>0</v>
      </c>
      <c r="J69" s="45">
        <f t="shared" si="10"/>
        <v>0</v>
      </c>
    </row>
    <row r="70" spans="1:10">
      <c r="A70" s="55"/>
      <c r="B70" s="56" t="s">
        <v>17</v>
      </c>
      <c r="C70" s="56"/>
      <c r="D70" s="57"/>
      <c r="E70" s="57"/>
      <c r="F70" s="57"/>
      <c r="G70" s="57"/>
      <c r="H70" s="57">
        <f>H68-H69</f>
        <v>-18396.400000000001</v>
      </c>
      <c r="I70" s="57">
        <f t="shared" ref="I70:J70" si="11">I68-I69</f>
        <v>0</v>
      </c>
      <c r="J70" s="58">
        <f t="shared" si="11"/>
        <v>0</v>
      </c>
    </row>
  </sheetData>
  <mergeCells count="4">
    <mergeCell ref="A1:J1"/>
    <mergeCell ref="A4:C4"/>
    <mergeCell ref="A8:C8"/>
    <mergeCell ref="A67:C6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12" workbookViewId="0">
      <selection activeCell="A19" sqref="A19:XFD19"/>
    </sheetView>
  </sheetViews>
  <sheetFormatPr baseColWidth="10" defaultRowHeight="15" x14ac:dyDescent="0"/>
  <cols>
    <col min="3" max="3" width="24.83203125" customWidth="1"/>
    <col min="4" max="4" width="27.33203125" customWidth="1"/>
    <col min="5" max="5" width="11.83203125" bestFit="1" customWidth="1"/>
    <col min="7" max="8" width="11.83203125" bestFit="1" customWidth="1"/>
  </cols>
  <sheetData>
    <row r="1" spans="1:10" ht="25">
      <c r="A1" s="505" t="s">
        <v>689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>
      <c r="A5" s="20"/>
      <c r="B5" s="21"/>
      <c r="C5" s="21"/>
      <c r="D5" s="43"/>
      <c r="E5" s="43"/>
      <c r="F5" s="44"/>
      <c r="G5" s="43"/>
      <c r="H5" s="43"/>
      <c r="I5" s="43"/>
      <c r="J5" s="45"/>
    </row>
    <row r="6" spans="1:10">
      <c r="A6" s="20"/>
      <c r="B6" s="21"/>
      <c r="C6" s="21" t="s">
        <v>11</v>
      </c>
      <c r="D6" s="43"/>
      <c r="E6" s="43"/>
      <c r="F6" s="44"/>
      <c r="G6" s="43"/>
      <c r="H6" s="43">
        <v>0</v>
      </c>
      <c r="I6" s="43">
        <v>0</v>
      </c>
      <c r="J6" s="45">
        <v>0</v>
      </c>
    </row>
    <row r="7" spans="1:10">
      <c r="A7" s="20"/>
      <c r="B7" s="21"/>
      <c r="C7" s="21"/>
      <c r="D7" s="43"/>
      <c r="E7" s="43"/>
      <c r="F7" s="44"/>
      <c r="G7" s="43"/>
      <c r="H7" s="43"/>
      <c r="I7" s="43"/>
      <c r="J7" s="45"/>
    </row>
    <row r="8" spans="1:10">
      <c r="A8" s="497" t="s">
        <v>12</v>
      </c>
      <c r="B8" s="498"/>
      <c r="C8" s="498"/>
      <c r="D8" s="17"/>
      <c r="E8" s="48"/>
      <c r="F8" s="49"/>
      <c r="G8" s="48"/>
      <c r="H8" s="48"/>
      <c r="I8" s="48"/>
      <c r="J8" s="19"/>
    </row>
    <row r="9" spans="1:10" ht="16">
      <c r="A9" s="220" t="s">
        <v>690</v>
      </c>
      <c r="B9" s="21"/>
      <c r="C9" s="22"/>
      <c r="D9" s="32"/>
      <c r="E9" s="32"/>
      <c r="F9" s="33"/>
      <c r="G9" s="32"/>
      <c r="H9" s="32"/>
      <c r="I9" s="32"/>
      <c r="J9" s="34"/>
    </row>
    <row r="10" spans="1:10" ht="16">
      <c r="A10" s="30"/>
      <c r="B10" s="226" t="s">
        <v>691</v>
      </c>
      <c r="C10" s="227" t="s">
        <v>167</v>
      </c>
      <c r="D10" s="228" t="s">
        <v>692</v>
      </c>
      <c r="E10" s="228">
        <v>0.25</v>
      </c>
      <c r="F10" s="229">
        <v>30</v>
      </c>
      <c r="G10" s="228">
        <f>E10*F10</f>
        <v>7.5</v>
      </c>
      <c r="H10" s="228">
        <f>G10</f>
        <v>7.5</v>
      </c>
      <c r="I10" s="27"/>
      <c r="J10" s="29"/>
    </row>
    <row r="11" spans="1:10" ht="16">
      <c r="A11" s="30"/>
      <c r="B11" s="285" t="s">
        <v>693</v>
      </c>
      <c r="C11" s="230" t="s">
        <v>411</v>
      </c>
      <c r="D11" s="223" t="s">
        <v>694</v>
      </c>
      <c r="E11" s="223">
        <v>28</v>
      </c>
      <c r="F11" s="224">
        <v>2</v>
      </c>
      <c r="G11" s="223">
        <f t="shared" ref="G11:G14" si="0">E11*F11</f>
        <v>56</v>
      </c>
      <c r="H11" s="223">
        <f t="shared" ref="H11:H13" si="1">G11*1.13</f>
        <v>63.279999999999994</v>
      </c>
      <c r="I11" s="32"/>
      <c r="J11" s="34"/>
    </row>
    <row r="12" spans="1:10" ht="16">
      <c r="A12" s="30"/>
      <c r="B12" s="226" t="s">
        <v>695</v>
      </c>
      <c r="C12" s="227" t="s">
        <v>411</v>
      </c>
      <c r="D12" s="228" t="s">
        <v>696</v>
      </c>
      <c r="E12" s="228">
        <v>40</v>
      </c>
      <c r="F12" s="229">
        <v>2</v>
      </c>
      <c r="G12" s="228">
        <f t="shared" si="0"/>
        <v>80</v>
      </c>
      <c r="H12" s="228">
        <f t="shared" si="1"/>
        <v>90.399999999999991</v>
      </c>
      <c r="I12" s="27"/>
      <c r="J12" s="29"/>
    </row>
    <row r="13" spans="1:10" ht="16">
      <c r="A13" s="30"/>
      <c r="B13" s="285" t="s">
        <v>697</v>
      </c>
      <c r="C13" s="230" t="s">
        <v>411</v>
      </c>
      <c r="D13" s="223" t="s">
        <v>698</v>
      </c>
      <c r="E13" s="223">
        <v>70</v>
      </c>
      <c r="F13" s="224">
        <v>2</v>
      </c>
      <c r="G13" s="223">
        <f t="shared" si="0"/>
        <v>140</v>
      </c>
      <c r="H13" s="223">
        <f t="shared" si="1"/>
        <v>158.19999999999999</v>
      </c>
      <c r="I13" s="32"/>
      <c r="J13" s="34"/>
    </row>
    <row r="14" spans="1:10" ht="16">
      <c r="A14" s="30"/>
      <c r="B14" s="226" t="s">
        <v>699</v>
      </c>
      <c r="C14" s="227" t="s">
        <v>411</v>
      </c>
      <c r="D14" s="228" t="s">
        <v>412</v>
      </c>
      <c r="E14" s="228">
        <v>35</v>
      </c>
      <c r="F14" s="229">
        <v>2</v>
      </c>
      <c r="G14" s="228">
        <f t="shared" si="0"/>
        <v>70</v>
      </c>
      <c r="H14" s="228">
        <f>G14*1.13</f>
        <v>79.099999999999994</v>
      </c>
      <c r="I14" s="27"/>
      <c r="J14" s="209"/>
    </row>
    <row r="15" spans="1:10" s="129" customFormat="1">
      <c r="A15" s="30"/>
      <c r="B15" s="22"/>
      <c r="C15" s="31"/>
      <c r="D15" s="32"/>
      <c r="E15" s="32"/>
      <c r="F15" s="33"/>
      <c r="G15" s="32"/>
      <c r="H15" s="32"/>
      <c r="I15" s="32"/>
      <c r="J15" s="34"/>
    </row>
    <row r="16" spans="1:10">
      <c r="A16" s="30"/>
      <c r="B16" s="37" t="s">
        <v>700</v>
      </c>
      <c r="C16" s="50"/>
      <c r="D16" s="41"/>
      <c r="E16" s="41"/>
      <c r="F16" s="47"/>
      <c r="G16" s="41"/>
      <c r="H16" s="41">
        <f>SUM(H9:H14)</f>
        <v>398.48</v>
      </c>
      <c r="I16" s="41">
        <f>SUM(I9:I14)</f>
        <v>0</v>
      </c>
      <c r="J16" s="42">
        <f>SUM(J9:J14)</f>
        <v>0</v>
      </c>
    </row>
    <row r="17" spans="1:10">
      <c r="A17" s="20"/>
      <c r="B17" s="21"/>
      <c r="C17" s="21"/>
      <c r="D17" s="43"/>
      <c r="E17" s="43"/>
      <c r="F17" s="44"/>
      <c r="G17" s="43"/>
      <c r="H17" s="43"/>
      <c r="I17" s="43"/>
      <c r="J17" s="45"/>
    </row>
    <row r="18" spans="1:10" ht="16">
      <c r="A18" s="220" t="s">
        <v>701</v>
      </c>
      <c r="B18" s="21"/>
      <c r="C18" s="22"/>
      <c r="D18" s="32"/>
      <c r="E18" s="32"/>
      <c r="F18" s="33"/>
      <c r="G18" s="32"/>
      <c r="H18" s="32"/>
      <c r="I18" s="32"/>
      <c r="J18" s="34"/>
    </row>
    <row r="19" spans="1:10" ht="16">
      <c r="A19" s="286"/>
      <c r="B19" s="287" t="s">
        <v>702</v>
      </c>
      <c r="C19" s="288" t="s">
        <v>703</v>
      </c>
      <c r="D19" s="289" t="s">
        <v>704</v>
      </c>
      <c r="E19" s="289">
        <v>2479.9699999999998</v>
      </c>
      <c r="F19" s="290">
        <v>1</v>
      </c>
      <c r="G19" s="289">
        <f>F19*E19</f>
        <v>2479.9699999999998</v>
      </c>
      <c r="H19" s="289">
        <f>G19</f>
        <v>2479.9699999999998</v>
      </c>
      <c r="I19" s="289"/>
      <c r="J19" s="34"/>
    </row>
    <row r="20" spans="1:10" s="129" customFormat="1">
      <c r="A20" s="30"/>
      <c r="B20" s="22"/>
      <c r="C20" s="22"/>
      <c r="D20" s="32"/>
      <c r="E20" s="32"/>
      <c r="F20" s="33"/>
      <c r="G20" s="32"/>
      <c r="H20" s="32"/>
      <c r="I20" s="32"/>
      <c r="J20" s="34"/>
    </row>
    <row r="21" spans="1:10">
      <c r="A21" s="30"/>
      <c r="B21" s="37" t="s">
        <v>705</v>
      </c>
      <c r="C21" s="46"/>
      <c r="D21" s="41"/>
      <c r="E21" s="41"/>
      <c r="F21" s="47"/>
      <c r="G21" s="41"/>
      <c r="H21" s="41">
        <f>SUM(H19:H20)</f>
        <v>2479.9699999999998</v>
      </c>
      <c r="I21" s="41">
        <f>SUM(I19:I20)</f>
        <v>0</v>
      </c>
      <c r="J21" s="42">
        <f>SUM(J19:J20)</f>
        <v>0</v>
      </c>
    </row>
    <row r="22" spans="1:10">
      <c r="A22" s="30"/>
      <c r="B22" s="22"/>
      <c r="C22" s="22"/>
      <c r="D22" s="32"/>
      <c r="E22" s="32"/>
      <c r="F22" s="33"/>
      <c r="G22" s="32"/>
      <c r="H22" s="32"/>
      <c r="I22" s="32"/>
      <c r="J22" s="34"/>
    </row>
    <row r="23" spans="1:10" ht="16">
      <c r="A23" s="220" t="s">
        <v>706</v>
      </c>
      <c r="B23" s="21"/>
      <c r="C23" s="22"/>
      <c r="D23" s="32"/>
      <c r="E23" s="32"/>
      <c r="F23" s="33"/>
      <c r="G23" s="32"/>
      <c r="H23" s="32"/>
      <c r="I23" s="32"/>
      <c r="J23" s="34"/>
    </row>
    <row r="24" spans="1:10" ht="16">
      <c r="A24" s="30"/>
      <c r="B24" s="226" t="s">
        <v>707</v>
      </c>
      <c r="C24" s="226" t="s">
        <v>428</v>
      </c>
      <c r="D24" s="291" t="s">
        <v>708</v>
      </c>
      <c r="E24" s="228">
        <v>2</v>
      </c>
      <c r="F24" s="291">
        <v>50</v>
      </c>
      <c r="G24" s="228">
        <f>E24*F24</f>
        <v>100</v>
      </c>
      <c r="H24" s="228">
        <f>G24*1.13</f>
        <v>112.99999999999999</v>
      </c>
      <c r="I24" s="27"/>
      <c r="J24" s="29"/>
    </row>
    <row r="25" spans="1:10" ht="16">
      <c r="A25" s="30"/>
      <c r="B25" s="285" t="s">
        <v>709</v>
      </c>
      <c r="C25" s="285" t="s">
        <v>630</v>
      </c>
      <c r="D25" s="292" t="s">
        <v>710</v>
      </c>
      <c r="E25" s="293">
        <v>0.5</v>
      </c>
      <c r="F25" s="292">
        <v>50</v>
      </c>
      <c r="G25" s="293">
        <f t="shared" ref="G25" si="2">E25*F25</f>
        <v>25</v>
      </c>
      <c r="H25" s="293">
        <f t="shared" ref="H25" si="3">G25*1.13</f>
        <v>28.249999999999996</v>
      </c>
      <c r="I25" s="32"/>
      <c r="J25" s="34"/>
    </row>
    <row r="26" spans="1:10" ht="16">
      <c r="A26" s="30"/>
      <c r="B26" s="294" t="s">
        <v>711</v>
      </c>
      <c r="C26" s="294" t="s">
        <v>167</v>
      </c>
      <c r="D26" s="295" t="s">
        <v>692</v>
      </c>
      <c r="E26" s="295">
        <v>0.25</v>
      </c>
      <c r="F26" s="296">
        <v>20</v>
      </c>
      <c r="G26" s="295">
        <f>E26*F26</f>
        <v>5</v>
      </c>
      <c r="H26" s="295">
        <f>G26*1</f>
        <v>5</v>
      </c>
      <c r="I26" s="27"/>
      <c r="J26" s="29"/>
    </row>
    <row r="27" spans="1:10">
      <c r="A27" s="30"/>
      <c r="B27" s="22"/>
      <c r="C27" s="22"/>
      <c r="D27" s="32"/>
      <c r="E27" s="32"/>
      <c r="F27" s="33"/>
      <c r="G27" s="32"/>
      <c r="H27" s="32"/>
      <c r="I27" s="32"/>
      <c r="J27" s="34"/>
    </row>
    <row r="28" spans="1:10">
      <c r="A28" s="30"/>
      <c r="B28" s="37" t="s">
        <v>712</v>
      </c>
      <c r="C28" s="46"/>
      <c r="D28" s="41"/>
      <c r="E28" s="41"/>
      <c r="F28" s="47"/>
      <c r="G28" s="41"/>
      <c r="H28" s="41">
        <f>SUM(H24:H27)</f>
        <v>146.24999999999997</v>
      </c>
      <c r="I28" s="41">
        <f>SUM(I24:I27)</f>
        <v>0</v>
      </c>
      <c r="J28" s="42">
        <f>SUM(J24:J27)</f>
        <v>0</v>
      </c>
    </row>
    <row r="29" spans="1:10">
      <c r="A29" s="30"/>
      <c r="B29" s="22"/>
      <c r="C29" s="22"/>
      <c r="D29" s="32"/>
      <c r="E29" s="32"/>
      <c r="F29" s="33"/>
      <c r="G29" s="32"/>
      <c r="H29" s="32"/>
      <c r="I29" s="32"/>
      <c r="J29" s="34"/>
    </row>
    <row r="30" spans="1:10">
      <c r="A30" s="20" t="s">
        <v>713</v>
      </c>
      <c r="B30" s="21"/>
      <c r="C30" s="22"/>
      <c r="D30" s="32"/>
      <c r="E30" s="32"/>
      <c r="F30" s="33"/>
      <c r="G30" s="32"/>
      <c r="H30" s="32"/>
      <c r="I30" s="32"/>
      <c r="J30" s="34"/>
    </row>
    <row r="31" spans="1:10" ht="16">
      <c r="A31" s="30"/>
      <c r="B31" s="294" t="s">
        <v>714</v>
      </c>
      <c r="C31" s="297" t="s">
        <v>411</v>
      </c>
      <c r="D31" s="295" t="s">
        <v>694</v>
      </c>
      <c r="E31" s="295">
        <v>28</v>
      </c>
      <c r="F31" s="296">
        <v>1</v>
      </c>
      <c r="G31" s="295">
        <f>E31</f>
        <v>28</v>
      </c>
      <c r="H31" s="295">
        <f>G31*1.13</f>
        <v>31.639999999999997</v>
      </c>
      <c r="I31" s="27"/>
      <c r="J31" s="29"/>
    </row>
    <row r="32" spans="1:10" ht="16">
      <c r="A32" s="30"/>
      <c r="B32" s="285" t="s">
        <v>715</v>
      </c>
      <c r="C32" s="298" t="s">
        <v>411</v>
      </c>
      <c r="D32" s="293" t="s">
        <v>412</v>
      </c>
      <c r="E32" s="293">
        <v>35</v>
      </c>
      <c r="F32" s="299">
        <v>1</v>
      </c>
      <c r="G32" s="293">
        <f>E32</f>
        <v>35</v>
      </c>
      <c r="H32" s="293">
        <f>G32*1.13</f>
        <v>39.549999999999997</v>
      </c>
      <c r="I32" s="32"/>
      <c r="J32" s="282"/>
    </row>
    <row r="33" spans="1:10" s="129" customFormat="1">
      <c r="A33" s="30"/>
      <c r="B33" s="22"/>
      <c r="C33" s="22"/>
      <c r="D33" s="32"/>
      <c r="E33" s="32"/>
      <c r="F33" s="33"/>
      <c r="G33" s="32"/>
      <c r="H33" s="32"/>
      <c r="I33" s="32"/>
      <c r="J33" s="34"/>
    </row>
    <row r="34" spans="1:10">
      <c r="A34" s="30"/>
      <c r="B34" s="37" t="s">
        <v>716</v>
      </c>
      <c r="C34" s="46"/>
      <c r="D34" s="41"/>
      <c r="E34" s="41"/>
      <c r="F34" s="47"/>
      <c r="G34" s="41"/>
      <c r="H34" s="41">
        <f>SUM(H31:H33)</f>
        <v>71.19</v>
      </c>
      <c r="I34" s="41">
        <f>SUM(I31:I33)</f>
        <v>0</v>
      </c>
      <c r="J34" s="42">
        <f>SUM(J31:J33)</f>
        <v>0</v>
      </c>
    </row>
    <row r="35" spans="1:10">
      <c r="A35" s="30"/>
      <c r="B35" s="22"/>
      <c r="C35" s="21"/>
      <c r="D35" s="43"/>
      <c r="E35" s="43"/>
      <c r="F35" s="44"/>
      <c r="G35" s="43"/>
      <c r="H35" s="43"/>
      <c r="I35" s="43"/>
      <c r="J35" s="45"/>
    </row>
    <row r="36" spans="1:10">
      <c r="A36" s="20" t="s">
        <v>717</v>
      </c>
      <c r="B36" s="21"/>
      <c r="C36" s="22"/>
      <c r="D36" s="32"/>
      <c r="E36" s="32"/>
      <c r="F36" s="33"/>
      <c r="G36" s="32"/>
      <c r="H36" s="32"/>
      <c r="I36" s="32"/>
      <c r="J36" s="34"/>
    </row>
    <row r="37" spans="1:10">
      <c r="A37" s="20"/>
      <c r="B37" s="52" t="s">
        <v>718</v>
      </c>
      <c r="C37" s="35" t="s">
        <v>719</v>
      </c>
      <c r="D37" s="27" t="s">
        <v>720</v>
      </c>
      <c r="E37" s="27">
        <v>120</v>
      </c>
      <c r="F37" s="28">
        <v>1</v>
      </c>
      <c r="G37" s="27">
        <f t="shared" ref="G37:G42" si="4">E37*F37</f>
        <v>120</v>
      </c>
      <c r="H37" s="27">
        <f>G37*1.13</f>
        <v>135.6</v>
      </c>
      <c r="I37" s="27"/>
      <c r="J37" s="29"/>
    </row>
    <row r="38" spans="1:10" ht="16">
      <c r="A38" s="20"/>
      <c r="B38" s="21" t="s">
        <v>721</v>
      </c>
      <c r="C38" s="230" t="s">
        <v>411</v>
      </c>
      <c r="D38" s="223" t="s">
        <v>694</v>
      </c>
      <c r="E38" s="223">
        <v>28</v>
      </c>
      <c r="F38" s="224">
        <v>2</v>
      </c>
      <c r="G38" s="223">
        <f t="shared" si="4"/>
        <v>56</v>
      </c>
      <c r="H38" s="223">
        <f t="shared" ref="H38:H40" si="5">G38*1.13</f>
        <v>63.279999999999994</v>
      </c>
      <c r="I38" s="32"/>
      <c r="J38" s="34"/>
    </row>
    <row r="39" spans="1:10" ht="16">
      <c r="A39" s="20"/>
      <c r="B39" s="52" t="s">
        <v>722</v>
      </c>
      <c r="C39" s="227" t="s">
        <v>411</v>
      </c>
      <c r="D39" s="228" t="s">
        <v>696</v>
      </c>
      <c r="E39" s="228">
        <v>40</v>
      </c>
      <c r="F39" s="229">
        <v>2</v>
      </c>
      <c r="G39" s="228">
        <f t="shared" si="4"/>
        <v>80</v>
      </c>
      <c r="H39" s="228">
        <f t="shared" si="5"/>
        <v>90.399999999999991</v>
      </c>
      <c r="I39" s="27"/>
      <c r="J39" s="29"/>
    </row>
    <row r="40" spans="1:10" ht="16">
      <c r="A40" s="20"/>
      <c r="B40" s="21" t="s">
        <v>723</v>
      </c>
      <c r="C40" s="230" t="s">
        <v>411</v>
      </c>
      <c r="D40" s="223" t="s">
        <v>698</v>
      </c>
      <c r="E40" s="223">
        <v>70</v>
      </c>
      <c r="F40" s="224">
        <v>2</v>
      </c>
      <c r="G40" s="223">
        <f t="shared" si="4"/>
        <v>140</v>
      </c>
      <c r="H40" s="223">
        <f t="shared" si="5"/>
        <v>158.19999999999999</v>
      </c>
      <c r="I40" s="32"/>
      <c r="J40" s="34"/>
    </row>
    <row r="41" spans="1:10" ht="16">
      <c r="A41" s="20"/>
      <c r="B41" s="52" t="s">
        <v>724</v>
      </c>
      <c r="C41" s="227" t="s">
        <v>411</v>
      </c>
      <c r="D41" s="228" t="s">
        <v>412</v>
      </c>
      <c r="E41" s="228">
        <v>35</v>
      </c>
      <c r="F41" s="229">
        <v>2</v>
      </c>
      <c r="G41" s="228">
        <f t="shared" si="4"/>
        <v>70</v>
      </c>
      <c r="H41" s="228">
        <f>G41*1.13</f>
        <v>79.099999999999994</v>
      </c>
      <c r="I41" s="27"/>
      <c r="J41" s="29"/>
    </row>
    <row r="42" spans="1:10">
      <c r="A42" s="20"/>
      <c r="B42" s="21"/>
      <c r="C42" s="22"/>
      <c r="D42" s="32"/>
      <c r="E42" s="32"/>
      <c r="F42" s="33"/>
      <c r="G42" s="32">
        <f t="shared" si="4"/>
        <v>0</v>
      </c>
      <c r="H42" s="32">
        <f t="shared" ref="H42" si="6">G42*1.13</f>
        <v>0</v>
      </c>
      <c r="I42" s="32"/>
      <c r="J42" s="34"/>
    </row>
    <row r="43" spans="1:10">
      <c r="A43" s="30"/>
      <c r="B43" s="37" t="s">
        <v>725</v>
      </c>
      <c r="C43" s="46"/>
      <c r="D43" s="41"/>
      <c r="E43" s="41"/>
      <c r="F43" s="47"/>
      <c r="G43" s="41"/>
      <c r="H43" s="41">
        <f>SUM(H37:H42)</f>
        <v>526.57999999999993</v>
      </c>
      <c r="I43" s="41">
        <f>SUM(I37:I42)</f>
        <v>0</v>
      </c>
      <c r="J43" s="42">
        <f>SUM(J37:J42)</f>
        <v>0</v>
      </c>
    </row>
    <row r="44" spans="1:10">
      <c r="A44" s="30"/>
      <c r="B44" s="21"/>
      <c r="C44" s="21"/>
      <c r="D44" s="43"/>
      <c r="E44" s="43"/>
      <c r="F44" s="44"/>
      <c r="G44" s="43"/>
      <c r="H44" s="43"/>
      <c r="I44" s="43"/>
      <c r="J44" s="45"/>
    </row>
    <row r="45" spans="1:10">
      <c r="A45" s="20" t="s">
        <v>584</v>
      </c>
      <c r="B45" s="21"/>
      <c r="C45" s="22"/>
      <c r="D45" s="32"/>
      <c r="E45" s="32"/>
      <c r="F45" s="33"/>
      <c r="G45" s="32"/>
      <c r="H45" s="32"/>
      <c r="I45" s="32"/>
      <c r="J45" s="34"/>
    </row>
    <row r="46" spans="1:10">
      <c r="A46" s="20"/>
      <c r="B46" s="52" t="s">
        <v>726</v>
      </c>
      <c r="C46" s="35" t="s">
        <v>1421</v>
      </c>
      <c r="D46" s="27" t="s">
        <v>727</v>
      </c>
      <c r="E46" s="27">
        <v>5</v>
      </c>
      <c r="F46" s="28">
        <v>42</v>
      </c>
      <c r="G46" s="27">
        <f t="shared" ref="G46" si="7">E46*F46</f>
        <v>210</v>
      </c>
      <c r="H46" s="27">
        <f t="shared" ref="H46" si="8">G46*1.13</f>
        <v>237.29999999999998</v>
      </c>
      <c r="I46" s="27"/>
      <c r="J46" s="29"/>
    </row>
    <row r="47" spans="1:10" s="129" customFormat="1">
      <c r="A47" s="20"/>
      <c r="B47" s="21"/>
      <c r="C47" s="22"/>
      <c r="D47" s="32"/>
      <c r="E47" s="32"/>
      <c r="F47" s="33"/>
      <c r="G47" s="32"/>
      <c r="H47" s="32"/>
      <c r="I47" s="32"/>
      <c r="J47" s="34"/>
    </row>
    <row r="48" spans="1:10">
      <c r="A48" s="30"/>
      <c r="B48" s="37" t="s">
        <v>728</v>
      </c>
      <c r="C48" s="46"/>
      <c r="D48" s="41"/>
      <c r="E48" s="41"/>
      <c r="F48" s="47"/>
      <c r="G48" s="41"/>
      <c r="H48" s="41">
        <f>SUM(H46:H47)</f>
        <v>237.29999999999998</v>
      </c>
      <c r="I48" s="41">
        <f>SUM(I46:I47)</f>
        <v>0</v>
      </c>
      <c r="J48" s="42">
        <f>SUM(J46:J47)</f>
        <v>0</v>
      </c>
    </row>
    <row r="49" spans="1:10">
      <c r="A49" s="30"/>
      <c r="B49" s="22"/>
      <c r="C49" s="31"/>
      <c r="D49" s="32"/>
      <c r="E49" s="32"/>
      <c r="F49" s="33"/>
      <c r="G49" s="32"/>
      <c r="H49" s="32"/>
      <c r="I49" s="32"/>
      <c r="J49" s="34"/>
    </row>
    <row r="50" spans="1:10">
      <c r="A50" s="30"/>
      <c r="B50" s="22"/>
      <c r="C50" s="21" t="s">
        <v>13</v>
      </c>
      <c r="D50" s="43"/>
      <c r="E50" s="43"/>
      <c r="F50" s="44"/>
      <c r="G50" s="43"/>
      <c r="H50" s="43">
        <f>H43+H34+H28+H21+H16+H48</f>
        <v>3859.77</v>
      </c>
      <c r="I50" s="43">
        <f>I43+I34+I28+I21+I16+I48</f>
        <v>0</v>
      </c>
      <c r="J50" s="43">
        <f>J43+J34+J28+J21+J16+J48</f>
        <v>0</v>
      </c>
    </row>
    <row r="51" spans="1:10">
      <c r="A51" s="30"/>
      <c r="B51" s="22"/>
      <c r="C51" s="21"/>
      <c r="D51" s="43"/>
      <c r="E51" s="43"/>
      <c r="F51" s="44"/>
      <c r="G51" s="43"/>
      <c r="H51" s="43"/>
      <c r="I51" s="43"/>
      <c r="J51" s="45"/>
    </row>
    <row r="52" spans="1:10">
      <c r="A52" s="497" t="s">
        <v>14</v>
      </c>
      <c r="B52" s="498"/>
      <c r="C52" s="498"/>
      <c r="D52" s="17"/>
      <c r="E52" s="17"/>
      <c r="F52" s="18"/>
      <c r="G52" s="17"/>
      <c r="H52" s="17"/>
      <c r="I52" s="17"/>
      <c r="J52" s="19"/>
    </row>
    <row r="53" spans="1:10">
      <c r="A53" s="20"/>
      <c r="B53" s="52" t="s">
        <v>15</v>
      </c>
      <c r="C53" s="52"/>
      <c r="D53" s="53"/>
      <c r="E53" s="53"/>
      <c r="F53" s="53"/>
      <c r="G53" s="53"/>
      <c r="H53" s="53">
        <f>H6</f>
        <v>0</v>
      </c>
      <c r="I53" s="53">
        <f>I6</f>
        <v>0</v>
      </c>
      <c r="J53" s="54">
        <f>J6</f>
        <v>0</v>
      </c>
    </row>
    <row r="54" spans="1:10">
      <c r="A54" s="20"/>
      <c r="B54" s="21" t="s">
        <v>16</v>
      </c>
      <c r="C54" s="21"/>
      <c r="D54" s="43"/>
      <c r="E54" s="43"/>
      <c r="F54" s="43"/>
      <c r="G54" s="43"/>
      <c r="H54" s="43">
        <f>H50</f>
        <v>3859.77</v>
      </c>
      <c r="I54" s="43">
        <f t="shared" ref="I54:J54" si="9">I50</f>
        <v>0</v>
      </c>
      <c r="J54" s="45">
        <f t="shared" si="9"/>
        <v>0</v>
      </c>
    </row>
    <row r="55" spans="1:10">
      <c r="A55" s="55"/>
      <c r="B55" s="56" t="s">
        <v>17</v>
      </c>
      <c r="C55" s="56"/>
      <c r="D55" s="57"/>
      <c r="E55" s="57"/>
      <c r="F55" s="57"/>
      <c r="G55" s="57"/>
      <c r="H55" s="57">
        <f>H53-H54</f>
        <v>-3859.77</v>
      </c>
      <c r="I55" s="57">
        <f t="shared" ref="I55:J55" si="10">I53-I54</f>
        <v>0</v>
      </c>
      <c r="J55" s="58">
        <f t="shared" si="10"/>
        <v>0</v>
      </c>
    </row>
  </sheetData>
  <mergeCells count="4">
    <mergeCell ref="A1:J1"/>
    <mergeCell ref="A4:C4"/>
    <mergeCell ref="A8:C8"/>
    <mergeCell ref="A52:C5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84"/>
  <sheetViews>
    <sheetView tabSelected="1" topLeftCell="A129" workbookViewId="0">
      <selection activeCell="C158" sqref="C158"/>
    </sheetView>
  </sheetViews>
  <sheetFormatPr baseColWidth="10" defaultRowHeight="15" x14ac:dyDescent="0"/>
  <cols>
    <col min="3" max="3" width="31.5" customWidth="1"/>
    <col min="4" max="4" width="30.5" customWidth="1"/>
    <col min="5" max="5" width="11.83203125" bestFit="1" customWidth="1"/>
    <col min="7" max="7" width="11.83203125" bestFit="1" customWidth="1"/>
    <col min="8" max="8" width="16.33203125" bestFit="1" customWidth="1"/>
  </cols>
  <sheetData>
    <row r="1" spans="1:10" ht="28">
      <c r="A1" s="509" t="s">
        <v>1392</v>
      </c>
      <c r="B1" s="510"/>
      <c r="C1" s="510"/>
      <c r="D1" s="510"/>
      <c r="E1" s="510"/>
      <c r="F1" s="510"/>
      <c r="G1" s="510"/>
      <c r="H1" s="510"/>
      <c r="I1" s="510"/>
      <c r="J1" s="511"/>
    </row>
    <row r="2" spans="1:10" ht="16">
      <c r="A2" s="69"/>
      <c r="B2" s="70" t="s">
        <v>0</v>
      </c>
      <c r="C2" s="71" t="s">
        <v>1</v>
      </c>
      <c r="D2" s="300" t="s">
        <v>2</v>
      </c>
      <c r="E2" s="72" t="s">
        <v>3</v>
      </c>
      <c r="F2" s="73" t="s">
        <v>4</v>
      </c>
      <c r="G2" s="74" t="s">
        <v>5</v>
      </c>
      <c r="H2" s="74" t="s">
        <v>6</v>
      </c>
      <c r="I2" s="74" t="s">
        <v>7</v>
      </c>
      <c r="J2" s="75" t="s">
        <v>8</v>
      </c>
    </row>
    <row r="3" spans="1:10" ht="16">
      <c r="A3" s="76"/>
      <c r="B3" s="77"/>
      <c r="C3" s="78"/>
      <c r="D3" s="301"/>
      <c r="E3" s="80"/>
      <c r="F3" s="81"/>
      <c r="G3" s="80"/>
      <c r="H3" s="80"/>
      <c r="I3" s="80"/>
      <c r="J3" s="82"/>
    </row>
    <row r="4" spans="1:10" ht="16">
      <c r="A4" s="472" t="s">
        <v>9</v>
      </c>
      <c r="B4" s="473"/>
      <c r="C4" s="473"/>
      <c r="D4" s="302"/>
      <c r="E4" s="83"/>
      <c r="F4" s="84"/>
      <c r="G4" s="83"/>
      <c r="H4" s="83"/>
      <c r="I4" s="83"/>
      <c r="J4" s="85"/>
    </row>
    <row r="5" spans="1:10" ht="16">
      <c r="A5" s="86" t="s">
        <v>729</v>
      </c>
      <c r="B5" s="87"/>
      <c r="C5" s="88"/>
      <c r="D5" s="303"/>
      <c r="E5" s="89"/>
      <c r="F5" s="90"/>
      <c r="G5" s="89"/>
      <c r="H5" s="89"/>
      <c r="I5" s="89"/>
      <c r="J5" s="91"/>
    </row>
    <row r="6" spans="1:10" ht="16">
      <c r="A6" s="122"/>
      <c r="B6" s="103" t="s">
        <v>730</v>
      </c>
      <c r="C6" s="164"/>
      <c r="D6" s="304"/>
      <c r="E6" s="165"/>
      <c r="F6" s="166"/>
      <c r="G6" s="165"/>
      <c r="H6" s="67">
        <v>0</v>
      </c>
      <c r="I6" s="67">
        <f>SUM(I5:I5)</f>
        <v>0</v>
      </c>
      <c r="J6" s="68">
        <f>SUM(J5:J5)</f>
        <v>0</v>
      </c>
    </row>
    <row r="7" spans="1:10" ht="16">
      <c r="A7" s="86" t="s">
        <v>731</v>
      </c>
      <c r="B7" s="21"/>
      <c r="C7" s="22"/>
      <c r="D7" s="23"/>
      <c r="E7" s="23"/>
      <c r="F7" s="24"/>
      <c r="G7" s="23"/>
      <c r="H7" s="23"/>
      <c r="I7" s="23"/>
      <c r="J7" s="25"/>
    </row>
    <row r="8" spans="1:10">
      <c r="A8" s="20"/>
      <c r="B8" s="305" t="s">
        <v>966</v>
      </c>
      <c r="C8" s="26" t="s">
        <v>732</v>
      </c>
      <c r="D8" s="27" t="s">
        <v>733</v>
      </c>
      <c r="E8" s="27">
        <v>45</v>
      </c>
      <c r="F8" s="28">
        <v>80</v>
      </c>
      <c r="G8" s="27">
        <f>E8*F8</f>
        <v>3600</v>
      </c>
      <c r="H8" s="27">
        <f>G8</f>
        <v>3600</v>
      </c>
      <c r="I8" s="27"/>
      <c r="J8" s="29"/>
    </row>
    <row r="9" spans="1:10" ht="16">
      <c r="A9" s="30"/>
      <c r="B9" s="403" t="s">
        <v>967</v>
      </c>
      <c r="C9" s="169" t="s">
        <v>734</v>
      </c>
      <c r="D9" s="32" t="s">
        <v>735</v>
      </c>
      <c r="E9" s="119">
        <v>10</v>
      </c>
      <c r="F9" s="120">
        <v>400</v>
      </c>
      <c r="G9" s="119">
        <f>F9*E9</f>
        <v>4000</v>
      </c>
      <c r="H9" s="32">
        <f t="shared" ref="H9:H12" si="0">G9</f>
        <v>4000</v>
      </c>
      <c r="I9" s="32"/>
      <c r="J9" s="34"/>
    </row>
    <row r="10" spans="1:10">
      <c r="A10" s="30"/>
      <c r="B10" s="305" t="s">
        <v>968</v>
      </c>
      <c r="C10" s="167" t="s">
        <v>736</v>
      </c>
      <c r="D10" s="27" t="s">
        <v>737</v>
      </c>
      <c r="E10" s="27">
        <v>100</v>
      </c>
      <c r="F10" s="28">
        <v>5</v>
      </c>
      <c r="G10" s="27">
        <f t="shared" ref="G10" si="1">E10*F10</f>
        <v>500</v>
      </c>
      <c r="H10" s="27">
        <f t="shared" si="0"/>
        <v>500</v>
      </c>
      <c r="I10" s="27"/>
      <c r="J10" s="29"/>
    </row>
    <row r="11" spans="1:10">
      <c r="A11" s="30"/>
      <c r="B11" s="403" t="s">
        <v>969</v>
      </c>
      <c r="C11" s="169" t="s">
        <v>738</v>
      </c>
      <c r="D11" s="32"/>
      <c r="E11" s="32">
        <v>25</v>
      </c>
      <c r="F11" s="33">
        <v>16</v>
      </c>
      <c r="G11" s="32">
        <f>E11*F11</f>
        <v>400</v>
      </c>
      <c r="H11" s="32">
        <f t="shared" si="0"/>
        <v>400</v>
      </c>
      <c r="I11" s="32"/>
      <c r="J11" s="34"/>
    </row>
    <row r="12" spans="1:10">
      <c r="A12" s="30"/>
      <c r="B12" s="305" t="s">
        <v>970</v>
      </c>
      <c r="C12" s="167" t="s">
        <v>739</v>
      </c>
      <c r="D12" s="27"/>
      <c r="E12" s="27">
        <v>2</v>
      </c>
      <c r="F12" s="28">
        <v>24</v>
      </c>
      <c r="G12" s="27">
        <f>E12*F12</f>
        <v>48</v>
      </c>
      <c r="H12" s="27">
        <f t="shared" si="0"/>
        <v>48</v>
      </c>
      <c r="I12" s="27"/>
      <c r="J12" s="29"/>
    </row>
    <row r="13" spans="1:10" ht="16">
      <c r="A13" s="122"/>
      <c r="B13" s="103" t="s">
        <v>740</v>
      </c>
      <c r="C13" s="306"/>
      <c r="D13" s="165"/>
      <c r="E13" s="165"/>
      <c r="F13" s="166"/>
      <c r="G13" s="165"/>
      <c r="H13" s="67">
        <f>SUM(H7:H12)</f>
        <v>8548</v>
      </c>
      <c r="I13" s="67">
        <f>SUM(I7:I12)</f>
        <v>0</v>
      </c>
      <c r="J13" s="68">
        <f>SUM(J7:J12)</f>
        <v>0</v>
      </c>
    </row>
    <row r="14" spans="1:10" ht="16">
      <c r="A14" s="122" t="s">
        <v>741</v>
      </c>
      <c r="B14" s="21"/>
      <c r="C14" s="31"/>
      <c r="D14" s="32"/>
      <c r="E14" s="32"/>
      <c r="F14" s="33"/>
      <c r="G14" s="32"/>
      <c r="H14" s="43"/>
      <c r="I14" s="43"/>
      <c r="J14" s="45"/>
    </row>
    <row r="15" spans="1:10" ht="16">
      <c r="A15" s="307" t="s">
        <v>742</v>
      </c>
      <c r="B15" s="87" t="s">
        <v>971</v>
      </c>
      <c r="C15" s="88" t="s">
        <v>743</v>
      </c>
      <c r="D15" s="119" t="s">
        <v>744</v>
      </c>
      <c r="E15" s="89">
        <v>200</v>
      </c>
      <c r="F15" s="120">
        <v>2</v>
      </c>
      <c r="G15" s="89">
        <f>E15*F15</f>
        <v>400</v>
      </c>
      <c r="H15" s="119">
        <f>G15</f>
        <v>400</v>
      </c>
      <c r="I15" s="89"/>
      <c r="J15" s="91"/>
    </row>
    <row r="16" spans="1:10" ht="16">
      <c r="A16" s="307"/>
      <c r="B16" s="87" t="s">
        <v>972</v>
      </c>
      <c r="C16" s="92" t="s">
        <v>1422</v>
      </c>
      <c r="D16" s="94" t="s">
        <v>745</v>
      </c>
      <c r="E16" s="94">
        <v>10</v>
      </c>
      <c r="F16" s="95">
        <v>4</v>
      </c>
      <c r="G16" s="94">
        <f>E16*F16</f>
        <v>40</v>
      </c>
      <c r="H16" s="94">
        <f t="shared" ref="H16:H19" si="2">G16</f>
        <v>40</v>
      </c>
      <c r="I16" s="94"/>
      <c r="J16" s="96"/>
    </row>
    <row r="17" spans="1:10" ht="16">
      <c r="A17" s="51"/>
      <c r="B17" s="87" t="s">
        <v>973</v>
      </c>
      <c r="C17" s="124" t="s">
        <v>746</v>
      </c>
      <c r="D17" s="119" t="s">
        <v>747</v>
      </c>
      <c r="E17" s="119">
        <v>100</v>
      </c>
      <c r="F17" s="120">
        <v>1</v>
      </c>
      <c r="G17" s="119">
        <f t="shared" ref="G17:G18" si="3">E17*F17</f>
        <v>100</v>
      </c>
      <c r="H17" s="119">
        <f t="shared" si="2"/>
        <v>100</v>
      </c>
      <c r="I17" s="119"/>
      <c r="J17" s="121"/>
    </row>
    <row r="18" spans="1:10" ht="16">
      <c r="A18" s="51"/>
      <c r="B18" s="87" t="s">
        <v>974</v>
      </c>
      <c r="C18" s="123" t="s">
        <v>748</v>
      </c>
      <c r="D18" s="94" t="s">
        <v>749</v>
      </c>
      <c r="E18" s="94">
        <v>40</v>
      </c>
      <c r="F18" s="95">
        <v>1</v>
      </c>
      <c r="G18" s="94">
        <f t="shared" si="3"/>
        <v>40</v>
      </c>
      <c r="H18" s="94">
        <f t="shared" si="2"/>
        <v>40</v>
      </c>
      <c r="I18" s="94"/>
      <c r="J18" s="96"/>
    </row>
    <row r="19" spans="1:10" ht="16">
      <c r="A19" s="51"/>
      <c r="B19" s="87" t="s">
        <v>975</v>
      </c>
      <c r="C19" s="124" t="s">
        <v>750</v>
      </c>
      <c r="D19" s="119" t="s">
        <v>751</v>
      </c>
      <c r="E19" s="119">
        <v>200</v>
      </c>
      <c r="F19" s="120">
        <v>1</v>
      </c>
      <c r="G19" s="119">
        <v>200</v>
      </c>
      <c r="H19" s="119">
        <f t="shared" si="2"/>
        <v>200</v>
      </c>
      <c r="I19" s="119"/>
      <c r="J19" s="121"/>
    </row>
    <row r="20" spans="1:10" ht="16">
      <c r="A20" s="51"/>
      <c r="B20" s="103" t="s">
        <v>752</v>
      </c>
      <c r="C20" s="306"/>
      <c r="D20" s="165"/>
      <c r="E20" s="165"/>
      <c r="F20" s="166"/>
      <c r="G20" s="165"/>
      <c r="H20" s="67">
        <f>SUM(H15:H18)</f>
        <v>580</v>
      </c>
      <c r="I20" s="67">
        <f>SUM(I15:I18)</f>
        <v>0</v>
      </c>
      <c r="J20" s="68">
        <f>SUM(J15:J18)</f>
        <v>0</v>
      </c>
    </row>
    <row r="21" spans="1:10" ht="16">
      <c r="A21" s="307"/>
      <c r="B21" s="87"/>
      <c r="C21" s="87"/>
      <c r="D21" s="107"/>
      <c r="E21" s="107"/>
      <c r="F21" s="108"/>
      <c r="G21" s="107"/>
      <c r="H21" s="107"/>
      <c r="I21" s="107"/>
      <c r="J21" s="109"/>
    </row>
    <row r="22" spans="1:10" ht="16">
      <c r="A22" s="307" t="s">
        <v>753</v>
      </c>
      <c r="B22" s="87"/>
      <c r="C22" s="97"/>
      <c r="D22" s="119"/>
      <c r="E22" s="119"/>
      <c r="F22" s="120"/>
      <c r="G22" s="119"/>
      <c r="H22" s="119"/>
      <c r="I22" s="119"/>
      <c r="J22" s="121"/>
    </row>
    <row r="23" spans="1:10" ht="16">
      <c r="A23" s="51"/>
      <c r="B23" s="87" t="s">
        <v>976</v>
      </c>
      <c r="C23" s="88" t="s">
        <v>743</v>
      </c>
      <c r="D23" s="119" t="s">
        <v>744</v>
      </c>
      <c r="E23" s="89">
        <v>200</v>
      </c>
      <c r="F23" s="120">
        <v>2</v>
      </c>
      <c r="G23" s="89">
        <f>E23*F23</f>
        <v>400</v>
      </c>
      <c r="H23" s="89">
        <f>G23</f>
        <v>400</v>
      </c>
      <c r="I23" s="89"/>
      <c r="J23" s="91"/>
    </row>
    <row r="24" spans="1:10" ht="16">
      <c r="A24" s="122"/>
      <c r="B24" s="87" t="s">
        <v>977</v>
      </c>
      <c r="C24" s="92" t="s">
        <v>1422</v>
      </c>
      <c r="D24" s="94" t="s">
        <v>745</v>
      </c>
      <c r="E24" s="94">
        <v>10</v>
      </c>
      <c r="F24" s="95">
        <v>4</v>
      </c>
      <c r="G24" s="94">
        <f>E24*F24</f>
        <v>40</v>
      </c>
      <c r="H24" s="94">
        <f>G24</f>
        <v>40</v>
      </c>
      <c r="I24" s="94"/>
      <c r="J24" s="96"/>
    </row>
    <row r="25" spans="1:10" ht="16">
      <c r="A25" s="122"/>
      <c r="B25" s="87" t="s">
        <v>978</v>
      </c>
      <c r="C25" s="124" t="s">
        <v>746</v>
      </c>
      <c r="D25" s="119" t="s">
        <v>747</v>
      </c>
      <c r="E25" s="119">
        <v>100</v>
      </c>
      <c r="F25" s="120">
        <v>1</v>
      </c>
      <c r="G25" s="119">
        <f t="shared" ref="G25:G26" si="4">E25*F25</f>
        <v>100</v>
      </c>
      <c r="H25" s="119">
        <f>G25</f>
        <v>100</v>
      </c>
      <c r="I25" s="119"/>
      <c r="J25" s="121"/>
    </row>
    <row r="26" spans="1:10" ht="16">
      <c r="A26" s="122"/>
      <c r="B26" s="87" t="s">
        <v>979</v>
      </c>
      <c r="C26" s="123" t="s">
        <v>748</v>
      </c>
      <c r="D26" s="94" t="s">
        <v>749</v>
      </c>
      <c r="E26" s="94">
        <v>40</v>
      </c>
      <c r="F26" s="95">
        <v>1</v>
      </c>
      <c r="G26" s="94">
        <f t="shared" si="4"/>
        <v>40</v>
      </c>
      <c r="H26" s="94">
        <f>G26</f>
        <v>40</v>
      </c>
      <c r="I26" s="94"/>
      <c r="J26" s="96"/>
    </row>
    <row r="27" spans="1:10" ht="16">
      <c r="A27" s="122"/>
      <c r="B27" s="87" t="s">
        <v>980</v>
      </c>
      <c r="C27" s="124" t="s">
        <v>754</v>
      </c>
      <c r="D27" s="119" t="s">
        <v>751</v>
      </c>
      <c r="E27" s="119">
        <v>200</v>
      </c>
      <c r="F27" s="120">
        <v>1</v>
      </c>
      <c r="G27" s="119">
        <f>E27</f>
        <v>200</v>
      </c>
      <c r="H27" s="119">
        <f>G27</f>
        <v>200</v>
      </c>
      <c r="I27" s="119"/>
      <c r="J27" s="121"/>
    </row>
    <row r="28" spans="1:10">
      <c r="A28" s="20"/>
      <c r="B28" s="37" t="s">
        <v>755</v>
      </c>
      <c r="C28" s="46"/>
      <c r="D28" s="41"/>
      <c r="E28" s="41"/>
      <c r="F28" s="47"/>
      <c r="G28" s="41"/>
      <c r="H28" s="41">
        <f>SUM(H23:H27)</f>
        <v>780</v>
      </c>
      <c r="I28" s="41">
        <f>SUM(I23:I27)</f>
        <v>0</v>
      </c>
      <c r="J28" s="42">
        <f>SUM(J23:J27)</f>
        <v>0</v>
      </c>
    </row>
    <row r="29" spans="1:10" ht="16">
      <c r="A29" s="122"/>
      <c r="B29" s="103" t="s">
        <v>740</v>
      </c>
      <c r="C29" s="306"/>
      <c r="D29" s="165"/>
      <c r="E29" s="165"/>
      <c r="F29" s="166"/>
      <c r="G29" s="165"/>
      <c r="H29" s="67">
        <f>SUM(H28,H20)</f>
        <v>1360</v>
      </c>
      <c r="I29" s="67">
        <f t="shared" ref="I29:J29" si="5">SUM(I28,I20)</f>
        <v>0</v>
      </c>
      <c r="J29" s="68">
        <f t="shared" si="5"/>
        <v>0</v>
      </c>
    </row>
    <row r="30" spans="1:10" ht="16">
      <c r="A30" s="122" t="s">
        <v>756</v>
      </c>
      <c r="B30" s="308"/>
      <c r="C30" s="309"/>
      <c r="D30" s="100"/>
      <c r="E30" s="100"/>
      <c r="F30" s="101"/>
      <c r="G30" s="100"/>
      <c r="H30" s="104"/>
      <c r="I30" s="104"/>
      <c r="J30" s="105"/>
    </row>
    <row r="31" spans="1:10" ht="16">
      <c r="A31" s="122"/>
      <c r="B31" s="103" t="s">
        <v>757</v>
      </c>
      <c r="C31" s="306"/>
      <c r="D31" s="165"/>
      <c r="E31" s="165"/>
      <c r="F31" s="166"/>
      <c r="G31" s="165"/>
      <c r="H31" s="67">
        <f>SUM(H30,H22)</f>
        <v>0</v>
      </c>
      <c r="I31" s="67">
        <f t="shared" ref="I31:J31" si="6">SUM(I30,I22)</f>
        <v>0</v>
      </c>
      <c r="J31" s="68">
        <f t="shared" si="6"/>
        <v>0</v>
      </c>
    </row>
    <row r="32" spans="1:10" ht="16">
      <c r="A32" s="122" t="s">
        <v>758</v>
      </c>
      <c r="B32" s="310"/>
      <c r="C32" s="311"/>
      <c r="D32" s="312"/>
      <c r="E32" s="312"/>
      <c r="F32" s="313"/>
      <c r="G32" s="312"/>
      <c r="H32" s="79"/>
      <c r="I32" s="79"/>
      <c r="J32" s="82"/>
    </row>
    <row r="33" spans="1:10">
      <c r="A33" s="20"/>
      <c r="B33" s="168" t="s">
        <v>981</v>
      </c>
      <c r="C33" s="168" t="s">
        <v>759</v>
      </c>
      <c r="D33" s="32"/>
      <c r="E33" s="32"/>
      <c r="F33" s="33"/>
      <c r="G33" s="32">
        <v>100</v>
      </c>
      <c r="H33" s="32">
        <f>G33</f>
        <v>100</v>
      </c>
      <c r="I33" s="32"/>
      <c r="J33" s="34"/>
    </row>
    <row r="34" spans="1:10" ht="16">
      <c r="A34" s="122"/>
      <c r="B34" s="103" t="s">
        <v>760</v>
      </c>
      <c r="C34" s="306"/>
      <c r="D34" s="165"/>
      <c r="E34" s="165"/>
      <c r="F34" s="166"/>
      <c r="G34" s="165"/>
      <c r="H34" s="67">
        <f>SUM(H33)</f>
        <v>100</v>
      </c>
      <c r="I34" s="67">
        <f t="shared" ref="I34:J34" si="7">SUM(I33)</f>
        <v>0</v>
      </c>
      <c r="J34" s="68">
        <f t="shared" si="7"/>
        <v>0</v>
      </c>
    </row>
    <row r="35" spans="1:10" ht="16">
      <c r="A35" s="122" t="s">
        <v>761</v>
      </c>
      <c r="B35" s="87"/>
      <c r="C35" s="314"/>
      <c r="D35" s="119"/>
      <c r="E35" s="119"/>
      <c r="F35" s="120"/>
      <c r="G35" s="119"/>
      <c r="H35" s="107"/>
      <c r="I35" s="107"/>
      <c r="J35" s="109"/>
    </row>
    <row r="36" spans="1:10" ht="16">
      <c r="A36" s="86"/>
      <c r="B36" s="92" t="s">
        <v>982</v>
      </c>
      <c r="C36" s="92" t="s">
        <v>762</v>
      </c>
      <c r="D36" s="94"/>
      <c r="E36" s="94">
        <v>25</v>
      </c>
      <c r="F36" s="95">
        <v>32</v>
      </c>
      <c r="G36" s="94">
        <f>E36*F36</f>
        <v>800</v>
      </c>
      <c r="H36" s="94">
        <f>G36</f>
        <v>800</v>
      </c>
      <c r="I36" s="94"/>
      <c r="J36" s="96"/>
    </row>
    <row r="37" spans="1:10" ht="16">
      <c r="A37" s="122"/>
      <c r="B37" s="88" t="s">
        <v>983</v>
      </c>
      <c r="C37" s="124" t="s">
        <v>763</v>
      </c>
      <c r="D37" s="119" t="s">
        <v>10</v>
      </c>
      <c r="E37" s="119">
        <v>30</v>
      </c>
      <c r="F37" s="120">
        <v>20</v>
      </c>
      <c r="G37" s="119">
        <f t="shared" ref="G37:G43" si="8">E37*F37</f>
        <v>600</v>
      </c>
      <c r="H37" s="119">
        <f t="shared" ref="H37:H43" si="9">G37</f>
        <v>600</v>
      </c>
      <c r="I37" s="119"/>
      <c r="J37" s="121"/>
    </row>
    <row r="38" spans="1:10" ht="16">
      <c r="A38" s="122"/>
      <c r="B38" s="92" t="s">
        <v>984</v>
      </c>
      <c r="C38" s="123" t="s">
        <v>764</v>
      </c>
      <c r="D38" s="94"/>
      <c r="E38" s="94">
        <v>5</v>
      </c>
      <c r="F38" s="95">
        <v>110</v>
      </c>
      <c r="G38" s="94">
        <f t="shared" si="8"/>
        <v>550</v>
      </c>
      <c r="H38" s="94">
        <f t="shared" si="9"/>
        <v>550</v>
      </c>
      <c r="I38" s="94"/>
      <c r="J38" s="96"/>
    </row>
    <row r="39" spans="1:10" ht="16">
      <c r="A39" s="122"/>
      <c r="B39" s="88" t="s">
        <v>985</v>
      </c>
      <c r="C39" s="124" t="s">
        <v>765</v>
      </c>
      <c r="D39" s="119"/>
      <c r="E39" s="119">
        <v>5</v>
      </c>
      <c r="F39" s="120">
        <v>160</v>
      </c>
      <c r="G39" s="119">
        <f t="shared" si="8"/>
        <v>800</v>
      </c>
      <c r="H39" s="119">
        <f t="shared" si="9"/>
        <v>800</v>
      </c>
      <c r="I39" s="119"/>
      <c r="J39" s="121"/>
    </row>
    <row r="40" spans="1:10" ht="16">
      <c r="A40" s="122"/>
      <c r="B40" s="92" t="s">
        <v>986</v>
      </c>
      <c r="C40" s="123" t="s">
        <v>766</v>
      </c>
      <c r="D40" s="94"/>
      <c r="E40" s="94">
        <v>10</v>
      </c>
      <c r="F40" s="95">
        <v>30</v>
      </c>
      <c r="G40" s="94">
        <f t="shared" si="8"/>
        <v>300</v>
      </c>
      <c r="H40" s="94">
        <f t="shared" si="9"/>
        <v>300</v>
      </c>
      <c r="I40" s="94"/>
      <c r="J40" s="96"/>
    </row>
    <row r="41" spans="1:10" ht="16">
      <c r="A41" s="122"/>
      <c r="B41" s="88" t="s">
        <v>987</v>
      </c>
      <c r="C41" s="124" t="s">
        <v>767</v>
      </c>
      <c r="D41" s="119"/>
      <c r="E41" s="119">
        <v>15</v>
      </c>
      <c r="F41" s="120">
        <v>150</v>
      </c>
      <c r="G41" s="119">
        <f t="shared" si="8"/>
        <v>2250</v>
      </c>
      <c r="H41" s="119">
        <f t="shared" si="9"/>
        <v>2250</v>
      </c>
      <c r="I41" s="119"/>
      <c r="J41" s="121"/>
    </row>
    <row r="42" spans="1:10" ht="16">
      <c r="A42" s="122"/>
      <c r="B42" s="92" t="s">
        <v>988</v>
      </c>
      <c r="C42" s="123" t="s">
        <v>768</v>
      </c>
      <c r="D42" s="94"/>
      <c r="E42" s="94">
        <v>5</v>
      </c>
      <c r="F42" s="95">
        <v>75</v>
      </c>
      <c r="G42" s="94">
        <f t="shared" si="8"/>
        <v>375</v>
      </c>
      <c r="H42" s="94">
        <f t="shared" si="9"/>
        <v>375</v>
      </c>
      <c r="I42" s="94"/>
      <c r="J42" s="96"/>
    </row>
    <row r="43" spans="1:10" ht="16">
      <c r="A43" s="122"/>
      <c r="B43" s="88" t="s">
        <v>989</v>
      </c>
      <c r="C43" s="124" t="s">
        <v>769</v>
      </c>
      <c r="D43" s="119"/>
      <c r="E43" s="119">
        <v>5</v>
      </c>
      <c r="F43" s="120">
        <v>110</v>
      </c>
      <c r="G43" s="119">
        <f t="shared" si="8"/>
        <v>550</v>
      </c>
      <c r="H43" s="119">
        <f t="shared" si="9"/>
        <v>550</v>
      </c>
      <c r="I43" s="119"/>
      <c r="J43" s="121"/>
    </row>
    <row r="44" spans="1:10" ht="16">
      <c r="A44" s="122"/>
      <c r="B44" s="103" t="s">
        <v>770</v>
      </c>
      <c r="C44" s="306"/>
      <c r="D44" s="165"/>
      <c r="E44" s="165"/>
      <c r="F44" s="166"/>
      <c r="G44" s="165"/>
      <c r="H44" s="67">
        <f>SUM(H36:H43)</f>
        <v>6225</v>
      </c>
      <c r="I44" s="67">
        <f>SUM(I36:I42)</f>
        <v>0</v>
      </c>
      <c r="J44" s="68">
        <f>SUM(J36:J42)</f>
        <v>0</v>
      </c>
    </row>
    <row r="45" spans="1:10" ht="16">
      <c r="A45" s="122" t="s">
        <v>771</v>
      </c>
      <c r="B45" s="308"/>
      <c r="C45" s="309"/>
      <c r="D45" s="100"/>
      <c r="E45" s="100"/>
      <c r="F45" s="101"/>
      <c r="G45" s="100"/>
      <c r="H45" s="104"/>
      <c r="I45" s="104"/>
      <c r="J45" s="105"/>
    </row>
    <row r="46" spans="1:10" ht="16">
      <c r="A46" s="122"/>
      <c r="B46" s="103" t="s">
        <v>772</v>
      </c>
      <c r="C46" s="306"/>
      <c r="D46" s="165"/>
      <c r="E46" s="165"/>
      <c r="F46" s="166"/>
      <c r="G46" s="165"/>
      <c r="H46" s="67">
        <v>0</v>
      </c>
      <c r="I46" s="67">
        <f>SUM(I45,I38)</f>
        <v>0</v>
      </c>
      <c r="J46" s="68">
        <f>SUM(J45,J38)</f>
        <v>0</v>
      </c>
    </row>
    <row r="47" spans="1:10" ht="16">
      <c r="A47" s="122"/>
      <c r="B47" s="310"/>
      <c r="C47" s="311"/>
      <c r="D47" s="312"/>
      <c r="E47" s="312"/>
      <c r="F47" s="313"/>
      <c r="G47" s="312"/>
      <c r="H47" s="79"/>
      <c r="I47" s="79"/>
      <c r="J47" s="82"/>
    </row>
    <row r="48" spans="1:10" ht="16">
      <c r="A48" s="122"/>
      <c r="B48" s="87"/>
      <c r="C48" s="314" t="s">
        <v>11</v>
      </c>
      <c r="D48" s="119"/>
      <c r="E48" s="119"/>
      <c r="F48" s="120"/>
      <c r="G48" s="119"/>
      <c r="H48" s="107">
        <f>SUM(H46,H44,H34,H31,H29,H13)</f>
        <v>16233</v>
      </c>
      <c r="I48" s="107"/>
      <c r="J48" s="109"/>
    </row>
    <row r="49" spans="1:10" ht="16">
      <c r="A49" s="122"/>
      <c r="B49" s="308"/>
      <c r="C49" s="309"/>
      <c r="D49" s="100"/>
      <c r="E49" s="100"/>
      <c r="F49" s="101"/>
      <c r="G49" s="100"/>
      <c r="H49" s="104"/>
      <c r="I49" s="104"/>
      <c r="J49" s="105"/>
    </row>
    <row r="50" spans="1:10" ht="16">
      <c r="A50" s="472" t="s">
        <v>12</v>
      </c>
      <c r="B50" s="473"/>
      <c r="C50" s="473"/>
      <c r="D50" s="302"/>
      <c r="E50" s="117"/>
      <c r="F50" s="118"/>
      <c r="G50" s="117"/>
      <c r="H50" s="117"/>
      <c r="I50" s="117"/>
      <c r="J50" s="85"/>
    </row>
    <row r="51" spans="1:10" ht="16">
      <c r="A51" s="86" t="s">
        <v>729</v>
      </c>
      <c r="B51" s="87"/>
      <c r="C51" s="315"/>
      <c r="D51" s="316"/>
      <c r="E51" s="107"/>
      <c r="F51" s="108"/>
      <c r="G51" s="107"/>
      <c r="H51" s="107"/>
      <c r="I51" s="107"/>
      <c r="J51" s="109"/>
    </row>
    <row r="52" spans="1:10" ht="16">
      <c r="A52" s="122"/>
      <c r="B52" s="88" t="s">
        <v>990</v>
      </c>
      <c r="C52" s="124" t="s">
        <v>773</v>
      </c>
      <c r="D52" s="317" t="s">
        <v>774</v>
      </c>
      <c r="E52" s="119">
        <v>200</v>
      </c>
      <c r="F52" s="120">
        <v>1</v>
      </c>
      <c r="G52" s="119">
        <v>200</v>
      </c>
      <c r="H52" s="119">
        <v>226</v>
      </c>
      <c r="I52" s="119"/>
      <c r="J52" s="121"/>
    </row>
    <row r="53" spans="1:10" ht="16">
      <c r="A53" s="122"/>
      <c r="B53" s="88" t="s">
        <v>991</v>
      </c>
      <c r="C53" s="123" t="s">
        <v>775</v>
      </c>
      <c r="D53" s="318" t="s">
        <v>776</v>
      </c>
      <c r="E53" s="94">
        <v>153</v>
      </c>
      <c r="F53" s="95">
        <v>1</v>
      </c>
      <c r="G53" s="94">
        <v>153</v>
      </c>
      <c r="H53" s="94">
        <f>G53</f>
        <v>153</v>
      </c>
      <c r="I53" s="94"/>
      <c r="J53" s="96"/>
    </row>
    <row r="54" spans="1:10" ht="16">
      <c r="A54" s="122"/>
      <c r="B54" s="88" t="s">
        <v>992</v>
      </c>
      <c r="C54" s="124" t="s">
        <v>1223</v>
      </c>
      <c r="D54" s="317" t="s">
        <v>1224</v>
      </c>
      <c r="E54" s="119">
        <v>20</v>
      </c>
      <c r="F54" s="120">
        <v>1</v>
      </c>
      <c r="G54" s="119">
        <f>E54</f>
        <v>20</v>
      </c>
      <c r="H54" s="119">
        <f>G54</f>
        <v>20</v>
      </c>
      <c r="I54" s="119"/>
      <c r="J54" s="121"/>
    </row>
    <row r="55" spans="1:10" ht="16">
      <c r="A55" s="122"/>
      <c r="B55" s="88" t="s">
        <v>993</v>
      </c>
      <c r="C55" s="123" t="s">
        <v>777</v>
      </c>
      <c r="D55" s="318" t="s">
        <v>778</v>
      </c>
      <c r="E55" s="94">
        <v>20</v>
      </c>
      <c r="F55" s="95">
        <v>1</v>
      </c>
      <c r="G55" s="94">
        <f>E55</f>
        <v>20</v>
      </c>
      <c r="H55" s="94">
        <f>G55</f>
        <v>20</v>
      </c>
      <c r="I55" s="94"/>
      <c r="J55" s="96"/>
    </row>
    <row r="56" spans="1:10" ht="16">
      <c r="A56" s="122"/>
      <c r="B56" s="103" t="s">
        <v>779</v>
      </c>
      <c r="C56" s="127"/>
      <c r="D56" s="319"/>
      <c r="E56" s="67"/>
      <c r="F56" s="66"/>
      <c r="G56" s="67"/>
      <c r="H56" s="67">
        <f>SUM(H52:H54)</f>
        <v>399</v>
      </c>
      <c r="I56" s="67">
        <f t="shared" ref="I56:J56" si="10">SUM(I52:I54)</f>
        <v>0</v>
      </c>
      <c r="J56" s="68">
        <f t="shared" si="10"/>
        <v>0</v>
      </c>
    </row>
    <row r="57" spans="1:10" ht="16">
      <c r="A57" s="122" t="s">
        <v>731</v>
      </c>
      <c r="B57" s="87"/>
      <c r="C57" s="315"/>
      <c r="D57" s="316"/>
      <c r="E57" s="107"/>
      <c r="F57" s="108"/>
      <c r="G57" s="107"/>
      <c r="H57" s="107"/>
      <c r="I57" s="107"/>
      <c r="J57" s="109"/>
    </row>
    <row r="58" spans="1:10">
      <c r="A58" s="307" t="s">
        <v>780</v>
      </c>
      <c r="B58" s="21"/>
      <c r="C58" s="22"/>
      <c r="D58" s="32"/>
      <c r="E58" s="32"/>
      <c r="F58" s="33"/>
      <c r="G58" s="32"/>
      <c r="H58" s="32"/>
      <c r="I58" s="32"/>
      <c r="J58" s="34"/>
    </row>
    <row r="59" spans="1:10">
      <c r="A59" s="30"/>
      <c r="B59" s="320" t="s">
        <v>994</v>
      </c>
      <c r="C59" s="36" t="s">
        <v>433</v>
      </c>
      <c r="D59" s="27" t="s">
        <v>781</v>
      </c>
      <c r="E59" s="27">
        <v>200</v>
      </c>
      <c r="F59" s="28">
        <v>1</v>
      </c>
      <c r="G59" s="27">
        <f>E59*F59</f>
        <v>200</v>
      </c>
      <c r="H59" s="27">
        <f>G59</f>
        <v>200</v>
      </c>
      <c r="I59" s="27"/>
      <c r="J59" s="29"/>
    </row>
    <row r="60" spans="1:10">
      <c r="A60" s="30"/>
      <c r="B60" s="423" t="s">
        <v>995</v>
      </c>
      <c r="C60" s="31" t="s">
        <v>782</v>
      </c>
      <c r="D60" s="32" t="s">
        <v>733</v>
      </c>
      <c r="E60" s="32">
        <v>25</v>
      </c>
      <c r="F60" s="33">
        <v>80</v>
      </c>
      <c r="G60" s="32">
        <f t="shared" ref="G60:G63" si="11">E60*F60</f>
        <v>2000</v>
      </c>
      <c r="H60" s="32">
        <f t="shared" ref="H60:H63" si="12">G60*1.13</f>
        <v>2260</v>
      </c>
      <c r="I60" s="32"/>
      <c r="J60" s="34"/>
    </row>
    <row r="61" spans="1:10">
      <c r="A61" s="30"/>
      <c r="B61" s="320" t="s">
        <v>996</v>
      </c>
      <c r="C61" s="36" t="s">
        <v>783</v>
      </c>
      <c r="D61" s="27" t="s">
        <v>733</v>
      </c>
      <c r="E61" s="27">
        <v>250</v>
      </c>
      <c r="F61" s="28">
        <v>2</v>
      </c>
      <c r="G61" s="27">
        <f t="shared" si="11"/>
        <v>500</v>
      </c>
      <c r="H61" s="27">
        <f t="shared" si="12"/>
        <v>565</v>
      </c>
      <c r="I61" s="27"/>
      <c r="J61" s="29"/>
    </row>
    <row r="62" spans="1:10">
      <c r="A62" s="30"/>
      <c r="B62" s="423" t="s">
        <v>997</v>
      </c>
      <c r="C62" s="31" t="s">
        <v>428</v>
      </c>
      <c r="D62" s="32" t="s">
        <v>733</v>
      </c>
      <c r="E62" s="32">
        <v>3</v>
      </c>
      <c r="F62" s="33">
        <v>125</v>
      </c>
      <c r="G62" s="32">
        <f t="shared" si="11"/>
        <v>375</v>
      </c>
      <c r="H62" s="32">
        <f>G62</f>
        <v>375</v>
      </c>
      <c r="I62" s="32"/>
      <c r="J62" s="34"/>
    </row>
    <row r="63" spans="1:10">
      <c r="A63" s="30"/>
      <c r="B63" s="320" t="s">
        <v>998</v>
      </c>
      <c r="C63" s="36" t="s">
        <v>784</v>
      </c>
      <c r="D63" s="27" t="s">
        <v>785</v>
      </c>
      <c r="E63" s="27">
        <v>5</v>
      </c>
      <c r="F63" s="28">
        <v>20</v>
      </c>
      <c r="G63" s="27">
        <f t="shared" si="11"/>
        <v>100</v>
      </c>
      <c r="H63" s="27">
        <f t="shared" si="12"/>
        <v>112.99999999999999</v>
      </c>
      <c r="I63" s="27"/>
      <c r="J63" s="209"/>
    </row>
    <row r="64" spans="1:10">
      <c r="A64" s="30"/>
      <c r="B64" s="37" t="s">
        <v>786</v>
      </c>
      <c r="C64" s="50"/>
      <c r="D64" s="41"/>
      <c r="E64" s="41"/>
      <c r="F64" s="47"/>
      <c r="G64" s="41"/>
      <c r="H64" s="41">
        <f>SUM(H58:H63)</f>
        <v>3513</v>
      </c>
      <c r="I64" s="41">
        <f>SUM(I58:I63)</f>
        <v>0</v>
      </c>
      <c r="J64" s="42">
        <f>SUM(J58:J63)</f>
        <v>0</v>
      </c>
    </row>
    <row r="65" spans="1:10">
      <c r="A65" s="20"/>
      <c r="B65" s="21"/>
      <c r="C65" s="21"/>
      <c r="D65" s="43"/>
      <c r="E65" s="43"/>
      <c r="F65" s="44"/>
      <c r="G65" s="43"/>
      <c r="H65" s="43"/>
      <c r="I65" s="43"/>
      <c r="J65" s="45"/>
    </row>
    <row r="66" spans="1:10">
      <c r="A66" s="307" t="s">
        <v>734</v>
      </c>
      <c r="B66" s="21"/>
      <c r="C66" s="22"/>
      <c r="D66" s="32"/>
      <c r="E66" s="32"/>
      <c r="F66" s="33"/>
      <c r="G66" s="32"/>
      <c r="H66" s="32"/>
      <c r="I66" s="32"/>
      <c r="J66" s="34"/>
    </row>
    <row r="67" spans="1:10" ht="16">
      <c r="A67" s="51"/>
      <c r="B67" s="320" t="s">
        <v>999</v>
      </c>
      <c r="C67" s="92" t="s">
        <v>734</v>
      </c>
      <c r="D67" s="318" t="s">
        <v>787</v>
      </c>
      <c r="E67" s="94">
        <v>2900</v>
      </c>
      <c r="F67" s="95">
        <v>1</v>
      </c>
      <c r="G67" s="94">
        <f t="shared" ref="G67:G74" si="13">F67*E67</f>
        <v>2900</v>
      </c>
      <c r="H67" s="427">
        <f t="shared" ref="H67:H74" si="14">G67*1.13</f>
        <v>3276.9999999999995</v>
      </c>
      <c r="I67" s="94"/>
      <c r="J67" s="29"/>
    </row>
    <row r="68" spans="1:10" ht="16">
      <c r="A68" s="51"/>
      <c r="B68" s="423" t="s">
        <v>1000</v>
      </c>
      <c r="C68" s="88" t="s">
        <v>788</v>
      </c>
      <c r="D68" s="317" t="s">
        <v>789</v>
      </c>
      <c r="E68" s="119">
        <v>500</v>
      </c>
      <c r="F68" s="120">
        <v>1</v>
      </c>
      <c r="G68" s="119">
        <f t="shared" si="13"/>
        <v>500</v>
      </c>
      <c r="H68" s="428">
        <f>G68</f>
        <v>500</v>
      </c>
      <c r="I68" s="119"/>
      <c r="J68" s="34"/>
    </row>
    <row r="69" spans="1:10" ht="16">
      <c r="A69" s="51"/>
      <c r="B69" s="320" t="s">
        <v>1001</v>
      </c>
      <c r="C69" s="92" t="s">
        <v>790</v>
      </c>
      <c r="D69" s="318"/>
      <c r="E69" s="94">
        <v>465</v>
      </c>
      <c r="F69" s="95">
        <v>1</v>
      </c>
      <c r="G69" s="94">
        <f t="shared" si="13"/>
        <v>465</v>
      </c>
      <c r="H69" s="427">
        <f t="shared" si="14"/>
        <v>525.44999999999993</v>
      </c>
      <c r="I69" s="94"/>
      <c r="J69" s="29"/>
    </row>
    <row r="70" spans="1:10" ht="16">
      <c r="A70" s="51"/>
      <c r="B70" s="423" t="s">
        <v>1002</v>
      </c>
      <c r="C70" s="88" t="s">
        <v>791</v>
      </c>
      <c r="D70" s="317"/>
      <c r="E70" s="119">
        <v>59.17</v>
      </c>
      <c r="F70" s="120">
        <v>1</v>
      </c>
      <c r="G70" s="119">
        <f t="shared" si="13"/>
        <v>59.17</v>
      </c>
      <c r="H70" s="428">
        <f t="shared" si="14"/>
        <v>66.862099999999998</v>
      </c>
      <c r="I70" s="119"/>
      <c r="J70" s="34"/>
    </row>
    <row r="71" spans="1:10" ht="16">
      <c r="A71" s="51"/>
      <c r="B71" s="320" t="s">
        <v>1003</v>
      </c>
      <c r="C71" s="92" t="s">
        <v>783</v>
      </c>
      <c r="D71" s="318" t="s">
        <v>792</v>
      </c>
      <c r="E71" s="94">
        <v>250</v>
      </c>
      <c r="F71" s="95">
        <v>5</v>
      </c>
      <c r="G71" s="94">
        <f t="shared" si="13"/>
        <v>1250</v>
      </c>
      <c r="H71" s="427">
        <f t="shared" si="14"/>
        <v>1412.4999999999998</v>
      </c>
      <c r="I71" s="94"/>
      <c r="J71" s="29"/>
    </row>
    <row r="72" spans="1:10" ht="16">
      <c r="A72" s="51"/>
      <c r="B72" s="423" t="s">
        <v>1004</v>
      </c>
      <c r="C72" s="88" t="s">
        <v>793</v>
      </c>
      <c r="D72" s="317" t="s">
        <v>794</v>
      </c>
      <c r="E72" s="119">
        <v>100</v>
      </c>
      <c r="F72" s="120">
        <v>5</v>
      </c>
      <c r="G72" s="119">
        <f t="shared" si="13"/>
        <v>500</v>
      </c>
      <c r="H72" s="428">
        <f>G72</f>
        <v>500</v>
      </c>
      <c r="I72" s="119"/>
      <c r="J72" s="34"/>
    </row>
    <row r="73" spans="1:10" ht="18" customHeight="1">
      <c r="A73" s="51"/>
      <c r="B73" s="320" t="s">
        <v>1005</v>
      </c>
      <c r="C73" s="92" t="s">
        <v>795</v>
      </c>
      <c r="D73" s="318" t="s">
        <v>796</v>
      </c>
      <c r="E73" s="94">
        <v>12.75</v>
      </c>
      <c r="F73" s="95">
        <v>28</v>
      </c>
      <c r="G73" s="94">
        <f t="shared" si="13"/>
        <v>357</v>
      </c>
      <c r="H73" s="427">
        <f t="shared" si="14"/>
        <v>403.40999999999997</v>
      </c>
      <c r="I73" s="94"/>
      <c r="J73" s="29"/>
    </row>
    <row r="74" spans="1:10" ht="19" customHeight="1">
      <c r="A74" s="51"/>
      <c r="B74" s="423" t="s">
        <v>1006</v>
      </c>
      <c r="C74" s="429" t="s">
        <v>797</v>
      </c>
      <c r="D74" s="430" t="s">
        <v>798</v>
      </c>
      <c r="E74" s="428">
        <v>11.95</v>
      </c>
      <c r="F74" s="431">
        <v>1</v>
      </c>
      <c r="G74" s="119">
        <f t="shared" si="13"/>
        <v>11.95</v>
      </c>
      <c r="H74" s="428">
        <f t="shared" si="14"/>
        <v>13.503499999999997</v>
      </c>
      <c r="I74" s="428"/>
      <c r="J74" s="34"/>
    </row>
    <row r="75" spans="1:10">
      <c r="A75" s="30"/>
      <c r="B75" s="37" t="s">
        <v>799</v>
      </c>
      <c r="C75" s="46"/>
      <c r="D75" s="41"/>
      <c r="E75" s="41"/>
      <c r="F75" s="47"/>
      <c r="G75" s="41"/>
      <c r="H75" s="41">
        <f>SUM(H67:H74)</f>
        <v>6698.7255999999998</v>
      </c>
      <c r="I75" s="41">
        <f>SUM(I67:I74)</f>
        <v>0</v>
      </c>
      <c r="J75" s="42">
        <f>SUM(J67:J74)</f>
        <v>0</v>
      </c>
    </row>
    <row r="76" spans="1:10">
      <c r="A76" s="30"/>
      <c r="B76" s="22"/>
      <c r="C76" s="22"/>
      <c r="D76" s="32"/>
      <c r="E76" s="32"/>
      <c r="F76" s="33"/>
      <c r="G76" s="32"/>
      <c r="H76" s="32"/>
      <c r="I76" s="32"/>
      <c r="J76" s="34"/>
    </row>
    <row r="77" spans="1:10">
      <c r="A77" s="307" t="s">
        <v>800</v>
      </c>
      <c r="B77" s="21"/>
      <c r="C77" s="22"/>
      <c r="D77" s="32"/>
      <c r="E77" s="32"/>
      <c r="F77" s="33"/>
      <c r="G77" s="32"/>
      <c r="H77" s="32"/>
      <c r="I77" s="32"/>
      <c r="J77" s="34"/>
    </row>
    <row r="78" spans="1:10">
      <c r="A78" s="30"/>
      <c r="B78" s="320" t="s">
        <v>1007</v>
      </c>
      <c r="C78" s="36" t="s">
        <v>801</v>
      </c>
      <c r="D78" s="27"/>
      <c r="E78" s="27">
        <v>50</v>
      </c>
      <c r="F78" s="28">
        <v>1</v>
      </c>
      <c r="G78" s="27">
        <f t="shared" ref="G78:G83" si="15">E78*F78</f>
        <v>50</v>
      </c>
      <c r="H78" s="27">
        <f t="shared" ref="H78:H83" si="16">G78*1.13</f>
        <v>56.499999999999993</v>
      </c>
      <c r="I78" s="27"/>
      <c r="J78" s="29"/>
    </row>
    <row r="79" spans="1:10">
      <c r="A79" s="30"/>
      <c r="B79" s="423" t="s">
        <v>1008</v>
      </c>
      <c r="C79" s="22" t="s">
        <v>802</v>
      </c>
      <c r="D79" s="32"/>
      <c r="E79" s="32">
        <v>35</v>
      </c>
      <c r="F79" s="33">
        <v>1</v>
      </c>
      <c r="G79" s="32">
        <f t="shared" si="15"/>
        <v>35</v>
      </c>
      <c r="H79" s="32">
        <f t="shared" si="16"/>
        <v>39.549999999999997</v>
      </c>
      <c r="I79" s="32"/>
      <c r="J79" s="34"/>
    </row>
    <row r="80" spans="1:10">
      <c r="A80" s="30"/>
      <c r="B80" s="320" t="s">
        <v>1009</v>
      </c>
      <c r="C80" s="35" t="s">
        <v>803</v>
      </c>
      <c r="D80" s="27"/>
      <c r="E80" s="27">
        <v>80</v>
      </c>
      <c r="F80" s="28">
        <v>1</v>
      </c>
      <c r="G80" s="27">
        <f t="shared" si="15"/>
        <v>80</v>
      </c>
      <c r="H80" s="27">
        <f t="shared" si="16"/>
        <v>90.399999999999991</v>
      </c>
      <c r="I80" s="27"/>
      <c r="J80" s="29"/>
    </row>
    <row r="81" spans="1:10">
      <c r="A81" s="30"/>
      <c r="B81" s="423" t="s">
        <v>1010</v>
      </c>
      <c r="C81" s="22" t="s">
        <v>804</v>
      </c>
      <c r="D81" s="32"/>
      <c r="E81" s="32">
        <v>14</v>
      </c>
      <c r="F81" s="33">
        <v>4</v>
      </c>
      <c r="G81" s="32">
        <f t="shared" si="15"/>
        <v>56</v>
      </c>
      <c r="H81" s="32">
        <f t="shared" si="16"/>
        <v>63.279999999999994</v>
      </c>
      <c r="I81" s="32"/>
      <c r="J81" s="34"/>
    </row>
    <row r="82" spans="1:10">
      <c r="A82" s="51"/>
      <c r="B82" s="320" t="s">
        <v>1011</v>
      </c>
      <c r="C82" s="35" t="s">
        <v>805</v>
      </c>
      <c r="D82" s="27"/>
      <c r="E82" s="27">
        <v>18</v>
      </c>
      <c r="F82" s="28">
        <v>4</v>
      </c>
      <c r="G82" s="27">
        <f t="shared" si="15"/>
        <v>72</v>
      </c>
      <c r="H82" s="27">
        <f t="shared" si="16"/>
        <v>81.359999999999985</v>
      </c>
      <c r="I82" s="27"/>
      <c r="J82" s="29"/>
    </row>
    <row r="83" spans="1:10">
      <c r="A83" s="30"/>
      <c r="B83" s="423" t="s">
        <v>1012</v>
      </c>
      <c r="C83" s="22" t="s">
        <v>806</v>
      </c>
      <c r="D83" s="32"/>
      <c r="E83" s="32">
        <v>50</v>
      </c>
      <c r="F83" s="33">
        <v>1</v>
      </c>
      <c r="G83" s="32">
        <f t="shared" si="15"/>
        <v>50</v>
      </c>
      <c r="H83" s="32">
        <f t="shared" si="16"/>
        <v>56.499999999999993</v>
      </c>
      <c r="I83" s="32"/>
      <c r="J83" s="34"/>
    </row>
    <row r="84" spans="1:10">
      <c r="A84" s="30"/>
      <c r="B84" s="37" t="s">
        <v>807</v>
      </c>
      <c r="C84" s="46"/>
      <c r="D84" s="41"/>
      <c r="E84" s="41"/>
      <c r="F84" s="47"/>
      <c r="G84" s="41"/>
      <c r="H84" s="41">
        <f>SUM(H78:H83)</f>
        <v>387.59</v>
      </c>
      <c r="I84" s="41">
        <f>SUM(I78:I83)</f>
        <v>0</v>
      </c>
      <c r="J84" s="42">
        <f>SUM(J78:J83)</f>
        <v>0</v>
      </c>
    </row>
    <row r="85" spans="1:10">
      <c r="A85" s="30"/>
      <c r="B85" s="22"/>
      <c r="C85" s="22"/>
      <c r="D85" s="32"/>
      <c r="E85" s="32"/>
      <c r="F85" s="33"/>
      <c r="G85" s="32"/>
      <c r="H85" s="32"/>
      <c r="I85" s="32"/>
      <c r="J85" s="34"/>
    </row>
    <row r="86" spans="1:10">
      <c r="A86" s="307" t="s">
        <v>808</v>
      </c>
      <c r="B86" s="21"/>
      <c r="C86" s="22"/>
      <c r="D86" s="32"/>
      <c r="E86" s="32"/>
      <c r="F86" s="33"/>
      <c r="G86" s="32"/>
      <c r="H86" s="32"/>
      <c r="I86" s="32"/>
      <c r="J86" s="34"/>
    </row>
    <row r="87" spans="1:10">
      <c r="A87" s="30"/>
      <c r="B87" s="320" t="s">
        <v>1013</v>
      </c>
      <c r="C87" s="36" t="s">
        <v>809</v>
      </c>
      <c r="D87" s="27" t="s">
        <v>1393</v>
      </c>
      <c r="E87" s="27">
        <v>100</v>
      </c>
      <c r="F87" s="28">
        <v>1</v>
      </c>
      <c r="G87" s="27">
        <f t="shared" ref="G87:G89" si="17">E87*F87</f>
        <v>100</v>
      </c>
      <c r="H87" s="27">
        <f>G87</f>
        <v>100</v>
      </c>
      <c r="I87" s="27"/>
      <c r="J87" s="29"/>
    </row>
    <row r="88" spans="1:10">
      <c r="A88" s="30" t="s">
        <v>10</v>
      </c>
      <c r="B88" s="423" t="s">
        <v>1014</v>
      </c>
      <c r="C88" s="22" t="s">
        <v>428</v>
      </c>
      <c r="D88" s="32"/>
      <c r="E88" s="32">
        <v>3</v>
      </c>
      <c r="F88" s="33">
        <v>100</v>
      </c>
      <c r="G88" s="32">
        <f t="shared" si="17"/>
        <v>300</v>
      </c>
      <c r="H88" s="32">
        <f>G88</f>
        <v>300</v>
      </c>
      <c r="I88" s="32"/>
      <c r="J88" s="34"/>
    </row>
    <row r="89" spans="1:10">
      <c r="A89" s="30"/>
      <c r="B89" s="320" t="s">
        <v>1015</v>
      </c>
      <c r="C89" s="35" t="s">
        <v>433</v>
      </c>
      <c r="D89" s="27" t="s">
        <v>781</v>
      </c>
      <c r="E89" s="27">
        <v>50</v>
      </c>
      <c r="F89" s="28">
        <v>3</v>
      </c>
      <c r="G89" s="27">
        <f t="shared" si="17"/>
        <v>150</v>
      </c>
      <c r="H89" s="27">
        <f>G89</f>
        <v>150</v>
      </c>
      <c r="I89" s="27"/>
      <c r="J89" s="29"/>
    </row>
    <row r="90" spans="1:10">
      <c r="A90" s="30"/>
      <c r="B90" s="37" t="s">
        <v>810</v>
      </c>
      <c r="C90" s="46"/>
      <c r="D90" s="41"/>
      <c r="E90" s="41"/>
      <c r="F90" s="47"/>
      <c r="G90" s="41"/>
      <c r="H90" s="41">
        <f>SUM(H87:H89)</f>
        <v>550</v>
      </c>
      <c r="I90" s="41">
        <f>SUM(I87:I89)</f>
        <v>0</v>
      </c>
      <c r="J90" s="42">
        <f>SUM(J87:J89)</f>
        <v>0</v>
      </c>
    </row>
    <row r="91" spans="1:10">
      <c r="A91" s="30"/>
      <c r="B91" s="22"/>
      <c r="C91" s="21"/>
      <c r="D91" s="43"/>
      <c r="E91" s="43"/>
      <c r="F91" s="44"/>
      <c r="G91" s="43"/>
      <c r="H91" s="43"/>
      <c r="I91" s="43"/>
      <c r="J91" s="45"/>
    </row>
    <row r="92" spans="1:10">
      <c r="A92" s="307" t="s">
        <v>738</v>
      </c>
      <c r="B92" s="21"/>
      <c r="C92" s="22"/>
      <c r="D92" s="32"/>
      <c r="E92" s="32"/>
      <c r="F92" s="33"/>
      <c r="G92" s="32"/>
      <c r="H92" s="32"/>
      <c r="I92" s="32"/>
      <c r="J92" s="34"/>
    </row>
    <row r="93" spans="1:10">
      <c r="A93" s="20"/>
      <c r="B93" s="321" t="s">
        <v>1016</v>
      </c>
      <c r="C93" s="35" t="s">
        <v>433</v>
      </c>
      <c r="D93" s="27"/>
      <c r="E93" s="27">
        <v>50</v>
      </c>
      <c r="F93" s="28">
        <v>3</v>
      </c>
      <c r="G93" s="27">
        <f t="shared" ref="G93:G95" si="18">E93*F93</f>
        <v>150</v>
      </c>
      <c r="H93" s="27">
        <f>G93</f>
        <v>150</v>
      </c>
      <c r="I93" s="27"/>
      <c r="J93" s="29"/>
    </row>
    <row r="94" spans="1:10">
      <c r="A94" s="20"/>
      <c r="B94" s="322" t="s">
        <v>1017</v>
      </c>
      <c r="C94" s="22" t="s">
        <v>811</v>
      </c>
      <c r="D94" s="32" t="s">
        <v>733</v>
      </c>
      <c r="E94" s="32">
        <v>84</v>
      </c>
      <c r="F94" s="33">
        <v>3</v>
      </c>
      <c r="G94" s="32">
        <f t="shared" si="18"/>
        <v>252</v>
      </c>
      <c r="H94" s="32">
        <f t="shared" ref="H94:H95" si="19">G94*1.13</f>
        <v>284.76</v>
      </c>
      <c r="I94" s="32"/>
      <c r="J94" s="34"/>
    </row>
    <row r="95" spans="1:10">
      <c r="A95" s="20"/>
      <c r="B95" s="321" t="s">
        <v>1018</v>
      </c>
      <c r="C95" s="35" t="s">
        <v>812</v>
      </c>
      <c r="D95" s="27" t="s">
        <v>733</v>
      </c>
      <c r="E95" s="27">
        <v>20</v>
      </c>
      <c r="F95" s="28">
        <v>3</v>
      </c>
      <c r="G95" s="27">
        <f t="shared" si="18"/>
        <v>60</v>
      </c>
      <c r="H95" s="27">
        <f t="shared" si="19"/>
        <v>67.8</v>
      </c>
      <c r="I95" s="27"/>
      <c r="J95" s="29"/>
    </row>
    <row r="96" spans="1:10">
      <c r="A96" s="30"/>
      <c r="B96" s="37" t="s">
        <v>813</v>
      </c>
      <c r="C96" s="46"/>
      <c r="D96" s="41"/>
      <c r="E96" s="41"/>
      <c r="F96" s="47"/>
      <c r="G96" s="41"/>
      <c r="H96" s="41">
        <f>SUM(H93:H95)</f>
        <v>502.56</v>
      </c>
      <c r="I96" s="41">
        <f>SUM(I93:I95)</f>
        <v>0</v>
      </c>
      <c r="J96" s="42">
        <f>SUM(J93:J95)</f>
        <v>0</v>
      </c>
    </row>
    <row r="97" spans="1:10">
      <c r="A97" s="30"/>
      <c r="B97" s="21"/>
      <c r="C97" s="21"/>
      <c r="D97" s="43"/>
      <c r="E97" s="43"/>
      <c r="F97" s="44"/>
      <c r="G97" s="43"/>
      <c r="H97" s="43"/>
      <c r="I97" s="43"/>
      <c r="J97" s="45"/>
    </row>
    <row r="98" spans="1:10">
      <c r="A98" s="307" t="s">
        <v>739</v>
      </c>
      <c r="B98" s="21"/>
      <c r="C98" s="22"/>
      <c r="D98" s="32"/>
      <c r="E98" s="32"/>
      <c r="F98" s="33"/>
      <c r="G98" s="32"/>
      <c r="H98" s="32"/>
      <c r="I98" s="32"/>
      <c r="J98" s="34"/>
    </row>
    <row r="99" spans="1:10">
      <c r="A99" s="20"/>
      <c r="B99" s="321" t="s">
        <v>1019</v>
      </c>
      <c r="C99" s="35" t="s">
        <v>1423</v>
      </c>
      <c r="D99" s="27" t="s">
        <v>1393</v>
      </c>
      <c r="E99" s="27">
        <v>100</v>
      </c>
      <c r="F99" s="28">
        <v>1</v>
      </c>
      <c r="G99" s="27">
        <f t="shared" ref="G99:G101" si="20">E99*F99</f>
        <v>100</v>
      </c>
      <c r="H99" s="27">
        <v>100</v>
      </c>
      <c r="I99" s="27"/>
      <c r="J99" s="29"/>
    </row>
    <row r="100" spans="1:10">
      <c r="A100" s="20"/>
      <c r="B100" s="322" t="s">
        <v>1020</v>
      </c>
      <c r="C100" s="22" t="s">
        <v>814</v>
      </c>
      <c r="D100" s="32"/>
      <c r="E100" s="32">
        <v>3</v>
      </c>
      <c r="F100" s="33">
        <v>100</v>
      </c>
      <c r="G100" s="32">
        <f t="shared" si="20"/>
        <v>300</v>
      </c>
      <c r="H100" s="32">
        <f>G100</f>
        <v>300</v>
      </c>
      <c r="I100" s="32"/>
      <c r="J100" s="34"/>
    </row>
    <row r="101" spans="1:10">
      <c r="A101" s="20"/>
      <c r="B101" s="321" t="s">
        <v>1021</v>
      </c>
      <c r="C101" s="35" t="s">
        <v>433</v>
      </c>
      <c r="D101" s="27"/>
      <c r="E101" s="27">
        <v>50</v>
      </c>
      <c r="F101" s="28">
        <v>3</v>
      </c>
      <c r="G101" s="27">
        <f t="shared" si="20"/>
        <v>150</v>
      </c>
      <c r="H101" s="27">
        <f t="shared" ref="H101" si="21">G101*1.13</f>
        <v>169.49999999999997</v>
      </c>
      <c r="I101" s="27"/>
      <c r="J101" s="29"/>
    </row>
    <row r="102" spans="1:10">
      <c r="A102" s="30"/>
      <c r="B102" s="37" t="s">
        <v>815</v>
      </c>
      <c r="C102" s="46"/>
      <c r="D102" s="41"/>
      <c r="E102" s="41"/>
      <c r="F102" s="47"/>
      <c r="G102" s="41"/>
      <c r="H102" s="41">
        <f>SUM(H99:H101)</f>
        <v>569.5</v>
      </c>
      <c r="I102" s="41">
        <f>SUM(I99:I101)</f>
        <v>0</v>
      </c>
      <c r="J102" s="42">
        <f>SUM(J99:J101)</f>
        <v>0</v>
      </c>
    </row>
    <row r="103" spans="1:10">
      <c r="A103" s="30"/>
      <c r="B103" s="21"/>
      <c r="C103" s="21"/>
      <c r="D103" s="43"/>
      <c r="E103" s="43"/>
      <c r="F103" s="44"/>
      <c r="G103" s="43"/>
      <c r="H103" s="43"/>
      <c r="I103" s="43"/>
      <c r="J103" s="45"/>
    </row>
    <row r="104" spans="1:10">
      <c r="A104" s="307" t="s">
        <v>816</v>
      </c>
      <c r="B104" s="21"/>
      <c r="C104" s="22"/>
      <c r="D104" s="32"/>
      <c r="E104" s="32"/>
      <c r="F104" s="33"/>
      <c r="G104" s="32"/>
      <c r="H104" s="32"/>
      <c r="I104" s="32"/>
      <c r="J104" s="34"/>
    </row>
    <row r="105" spans="1:10" ht="16">
      <c r="A105" s="20"/>
      <c r="B105" s="321" t="s">
        <v>1022</v>
      </c>
      <c r="C105" s="123" t="s">
        <v>817</v>
      </c>
      <c r="D105" s="27"/>
      <c r="E105" s="94">
        <v>0.55000000000000004</v>
      </c>
      <c r="F105" s="28">
        <v>150</v>
      </c>
      <c r="G105" s="27">
        <f t="shared" ref="G105:G106" si="22">E105*F105</f>
        <v>82.5</v>
      </c>
      <c r="H105" s="27">
        <f t="shared" ref="H105:H106" si="23">G105*1.13</f>
        <v>93.224999999999994</v>
      </c>
      <c r="I105" s="27"/>
      <c r="J105" s="29"/>
    </row>
    <row r="106" spans="1:10" ht="16">
      <c r="A106" s="20"/>
      <c r="B106" s="322" t="s">
        <v>1023</v>
      </c>
      <c r="C106" s="124" t="s">
        <v>818</v>
      </c>
      <c r="D106" s="32"/>
      <c r="E106" s="32">
        <v>1</v>
      </c>
      <c r="F106" s="33">
        <v>100</v>
      </c>
      <c r="G106" s="32">
        <f t="shared" si="22"/>
        <v>100</v>
      </c>
      <c r="H106" s="32">
        <f t="shared" si="23"/>
        <v>112.99999999999999</v>
      </c>
      <c r="I106" s="32"/>
      <c r="J106" s="34"/>
    </row>
    <row r="107" spans="1:10">
      <c r="A107" s="30"/>
      <c r="B107" s="37" t="s">
        <v>819</v>
      </c>
      <c r="C107" s="46"/>
      <c r="D107" s="41"/>
      <c r="E107" s="41"/>
      <c r="F107" s="47"/>
      <c r="G107" s="41"/>
      <c r="H107" s="41">
        <f>SUM(H105:H106)</f>
        <v>206.22499999999997</v>
      </c>
      <c r="I107" s="41">
        <v>0</v>
      </c>
      <c r="J107" s="42">
        <v>0</v>
      </c>
    </row>
    <row r="108" spans="1:10" ht="16">
      <c r="A108" s="122"/>
      <c r="B108" s="103" t="s">
        <v>820</v>
      </c>
      <c r="C108" s="127"/>
      <c r="D108" s="319"/>
      <c r="E108" s="67"/>
      <c r="F108" s="66"/>
      <c r="G108" s="67"/>
      <c r="H108" s="67">
        <f>SUM(H107,H102,H96,H90,H84,H75,H64)</f>
        <v>12427.6006</v>
      </c>
      <c r="I108" s="67">
        <f>SUM(I107,I102,I96,I90,I84,I75,I64)</f>
        <v>0</v>
      </c>
      <c r="J108" s="68">
        <f>SUM(J107,J102,J96,J90,J84,J75,J64)</f>
        <v>0</v>
      </c>
    </row>
    <row r="109" spans="1:10" ht="16">
      <c r="A109" s="122" t="s">
        <v>741</v>
      </c>
      <c r="B109" s="87"/>
      <c r="C109" s="315"/>
      <c r="D109" s="316"/>
      <c r="E109" s="107"/>
      <c r="F109" s="108"/>
      <c r="G109" s="107"/>
      <c r="H109" s="107"/>
      <c r="I109" s="107"/>
      <c r="J109" s="109"/>
    </row>
    <row r="110" spans="1:10" ht="16">
      <c r="A110" s="51" t="s">
        <v>821</v>
      </c>
      <c r="B110" s="87"/>
      <c r="C110" s="315"/>
      <c r="D110" s="316"/>
      <c r="E110" s="107"/>
      <c r="F110" s="108"/>
      <c r="G110" s="107"/>
      <c r="H110" s="107"/>
      <c r="I110" s="107"/>
      <c r="J110" s="109"/>
    </row>
    <row r="111" spans="1:10" ht="16">
      <c r="A111" s="307"/>
      <c r="B111" s="323" t="s">
        <v>1024</v>
      </c>
      <c r="C111" s="210" t="s">
        <v>822</v>
      </c>
      <c r="D111" s="94" t="s">
        <v>823</v>
      </c>
      <c r="E111" s="94">
        <v>200</v>
      </c>
      <c r="F111" s="95">
        <v>1</v>
      </c>
      <c r="G111" s="94">
        <v>200</v>
      </c>
      <c r="H111" s="94">
        <f>G111*1.13</f>
        <v>225.99999999999997</v>
      </c>
      <c r="I111" s="94"/>
      <c r="J111" s="96"/>
    </row>
    <row r="112" spans="1:10" ht="16">
      <c r="A112" s="122"/>
      <c r="B112" s="87" t="s">
        <v>1025</v>
      </c>
      <c r="C112" s="314" t="s">
        <v>824</v>
      </c>
      <c r="D112" s="119" t="s">
        <v>825</v>
      </c>
      <c r="E112" s="119">
        <v>100</v>
      </c>
      <c r="F112" s="120">
        <v>1</v>
      </c>
      <c r="G112" s="119">
        <f>E112*F112</f>
        <v>100</v>
      </c>
      <c r="H112" s="119">
        <f>G112</f>
        <v>100</v>
      </c>
      <c r="I112" s="119"/>
      <c r="J112" s="121"/>
    </row>
    <row r="113" spans="1:108" ht="16">
      <c r="A113" s="122"/>
      <c r="B113" s="323" t="s">
        <v>1026</v>
      </c>
      <c r="C113" s="324" t="s">
        <v>626</v>
      </c>
      <c r="D113" s="94" t="s">
        <v>826</v>
      </c>
      <c r="E113" s="94">
        <v>200</v>
      </c>
      <c r="F113" s="95">
        <v>1</v>
      </c>
      <c r="G113" s="94">
        <f>E113</f>
        <v>200</v>
      </c>
      <c r="H113" s="94">
        <f>G113*1.13</f>
        <v>225.99999999999997</v>
      </c>
      <c r="I113" s="94"/>
      <c r="J113" s="96"/>
    </row>
    <row r="114" spans="1:108" ht="16">
      <c r="A114" s="122"/>
      <c r="B114" s="87" t="s">
        <v>1027</v>
      </c>
      <c r="C114" s="314" t="s">
        <v>827</v>
      </c>
      <c r="D114" s="119" t="s">
        <v>828</v>
      </c>
      <c r="E114" s="119">
        <v>80</v>
      </c>
      <c r="F114" s="120">
        <v>1</v>
      </c>
      <c r="G114" s="119">
        <f t="shared" ref="G114:G118" si="24">E114*F114</f>
        <v>80</v>
      </c>
      <c r="H114" s="119">
        <f>G114*1.13</f>
        <v>90.399999999999991</v>
      </c>
      <c r="I114" s="119"/>
      <c r="J114" s="121"/>
    </row>
    <row r="115" spans="1:108" ht="16">
      <c r="A115" s="122"/>
      <c r="B115" s="323" t="s">
        <v>1028</v>
      </c>
      <c r="C115" s="324" t="s">
        <v>829</v>
      </c>
      <c r="D115" s="94" t="s">
        <v>1424</v>
      </c>
      <c r="E115" s="94">
        <v>50</v>
      </c>
      <c r="F115" s="95">
        <v>2</v>
      </c>
      <c r="G115" s="94">
        <f t="shared" si="24"/>
        <v>100</v>
      </c>
      <c r="H115" s="94">
        <f t="shared" ref="H115:H118" si="25">G115*1.13</f>
        <v>112.99999999999999</v>
      </c>
      <c r="I115" s="94"/>
      <c r="J115" s="96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129"/>
      <c r="AU115" s="129"/>
      <c r="AV115" s="129"/>
      <c r="AW115" s="129"/>
      <c r="AX115" s="129"/>
      <c r="AY115" s="129"/>
      <c r="AZ115" s="129"/>
      <c r="BA115" s="129"/>
      <c r="BB115" s="129"/>
      <c r="BC115" s="129"/>
      <c r="BD115" s="129"/>
      <c r="BE115" s="129"/>
      <c r="BF115" s="129"/>
      <c r="BG115" s="129"/>
      <c r="BH115" s="129"/>
      <c r="BI115" s="129"/>
      <c r="BJ115" s="129"/>
      <c r="BK115" s="129"/>
      <c r="BL115" s="129"/>
      <c r="BM115" s="129"/>
      <c r="BN115" s="129"/>
      <c r="BO115" s="129"/>
      <c r="BP115" s="129"/>
      <c r="BQ115" s="129"/>
      <c r="BR115" s="129"/>
      <c r="BS115" s="129"/>
      <c r="BT115" s="129"/>
      <c r="BU115" s="129"/>
      <c r="BV115" s="129"/>
      <c r="BW115" s="129"/>
      <c r="BX115" s="129"/>
      <c r="BY115" s="129"/>
      <c r="BZ115" s="129"/>
      <c r="CA115" s="129"/>
      <c r="CB115" s="129"/>
      <c r="CC115" s="129"/>
      <c r="CD115" s="129"/>
      <c r="CE115" s="129"/>
      <c r="CF115" s="129"/>
      <c r="CG115" s="129"/>
      <c r="CH115" s="129"/>
      <c r="CI115" s="129"/>
      <c r="CJ115" s="129"/>
      <c r="CK115" s="129"/>
      <c r="CL115" s="129"/>
      <c r="CM115" s="129"/>
      <c r="CN115" s="129"/>
      <c r="CO115" s="129"/>
      <c r="CP115" s="129"/>
      <c r="CQ115" s="129"/>
      <c r="CR115" s="129"/>
      <c r="CS115" s="129"/>
      <c r="CT115" s="129"/>
      <c r="CU115" s="129"/>
      <c r="CV115" s="129"/>
      <c r="CW115" s="129"/>
      <c r="CX115" s="129"/>
      <c r="CY115" s="129"/>
      <c r="CZ115" s="129"/>
      <c r="DA115" s="129"/>
      <c r="DB115" s="129"/>
      <c r="DC115" s="129"/>
      <c r="DD115" s="129"/>
    </row>
    <row r="116" spans="1:108" ht="16">
      <c r="A116" s="122"/>
      <c r="B116" s="87" t="s">
        <v>1029</v>
      </c>
      <c r="C116" s="314" t="s">
        <v>830</v>
      </c>
      <c r="D116" s="119" t="s">
        <v>1422</v>
      </c>
      <c r="E116" s="119">
        <v>10</v>
      </c>
      <c r="F116" s="120">
        <v>4</v>
      </c>
      <c r="G116" s="119">
        <f t="shared" si="24"/>
        <v>40</v>
      </c>
      <c r="H116" s="119">
        <f t="shared" si="25"/>
        <v>45.199999999999996</v>
      </c>
      <c r="I116" s="119"/>
      <c r="J116" s="121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129"/>
      <c r="AU116" s="129"/>
      <c r="AV116" s="129"/>
      <c r="AW116" s="129"/>
      <c r="AX116" s="129"/>
      <c r="AY116" s="129"/>
      <c r="AZ116" s="129"/>
      <c r="BA116" s="129"/>
      <c r="BB116" s="129"/>
      <c r="BC116" s="129"/>
      <c r="BD116" s="129"/>
      <c r="BE116" s="129"/>
      <c r="BF116" s="129"/>
      <c r="BG116" s="129"/>
      <c r="BH116" s="129"/>
      <c r="BI116" s="129"/>
      <c r="BJ116" s="129"/>
      <c r="BK116" s="129"/>
      <c r="BL116" s="129"/>
      <c r="BM116" s="129"/>
      <c r="BN116" s="129"/>
      <c r="BO116" s="129"/>
      <c r="BP116" s="129"/>
      <c r="BQ116" s="129"/>
      <c r="BR116" s="129"/>
      <c r="BS116" s="129"/>
      <c r="BT116" s="129"/>
      <c r="BU116" s="129"/>
      <c r="BV116" s="129"/>
      <c r="BW116" s="129"/>
      <c r="BX116" s="129"/>
      <c r="BY116" s="129"/>
      <c r="BZ116" s="129"/>
      <c r="CA116" s="129"/>
      <c r="CB116" s="129"/>
      <c r="CC116" s="129"/>
      <c r="CD116" s="129"/>
      <c r="CE116" s="129"/>
      <c r="CF116" s="129"/>
      <c r="CG116" s="129"/>
      <c r="CH116" s="129"/>
      <c r="CI116" s="129"/>
      <c r="CJ116" s="129"/>
      <c r="CK116" s="129"/>
      <c r="CL116" s="129"/>
      <c r="CM116" s="129"/>
      <c r="CN116" s="129"/>
      <c r="CO116" s="129"/>
      <c r="CP116" s="129"/>
      <c r="CQ116" s="129"/>
      <c r="CR116" s="129"/>
      <c r="CS116" s="129"/>
      <c r="CT116" s="129"/>
      <c r="CU116" s="129"/>
      <c r="CV116" s="129"/>
      <c r="CW116" s="129"/>
      <c r="CX116" s="129"/>
      <c r="CY116" s="129"/>
      <c r="CZ116" s="129"/>
      <c r="DA116" s="129"/>
      <c r="DB116" s="129"/>
      <c r="DC116" s="129"/>
      <c r="DD116" s="129"/>
    </row>
    <row r="117" spans="1:108" ht="16">
      <c r="A117" s="122"/>
      <c r="B117" s="323" t="s">
        <v>1030</v>
      </c>
      <c r="C117" s="324" t="s">
        <v>831</v>
      </c>
      <c r="D117" s="94" t="s">
        <v>1425</v>
      </c>
      <c r="E117" s="94">
        <v>250</v>
      </c>
      <c r="F117" s="95">
        <v>2</v>
      </c>
      <c r="G117" s="94">
        <f t="shared" si="24"/>
        <v>500</v>
      </c>
      <c r="H117" s="94">
        <f t="shared" si="25"/>
        <v>565</v>
      </c>
      <c r="I117" s="94"/>
      <c r="J117" s="96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  <c r="BC117" s="129"/>
      <c r="BD117" s="129"/>
      <c r="BE117" s="129"/>
      <c r="BF117" s="129"/>
      <c r="BG117" s="129"/>
      <c r="BH117" s="129"/>
      <c r="BI117" s="129"/>
      <c r="BJ117" s="129"/>
      <c r="BK117" s="129"/>
      <c r="BL117" s="129"/>
      <c r="BM117" s="129"/>
      <c r="BN117" s="129"/>
      <c r="BO117" s="129"/>
      <c r="BP117" s="129"/>
      <c r="BQ117" s="129"/>
      <c r="BR117" s="129"/>
      <c r="BS117" s="129"/>
      <c r="BT117" s="129"/>
      <c r="BU117" s="129"/>
      <c r="BV117" s="129"/>
      <c r="BW117" s="129"/>
      <c r="BX117" s="129"/>
      <c r="BY117" s="129"/>
      <c r="BZ117" s="129"/>
      <c r="CA117" s="129"/>
      <c r="CB117" s="129"/>
      <c r="CC117" s="129"/>
      <c r="CD117" s="129"/>
      <c r="CE117" s="129"/>
      <c r="CF117" s="129"/>
      <c r="CG117" s="129"/>
      <c r="CH117" s="129"/>
      <c r="CI117" s="129"/>
      <c r="CJ117" s="129"/>
      <c r="CK117" s="129"/>
      <c r="CL117" s="129"/>
      <c r="CM117" s="129"/>
      <c r="CN117" s="129"/>
      <c r="CO117" s="129"/>
      <c r="CP117" s="129"/>
      <c r="CQ117" s="129"/>
      <c r="CR117" s="129"/>
      <c r="CS117" s="129"/>
      <c r="CT117" s="129"/>
      <c r="CU117" s="129"/>
      <c r="CV117" s="129"/>
      <c r="CW117" s="129"/>
      <c r="CX117" s="129"/>
      <c r="CY117" s="129"/>
      <c r="CZ117" s="129"/>
      <c r="DA117" s="129"/>
      <c r="DB117" s="129"/>
      <c r="DC117" s="129"/>
      <c r="DD117" s="129"/>
    </row>
    <row r="118" spans="1:108" ht="16">
      <c r="A118" s="122"/>
      <c r="B118" s="87" t="s">
        <v>1031</v>
      </c>
      <c r="C118" s="314" t="s">
        <v>832</v>
      </c>
      <c r="D118" s="88" t="s">
        <v>833</v>
      </c>
      <c r="E118" s="119">
        <v>40</v>
      </c>
      <c r="F118" s="120">
        <v>1</v>
      </c>
      <c r="G118" s="119">
        <f t="shared" si="24"/>
        <v>40</v>
      </c>
      <c r="H118" s="119">
        <f t="shared" si="25"/>
        <v>45.199999999999996</v>
      </c>
      <c r="I118" s="119"/>
      <c r="J118" s="121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  <c r="AE118" s="129"/>
      <c r="AF118" s="129"/>
      <c r="AG118" s="129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129"/>
      <c r="AU118" s="129"/>
      <c r="AV118" s="129"/>
      <c r="AW118" s="129"/>
      <c r="AX118" s="129"/>
      <c r="AY118" s="129"/>
      <c r="AZ118" s="129"/>
      <c r="BA118" s="129"/>
      <c r="BB118" s="129"/>
      <c r="BC118" s="129"/>
      <c r="BD118" s="129"/>
      <c r="BE118" s="129"/>
      <c r="BF118" s="129"/>
      <c r="BG118" s="129"/>
      <c r="BH118" s="129"/>
      <c r="BI118" s="129"/>
      <c r="BJ118" s="129"/>
      <c r="BK118" s="129"/>
      <c r="BL118" s="129"/>
      <c r="BM118" s="129"/>
      <c r="BN118" s="129"/>
      <c r="BO118" s="129"/>
      <c r="BP118" s="129"/>
      <c r="BQ118" s="129"/>
      <c r="BR118" s="129"/>
      <c r="BS118" s="129"/>
      <c r="BT118" s="129"/>
      <c r="BU118" s="129"/>
      <c r="BV118" s="129"/>
      <c r="BW118" s="129"/>
      <c r="BX118" s="129"/>
      <c r="BY118" s="129"/>
      <c r="BZ118" s="129"/>
      <c r="CA118" s="129"/>
      <c r="CB118" s="129"/>
      <c r="CC118" s="129"/>
      <c r="CD118" s="129"/>
      <c r="CE118" s="129"/>
      <c r="CF118" s="129"/>
      <c r="CG118" s="129"/>
      <c r="CH118" s="129"/>
      <c r="CI118" s="129"/>
      <c r="CJ118" s="129"/>
      <c r="CK118" s="129"/>
      <c r="CL118" s="129"/>
      <c r="CM118" s="129"/>
      <c r="CN118" s="129"/>
      <c r="CO118" s="129"/>
      <c r="CP118" s="129"/>
      <c r="CQ118" s="129"/>
      <c r="CR118" s="129"/>
      <c r="CS118" s="129"/>
      <c r="CT118" s="129"/>
      <c r="CU118" s="129"/>
      <c r="CV118" s="129"/>
      <c r="CW118" s="129"/>
      <c r="CX118" s="129"/>
      <c r="CY118" s="129"/>
      <c r="CZ118" s="129"/>
      <c r="DA118" s="129"/>
      <c r="DB118" s="129"/>
      <c r="DC118" s="129"/>
      <c r="DD118" s="129"/>
    </row>
    <row r="119" spans="1:108">
      <c r="A119" s="30"/>
      <c r="B119" s="37" t="s">
        <v>834</v>
      </c>
      <c r="C119" s="50"/>
      <c r="D119" s="41"/>
      <c r="E119" s="41"/>
      <c r="F119" s="47"/>
      <c r="G119" s="41"/>
      <c r="H119" s="41">
        <f>SUM(H111:H118)</f>
        <v>1410.8</v>
      </c>
      <c r="I119" s="41">
        <f>SUM(I111:I118)</f>
        <v>0</v>
      </c>
      <c r="J119" s="42">
        <f>SUM(J111:J118)</f>
        <v>0</v>
      </c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  <c r="AE119" s="129"/>
      <c r="AF119" s="129"/>
      <c r="AG119" s="129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29"/>
      <c r="AY119" s="129"/>
      <c r="AZ119" s="129"/>
      <c r="BA119" s="129"/>
      <c r="BB119" s="129"/>
      <c r="BC119" s="129"/>
      <c r="BD119" s="129"/>
      <c r="BE119" s="129"/>
      <c r="BF119" s="129"/>
      <c r="BG119" s="129"/>
      <c r="BH119" s="129"/>
      <c r="BI119" s="129"/>
      <c r="BJ119" s="129"/>
      <c r="BK119" s="129"/>
      <c r="BL119" s="129"/>
      <c r="BM119" s="129"/>
      <c r="BN119" s="129"/>
      <c r="BO119" s="129"/>
      <c r="BP119" s="129"/>
      <c r="BQ119" s="129"/>
      <c r="BR119" s="129"/>
      <c r="BS119" s="129"/>
      <c r="BT119" s="129"/>
      <c r="BU119" s="129"/>
      <c r="BV119" s="129"/>
      <c r="BW119" s="129"/>
      <c r="BX119" s="129"/>
      <c r="BY119" s="129"/>
      <c r="BZ119" s="129"/>
      <c r="CA119" s="129"/>
      <c r="CB119" s="129"/>
      <c r="CC119" s="129"/>
      <c r="CD119" s="129"/>
      <c r="CE119" s="129"/>
      <c r="CF119" s="129"/>
      <c r="CG119" s="129"/>
      <c r="CH119" s="129"/>
      <c r="CI119" s="129"/>
      <c r="CJ119" s="129"/>
      <c r="CK119" s="129"/>
      <c r="CL119" s="129"/>
      <c r="CM119" s="129"/>
      <c r="CN119" s="129"/>
      <c r="CO119" s="129"/>
      <c r="CP119" s="129"/>
      <c r="CQ119" s="129"/>
      <c r="CR119" s="129"/>
      <c r="CS119" s="129"/>
      <c r="CT119" s="129"/>
      <c r="CU119" s="129"/>
      <c r="CV119" s="129"/>
      <c r="CW119" s="129"/>
      <c r="CX119" s="129"/>
      <c r="CY119" s="129"/>
      <c r="CZ119" s="129"/>
      <c r="DA119" s="129"/>
      <c r="DB119" s="129"/>
      <c r="DC119" s="129"/>
      <c r="DD119" s="129"/>
    </row>
    <row r="120" spans="1:108" ht="16">
      <c r="A120" s="307" t="s">
        <v>835</v>
      </c>
      <c r="B120" s="87"/>
      <c r="C120" s="87"/>
      <c r="D120" s="107"/>
      <c r="E120" s="107"/>
      <c r="F120" s="108"/>
      <c r="G120" s="107"/>
      <c r="H120" s="107"/>
      <c r="I120" s="107"/>
      <c r="J120" s="10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29"/>
      <c r="AY120" s="129"/>
      <c r="AZ120" s="129"/>
      <c r="BA120" s="129"/>
      <c r="BB120" s="129"/>
      <c r="BC120" s="129"/>
      <c r="BD120" s="129"/>
      <c r="BE120" s="129"/>
      <c r="BF120" s="129"/>
      <c r="BG120" s="129"/>
      <c r="BH120" s="129"/>
      <c r="BI120" s="129"/>
      <c r="BJ120" s="129"/>
      <c r="BK120" s="129"/>
      <c r="BL120" s="129"/>
      <c r="BM120" s="129"/>
      <c r="BN120" s="129"/>
      <c r="BO120" s="129"/>
      <c r="BP120" s="129"/>
      <c r="BQ120" s="129"/>
      <c r="BR120" s="129"/>
      <c r="BS120" s="129"/>
      <c r="BT120" s="129"/>
      <c r="BU120" s="129"/>
      <c r="BV120" s="129"/>
      <c r="BW120" s="129"/>
      <c r="BX120" s="129"/>
      <c r="BY120" s="129"/>
      <c r="BZ120" s="129"/>
      <c r="CA120" s="129"/>
      <c r="CB120" s="129"/>
      <c r="CC120" s="129"/>
      <c r="CD120" s="129"/>
      <c r="CE120" s="129"/>
      <c r="CF120" s="129"/>
      <c r="CG120" s="129"/>
      <c r="CH120" s="129"/>
      <c r="CI120" s="129"/>
      <c r="CJ120" s="129"/>
      <c r="CK120" s="129"/>
      <c r="CL120" s="129"/>
      <c r="CM120" s="129"/>
      <c r="CN120" s="129"/>
      <c r="CO120" s="129"/>
      <c r="CP120" s="129"/>
      <c r="CQ120" s="129"/>
      <c r="CR120" s="129"/>
      <c r="CS120" s="129"/>
      <c r="CT120" s="129"/>
      <c r="CU120" s="129"/>
      <c r="CV120" s="129"/>
      <c r="CW120" s="129"/>
      <c r="CX120" s="129"/>
      <c r="CY120" s="129"/>
      <c r="CZ120" s="129"/>
      <c r="DA120" s="129"/>
      <c r="DB120" s="129"/>
      <c r="DC120" s="129"/>
      <c r="DD120" s="129"/>
    </row>
    <row r="121" spans="1:108" ht="16">
      <c r="A121" s="307"/>
      <c r="B121" s="323" t="s">
        <v>1032</v>
      </c>
      <c r="C121" s="210" t="s">
        <v>822</v>
      </c>
      <c r="D121" s="94" t="s">
        <v>823</v>
      </c>
      <c r="E121" s="94">
        <v>200</v>
      </c>
      <c r="F121" s="95">
        <v>1</v>
      </c>
      <c r="G121" s="94">
        <v>200</v>
      </c>
      <c r="H121" s="94">
        <f>G121*1.13</f>
        <v>225.99999999999997</v>
      </c>
      <c r="I121" s="94"/>
      <c r="J121" s="96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  <c r="BD121" s="129"/>
      <c r="BE121" s="129"/>
      <c r="BF121" s="129"/>
      <c r="BG121" s="129"/>
      <c r="BH121" s="129"/>
      <c r="BI121" s="129"/>
      <c r="BJ121" s="129"/>
      <c r="BK121" s="129"/>
      <c r="BL121" s="129"/>
      <c r="BM121" s="129"/>
      <c r="BN121" s="129"/>
      <c r="BO121" s="129"/>
      <c r="BP121" s="129"/>
      <c r="BQ121" s="129"/>
      <c r="BR121" s="129"/>
      <c r="BS121" s="129"/>
      <c r="BT121" s="129"/>
      <c r="BU121" s="129"/>
      <c r="BV121" s="129"/>
      <c r="BW121" s="129"/>
      <c r="BX121" s="129"/>
      <c r="BY121" s="129"/>
      <c r="BZ121" s="129"/>
      <c r="CA121" s="129"/>
      <c r="CB121" s="129"/>
      <c r="CC121" s="129"/>
      <c r="CD121" s="129"/>
      <c r="CE121" s="129"/>
      <c r="CF121" s="129"/>
      <c r="CG121" s="129"/>
      <c r="CH121" s="129"/>
      <c r="CI121" s="129"/>
      <c r="CJ121" s="129"/>
      <c r="CK121" s="129"/>
      <c r="CL121" s="129"/>
      <c r="CM121" s="129"/>
      <c r="CN121" s="129"/>
      <c r="CO121" s="129"/>
      <c r="CP121" s="129"/>
      <c r="CQ121" s="129"/>
      <c r="CR121" s="129"/>
      <c r="CS121" s="129"/>
      <c r="CT121" s="129"/>
      <c r="CU121" s="129"/>
      <c r="CV121" s="129"/>
      <c r="CW121" s="129"/>
      <c r="CX121" s="129"/>
      <c r="CY121" s="129"/>
      <c r="CZ121" s="129"/>
      <c r="DA121" s="129"/>
      <c r="DB121" s="129"/>
      <c r="DC121" s="129"/>
      <c r="DD121" s="129"/>
    </row>
    <row r="122" spans="1:108" ht="16">
      <c r="A122" s="325"/>
      <c r="B122" s="87" t="s">
        <v>1033</v>
      </c>
      <c r="C122" s="314" t="s">
        <v>824</v>
      </c>
      <c r="D122" s="119" t="s">
        <v>825</v>
      </c>
      <c r="E122" s="119">
        <v>100</v>
      </c>
      <c r="F122" s="120">
        <v>1</v>
      </c>
      <c r="G122" s="119">
        <f>E122*F122</f>
        <v>100</v>
      </c>
      <c r="H122" s="119">
        <f>G122</f>
        <v>100</v>
      </c>
      <c r="I122" s="119"/>
      <c r="J122" s="121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29"/>
      <c r="AE122" s="129"/>
      <c r="AF122" s="129"/>
      <c r="AG122" s="129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129"/>
      <c r="AU122" s="129"/>
      <c r="AV122" s="129"/>
      <c r="AW122" s="129"/>
      <c r="AX122" s="129"/>
      <c r="AY122" s="129"/>
      <c r="AZ122" s="129"/>
      <c r="BA122" s="129"/>
      <c r="BB122" s="129"/>
      <c r="BC122" s="129"/>
      <c r="BD122" s="129"/>
      <c r="BE122" s="129"/>
      <c r="BF122" s="129"/>
      <c r="BG122" s="129"/>
      <c r="BH122" s="129"/>
      <c r="BI122" s="129"/>
      <c r="BJ122" s="129"/>
      <c r="BK122" s="129"/>
      <c r="BL122" s="129"/>
      <c r="BM122" s="129"/>
      <c r="BN122" s="129"/>
      <c r="BO122" s="129"/>
      <c r="BP122" s="129"/>
      <c r="BQ122" s="129"/>
      <c r="BR122" s="129"/>
      <c r="BS122" s="129"/>
      <c r="BT122" s="129"/>
      <c r="BU122" s="129"/>
      <c r="BV122" s="129"/>
      <c r="BW122" s="129"/>
      <c r="BX122" s="129"/>
      <c r="BY122" s="129"/>
      <c r="BZ122" s="129"/>
      <c r="CA122" s="129"/>
      <c r="CB122" s="129"/>
      <c r="CC122" s="129"/>
      <c r="CD122" s="129"/>
      <c r="CE122" s="129"/>
      <c r="CF122" s="129"/>
      <c r="CG122" s="129"/>
      <c r="CH122" s="129"/>
      <c r="CI122" s="129"/>
      <c r="CJ122" s="129"/>
      <c r="CK122" s="129"/>
      <c r="CL122" s="129"/>
      <c r="CM122" s="129"/>
      <c r="CN122" s="129"/>
      <c r="CO122" s="129"/>
      <c r="CP122" s="129"/>
      <c r="CQ122" s="129"/>
      <c r="CR122" s="129"/>
      <c r="CS122" s="129"/>
      <c r="CT122" s="129"/>
      <c r="CU122" s="129"/>
      <c r="CV122" s="129"/>
      <c r="CW122" s="129"/>
      <c r="CX122" s="129"/>
      <c r="CY122" s="129"/>
      <c r="CZ122" s="129"/>
      <c r="DA122" s="129"/>
      <c r="DB122" s="129"/>
      <c r="DC122" s="129"/>
      <c r="DD122" s="129"/>
    </row>
    <row r="123" spans="1:108" ht="16">
      <c r="A123" s="325"/>
      <c r="B123" s="323" t="s">
        <v>1034</v>
      </c>
      <c r="C123" s="324" t="s">
        <v>626</v>
      </c>
      <c r="D123" s="94" t="s">
        <v>826</v>
      </c>
      <c r="E123" s="94">
        <v>200</v>
      </c>
      <c r="F123" s="95">
        <v>1</v>
      </c>
      <c r="G123" s="94">
        <f>E123</f>
        <v>200</v>
      </c>
      <c r="H123" s="94">
        <f>G123*1.13</f>
        <v>225.99999999999997</v>
      </c>
      <c r="I123" s="94"/>
      <c r="J123" s="96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29"/>
      <c r="AV123" s="129"/>
      <c r="AW123" s="129"/>
      <c r="AX123" s="129"/>
      <c r="AY123" s="129"/>
      <c r="AZ123" s="129"/>
      <c r="BA123" s="129"/>
      <c r="BB123" s="129"/>
      <c r="BC123" s="129"/>
      <c r="BD123" s="129"/>
      <c r="BE123" s="129"/>
      <c r="BF123" s="129"/>
      <c r="BG123" s="129"/>
      <c r="BH123" s="129"/>
      <c r="BI123" s="129"/>
      <c r="BJ123" s="129"/>
      <c r="BK123" s="129"/>
      <c r="BL123" s="129"/>
      <c r="BM123" s="129"/>
      <c r="BN123" s="129"/>
      <c r="BO123" s="129"/>
      <c r="BP123" s="129"/>
      <c r="BQ123" s="129"/>
      <c r="BR123" s="129"/>
      <c r="BS123" s="129"/>
      <c r="BT123" s="129"/>
      <c r="BU123" s="129"/>
      <c r="BV123" s="129"/>
      <c r="BW123" s="129"/>
      <c r="BX123" s="129"/>
      <c r="BY123" s="129"/>
      <c r="BZ123" s="129"/>
      <c r="CA123" s="129"/>
      <c r="CB123" s="129"/>
      <c r="CC123" s="129"/>
      <c r="CD123" s="129"/>
      <c r="CE123" s="129"/>
      <c r="CF123" s="129"/>
      <c r="CG123" s="129"/>
      <c r="CH123" s="129"/>
      <c r="CI123" s="129"/>
      <c r="CJ123" s="129"/>
      <c r="CK123" s="129"/>
      <c r="CL123" s="129"/>
      <c r="CM123" s="129"/>
      <c r="CN123" s="129"/>
      <c r="CO123" s="129"/>
      <c r="CP123" s="129"/>
      <c r="CQ123" s="129"/>
      <c r="CR123" s="129"/>
      <c r="CS123" s="129"/>
      <c r="CT123" s="129"/>
      <c r="CU123" s="129"/>
      <c r="CV123" s="129"/>
      <c r="CW123" s="129"/>
      <c r="CX123" s="129"/>
      <c r="CY123" s="129"/>
      <c r="CZ123" s="129"/>
      <c r="DA123" s="129"/>
      <c r="DB123" s="129"/>
      <c r="DC123" s="129"/>
      <c r="DD123" s="129"/>
    </row>
    <row r="124" spans="1:108" ht="16">
      <c r="A124" s="325"/>
      <c r="B124" s="87" t="s">
        <v>1035</v>
      </c>
      <c r="C124" s="314" t="s">
        <v>827</v>
      </c>
      <c r="D124" s="119" t="s">
        <v>828</v>
      </c>
      <c r="E124" s="119">
        <v>80</v>
      </c>
      <c r="F124" s="120">
        <v>1</v>
      </c>
      <c r="G124" s="119">
        <f t="shared" ref="G124:G128" si="26">E124*F124</f>
        <v>80</v>
      </c>
      <c r="H124" s="119">
        <f>G124*1.13</f>
        <v>90.399999999999991</v>
      </c>
      <c r="I124" s="119"/>
      <c r="J124" s="121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  <c r="AZ124" s="129"/>
      <c r="BA124" s="129"/>
      <c r="BB124" s="129"/>
      <c r="BC124" s="129"/>
      <c r="BD124" s="129"/>
      <c r="BE124" s="129"/>
      <c r="BF124" s="129"/>
      <c r="BG124" s="129"/>
      <c r="BH124" s="129"/>
      <c r="BI124" s="129"/>
      <c r="BJ124" s="129"/>
      <c r="BK124" s="129"/>
      <c r="BL124" s="129"/>
      <c r="BM124" s="129"/>
      <c r="BN124" s="129"/>
      <c r="BO124" s="129"/>
      <c r="BP124" s="129"/>
      <c r="BQ124" s="129"/>
      <c r="BR124" s="129"/>
      <c r="BS124" s="129"/>
      <c r="BT124" s="129"/>
      <c r="BU124" s="129"/>
      <c r="BV124" s="129"/>
      <c r="BW124" s="129"/>
      <c r="BX124" s="129"/>
      <c r="BY124" s="129"/>
      <c r="BZ124" s="129"/>
      <c r="CA124" s="129"/>
      <c r="CB124" s="129"/>
      <c r="CC124" s="129"/>
      <c r="CD124" s="129"/>
      <c r="CE124" s="129"/>
      <c r="CF124" s="129"/>
      <c r="CG124" s="129"/>
      <c r="CH124" s="129"/>
      <c r="CI124" s="129"/>
      <c r="CJ124" s="129"/>
      <c r="CK124" s="129"/>
      <c r="CL124" s="129"/>
      <c r="CM124" s="129"/>
      <c r="CN124" s="129"/>
      <c r="CO124" s="129"/>
      <c r="CP124" s="129"/>
      <c r="CQ124" s="129"/>
      <c r="CR124" s="129"/>
      <c r="CS124" s="129"/>
      <c r="CT124" s="129"/>
      <c r="CU124" s="129"/>
      <c r="CV124" s="129"/>
      <c r="CW124" s="129"/>
      <c r="CX124" s="129"/>
      <c r="CY124" s="129"/>
      <c r="CZ124" s="129"/>
      <c r="DA124" s="129"/>
      <c r="DB124" s="129"/>
      <c r="DC124" s="129"/>
      <c r="DD124" s="129"/>
    </row>
    <row r="125" spans="1:108" ht="16">
      <c r="A125" s="325"/>
      <c r="B125" s="323" t="s">
        <v>1036</v>
      </c>
      <c r="C125" s="324" t="s">
        <v>829</v>
      </c>
      <c r="D125" s="94" t="s">
        <v>1424</v>
      </c>
      <c r="E125" s="94">
        <v>50</v>
      </c>
      <c r="F125" s="95">
        <v>2</v>
      </c>
      <c r="G125" s="94">
        <f t="shared" si="26"/>
        <v>100</v>
      </c>
      <c r="H125" s="94">
        <f t="shared" ref="H125:H128" si="27">G125*1.13</f>
        <v>112.99999999999999</v>
      </c>
      <c r="I125" s="94"/>
      <c r="J125" s="96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129"/>
      <c r="AU125" s="129"/>
      <c r="AV125" s="129"/>
      <c r="AW125" s="129"/>
      <c r="AX125" s="129"/>
      <c r="AY125" s="129"/>
      <c r="AZ125" s="129"/>
      <c r="BA125" s="129"/>
      <c r="BB125" s="129"/>
      <c r="BC125" s="129"/>
      <c r="BD125" s="129"/>
      <c r="BE125" s="129"/>
      <c r="BF125" s="129"/>
      <c r="BG125" s="129"/>
      <c r="BH125" s="129"/>
      <c r="BI125" s="129"/>
      <c r="BJ125" s="129"/>
      <c r="BK125" s="129"/>
      <c r="BL125" s="129"/>
      <c r="BM125" s="129"/>
      <c r="BN125" s="129"/>
      <c r="BO125" s="129"/>
      <c r="BP125" s="129"/>
      <c r="BQ125" s="129"/>
      <c r="BR125" s="129"/>
      <c r="BS125" s="129"/>
      <c r="BT125" s="129"/>
      <c r="BU125" s="129"/>
      <c r="BV125" s="129"/>
      <c r="BW125" s="129"/>
      <c r="BX125" s="129"/>
      <c r="BY125" s="129"/>
      <c r="BZ125" s="129"/>
      <c r="CA125" s="129"/>
      <c r="CB125" s="129"/>
      <c r="CC125" s="129"/>
      <c r="CD125" s="129"/>
      <c r="CE125" s="129"/>
      <c r="CF125" s="129"/>
      <c r="CG125" s="129"/>
      <c r="CH125" s="129"/>
      <c r="CI125" s="129"/>
      <c r="CJ125" s="129"/>
      <c r="CK125" s="129"/>
      <c r="CL125" s="129"/>
      <c r="CM125" s="129"/>
      <c r="CN125" s="129"/>
      <c r="CO125" s="129"/>
      <c r="CP125" s="129"/>
      <c r="CQ125" s="129"/>
      <c r="CR125" s="129"/>
      <c r="CS125" s="129"/>
      <c r="CT125" s="129"/>
      <c r="CU125" s="129"/>
      <c r="CV125" s="129"/>
      <c r="CW125" s="129"/>
      <c r="CX125" s="129"/>
      <c r="CY125" s="129"/>
      <c r="CZ125" s="129"/>
      <c r="DA125" s="129"/>
      <c r="DB125" s="129"/>
      <c r="DC125" s="129"/>
      <c r="DD125" s="129"/>
    </row>
    <row r="126" spans="1:108" ht="16">
      <c r="A126" s="325"/>
      <c r="B126" s="87" t="s">
        <v>1037</v>
      </c>
      <c r="C126" s="314" t="s">
        <v>830</v>
      </c>
      <c r="D126" s="119" t="s">
        <v>1422</v>
      </c>
      <c r="E126" s="119">
        <v>10</v>
      </c>
      <c r="F126" s="120">
        <v>4</v>
      </c>
      <c r="G126" s="119">
        <f t="shared" si="26"/>
        <v>40</v>
      </c>
      <c r="H126" s="119">
        <f t="shared" si="27"/>
        <v>45.199999999999996</v>
      </c>
      <c r="I126" s="119"/>
      <c r="J126" s="121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129"/>
      <c r="AU126" s="129"/>
      <c r="AV126" s="129"/>
      <c r="AW126" s="129"/>
      <c r="AX126" s="129"/>
      <c r="AY126" s="129"/>
      <c r="AZ126" s="129"/>
      <c r="BA126" s="129"/>
      <c r="BB126" s="129"/>
      <c r="BC126" s="129"/>
      <c r="BD126" s="129"/>
      <c r="BE126" s="129"/>
      <c r="BF126" s="129"/>
      <c r="BG126" s="129"/>
      <c r="BH126" s="129"/>
      <c r="BI126" s="129"/>
      <c r="BJ126" s="129"/>
      <c r="BK126" s="129"/>
      <c r="BL126" s="129"/>
      <c r="BM126" s="129"/>
      <c r="BN126" s="129"/>
      <c r="BO126" s="129"/>
      <c r="BP126" s="129"/>
      <c r="BQ126" s="129"/>
      <c r="BR126" s="129"/>
      <c r="BS126" s="129"/>
      <c r="BT126" s="129"/>
      <c r="BU126" s="129"/>
      <c r="BV126" s="129"/>
      <c r="BW126" s="129"/>
      <c r="BX126" s="129"/>
      <c r="BY126" s="129"/>
      <c r="BZ126" s="129"/>
      <c r="CA126" s="129"/>
      <c r="CB126" s="129"/>
      <c r="CC126" s="129"/>
      <c r="CD126" s="129"/>
      <c r="CE126" s="129"/>
      <c r="CF126" s="129"/>
      <c r="CG126" s="129"/>
      <c r="CH126" s="129"/>
      <c r="CI126" s="129"/>
      <c r="CJ126" s="129"/>
      <c r="CK126" s="129"/>
      <c r="CL126" s="129"/>
      <c r="CM126" s="129"/>
      <c r="CN126" s="129"/>
      <c r="CO126" s="129"/>
      <c r="CP126" s="129"/>
      <c r="CQ126" s="129"/>
      <c r="CR126" s="129"/>
      <c r="CS126" s="129"/>
      <c r="CT126" s="129"/>
      <c r="CU126" s="129"/>
      <c r="CV126" s="129"/>
      <c r="CW126" s="129"/>
      <c r="CX126" s="129"/>
      <c r="CY126" s="129"/>
      <c r="CZ126" s="129"/>
      <c r="DA126" s="129"/>
      <c r="DB126" s="129"/>
      <c r="DC126" s="129"/>
      <c r="DD126" s="129"/>
    </row>
    <row r="127" spans="1:108" ht="16">
      <c r="A127" s="325"/>
      <c r="B127" s="323" t="s">
        <v>1038</v>
      </c>
      <c r="C127" s="324" t="s">
        <v>831</v>
      </c>
      <c r="D127" s="94" t="s">
        <v>1425</v>
      </c>
      <c r="E127" s="94">
        <v>250</v>
      </c>
      <c r="F127" s="95">
        <v>2</v>
      </c>
      <c r="G127" s="94">
        <f t="shared" si="26"/>
        <v>500</v>
      </c>
      <c r="H127" s="94">
        <f t="shared" si="27"/>
        <v>565</v>
      </c>
      <c r="I127" s="94"/>
      <c r="J127" s="96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129"/>
      <c r="AU127" s="129"/>
      <c r="AV127" s="129"/>
      <c r="AW127" s="129"/>
      <c r="AX127" s="129"/>
      <c r="AY127" s="129"/>
      <c r="AZ127" s="129"/>
      <c r="BA127" s="129"/>
      <c r="BB127" s="129"/>
      <c r="BC127" s="129"/>
      <c r="BD127" s="129"/>
      <c r="BE127" s="129"/>
      <c r="BF127" s="129"/>
      <c r="BG127" s="129"/>
      <c r="BH127" s="129"/>
      <c r="BI127" s="129"/>
      <c r="BJ127" s="129"/>
      <c r="BK127" s="129"/>
      <c r="BL127" s="129"/>
      <c r="BM127" s="129"/>
      <c r="BN127" s="129"/>
      <c r="BO127" s="129"/>
      <c r="BP127" s="129"/>
      <c r="BQ127" s="129"/>
      <c r="BR127" s="129"/>
      <c r="BS127" s="129"/>
      <c r="BT127" s="129"/>
      <c r="BU127" s="129"/>
      <c r="BV127" s="129"/>
      <c r="BW127" s="129"/>
      <c r="BX127" s="129"/>
      <c r="BY127" s="129"/>
      <c r="BZ127" s="129"/>
      <c r="CA127" s="129"/>
      <c r="CB127" s="129"/>
      <c r="CC127" s="129"/>
      <c r="CD127" s="129"/>
      <c r="CE127" s="129"/>
      <c r="CF127" s="129"/>
      <c r="CG127" s="129"/>
      <c r="CH127" s="129"/>
      <c r="CI127" s="129"/>
      <c r="CJ127" s="129"/>
      <c r="CK127" s="129"/>
      <c r="CL127" s="129"/>
      <c r="CM127" s="129"/>
      <c r="CN127" s="129"/>
      <c r="CO127" s="129"/>
      <c r="CP127" s="129"/>
      <c r="CQ127" s="129"/>
      <c r="CR127" s="129"/>
      <c r="CS127" s="129"/>
      <c r="CT127" s="129"/>
      <c r="CU127" s="129"/>
      <c r="CV127" s="129"/>
      <c r="CW127" s="129"/>
      <c r="CX127" s="129"/>
      <c r="CY127" s="129"/>
      <c r="CZ127" s="129"/>
      <c r="DA127" s="129"/>
      <c r="DB127" s="129"/>
      <c r="DC127" s="129"/>
      <c r="DD127" s="129"/>
    </row>
    <row r="128" spans="1:108" ht="16">
      <c r="A128" s="325"/>
      <c r="B128" s="87" t="s">
        <v>1039</v>
      </c>
      <c r="C128" s="314" t="s">
        <v>832</v>
      </c>
      <c r="D128" s="88" t="s">
        <v>833</v>
      </c>
      <c r="E128" s="119">
        <v>40</v>
      </c>
      <c r="F128" s="120">
        <v>1</v>
      </c>
      <c r="G128" s="119">
        <f t="shared" si="26"/>
        <v>40</v>
      </c>
      <c r="H128" s="119">
        <f t="shared" si="27"/>
        <v>45.199999999999996</v>
      </c>
      <c r="I128" s="119"/>
      <c r="J128" s="121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129"/>
      <c r="AU128" s="129"/>
      <c r="AV128" s="129"/>
      <c r="AW128" s="129"/>
      <c r="AX128" s="129"/>
      <c r="AY128" s="129"/>
      <c r="AZ128" s="129"/>
      <c r="BA128" s="129"/>
      <c r="BB128" s="129"/>
      <c r="BC128" s="129"/>
      <c r="BD128" s="129"/>
      <c r="BE128" s="129"/>
      <c r="BF128" s="129"/>
      <c r="BG128" s="129"/>
      <c r="BH128" s="129"/>
      <c r="BI128" s="129"/>
      <c r="BJ128" s="129"/>
      <c r="BK128" s="129"/>
      <c r="BL128" s="129"/>
      <c r="BM128" s="129"/>
      <c r="BN128" s="129"/>
      <c r="BO128" s="129"/>
      <c r="BP128" s="129"/>
      <c r="BQ128" s="129"/>
      <c r="BR128" s="129"/>
      <c r="BS128" s="129"/>
      <c r="BT128" s="129"/>
      <c r="BU128" s="129"/>
      <c r="BV128" s="129"/>
      <c r="BW128" s="129"/>
      <c r="BX128" s="129"/>
      <c r="BY128" s="129"/>
      <c r="BZ128" s="129"/>
      <c r="CA128" s="129"/>
      <c r="CB128" s="129"/>
      <c r="CC128" s="129"/>
      <c r="CD128" s="129"/>
      <c r="CE128" s="129"/>
      <c r="CF128" s="129"/>
      <c r="CG128" s="129"/>
      <c r="CH128" s="129"/>
      <c r="CI128" s="129"/>
      <c r="CJ128" s="129"/>
      <c r="CK128" s="129"/>
      <c r="CL128" s="129"/>
      <c r="CM128" s="129"/>
      <c r="CN128" s="129"/>
      <c r="CO128" s="129"/>
      <c r="CP128" s="129"/>
      <c r="CQ128" s="129"/>
      <c r="CR128" s="129"/>
      <c r="CS128" s="129"/>
      <c r="CT128" s="129"/>
      <c r="CU128" s="129"/>
      <c r="CV128" s="129"/>
      <c r="CW128" s="129"/>
      <c r="CX128" s="129"/>
      <c r="CY128" s="129"/>
      <c r="CZ128" s="129"/>
      <c r="DA128" s="129"/>
      <c r="DB128" s="129"/>
      <c r="DC128" s="129"/>
      <c r="DD128" s="129"/>
    </row>
    <row r="129" spans="1:108">
      <c r="A129" s="30"/>
      <c r="B129" s="37" t="s">
        <v>836</v>
      </c>
      <c r="C129" s="46"/>
      <c r="D129" s="41"/>
      <c r="E129" s="41"/>
      <c r="F129" s="47"/>
      <c r="G129" s="41"/>
      <c r="H129" s="41">
        <f>SUM(H121:H128)</f>
        <v>1410.8</v>
      </c>
      <c r="I129" s="41">
        <f>SUM(I122:I128)</f>
        <v>0</v>
      </c>
      <c r="J129" s="42">
        <f>SUM(J122:J128)</f>
        <v>0</v>
      </c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  <c r="AF129" s="129"/>
      <c r="AG129" s="129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129"/>
      <c r="AU129" s="129"/>
      <c r="AV129" s="129"/>
      <c r="AW129" s="129"/>
      <c r="AX129" s="129"/>
      <c r="AY129" s="129"/>
      <c r="AZ129" s="129"/>
      <c r="BA129" s="129"/>
      <c r="BB129" s="129"/>
      <c r="BC129" s="129"/>
      <c r="BD129" s="129"/>
      <c r="BE129" s="129"/>
      <c r="BF129" s="129"/>
      <c r="BG129" s="129"/>
      <c r="BH129" s="129"/>
      <c r="BI129" s="129"/>
      <c r="BJ129" s="129"/>
      <c r="BK129" s="129"/>
      <c r="BL129" s="129"/>
      <c r="BM129" s="129"/>
      <c r="BN129" s="129"/>
      <c r="BO129" s="129"/>
      <c r="BP129" s="129"/>
      <c r="BQ129" s="129"/>
      <c r="BR129" s="129"/>
      <c r="BS129" s="129"/>
      <c r="BT129" s="129"/>
      <c r="BU129" s="129"/>
      <c r="BV129" s="129"/>
      <c r="BW129" s="129"/>
      <c r="BX129" s="129"/>
      <c r="BY129" s="129"/>
      <c r="BZ129" s="129"/>
      <c r="CA129" s="129"/>
      <c r="CB129" s="129"/>
      <c r="CC129" s="129"/>
      <c r="CD129" s="129"/>
      <c r="CE129" s="129"/>
      <c r="CF129" s="129"/>
      <c r="CG129" s="129"/>
      <c r="CH129" s="129"/>
      <c r="CI129" s="129"/>
      <c r="CJ129" s="129"/>
      <c r="CK129" s="129"/>
      <c r="CL129" s="129"/>
      <c r="CM129" s="129"/>
      <c r="CN129" s="129"/>
      <c r="CO129" s="129"/>
      <c r="CP129" s="129"/>
      <c r="CQ129" s="129"/>
      <c r="CR129" s="129"/>
      <c r="CS129" s="129"/>
      <c r="CT129" s="129"/>
      <c r="CU129" s="129"/>
      <c r="CV129" s="129"/>
      <c r="CW129" s="129"/>
      <c r="CX129" s="129"/>
      <c r="CY129" s="129"/>
      <c r="CZ129" s="129"/>
      <c r="DA129" s="129"/>
      <c r="DB129" s="129"/>
      <c r="DC129" s="129"/>
      <c r="DD129" s="129"/>
    </row>
    <row r="130" spans="1:108" ht="16">
      <c r="A130" s="122"/>
      <c r="B130" s="103" t="s">
        <v>837</v>
      </c>
      <c r="C130" s="127"/>
      <c r="D130" s="319"/>
      <c r="E130" s="67"/>
      <c r="F130" s="66"/>
      <c r="G130" s="67"/>
      <c r="H130" s="67">
        <f>SUM(H129,H119)</f>
        <v>2821.6</v>
      </c>
      <c r="I130" s="67">
        <f>SUM(I129,I119)</f>
        <v>0</v>
      </c>
      <c r="J130" s="68">
        <f>SUM(J129,J119)</f>
        <v>0</v>
      </c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  <c r="AF130" s="129"/>
      <c r="AG130" s="129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129"/>
      <c r="AU130" s="129"/>
      <c r="AV130" s="129"/>
      <c r="AW130" s="129"/>
      <c r="AX130" s="129"/>
      <c r="AY130" s="129"/>
      <c r="AZ130" s="129"/>
      <c r="BA130" s="129"/>
      <c r="BB130" s="129"/>
      <c r="BC130" s="129"/>
      <c r="BD130" s="129"/>
      <c r="BE130" s="129"/>
      <c r="BF130" s="129"/>
      <c r="BG130" s="129"/>
      <c r="BH130" s="129"/>
      <c r="BI130" s="129"/>
      <c r="BJ130" s="129"/>
      <c r="BK130" s="129"/>
      <c r="BL130" s="129"/>
      <c r="BM130" s="129"/>
      <c r="BN130" s="129"/>
      <c r="BO130" s="129"/>
      <c r="BP130" s="129"/>
      <c r="BQ130" s="129"/>
      <c r="BR130" s="129"/>
      <c r="BS130" s="129"/>
      <c r="BT130" s="129"/>
      <c r="BU130" s="129"/>
      <c r="BV130" s="129"/>
      <c r="BW130" s="129"/>
      <c r="BX130" s="129"/>
      <c r="BY130" s="129"/>
      <c r="BZ130" s="129"/>
      <c r="CA130" s="129"/>
      <c r="CB130" s="129"/>
      <c r="CC130" s="129"/>
      <c r="CD130" s="129"/>
      <c r="CE130" s="129"/>
      <c r="CF130" s="129"/>
      <c r="CG130" s="129"/>
      <c r="CH130" s="129"/>
      <c r="CI130" s="129"/>
      <c r="CJ130" s="129"/>
      <c r="CK130" s="129"/>
      <c r="CL130" s="129"/>
      <c r="CM130" s="129"/>
      <c r="CN130" s="129"/>
      <c r="CO130" s="129"/>
      <c r="CP130" s="129"/>
      <c r="CQ130" s="129"/>
      <c r="CR130" s="129"/>
      <c r="CS130" s="129"/>
      <c r="CT130" s="129"/>
      <c r="CU130" s="129"/>
      <c r="CV130" s="129"/>
      <c r="CW130" s="129"/>
      <c r="CX130" s="129"/>
      <c r="CY130" s="129"/>
      <c r="CZ130" s="129"/>
      <c r="DA130" s="129"/>
      <c r="DB130" s="129"/>
      <c r="DC130" s="129"/>
      <c r="DD130" s="129"/>
    </row>
    <row r="131" spans="1:108" ht="16">
      <c r="A131" s="122" t="s">
        <v>756</v>
      </c>
      <c r="B131" s="87"/>
      <c r="C131" s="315"/>
      <c r="D131" s="316"/>
      <c r="E131" s="107"/>
      <c r="F131" s="108"/>
      <c r="G131" s="107"/>
      <c r="H131" s="107"/>
      <c r="I131" s="107"/>
      <c r="J131" s="109"/>
    </row>
    <row r="132" spans="1:108">
      <c r="A132" s="307" t="s">
        <v>838</v>
      </c>
      <c r="B132" s="21"/>
      <c r="C132" s="22"/>
      <c r="D132" s="32"/>
      <c r="E132" s="32"/>
      <c r="F132" s="33"/>
      <c r="G132" s="32"/>
      <c r="H132" s="32"/>
      <c r="I132" s="32"/>
      <c r="J132" s="34"/>
    </row>
    <row r="133" spans="1:108" ht="16">
      <c r="A133" s="30"/>
      <c r="B133" s="35" t="s">
        <v>1040</v>
      </c>
      <c r="C133" s="326" t="s">
        <v>839</v>
      </c>
      <c r="D133" s="327"/>
      <c r="E133" s="199">
        <v>150</v>
      </c>
      <c r="F133" s="200">
        <v>1</v>
      </c>
      <c r="G133" s="27">
        <f>E133*F133</f>
        <v>150</v>
      </c>
      <c r="H133" s="27">
        <f>G133</f>
        <v>150</v>
      </c>
      <c r="I133" s="27"/>
      <c r="J133" s="29"/>
    </row>
    <row r="134" spans="1:108" ht="16">
      <c r="A134" s="30"/>
      <c r="B134" s="22" t="s">
        <v>1041</v>
      </c>
      <c r="C134" s="192" t="s">
        <v>840</v>
      </c>
      <c r="D134" s="328"/>
      <c r="E134" s="193">
        <v>50</v>
      </c>
      <c r="F134" s="194">
        <v>1</v>
      </c>
      <c r="G134" s="32">
        <f t="shared" ref="G134:G137" si="28">E134*F134</f>
        <v>50</v>
      </c>
      <c r="H134" s="32">
        <f t="shared" ref="H134:H139" si="29">G134*1.13</f>
        <v>56.499999999999993</v>
      </c>
      <c r="I134" s="32"/>
      <c r="J134" s="34"/>
    </row>
    <row r="135" spans="1:108" ht="32">
      <c r="A135" s="30"/>
      <c r="B135" s="35" t="s">
        <v>1042</v>
      </c>
      <c r="C135" s="326" t="s">
        <v>841</v>
      </c>
      <c r="D135" s="327" t="s">
        <v>842</v>
      </c>
      <c r="E135" s="199">
        <v>175</v>
      </c>
      <c r="F135" s="200">
        <v>1</v>
      </c>
      <c r="G135" s="27">
        <f t="shared" si="28"/>
        <v>175</v>
      </c>
      <c r="H135" s="27">
        <v>175</v>
      </c>
      <c r="I135" s="27"/>
      <c r="J135" s="29"/>
    </row>
    <row r="136" spans="1:108" ht="16">
      <c r="A136" s="30"/>
      <c r="B136" s="22" t="s">
        <v>1043</v>
      </c>
      <c r="C136" s="192" t="s">
        <v>843</v>
      </c>
      <c r="D136" s="328" t="s">
        <v>844</v>
      </c>
      <c r="E136" s="193">
        <v>45</v>
      </c>
      <c r="F136" s="194">
        <v>1</v>
      </c>
      <c r="G136" s="32">
        <f t="shared" si="28"/>
        <v>45</v>
      </c>
      <c r="H136" s="32">
        <f t="shared" si="29"/>
        <v>50.849999999999994</v>
      </c>
      <c r="I136" s="32"/>
      <c r="J136" s="34"/>
    </row>
    <row r="137" spans="1:108" ht="16">
      <c r="A137" s="30"/>
      <c r="B137" s="35" t="s">
        <v>1044</v>
      </c>
      <c r="C137" s="326" t="s">
        <v>845</v>
      </c>
      <c r="D137" s="327"/>
      <c r="E137" s="199">
        <v>20</v>
      </c>
      <c r="F137" s="200">
        <v>1</v>
      </c>
      <c r="G137" s="27">
        <f t="shared" si="28"/>
        <v>20</v>
      </c>
      <c r="H137" s="27">
        <f t="shared" si="29"/>
        <v>22.599999999999998</v>
      </c>
      <c r="I137" s="27"/>
      <c r="J137" s="209"/>
    </row>
    <row r="138" spans="1:108" ht="16">
      <c r="A138" s="30"/>
      <c r="B138" s="22" t="s">
        <v>1045</v>
      </c>
      <c r="C138" s="192" t="s">
        <v>846</v>
      </c>
      <c r="D138" s="328"/>
      <c r="E138" s="193">
        <v>250</v>
      </c>
      <c r="F138" s="194">
        <v>1</v>
      </c>
      <c r="G138" s="32">
        <f>E138*F138</f>
        <v>250</v>
      </c>
      <c r="H138" s="32">
        <f t="shared" si="29"/>
        <v>282.5</v>
      </c>
      <c r="I138" s="32"/>
      <c r="J138" s="34"/>
    </row>
    <row r="139" spans="1:108" ht="16">
      <c r="A139" s="30"/>
      <c r="B139" s="35" t="s">
        <v>1046</v>
      </c>
      <c r="C139" s="326" t="s">
        <v>847</v>
      </c>
      <c r="D139" s="327" t="s">
        <v>848</v>
      </c>
      <c r="E139" s="199">
        <v>2</v>
      </c>
      <c r="F139" s="200">
        <v>45</v>
      </c>
      <c r="G139" s="27">
        <f>E139*F139</f>
        <v>90</v>
      </c>
      <c r="H139" s="27">
        <f t="shared" si="29"/>
        <v>101.69999999999999</v>
      </c>
      <c r="I139" s="27"/>
      <c r="J139" s="29"/>
    </row>
    <row r="140" spans="1:108">
      <c r="A140" s="30"/>
      <c r="B140" s="37" t="s">
        <v>849</v>
      </c>
      <c r="C140" s="50"/>
      <c r="D140" s="41"/>
      <c r="E140" s="41"/>
      <c r="F140" s="47"/>
      <c r="G140" s="41"/>
      <c r="H140" s="41">
        <f>SUM(H132:H139)</f>
        <v>839.15000000000009</v>
      </c>
      <c r="I140" s="41">
        <f>SUM(I132:I137)</f>
        <v>0</v>
      </c>
      <c r="J140" s="42">
        <f>SUM(J132:J137)</f>
        <v>0</v>
      </c>
    </row>
    <row r="141" spans="1:108">
      <c r="A141" s="20"/>
      <c r="B141" s="21"/>
      <c r="C141" s="21"/>
      <c r="D141" s="43"/>
      <c r="E141" s="43"/>
      <c r="F141" s="44"/>
      <c r="G141" s="43"/>
      <c r="H141" s="43"/>
      <c r="I141" s="43"/>
      <c r="J141" s="45"/>
    </row>
    <row r="142" spans="1:108">
      <c r="A142" s="307" t="s">
        <v>850</v>
      </c>
      <c r="B142" s="21"/>
      <c r="C142" s="22"/>
      <c r="D142" s="32"/>
      <c r="E142" s="32"/>
      <c r="F142" s="33"/>
      <c r="G142" s="32"/>
      <c r="H142" s="32"/>
      <c r="I142" s="32"/>
      <c r="J142" s="34"/>
    </row>
    <row r="143" spans="1:108">
      <c r="A143" s="51"/>
      <c r="B143" s="35" t="s">
        <v>1047</v>
      </c>
      <c r="C143" s="36" t="s">
        <v>851</v>
      </c>
      <c r="D143" s="27" t="s">
        <v>852</v>
      </c>
      <c r="E143" s="27">
        <v>6</v>
      </c>
      <c r="F143" s="28">
        <v>20</v>
      </c>
      <c r="G143" s="27">
        <f>E143*F143</f>
        <v>120</v>
      </c>
      <c r="H143" s="27">
        <f>G143*1.13</f>
        <v>135.6</v>
      </c>
      <c r="I143" s="27"/>
      <c r="J143" s="29"/>
    </row>
    <row r="144" spans="1:108" ht="16">
      <c r="A144" s="51"/>
      <c r="B144" s="22" t="s">
        <v>1048</v>
      </c>
      <c r="C144" s="432" t="s">
        <v>853</v>
      </c>
      <c r="D144" s="32" t="s">
        <v>854</v>
      </c>
      <c r="E144" s="32">
        <v>6</v>
      </c>
      <c r="F144" s="33">
        <v>20</v>
      </c>
      <c r="G144" s="32">
        <f t="shared" ref="G144" si="30">E144*F144</f>
        <v>120</v>
      </c>
      <c r="H144" s="32">
        <f t="shared" ref="H144" si="31">G144*1.13</f>
        <v>135.6</v>
      </c>
      <c r="I144" s="32"/>
      <c r="J144" s="34"/>
    </row>
    <row r="145" spans="1:10">
      <c r="A145" s="30"/>
      <c r="B145" s="37" t="s">
        <v>855</v>
      </c>
      <c r="C145" s="46"/>
      <c r="D145" s="41"/>
      <c r="E145" s="41"/>
      <c r="F145" s="47"/>
      <c r="G145" s="41"/>
      <c r="H145" s="41">
        <f>SUM(H143:H144)</f>
        <v>271.2</v>
      </c>
      <c r="I145" s="41">
        <f>SUM(I143:I144)</f>
        <v>0</v>
      </c>
      <c r="J145" s="42">
        <f>SUM(J143:J144)</f>
        <v>0</v>
      </c>
    </row>
    <row r="146" spans="1:10">
      <c r="A146" s="30"/>
      <c r="B146" s="22"/>
      <c r="C146" s="22"/>
      <c r="D146" s="32"/>
      <c r="E146" s="32"/>
      <c r="F146" s="33"/>
      <c r="G146" s="32"/>
      <c r="H146" s="32"/>
      <c r="I146" s="32"/>
      <c r="J146" s="34"/>
    </row>
    <row r="147" spans="1:10">
      <c r="A147" s="307" t="s">
        <v>856</v>
      </c>
      <c r="B147" s="21"/>
      <c r="C147" s="22"/>
      <c r="D147" s="32"/>
      <c r="E147" s="32"/>
      <c r="F147" s="33"/>
      <c r="G147" s="32"/>
      <c r="H147" s="32"/>
      <c r="I147" s="32"/>
      <c r="J147" s="34"/>
    </row>
    <row r="148" spans="1:10">
      <c r="A148" s="30"/>
      <c r="B148" s="35" t="s">
        <v>1049</v>
      </c>
      <c r="C148" s="36" t="s">
        <v>857</v>
      </c>
      <c r="D148" s="27" t="s">
        <v>858</v>
      </c>
      <c r="E148" s="27">
        <v>4</v>
      </c>
      <c r="F148" s="28">
        <f>30 * 2</f>
        <v>60</v>
      </c>
      <c r="G148" s="27">
        <f t="shared" ref="G148:G150" si="32">E148*F148</f>
        <v>240</v>
      </c>
      <c r="H148" s="27">
        <f t="shared" ref="H148:H149" si="33">G148*1.13</f>
        <v>271.2</v>
      </c>
      <c r="I148" s="27"/>
      <c r="J148" s="29"/>
    </row>
    <row r="149" spans="1:10">
      <c r="A149" s="30" t="s">
        <v>10</v>
      </c>
      <c r="B149" s="22" t="s">
        <v>1050</v>
      </c>
      <c r="C149" s="22" t="s">
        <v>859</v>
      </c>
      <c r="D149" s="32" t="s">
        <v>858</v>
      </c>
      <c r="E149" s="32">
        <v>4</v>
      </c>
      <c r="F149" s="33">
        <f>2*10</f>
        <v>20</v>
      </c>
      <c r="G149" s="32">
        <f t="shared" si="32"/>
        <v>80</v>
      </c>
      <c r="H149" s="32">
        <f t="shared" si="33"/>
        <v>90.399999999999991</v>
      </c>
      <c r="I149" s="32"/>
      <c r="J149" s="34"/>
    </row>
    <row r="150" spans="1:10">
      <c r="A150" s="30"/>
      <c r="B150" s="35" t="s">
        <v>1051</v>
      </c>
      <c r="C150" s="35" t="s">
        <v>428</v>
      </c>
      <c r="D150" s="27" t="s">
        <v>1391</v>
      </c>
      <c r="E150" s="27">
        <v>3</v>
      </c>
      <c r="F150" s="28">
        <v>100</v>
      </c>
      <c r="G150" s="27">
        <f t="shared" si="32"/>
        <v>300</v>
      </c>
      <c r="H150" s="27">
        <f>G150</f>
        <v>300</v>
      </c>
      <c r="I150" s="27"/>
      <c r="J150" s="29"/>
    </row>
    <row r="151" spans="1:10">
      <c r="A151" s="30"/>
      <c r="B151" s="37" t="s">
        <v>860</v>
      </c>
      <c r="C151" s="46"/>
      <c r="D151" s="41"/>
      <c r="E151" s="41"/>
      <c r="F151" s="47"/>
      <c r="G151" s="41"/>
      <c r="H151" s="41">
        <f>SUM(H148:H150)</f>
        <v>661.59999999999991</v>
      </c>
      <c r="I151" s="41">
        <f>SUM(I148:I150)</f>
        <v>0</v>
      </c>
      <c r="J151" s="42">
        <f>SUM(J148:J150)</f>
        <v>0</v>
      </c>
    </row>
    <row r="152" spans="1:10">
      <c r="A152" s="30"/>
      <c r="B152" s="22"/>
      <c r="C152" s="21"/>
      <c r="D152" s="43"/>
      <c r="E152" s="43"/>
      <c r="F152" s="44"/>
      <c r="G152" s="43"/>
      <c r="H152" s="43"/>
      <c r="I152" s="43"/>
      <c r="J152" s="45"/>
    </row>
    <row r="153" spans="1:10">
      <c r="A153" s="307" t="s">
        <v>861</v>
      </c>
      <c r="B153" s="21"/>
      <c r="C153" s="22"/>
      <c r="D153" s="32"/>
      <c r="E153" s="32"/>
      <c r="F153" s="33"/>
      <c r="G153" s="32"/>
      <c r="H153" s="32"/>
      <c r="I153" s="32"/>
      <c r="J153" s="34"/>
    </row>
    <row r="154" spans="1:10">
      <c r="A154" s="20"/>
      <c r="B154" s="52" t="s">
        <v>1052</v>
      </c>
      <c r="C154" s="35" t="s">
        <v>862</v>
      </c>
      <c r="D154" s="27" t="s">
        <v>863</v>
      </c>
      <c r="E154" s="27">
        <v>25</v>
      </c>
      <c r="F154" s="28">
        <v>30</v>
      </c>
      <c r="G154" s="27">
        <f t="shared" ref="G154" si="34">E154*F154</f>
        <v>750</v>
      </c>
      <c r="H154" s="27">
        <f t="shared" ref="H154" si="35">G154*1.13</f>
        <v>847.49999999999989</v>
      </c>
      <c r="I154" s="27"/>
      <c r="J154" s="29"/>
    </row>
    <row r="155" spans="1:10">
      <c r="A155" s="30"/>
      <c r="B155" s="37" t="s">
        <v>864</v>
      </c>
      <c r="C155" s="46"/>
      <c r="D155" s="41"/>
      <c r="E155" s="41"/>
      <c r="F155" s="47"/>
      <c r="G155" s="41"/>
      <c r="H155" s="41">
        <f>SUM(H154:H154)</f>
        <v>847.49999999999989</v>
      </c>
      <c r="I155" s="41">
        <f>SUM(I154:I154)</f>
        <v>0</v>
      </c>
      <c r="J155" s="42">
        <f>SUM(J154:J154)</f>
        <v>0</v>
      </c>
    </row>
    <row r="156" spans="1:10">
      <c r="A156" s="30"/>
      <c r="B156" s="21"/>
      <c r="C156" s="21"/>
      <c r="D156" s="43"/>
      <c r="E156" s="43"/>
      <c r="F156" s="44"/>
      <c r="G156" s="43"/>
      <c r="H156" s="43"/>
      <c r="I156" s="43"/>
      <c r="J156" s="45"/>
    </row>
    <row r="157" spans="1:10">
      <c r="A157" s="307" t="s">
        <v>816</v>
      </c>
      <c r="B157" s="21"/>
      <c r="C157" s="22"/>
      <c r="D157" s="32"/>
      <c r="E157" s="32"/>
      <c r="F157" s="33"/>
      <c r="G157" s="32"/>
      <c r="H157" s="32"/>
      <c r="I157" s="32"/>
      <c r="J157" s="34"/>
    </row>
    <row r="158" spans="1:10">
      <c r="A158" s="20"/>
      <c r="B158" s="52" t="s">
        <v>1053</v>
      </c>
      <c r="C158" s="35" t="s">
        <v>865</v>
      </c>
      <c r="D158" s="27" t="s">
        <v>866</v>
      </c>
      <c r="E158" s="27">
        <v>0.6</v>
      </c>
      <c r="F158" s="28">
        <v>15</v>
      </c>
      <c r="G158" s="27">
        <f t="shared" ref="G158:G165" si="36">E158*F158</f>
        <v>9</v>
      </c>
      <c r="H158" s="27">
        <f t="shared" ref="H158:H165" si="37">G158*1.13</f>
        <v>10.169999999999998</v>
      </c>
      <c r="I158" s="27"/>
      <c r="J158" s="29"/>
    </row>
    <row r="159" spans="1:10">
      <c r="A159" s="20"/>
      <c r="B159" s="21" t="s">
        <v>1054</v>
      </c>
      <c r="C159" s="22" t="s">
        <v>867</v>
      </c>
      <c r="D159" s="32" t="s">
        <v>868</v>
      </c>
      <c r="E159" s="32">
        <v>0.6</v>
      </c>
      <c r="F159" s="33">
        <v>30</v>
      </c>
      <c r="G159" s="32">
        <f t="shared" si="36"/>
        <v>18</v>
      </c>
      <c r="H159" s="32">
        <f t="shared" si="37"/>
        <v>20.339999999999996</v>
      </c>
      <c r="I159" s="32"/>
      <c r="J159" s="34"/>
    </row>
    <row r="160" spans="1:10">
      <c r="A160" s="20"/>
      <c r="B160" s="52" t="s">
        <v>1055</v>
      </c>
      <c r="C160" s="35" t="s">
        <v>869</v>
      </c>
      <c r="D160" s="27" t="s">
        <v>870</v>
      </c>
      <c r="E160" s="27">
        <v>0.1</v>
      </c>
      <c r="F160" s="28">
        <v>30</v>
      </c>
      <c r="G160" s="27">
        <f t="shared" si="36"/>
        <v>3</v>
      </c>
      <c r="H160" s="27">
        <f t="shared" si="37"/>
        <v>3.3899999999999997</v>
      </c>
      <c r="I160" s="27"/>
      <c r="J160" s="29"/>
    </row>
    <row r="161" spans="1:10">
      <c r="A161" s="20"/>
      <c r="B161" s="21" t="s">
        <v>1056</v>
      </c>
      <c r="C161" s="22" t="s">
        <v>871</v>
      </c>
      <c r="D161" s="32" t="s">
        <v>870</v>
      </c>
      <c r="E161" s="32">
        <v>0.1</v>
      </c>
      <c r="F161" s="33">
        <v>6</v>
      </c>
      <c r="G161" s="32">
        <f t="shared" si="36"/>
        <v>0.60000000000000009</v>
      </c>
      <c r="H161" s="32">
        <f t="shared" si="37"/>
        <v>0.67800000000000005</v>
      </c>
      <c r="I161" s="32"/>
      <c r="J161" s="34"/>
    </row>
    <row r="162" spans="1:10" ht="16">
      <c r="A162" s="20"/>
      <c r="B162" s="52" t="s">
        <v>1057</v>
      </c>
      <c r="C162" s="329" t="s">
        <v>817</v>
      </c>
      <c r="D162" s="318"/>
      <c r="E162" s="94">
        <v>0.55000000000000004</v>
      </c>
      <c r="F162" s="95">
        <v>50</v>
      </c>
      <c r="G162" s="94">
        <f t="shared" ref="G162:G164" si="38">F162*E162</f>
        <v>27.500000000000004</v>
      </c>
      <c r="H162" s="94">
        <f t="shared" si="37"/>
        <v>31.075000000000003</v>
      </c>
      <c r="I162" s="27"/>
      <c r="J162" s="29"/>
    </row>
    <row r="163" spans="1:10" ht="16">
      <c r="A163" s="20"/>
      <c r="B163" s="21" t="s">
        <v>1058</v>
      </c>
      <c r="C163" s="330" t="s">
        <v>818</v>
      </c>
      <c r="D163" s="317"/>
      <c r="E163" s="119">
        <v>1</v>
      </c>
      <c r="F163" s="120">
        <v>50</v>
      </c>
      <c r="G163" s="119">
        <f t="shared" si="38"/>
        <v>50</v>
      </c>
      <c r="H163" s="119">
        <f t="shared" si="37"/>
        <v>56.499999999999993</v>
      </c>
      <c r="I163" s="32"/>
      <c r="J163" s="34"/>
    </row>
    <row r="164" spans="1:10" ht="16">
      <c r="A164" s="20"/>
      <c r="B164" s="52" t="s">
        <v>1059</v>
      </c>
      <c r="C164" s="207" t="s">
        <v>507</v>
      </c>
      <c r="D164" s="94" t="s">
        <v>852</v>
      </c>
      <c r="E164" s="94">
        <v>7</v>
      </c>
      <c r="F164" s="95">
        <v>12</v>
      </c>
      <c r="G164" s="94">
        <f t="shared" si="38"/>
        <v>84</v>
      </c>
      <c r="H164" s="94">
        <f t="shared" si="37"/>
        <v>94.919999999999987</v>
      </c>
      <c r="I164" s="27"/>
      <c r="J164" s="29"/>
    </row>
    <row r="165" spans="1:10">
      <c r="A165" s="20"/>
      <c r="B165" s="21" t="s">
        <v>1060</v>
      </c>
      <c r="C165" s="22" t="s">
        <v>872</v>
      </c>
      <c r="D165" s="32" t="s">
        <v>873</v>
      </c>
      <c r="E165" s="32">
        <v>8</v>
      </c>
      <c r="F165" s="33">
        <v>10</v>
      </c>
      <c r="G165" s="32">
        <f t="shared" si="36"/>
        <v>80</v>
      </c>
      <c r="H165" s="32">
        <f t="shared" si="37"/>
        <v>90.399999999999991</v>
      </c>
      <c r="I165" s="32"/>
      <c r="J165" s="34"/>
    </row>
    <row r="166" spans="1:10">
      <c r="A166" s="30"/>
      <c r="B166" s="37" t="s">
        <v>1426</v>
      </c>
      <c r="C166" s="46"/>
      <c r="D166" s="41"/>
      <c r="E166" s="41"/>
      <c r="F166" s="47"/>
      <c r="G166" s="41"/>
      <c r="H166" s="41">
        <f>SUM(H158:H165)</f>
        <v>307.47299999999996</v>
      </c>
      <c r="I166" s="41">
        <f>SUM(I158:I165)</f>
        <v>0</v>
      </c>
      <c r="J166" s="42">
        <f>SUM(J158:J165)</f>
        <v>0</v>
      </c>
    </row>
    <row r="167" spans="1:10">
      <c r="A167" s="30"/>
      <c r="B167" s="21"/>
      <c r="C167" s="21"/>
      <c r="D167" s="43"/>
      <c r="E167" s="43"/>
      <c r="F167" s="44"/>
      <c r="G167" s="43"/>
      <c r="H167" s="43"/>
      <c r="I167" s="43"/>
      <c r="J167" s="45"/>
    </row>
    <row r="168" spans="1:10">
      <c r="A168" s="307" t="s">
        <v>874</v>
      </c>
      <c r="B168" s="21"/>
      <c r="C168" s="22"/>
      <c r="D168" s="32"/>
      <c r="E168" s="32"/>
      <c r="F168" s="33"/>
      <c r="G168" s="32"/>
      <c r="H168" s="32"/>
      <c r="I168" s="32"/>
      <c r="J168" s="34"/>
    </row>
    <row r="169" spans="1:10">
      <c r="A169" s="20"/>
      <c r="B169" s="52" t="s">
        <v>1061</v>
      </c>
      <c r="C169" s="35" t="s">
        <v>875</v>
      </c>
      <c r="D169" s="27"/>
      <c r="E169" s="27">
        <v>500</v>
      </c>
      <c r="F169" s="28">
        <v>1</v>
      </c>
      <c r="G169" s="27">
        <f t="shared" ref="G169:G172" si="39">E169*F169</f>
        <v>500</v>
      </c>
      <c r="H169" s="27">
        <f>G169</f>
        <v>500</v>
      </c>
      <c r="I169" s="27"/>
      <c r="J169" s="29"/>
    </row>
    <row r="170" spans="1:10">
      <c r="A170" s="20"/>
      <c r="B170" s="21" t="s">
        <v>1062</v>
      </c>
      <c r="C170" s="22" t="s">
        <v>876</v>
      </c>
      <c r="D170" s="32"/>
      <c r="E170" s="32">
        <v>250</v>
      </c>
      <c r="F170" s="33">
        <v>2</v>
      </c>
      <c r="G170" s="32">
        <f t="shared" si="39"/>
        <v>500</v>
      </c>
      <c r="H170" s="32">
        <f t="shared" ref="H170:H172" si="40">G170*1.13</f>
        <v>565</v>
      </c>
      <c r="I170" s="32"/>
      <c r="J170" s="34"/>
    </row>
    <row r="171" spans="1:10">
      <c r="A171" s="20"/>
      <c r="B171" s="52" t="s">
        <v>1063</v>
      </c>
      <c r="C171" s="35" t="s">
        <v>877</v>
      </c>
      <c r="D171" s="27"/>
      <c r="E171" s="27">
        <v>75</v>
      </c>
      <c r="F171" s="28">
        <v>1</v>
      </c>
      <c r="G171" s="27">
        <f t="shared" si="39"/>
        <v>75</v>
      </c>
      <c r="H171" s="27">
        <f t="shared" si="40"/>
        <v>84.749999999999986</v>
      </c>
      <c r="I171" s="27"/>
      <c r="J171" s="29"/>
    </row>
    <row r="172" spans="1:10">
      <c r="A172" s="20"/>
      <c r="B172" s="21" t="s">
        <v>1064</v>
      </c>
      <c r="C172" s="22" t="s">
        <v>878</v>
      </c>
      <c r="D172" s="32" t="s">
        <v>879</v>
      </c>
      <c r="E172" s="32">
        <v>2</v>
      </c>
      <c r="F172" s="33">
        <v>30</v>
      </c>
      <c r="G172" s="32">
        <f t="shared" si="39"/>
        <v>60</v>
      </c>
      <c r="H172" s="32">
        <f t="shared" si="40"/>
        <v>67.8</v>
      </c>
      <c r="I172" s="32"/>
      <c r="J172" s="34"/>
    </row>
    <row r="173" spans="1:10">
      <c r="A173" s="30"/>
      <c r="B173" s="37" t="s">
        <v>880</v>
      </c>
      <c r="C173" s="46"/>
      <c r="D173" s="41"/>
      <c r="E173" s="41"/>
      <c r="F173" s="47"/>
      <c r="G173" s="41"/>
      <c r="H173" s="41">
        <f>SUM(H169:H172)</f>
        <v>1217.55</v>
      </c>
      <c r="I173" s="41">
        <f>SUM(I169:I172)</f>
        <v>0</v>
      </c>
      <c r="J173" s="42">
        <f>SUM(J169:J172)</f>
        <v>0</v>
      </c>
    </row>
    <row r="174" spans="1:10" ht="16">
      <c r="A174" s="122"/>
      <c r="B174" s="103" t="s">
        <v>1453</v>
      </c>
      <c r="C174" s="127"/>
      <c r="D174" s="319"/>
      <c r="E174" s="67"/>
      <c r="F174" s="66"/>
      <c r="G174" s="67"/>
      <c r="H174" s="67">
        <f>SUM(H173,H166,H155,H151,H145,H140)</f>
        <v>4144.473</v>
      </c>
      <c r="I174" s="67">
        <f>SUM(I173,I164)</f>
        <v>0</v>
      </c>
      <c r="J174" s="68">
        <f>SUM(J173,J164)</f>
        <v>0</v>
      </c>
    </row>
    <row r="175" spans="1:10" ht="16">
      <c r="A175" s="122" t="s">
        <v>758</v>
      </c>
      <c r="B175" s="87"/>
      <c r="C175" s="315"/>
      <c r="D175" s="316"/>
      <c r="E175" s="107"/>
      <c r="F175" s="108"/>
      <c r="G175" s="107"/>
      <c r="H175" s="107"/>
      <c r="I175" s="107"/>
      <c r="J175" s="109"/>
    </row>
    <row r="176" spans="1:10">
      <c r="A176" s="307" t="s">
        <v>881</v>
      </c>
      <c r="B176" s="21"/>
      <c r="C176" s="22"/>
      <c r="D176" s="32"/>
      <c r="E176" s="32"/>
      <c r="F176" s="33"/>
      <c r="G176" s="32"/>
      <c r="H176" s="32"/>
      <c r="I176" s="32"/>
      <c r="J176" s="34"/>
    </row>
    <row r="177" spans="1:10">
      <c r="A177" s="51"/>
      <c r="B177" s="26" t="s">
        <v>1065</v>
      </c>
      <c r="C177" s="26" t="s">
        <v>882</v>
      </c>
      <c r="D177" s="27"/>
      <c r="E177" s="27"/>
      <c r="F177" s="28"/>
      <c r="G177" s="27">
        <v>600</v>
      </c>
      <c r="H177" s="27">
        <f>G177*1.13</f>
        <v>677.99999999999989</v>
      </c>
      <c r="I177" s="27"/>
      <c r="J177" s="29"/>
    </row>
    <row r="178" spans="1:10">
      <c r="A178" s="51"/>
      <c r="B178" s="168" t="s">
        <v>1066</v>
      </c>
      <c r="C178" s="169" t="s">
        <v>883</v>
      </c>
      <c r="D178" s="32" t="s">
        <v>884</v>
      </c>
      <c r="E178" s="32"/>
      <c r="F178" s="33"/>
      <c r="G178" s="32">
        <f t="shared" ref="G178" si="41">E178*F178</f>
        <v>0</v>
      </c>
      <c r="H178" s="32">
        <f t="shared" ref="H178:H181" si="42">G178*1.13</f>
        <v>0</v>
      </c>
      <c r="I178" s="32"/>
      <c r="J178" s="34"/>
    </row>
    <row r="179" spans="1:10">
      <c r="A179" s="51"/>
      <c r="B179" s="26" t="s">
        <v>1067</v>
      </c>
      <c r="C179" s="167" t="s">
        <v>885</v>
      </c>
      <c r="D179" s="27" t="s">
        <v>10</v>
      </c>
      <c r="E179" s="27"/>
      <c r="F179" s="28"/>
      <c r="G179" s="27">
        <v>53</v>
      </c>
      <c r="H179" s="27">
        <f t="shared" si="42"/>
        <v>59.889999999999993</v>
      </c>
      <c r="I179" s="27"/>
      <c r="J179" s="29"/>
    </row>
    <row r="180" spans="1:10">
      <c r="A180" s="51"/>
      <c r="B180" s="168" t="s">
        <v>1068</v>
      </c>
      <c r="C180" s="32" t="s">
        <v>886</v>
      </c>
      <c r="D180" s="32"/>
      <c r="E180" s="32"/>
      <c r="F180" s="33"/>
      <c r="G180" s="32">
        <v>30</v>
      </c>
      <c r="H180" s="32">
        <f t="shared" si="42"/>
        <v>33.9</v>
      </c>
      <c r="I180" s="32"/>
      <c r="J180" s="34"/>
    </row>
    <row r="181" spans="1:10">
      <c r="A181" s="51"/>
      <c r="B181" s="26" t="s">
        <v>1069</v>
      </c>
      <c r="C181" s="167" t="s">
        <v>887</v>
      </c>
      <c r="D181" s="27" t="s">
        <v>888</v>
      </c>
      <c r="E181" s="27"/>
      <c r="F181" s="28"/>
      <c r="G181" s="27">
        <v>388</v>
      </c>
      <c r="H181" s="27">
        <f t="shared" si="42"/>
        <v>438.43999999999994</v>
      </c>
      <c r="I181" s="27"/>
      <c r="J181" s="209"/>
    </row>
    <row r="182" spans="1:10">
      <c r="A182" s="51"/>
      <c r="B182" s="37" t="s">
        <v>889</v>
      </c>
      <c r="C182" s="50"/>
      <c r="D182" s="41"/>
      <c r="E182" s="41"/>
      <c r="F182" s="47"/>
      <c r="G182" s="41"/>
      <c r="H182" s="41">
        <f>SUM(H176:H181)</f>
        <v>1210.2299999999998</v>
      </c>
      <c r="I182" s="41">
        <f>SUM(I176:I181)</f>
        <v>0</v>
      </c>
      <c r="J182" s="42">
        <f>SUM(J176:J181)</f>
        <v>0</v>
      </c>
    </row>
    <row r="183" spans="1:10">
      <c r="A183" s="307"/>
      <c r="B183" s="21"/>
      <c r="C183" s="21"/>
      <c r="D183" s="43"/>
      <c r="E183" s="43"/>
      <c r="F183" s="44"/>
      <c r="G183" s="43"/>
      <c r="H183" s="43"/>
      <c r="I183" s="43"/>
      <c r="J183" s="45"/>
    </row>
    <row r="184" spans="1:10">
      <c r="A184" s="307" t="s">
        <v>890</v>
      </c>
      <c r="B184" s="21"/>
      <c r="C184" s="22"/>
      <c r="D184" s="32"/>
      <c r="E184" s="32"/>
      <c r="F184" s="33"/>
      <c r="G184" s="32"/>
      <c r="H184" s="32"/>
      <c r="I184" s="32"/>
      <c r="J184" s="34"/>
    </row>
    <row r="185" spans="1:10">
      <c r="A185" s="51"/>
      <c r="B185" s="26" t="s">
        <v>1070</v>
      </c>
      <c r="C185" s="167" t="s">
        <v>891</v>
      </c>
      <c r="D185" s="27" t="s">
        <v>892</v>
      </c>
      <c r="E185" s="27"/>
      <c r="F185" s="28"/>
      <c r="G185" s="27">
        <f>E185*F185</f>
        <v>0</v>
      </c>
      <c r="H185" s="27">
        <f>G185*1.13</f>
        <v>0</v>
      </c>
      <c r="I185" s="27"/>
      <c r="J185" s="29"/>
    </row>
    <row r="186" spans="1:10">
      <c r="A186" s="51"/>
      <c r="B186" s="168" t="s">
        <v>1071</v>
      </c>
      <c r="C186" s="169" t="s">
        <v>893</v>
      </c>
      <c r="D186" s="32" t="s">
        <v>894</v>
      </c>
      <c r="E186" s="32"/>
      <c r="F186" s="33"/>
      <c r="G186" s="32">
        <v>200</v>
      </c>
      <c r="H186" s="32">
        <f t="shared" ref="H186:H188" si="43">G186*1.13</f>
        <v>225.99999999999997</v>
      </c>
      <c r="I186" s="32"/>
      <c r="J186" s="34"/>
    </row>
    <row r="187" spans="1:10">
      <c r="A187" s="51"/>
      <c r="B187" s="26" t="s">
        <v>1072</v>
      </c>
      <c r="C187" s="167" t="s">
        <v>895</v>
      </c>
      <c r="D187" s="27" t="s">
        <v>896</v>
      </c>
      <c r="E187" s="27"/>
      <c r="F187" s="28"/>
      <c r="G187" s="27">
        <v>68</v>
      </c>
      <c r="H187" s="27">
        <f t="shared" si="43"/>
        <v>76.839999999999989</v>
      </c>
      <c r="I187" s="27"/>
      <c r="J187" s="29"/>
    </row>
    <row r="188" spans="1:10">
      <c r="A188" s="51"/>
      <c r="B188" s="168" t="s">
        <v>1073</v>
      </c>
      <c r="C188" s="169" t="s">
        <v>897</v>
      </c>
      <c r="D188" s="32"/>
      <c r="E188" s="32"/>
      <c r="F188" s="33"/>
      <c r="G188" s="32">
        <v>10</v>
      </c>
      <c r="H188" s="32">
        <f t="shared" si="43"/>
        <v>11.299999999999999</v>
      </c>
      <c r="I188" s="32"/>
      <c r="J188" s="34"/>
    </row>
    <row r="189" spans="1:10">
      <c r="A189" s="51"/>
      <c r="B189" s="37" t="s">
        <v>898</v>
      </c>
      <c r="C189" s="46"/>
      <c r="D189" s="41"/>
      <c r="E189" s="41"/>
      <c r="F189" s="47"/>
      <c r="G189" s="41"/>
      <c r="H189" s="41">
        <f>SUM(H185:H188)</f>
        <v>314.14</v>
      </c>
      <c r="I189" s="41">
        <f>SUM(I185:I188)</f>
        <v>0</v>
      </c>
      <c r="J189" s="42">
        <f>SUM(J185:J188)</f>
        <v>0</v>
      </c>
    </row>
    <row r="190" spans="1:10">
      <c r="A190" s="51"/>
      <c r="B190" s="22"/>
      <c r="C190" s="22"/>
      <c r="D190" s="32"/>
      <c r="E190" s="32"/>
      <c r="F190" s="33"/>
      <c r="G190" s="32"/>
      <c r="H190" s="32"/>
      <c r="I190" s="32"/>
      <c r="J190" s="34"/>
    </row>
    <row r="191" spans="1:10">
      <c r="A191" s="307" t="s">
        <v>899</v>
      </c>
      <c r="B191" s="21"/>
      <c r="C191" s="22"/>
      <c r="D191" s="32"/>
      <c r="E191" s="32"/>
      <c r="F191" s="33"/>
      <c r="G191" s="32"/>
      <c r="H191" s="32"/>
      <c r="I191" s="32"/>
      <c r="J191" s="34"/>
    </row>
    <row r="192" spans="1:10">
      <c r="A192" s="30"/>
      <c r="B192" s="26" t="s">
        <v>1074</v>
      </c>
      <c r="C192" s="167" t="s">
        <v>167</v>
      </c>
      <c r="D192" s="27" t="s">
        <v>900</v>
      </c>
      <c r="E192" s="27">
        <v>0.25</v>
      </c>
      <c r="F192" s="28">
        <v>400</v>
      </c>
      <c r="G192" s="27">
        <f t="shared" ref="G192:G195" si="44">E192*F192</f>
        <v>100</v>
      </c>
      <c r="H192" s="27">
        <f t="shared" ref="H192:H195" si="45">G192*1.13</f>
        <v>112.99999999999999</v>
      </c>
      <c r="I192" s="27"/>
      <c r="J192" s="29"/>
    </row>
    <row r="193" spans="1:10">
      <c r="A193" s="30"/>
      <c r="B193" s="168" t="s">
        <v>1075</v>
      </c>
      <c r="C193" s="433" t="s">
        <v>901</v>
      </c>
      <c r="D193" s="434" t="s">
        <v>902</v>
      </c>
      <c r="E193" s="32">
        <v>0.25</v>
      </c>
      <c r="F193" s="33">
        <v>500</v>
      </c>
      <c r="G193" s="32">
        <f t="shared" si="44"/>
        <v>125</v>
      </c>
      <c r="H193" s="32">
        <f t="shared" si="45"/>
        <v>141.25</v>
      </c>
      <c r="I193" s="32"/>
      <c r="J193" s="34"/>
    </row>
    <row r="194" spans="1:10">
      <c r="A194" s="30"/>
      <c r="B194" s="26" t="s">
        <v>1076</v>
      </c>
      <c r="C194" s="26" t="s">
        <v>548</v>
      </c>
      <c r="D194" s="27" t="s">
        <v>903</v>
      </c>
      <c r="E194" s="27">
        <v>1.5</v>
      </c>
      <c r="F194" s="28">
        <v>20</v>
      </c>
      <c r="G194" s="27">
        <f t="shared" si="44"/>
        <v>30</v>
      </c>
      <c r="H194" s="27">
        <f t="shared" si="45"/>
        <v>33.9</v>
      </c>
      <c r="I194" s="27"/>
      <c r="J194" s="29"/>
    </row>
    <row r="195" spans="1:10">
      <c r="A195" s="30"/>
      <c r="B195" s="168" t="s">
        <v>1077</v>
      </c>
      <c r="C195" s="22" t="s">
        <v>904</v>
      </c>
      <c r="D195" s="435" t="s">
        <v>903</v>
      </c>
      <c r="E195" s="32">
        <v>1.5</v>
      </c>
      <c r="F195" s="33">
        <v>30</v>
      </c>
      <c r="G195" s="32">
        <f t="shared" si="44"/>
        <v>45</v>
      </c>
      <c r="H195" s="32">
        <f t="shared" si="45"/>
        <v>50.849999999999994</v>
      </c>
      <c r="I195" s="32"/>
      <c r="J195" s="34"/>
    </row>
    <row r="196" spans="1:10">
      <c r="A196" s="30"/>
      <c r="B196" s="37" t="s">
        <v>905</v>
      </c>
      <c r="C196" s="46"/>
      <c r="D196" s="41"/>
      <c r="E196" s="41"/>
      <c r="F196" s="47"/>
      <c r="G196" s="41"/>
      <c r="H196" s="41">
        <f>SUM(H192:H195)</f>
        <v>339</v>
      </c>
      <c r="I196" s="41">
        <f>SUM(I192:I195)</f>
        <v>0</v>
      </c>
      <c r="J196" s="42">
        <f>SUM(J192:J195)</f>
        <v>0</v>
      </c>
    </row>
    <row r="197" spans="1:10" ht="16">
      <c r="A197" s="122"/>
      <c r="B197" s="103" t="s">
        <v>906</v>
      </c>
      <c r="C197" s="127"/>
      <c r="D197" s="319"/>
      <c r="E197" s="67"/>
      <c r="F197" s="66"/>
      <c r="G197" s="67"/>
      <c r="H197" s="67">
        <f>SUM(H196,H189,H182,)</f>
        <v>1863.37</v>
      </c>
      <c r="I197" s="67">
        <f>SUM(I196,I189,I182,)</f>
        <v>0</v>
      </c>
      <c r="J197" s="68">
        <f>SUM(J196,J189,J182,)</f>
        <v>0</v>
      </c>
    </row>
    <row r="198" spans="1:10" ht="16">
      <c r="A198" s="122" t="s">
        <v>761</v>
      </c>
      <c r="B198" s="87"/>
      <c r="C198" s="315"/>
      <c r="D198" s="316"/>
      <c r="E198" s="107"/>
      <c r="F198" s="108"/>
      <c r="G198" s="107"/>
      <c r="H198" s="107"/>
      <c r="I198" s="107"/>
      <c r="J198" s="109"/>
    </row>
    <row r="199" spans="1:10" ht="16">
      <c r="A199" s="331" t="s">
        <v>762</v>
      </c>
      <c r="B199" s="87"/>
      <c r="C199" s="97"/>
      <c r="D199" s="119"/>
      <c r="E199" s="119"/>
      <c r="F199" s="120"/>
      <c r="G199" s="119"/>
      <c r="H199" s="119"/>
      <c r="I199" s="119"/>
      <c r="J199" s="121"/>
    </row>
    <row r="200" spans="1:10" ht="16">
      <c r="A200" s="325"/>
      <c r="B200" s="210" t="s">
        <v>1078</v>
      </c>
      <c r="C200" s="324" t="s">
        <v>907</v>
      </c>
      <c r="D200" s="94" t="s">
        <v>908</v>
      </c>
      <c r="E200" s="94">
        <v>480</v>
      </c>
      <c r="F200" s="95">
        <v>1</v>
      </c>
      <c r="G200" s="94">
        <f>E200*F200</f>
        <v>480</v>
      </c>
      <c r="H200" s="94">
        <f>G200*1.13</f>
        <v>542.4</v>
      </c>
      <c r="I200" s="94"/>
      <c r="J200" s="96"/>
    </row>
    <row r="201" spans="1:10" ht="16">
      <c r="A201" s="325"/>
      <c r="B201" s="97" t="s">
        <v>1079</v>
      </c>
      <c r="C201" s="314" t="s">
        <v>909</v>
      </c>
      <c r="D201" s="119" t="s">
        <v>910</v>
      </c>
      <c r="E201" s="119">
        <v>300</v>
      </c>
      <c r="F201" s="120">
        <v>1</v>
      </c>
      <c r="G201" s="119">
        <f t="shared" ref="G201:G203" si="46">E201*F201</f>
        <v>300</v>
      </c>
      <c r="H201" s="119">
        <f t="shared" ref="H201:H203" si="47">G201*1.13</f>
        <v>338.99999999999994</v>
      </c>
      <c r="I201" s="119"/>
      <c r="J201" s="121"/>
    </row>
    <row r="202" spans="1:10" ht="16">
      <c r="A202" s="325"/>
      <c r="B202" s="210" t="s">
        <v>1080</v>
      </c>
      <c r="C202" s="324" t="s">
        <v>911</v>
      </c>
      <c r="D202" s="94" t="s">
        <v>912</v>
      </c>
      <c r="E202" s="94">
        <v>12</v>
      </c>
      <c r="F202" s="95">
        <v>11</v>
      </c>
      <c r="G202" s="94">
        <f t="shared" si="46"/>
        <v>132</v>
      </c>
      <c r="H202" s="94">
        <f t="shared" si="47"/>
        <v>149.16</v>
      </c>
      <c r="I202" s="94"/>
      <c r="J202" s="96"/>
    </row>
    <row r="203" spans="1:10" ht="16">
      <c r="A203" s="325"/>
      <c r="B203" s="97" t="s">
        <v>1081</v>
      </c>
      <c r="C203" s="314" t="s">
        <v>913</v>
      </c>
      <c r="D203" s="119" t="s">
        <v>914</v>
      </c>
      <c r="E203" s="119">
        <v>4.99</v>
      </c>
      <c r="F203" s="120">
        <v>15</v>
      </c>
      <c r="G203" s="119">
        <f t="shared" si="46"/>
        <v>74.850000000000009</v>
      </c>
      <c r="H203" s="119">
        <f t="shared" si="47"/>
        <v>84.580500000000001</v>
      </c>
      <c r="I203" s="119"/>
      <c r="J203" s="121"/>
    </row>
    <row r="204" spans="1:10" ht="16">
      <c r="A204" s="325"/>
      <c r="B204" s="103" t="s">
        <v>915</v>
      </c>
      <c r="C204" s="205"/>
      <c r="D204" s="67"/>
      <c r="E204" s="67"/>
      <c r="F204" s="66"/>
      <c r="G204" s="67"/>
      <c r="H204" s="67">
        <f>SUM(H199:H203)</f>
        <v>1115.1405</v>
      </c>
      <c r="I204" s="67">
        <f>SUM(I199:I203)</f>
        <v>0</v>
      </c>
      <c r="J204" s="68">
        <f>SUM(J199:J203)</f>
        <v>0</v>
      </c>
    </row>
    <row r="205" spans="1:10" ht="16">
      <c r="A205" s="331"/>
      <c r="B205" s="87"/>
      <c r="C205" s="87"/>
      <c r="D205" s="107"/>
      <c r="E205" s="107"/>
      <c r="F205" s="108"/>
      <c r="G205" s="107"/>
      <c r="H205" s="107"/>
      <c r="I205" s="107"/>
      <c r="J205" s="109"/>
    </row>
    <row r="206" spans="1:10" ht="16">
      <c r="A206" s="331" t="s">
        <v>916</v>
      </c>
      <c r="B206" s="87"/>
      <c r="C206" s="97"/>
      <c r="D206" s="119"/>
      <c r="E206" s="119"/>
      <c r="F206" s="120"/>
      <c r="G206" s="119"/>
      <c r="H206" s="119"/>
      <c r="I206" s="119"/>
      <c r="J206" s="121"/>
    </row>
    <row r="207" spans="1:10" ht="16">
      <c r="A207" s="325"/>
      <c r="B207" s="210" t="s">
        <v>1082</v>
      </c>
      <c r="C207" s="332" t="s">
        <v>917</v>
      </c>
      <c r="D207" s="94"/>
      <c r="E207" s="94">
        <v>300</v>
      </c>
      <c r="F207" s="95">
        <v>1</v>
      </c>
      <c r="G207" s="94">
        <f>E207*F207</f>
        <v>300</v>
      </c>
      <c r="H207" s="94">
        <f>G207*1.13</f>
        <v>338.99999999999994</v>
      </c>
      <c r="I207" s="94"/>
      <c r="J207" s="96"/>
    </row>
    <row r="208" spans="1:10" ht="16">
      <c r="A208" s="325"/>
      <c r="B208" s="97" t="s">
        <v>1083</v>
      </c>
      <c r="C208" s="333" t="s">
        <v>790</v>
      </c>
      <c r="D208" s="119"/>
      <c r="E208" s="119">
        <v>200</v>
      </c>
      <c r="F208" s="120">
        <v>1</v>
      </c>
      <c r="G208" s="119">
        <f t="shared" ref="G208:G209" si="48">E208*F208</f>
        <v>200</v>
      </c>
      <c r="H208" s="119">
        <f>G208</f>
        <v>200</v>
      </c>
      <c r="I208" s="119"/>
      <c r="J208" s="121"/>
    </row>
    <row r="209" spans="1:10" ht="16">
      <c r="A209" s="325"/>
      <c r="B209" s="210" t="s">
        <v>1084</v>
      </c>
      <c r="C209" s="332" t="s">
        <v>918</v>
      </c>
      <c r="D209" s="94"/>
      <c r="E209" s="94">
        <v>50</v>
      </c>
      <c r="F209" s="95">
        <v>1</v>
      </c>
      <c r="G209" s="94">
        <f t="shared" si="48"/>
        <v>50</v>
      </c>
      <c r="H209" s="94">
        <f t="shared" ref="H209" si="49">G209*1.13</f>
        <v>56.499999999999993</v>
      </c>
      <c r="I209" s="94"/>
      <c r="J209" s="96"/>
    </row>
    <row r="210" spans="1:10" ht="16">
      <c r="A210" s="325"/>
      <c r="B210" s="103" t="s">
        <v>919</v>
      </c>
      <c r="C210" s="334"/>
      <c r="D210" s="67"/>
      <c r="E210" s="67"/>
      <c r="F210" s="66"/>
      <c r="G210" s="67"/>
      <c r="H210" s="67">
        <f>SUM(H207:H209)</f>
        <v>595.5</v>
      </c>
      <c r="I210" s="67">
        <f>SUM(I207:I209)</f>
        <v>0</v>
      </c>
      <c r="J210" s="68">
        <f>SUM(J207:J209)</f>
        <v>0</v>
      </c>
    </row>
    <row r="211" spans="1:10" ht="16">
      <c r="A211" s="325"/>
      <c r="B211" s="97"/>
      <c r="C211" s="97"/>
      <c r="D211" s="119"/>
      <c r="E211" s="119"/>
      <c r="F211" s="120"/>
      <c r="G211" s="119"/>
      <c r="H211" s="119"/>
      <c r="I211" s="119"/>
      <c r="J211" s="121"/>
    </row>
    <row r="212" spans="1:10" ht="16">
      <c r="A212" s="331" t="s">
        <v>768</v>
      </c>
      <c r="B212" s="87"/>
      <c r="C212" s="97"/>
      <c r="D212" s="119"/>
      <c r="E212" s="119"/>
      <c r="F212" s="120"/>
      <c r="G212" s="119"/>
      <c r="H212" s="119"/>
      <c r="I212" s="119"/>
      <c r="J212" s="121"/>
    </row>
    <row r="213" spans="1:10" ht="16">
      <c r="A213" s="325"/>
      <c r="B213" s="210" t="s">
        <v>1085</v>
      </c>
      <c r="C213" s="335" t="s">
        <v>920</v>
      </c>
      <c r="D213" s="94" t="s">
        <v>921</v>
      </c>
      <c r="E213" s="94">
        <v>100</v>
      </c>
      <c r="F213" s="95">
        <v>1</v>
      </c>
      <c r="G213" s="94">
        <f t="shared" ref="G213:G215" si="50">E213*F213</f>
        <v>100</v>
      </c>
      <c r="H213" s="94">
        <f>G213</f>
        <v>100</v>
      </c>
      <c r="I213" s="94"/>
      <c r="J213" s="96"/>
    </row>
    <row r="214" spans="1:10" ht="16">
      <c r="A214" s="325"/>
      <c r="B214" s="97" t="s">
        <v>1086</v>
      </c>
      <c r="C214" s="336" t="s">
        <v>922</v>
      </c>
      <c r="D214" s="119" t="s">
        <v>923</v>
      </c>
      <c r="E214" s="119">
        <v>7</v>
      </c>
      <c r="F214" s="120">
        <v>20</v>
      </c>
      <c r="G214" s="119">
        <f t="shared" si="50"/>
        <v>140</v>
      </c>
      <c r="H214" s="119">
        <f t="shared" ref="H214" si="51">G214*1.13</f>
        <v>158.19999999999999</v>
      </c>
      <c r="I214" s="119"/>
      <c r="J214" s="121"/>
    </row>
    <row r="215" spans="1:10" ht="16">
      <c r="A215" s="325"/>
      <c r="B215" s="210" t="s">
        <v>1087</v>
      </c>
      <c r="C215" s="337" t="s">
        <v>433</v>
      </c>
      <c r="D215" s="94" t="s">
        <v>924</v>
      </c>
      <c r="E215" s="94">
        <v>20</v>
      </c>
      <c r="F215" s="95">
        <v>5</v>
      </c>
      <c r="G215" s="94">
        <f t="shared" si="50"/>
        <v>100</v>
      </c>
      <c r="H215" s="94">
        <f>G215</f>
        <v>100</v>
      </c>
      <c r="I215" s="94"/>
      <c r="J215" s="96"/>
    </row>
    <row r="216" spans="1:10" ht="16">
      <c r="A216" s="325"/>
      <c r="B216" s="103" t="s">
        <v>925</v>
      </c>
      <c r="C216" s="334"/>
      <c r="D216" s="67"/>
      <c r="E216" s="67"/>
      <c r="F216" s="66"/>
      <c r="G216" s="67"/>
      <c r="H216" s="67">
        <f>SUM(H213:H215)</f>
        <v>358.2</v>
      </c>
      <c r="I216" s="67">
        <f>SUM(I213:I215)</f>
        <v>0</v>
      </c>
      <c r="J216" s="68">
        <f>SUM(J213:J215)</f>
        <v>0</v>
      </c>
    </row>
    <row r="217" spans="1:10" ht="16">
      <c r="A217" s="325"/>
      <c r="B217" s="97"/>
      <c r="C217" s="97"/>
      <c r="D217" s="119"/>
      <c r="E217" s="119"/>
      <c r="F217" s="120"/>
      <c r="G217" s="119"/>
      <c r="H217" s="119"/>
      <c r="I217" s="119"/>
      <c r="J217" s="121"/>
    </row>
    <row r="218" spans="1:10" ht="16">
      <c r="A218" s="331" t="s">
        <v>769</v>
      </c>
      <c r="B218" s="87"/>
      <c r="C218" s="97"/>
      <c r="D218" s="119"/>
      <c r="E218" s="119"/>
      <c r="F218" s="120"/>
      <c r="G218" s="119"/>
      <c r="H218" s="119"/>
      <c r="I218" s="119"/>
      <c r="J218" s="121"/>
    </row>
    <row r="219" spans="1:10" ht="16">
      <c r="A219" s="325"/>
      <c r="B219" s="210" t="s">
        <v>1088</v>
      </c>
      <c r="C219" s="335" t="s">
        <v>920</v>
      </c>
      <c r="D219" s="94" t="s">
        <v>1222</v>
      </c>
      <c r="E219" s="94">
        <v>100</v>
      </c>
      <c r="F219" s="95">
        <v>1</v>
      </c>
      <c r="G219" s="94">
        <f t="shared" ref="G219:G220" si="52">E219*F219</f>
        <v>100</v>
      </c>
      <c r="H219" s="94">
        <f>G219</f>
        <v>100</v>
      </c>
      <c r="I219" s="94"/>
      <c r="J219" s="96"/>
    </row>
    <row r="220" spans="1:10" ht="16">
      <c r="A220" s="325" t="s">
        <v>10</v>
      </c>
      <c r="B220" s="97" t="s">
        <v>1089</v>
      </c>
      <c r="C220" s="336" t="s">
        <v>806</v>
      </c>
      <c r="D220" s="119"/>
      <c r="E220" s="119">
        <v>50</v>
      </c>
      <c r="F220" s="120">
        <v>1</v>
      </c>
      <c r="G220" s="119">
        <f t="shared" si="52"/>
        <v>50</v>
      </c>
      <c r="H220" s="119">
        <f t="shared" ref="H220" si="53">G220*1.13</f>
        <v>56.499999999999993</v>
      </c>
      <c r="I220" s="119"/>
      <c r="J220" s="121"/>
    </row>
    <row r="221" spans="1:10" ht="16">
      <c r="A221" s="325"/>
      <c r="B221" s="103" t="s">
        <v>926</v>
      </c>
      <c r="C221" s="334"/>
      <c r="D221" s="67"/>
      <c r="E221" s="67"/>
      <c r="F221" s="66"/>
      <c r="G221" s="67"/>
      <c r="H221" s="67">
        <f>SUM(H219:H220)</f>
        <v>156.5</v>
      </c>
      <c r="I221" s="67">
        <f>SUM(I219:I220)</f>
        <v>0</v>
      </c>
      <c r="J221" s="68">
        <f>SUM(J219:J220)</f>
        <v>0</v>
      </c>
    </row>
    <row r="222" spans="1:10" ht="16">
      <c r="A222" s="325"/>
      <c r="B222" s="97"/>
      <c r="C222" s="87"/>
      <c r="D222" s="107"/>
      <c r="E222" s="107"/>
      <c r="F222" s="108"/>
      <c r="G222" s="107"/>
      <c r="H222" s="107"/>
      <c r="I222" s="107"/>
      <c r="J222" s="109"/>
    </row>
    <row r="223" spans="1:10" ht="16">
      <c r="A223" s="331" t="s">
        <v>927</v>
      </c>
      <c r="B223" s="87"/>
      <c r="C223" s="97"/>
      <c r="D223" s="119"/>
      <c r="E223" s="119"/>
      <c r="F223" s="120"/>
      <c r="G223" s="119"/>
      <c r="H223" s="119"/>
      <c r="I223" s="119"/>
      <c r="J223" s="121"/>
    </row>
    <row r="224" spans="1:10" ht="16">
      <c r="A224" s="331"/>
      <c r="B224" s="323" t="s">
        <v>1090</v>
      </c>
      <c r="C224" s="210" t="s">
        <v>928</v>
      </c>
      <c r="D224" s="94" t="s">
        <v>929</v>
      </c>
      <c r="E224" s="94">
        <v>15</v>
      </c>
      <c r="F224" s="95">
        <v>1</v>
      </c>
      <c r="G224" s="94">
        <f t="shared" ref="G224:G227" si="54">E224*F224</f>
        <v>15</v>
      </c>
      <c r="H224" s="94">
        <f>G224*1.13</f>
        <v>16.95</v>
      </c>
      <c r="I224" s="94"/>
      <c r="J224" s="96"/>
    </row>
    <row r="225" spans="1:10" ht="16">
      <c r="A225" s="331"/>
      <c r="B225" s="87" t="s">
        <v>1091</v>
      </c>
      <c r="C225" s="97" t="s">
        <v>920</v>
      </c>
      <c r="D225" s="119" t="s">
        <v>1393</v>
      </c>
      <c r="E225" s="119">
        <v>100</v>
      </c>
      <c r="F225" s="120">
        <v>1</v>
      </c>
      <c r="G225" s="119">
        <f t="shared" si="54"/>
        <v>100</v>
      </c>
      <c r="H225" s="119">
        <f>G225</f>
        <v>100</v>
      </c>
      <c r="I225" s="119"/>
      <c r="J225" s="121"/>
    </row>
    <row r="226" spans="1:10" ht="16">
      <c r="A226" s="331"/>
      <c r="B226" s="323" t="s">
        <v>1092</v>
      </c>
      <c r="C226" s="210" t="s">
        <v>433</v>
      </c>
      <c r="D226" s="94"/>
      <c r="E226" s="94">
        <v>50</v>
      </c>
      <c r="F226" s="95">
        <v>1</v>
      </c>
      <c r="G226" s="94">
        <f t="shared" si="54"/>
        <v>50</v>
      </c>
      <c r="H226" s="94">
        <f t="shared" ref="H226" si="55">G226*1.13</f>
        <v>56.499999999999993</v>
      </c>
      <c r="I226" s="94"/>
      <c r="J226" s="96"/>
    </row>
    <row r="227" spans="1:10" ht="16">
      <c r="A227" s="331"/>
      <c r="B227" s="87" t="s">
        <v>1093</v>
      </c>
      <c r="C227" s="97" t="s">
        <v>930</v>
      </c>
      <c r="D227" s="119"/>
      <c r="E227" s="119">
        <v>10</v>
      </c>
      <c r="F227" s="120">
        <v>1</v>
      </c>
      <c r="G227" s="119">
        <f t="shared" si="54"/>
        <v>10</v>
      </c>
      <c r="H227" s="119">
        <f>G227</f>
        <v>10</v>
      </c>
      <c r="I227" s="119"/>
      <c r="J227" s="121"/>
    </row>
    <row r="228" spans="1:10" ht="16">
      <c r="A228" s="325"/>
      <c r="B228" s="103" t="s">
        <v>931</v>
      </c>
      <c r="C228" s="334"/>
      <c r="D228" s="67"/>
      <c r="E228" s="67"/>
      <c r="F228" s="66"/>
      <c r="G228" s="67"/>
      <c r="H228" s="67">
        <f>SUM(H224:H227)</f>
        <v>183.45</v>
      </c>
      <c r="I228" s="67">
        <f>SUM(I224:I227)</f>
        <v>0</v>
      </c>
      <c r="J228" s="68">
        <f>SUM(J224:J227)</f>
        <v>0</v>
      </c>
    </row>
    <row r="229" spans="1:10" ht="16">
      <c r="A229" s="325"/>
      <c r="B229" s="87"/>
      <c r="C229" s="87"/>
      <c r="D229" s="107"/>
      <c r="E229" s="107"/>
      <c r="F229" s="108"/>
      <c r="G229" s="107"/>
      <c r="H229" s="107"/>
      <c r="I229" s="107"/>
      <c r="J229" s="109"/>
    </row>
    <row r="230" spans="1:10" ht="16">
      <c r="A230" s="331" t="s">
        <v>767</v>
      </c>
      <c r="B230" s="87"/>
      <c r="C230" s="97"/>
      <c r="D230" s="119"/>
      <c r="E230" s="119"/>
      <c r="F230" s="120"/>
      <c r="G230" s="119"/>
      <c r="H230" s="119"/>
      <c r="I230" s="119"/>
      <c r="J230" s="121"/>
    </row>
    <row r="231" spans="1:10" ht="16">
      <c r="A231" s="331"/>
      <c r="B231" s="323" t="s">
        <v>1094</v>
      </c>
      <c r="C231" s="337" t="s">
        <v>932</v>
      </c>
      <c r="D231" s="94"/>
      <c r="E231" s="94">
        <v>5.5</v>
      </c>
      <c r="F231" s="95">
        <v>150</v>
      </c>
      <c r="G231" s="94">
        <f t="shared" ref="G231" si="56">E231*F231</f>
        <v>825</v>
      </c>
      <c r="H231" s="94">
        <f t="shared" ref="H231" si="57">G231*1.13</f>
        <v>932.24999999999989</v>
      </c>
      <c r="I231" s="94"/>
      <c r="J231" s="96"/>
    </row>
    <row r="232" spans="1:10" ht="16">
      <c r="A232" s="325"/>
      <c r="B232" s="103" t="s">
        <v>933</v>
      </c>
      <c r="C232" s="334"/>
      <c r="D232" s="67"/>
      <c r="E232" s="67"/>
      <c r="F232" s="66"/>
      <c r="G232" s="67"/>
      <c r="H232" s="67">
        <f>SUM(H231:H231)</f>
        <v>932.24999999999989</v>
      </c>
      <c r="I232" s="67">
        <f>SUM(I231:I231)</f>
        <v>0</v>
      </c>
      <c r="J232" s="68">
        <f>SUM(J231:J231)</f>
        <v>0</v>
      </c>
    </row>
    <row r="233" spans="1:10" ht="16">
      <c r="A233" s="325"/>
      <c r="B233" s="87"/>
      <c r="C233" s="87"/>
      <c r="D233" s="107"/>
      <c r="E233" s="107"/>
      <c r="F233" s="108"/>
      <c r="G233" s="107"/>
      <c r="H233" s="107"/>
      <c r="I233" s="107"/>
      <c r="J233" s="109"/>
    </row>
    <row r="234" spans="1:10" ht="16">
      <c r="A234" s="331" t="s">
        <v>934</v>
      </c>
      <c r="B234" s="87"/>
      <c r="C234" s="97"/>
      <c r="D234" s="119"/>
      <c r="E234" s="119"/>
      <c r="F234" s="120"/>
      <c r="G234" s="119"/>
      <c r="H234" s="119"/>
      <c r="I234" s="119"/>
      <c r="J234" s="121"/>
    </row>
    <row r="235" spans="1:10" ht="16">
      <c r="A235" s="331"/>
      <c r="B235" s="323" t="s">
        <v>1095</v>
      </c>
      <c r="C235" s="337" t="s">
        <v>913</v>
      </c>
      <c r="D235" s="94" t="s">
        <v>935</v>
      </c>
      <c r="E235" s="94">
        <v>5.99</v>
      </c>
      <c r="F235" s="95">
        <v>20</v>
      </c>
      <c r="G235" s="94">
        <f t="shared" ref="G235:G240" si="58">E235*F235</f>
        <v>119.80000000000001</v>
      </c>
      <c r="H235" s="94">
        <f t="shared" ref="H235:H240" si="59">G235*1.13</f>
        <v>135.374</v>
      </c>
      <c r="I235" s="94"/>
      <c r="J235" s="96"/>
    </row>
    <row r="236" spans="1:10" ht="16">
      <c r="A236" s="331"/>
      <c r="B236" s="87" t="s">
        <v>1096</v>
      </c>
      <c r="C236" s="336" t="s">
        <v>936</v>
      </c>
      <c r="D236" s="119"/>
      <c r="E236" s="119">
        <v>200</v>
      </c>
      <c r="F236" s="120">
        <v>1</v>
      </c>
      <c r="G236" s="119">
        <f t="shared" si="58"/>
        <v>200</v>
      </c>
      <c r="H236" s="119">
        <f t="shared" si="59"/>
        <v>225.99999999999997</v>
      </c>
      <c r="I236" s="119"/>
      <c r="J236" s="121"/>
    </row>
    <row r="237" spans="1:10" ht="16">
      <c r="A237" s="331"/>
      <c r="B237" s="323" t="s">
        <v>1097</v>
      </c>
      <c r="C237" s="337" t="s">
        <v>937</v>
      </c>
      <c r="D237" s="94" t="s">
        <v>935</v>
      </c>
      <c r="E237" s="94">
        <v>4.79</v>
      </c>
      <c r="F237" s="95">
        <v>4</v>
      </c>
      <c r="G237" s="94">
        <f t="shared" si="58"/>
        <v>19.16</v>
      </c>
      <c r="H237" s="94">
        <f t="shared" si="59"/>
        <v>21.650799999999997</v>
      </c>
      <c r="I237" s="94"/>
      <c r="J237" s="96"/>
    </row>
    <row r="238" spans="1:10" ht="16">
      <c r="A238" s="331"/>
      <c r="B238" s="87" t="s">
        <v>1098</v>
      </c>
      <c r="C238" s="336" t="s">
        <v>938</v>
      </c>
      <c r="D238" s="119"/>
      <c r="E238" s="119">
        <v>35</v>
      </c>
      <c r="F238" s="120">
        <v>1</v>
      </c>
      <c r="G238" s="119">
        <f t="shared" si="58"/>
        <v>35</v>
      </c>
      <c r="H238" s="119">
        <f t="shared" si="59"/>
        <v>39.549999999999997</v>
      </c>
      <c r="I238" s="119"/>
      <c r="J238" s="121"/>
    </row>
    <row r="239" spans="1:10" ht="16">
      <c r="A239" s="331"/>
      <c r="B239" s="323" t="s">
        <v>1099</v>
      </c>
      <c r="C239" s="337" t="s">
        <v>412</v>
      </c>
      <c r="D239" s="94"/>
      <c r="E239" s="94">
        <v>12.99</v>
      </c>
      <c r="F239" s="95">
        <v>2</v>
      </c>
      <c r="G239" s="94">
        <f t="shared" si="58"/>
        <v>25.98</v>
      </c>
      <c r="H239" s="94">
        <f t="shared" si="59"/>
        <v>29.357399999999998</v>
      </c>
      <c r="I239" s="94"/>
      <c r="J239" s="96"/>
    </row>
    <row r="240" spans="1:10" ht="16">
      <c r="A240" s="331"/>
      <c r="B240" s="87" t="s">
        <v>1100</v>
      </c>
      <c r="C240" s="336" t="s">
        <v>939</v>
      </c>
      <c r="D240" s="119"/>
      <c r="E240" s="119">
        <v>75</v>
      </c>
      <c r="F240" s="120">
        <v>1</v>
      </c>
      <c r="G240" s="119">
        <f t="shared" si="58"/>
        <v>75</v>
      </c>
      <c r="H240" s="119">
        <f t="shared" si="59"/>
        <v>84.749999999999986</v>
      </c>
      <c r="I240" s="119"/>
      <c r="J240" s="121"/>
    </row>
    <row r="241" spans="1:10" ht="16">
      <c r="A241" s="325"/>
      <c r="B241" s="103" t="s">
        <v>940</v>
      </c>
      <c r="C241" s="334"/>
      <c r="D241" s="67"/>
      <c r="E241" s="67"/>
      <c r="F241" s="66"/>
      <c r="G241" s="67"/>
      <c r="H241" s="67">
        <f>SUM(H235:H240)</f>
        <v>536.68219999999997</v>
      </c>
      <c r="I241" s="67">
        <f>SUM(I235:I240)</f>
        <v>0</v>
      </c>
      <c r="J241" s="68">
        <f>SUM(J235:J240)</f>
        <v>0</v>
      </c>
    </row>
    <row r="242" spans="1:10" ht="16">
      <c r="A242" s="325"/>
      <c r="B242" s="97"/>
      <c r="C242" s="314"/>
      <c r="D242" s="119"/>
      <c r="E242" s="119"/>
      <c r="F242" s="120"/>
      <c r="G242" s="119"/>
      <c r="H242" s="119"/>
      <c r="I242" s="119"/>
      <c r="J242" s="121"/>
    </row>
    <row r="243" spans="1:10" ht="16">
      <c r="A243" s="331" t="s">
        <v>816</v>
      </c>
      <c r="B243" s="87"/>
      <c r="C243" s="97"/>
      <c r="D243" s="119"/>
      <c r="E243" s="119"/>
      <c r="F243" s="120"/>
      <c r="G243" s="119"/>
      <c r="H243" s="119"/>
      <c r="I243" s="119"/>
      <c r="J243" s="121"/>
    </row>
    <row r="244" spans="1:10" ht="16">
      <c r="A244" s="331"/>
      <c r="B244" s="323" t="s">
        <v>1101</v>
      </c>
      <c r="C244" s="332" t="s">
        <v>941</v>
      </c>
      <c r="D244" s="94"/>
      <c r="E244" s="94">
        <v>45</v>
      </c>
      <c r="F244" s="95">
        <v>12</v>
      </c>
      <c r="G244" s="94">
        <f t="shared" ref="G244:G248" si="60">E244*F244</f>
        <v>540</v>
      </c>
      <c r="H244" s="94">
        <f t="shared" ref="H244:H247" si="61">G244*1.13</f>
        <v>610.19999999999993</v>
      </c>
      <c r="I244" s="94"/>
      <c r="J244" s="96"/>
    </row>
    <row r="245" spans="1:10" ht="16">
      <c r="A245" s="331"/>
      <c r="B245" s="87" t="s">
        <v>1102</v>
      </c>
      <c r="C245" s="333" t="s">
        <v>817</v>
      </c>
      <c r="D245" s="119" t="s">
        <v>942</v>
      </c>
      <c r="E245" s="119">
        <v>0.25</v>
      </c>
      <c r="F245" s="120">
        <v>75</v>
      </c>
      <c r="G245" s="119">
        <f t="shared" si="60"/>
        <v>18.75</v>
      </c>
      <c r="H245" s="119">
        <f t="shared" si="61"/>
        <v>21.187499999999996</v>
      </c>
      <c r="I245" s="119"/>
      <c r="J245" s="121"/>
    </row>
    <row r="246" spans="1:10" ht="16">
      <c r="A246" s="331"/>
      <c r="B246" s="323" t="s">
        <v>1103</v>
      </c>
      <c r="C246" s="332" t="s">
        <v>818</v>
      </c>
      <c r="D246" s="94"/>
      <c r="E246" s="94">
        <v>1</v>
      </c>
      <c r="F246" s="95">
        <v>50</v>
      </c>
      <c r="G246" s="94">
        <f t="shared" si="60"/>
        <v>50</v>
      </c>
      <c r="H246" s="94">
        <f t="shared" si="61"/>
        <v>56.499999999999993</v>
      </c>
      <c r="I246" s="94"/>
      <c r="J246" s="96"/>
    </row>
    <row r="247" spans="1:10" ht="16">
      <c r="A247" s="331"/>
      <c r="B247" s="87" t="s">
        <v>1104</v>
      </c>
      <c r="C247" s="333" t="s">
        <v>943</v>
      </c>
      <c r="D247" s="119" t="s">
        <v>944</v>
      </c>
      <c r="E247" s="119">
        <v>22.16</v>
      </c>
      <c r="F247" s="120">
        <v>2</v>
      </c>
      <c r="G247" s="119">
        <f t="shared" si="60"/>
        <v>44.32</v>
      </c>
      <c r="H247" s="119">
        <f t="shared" si="61"/>
        <v>50.081599999999995</v>
      </c>
      <c r="I247" s="119"/>
      <c r="J247" s="121"/>
    </row>
    <row r="248" spans="1:10" ht="16">
      <c r="A248" s="331"/>
      <c r="B248" s="323" t="s">
        <v>1105</v>
      </c>
      <c r="C248" s="332" t="s">
        <v>945</v>
      </c>
      <c r="D248" s="94"/>
      <c r="E248" s="94">
        <v>30</v>
      </c>
      <c r="F248" s="95">
        <v>1</v>
      </c>
      <c r="G248" s="94">
        <f t="shared" si="60"/>
        <v>30</v>
      </c>
      <c r="H248" s="94">
        <f>G248</f>
        <v>30</v>
      </c>
      <c r="I248" s="94"/>
      <c r="J248" s="96"/>
    </row>
    <row r="249" spans="1:10" ht="16">
      <c r="A249" s="325"/>
      <c r="B249" s="103" t="s">
        <v>819</v>
      </c>
      <c r="C249" s="334"/>
      <c r="D249" s="67"/>
      <c r="E249" s="67"/>
      <c r="F249" s="66"/>
      <c r="G249" s="67"/>
      <c r="H249" s="67">
        <f>SUM(H244:H248)</f>
        <v>767.96909999999991</v>
      </c>
      <c r="I249" s="67">
        <f>SUM(I244:I248)</f>
        <v>0</v>
      </c>
      <c r="J249" s="68">
        <f>SUM(J244:J248)</f>
        <v>0</v>
      </c>
    </row>
    <row r="250" spans="1:10" ht="16">
      <c r="A250" s="331" t="s">
        <v>946</v>
      </c>
      <c r="B250" s="87"/>
      <c r="C250" s="97"/>
      <c r="D250" s="119"/>
      <c r="E250" s="119"/>
      <c r="F250" s="120"/>
      <c r="G250" s="119"/>
      <c r="H250" s="119"/>
      <c r="I250" s="119"/>
      <c r="J250" s="121"/>
    </row>
    <row r="251" spans="1:10" ht="16">
      <c r="A251" s="331"/>
      <c r="B251" s="87" t="s">
        <v>1106</v>
      </c>
      <c r="C251" s="124" t="s">
        <v>947</v>
      </c>
      <c r="D251" s="119"/>
      <c r="E251" s="119">
        <v>180</v>
      </c>
      <c r="F251" s="120">
        <v>1</v>
      </c>
      <c r="G251" s="119">
        <f t="shared" ref="G251:G252" si="62">E251*F251</f>
        <v>180</v>
      </c>
      <c r="H251" s="119">
        <f t="shared" ref="H251" si="63">G251*1.13</f>
        <v>203.39999999999998</v>
      </c>
      <c r="I251" s="119"/>
      <c r="J251" s="121"/>
    </row>
    <row r="252" spans="1:10" ht="16">
      <c r="A252" s="331"/>
      <c r="B252" s="323" t="s">
        <v>1107</v>
      </c>
      <c r="C252" s="123" t="s">
        <v>1427</v>
      </c>
      <c r="D252" s="94"/>
      <c r="E252" s="94">
        <v>10</v>
      </c>
      <c r="F252" s="95">
        <v>10</v>
      </c>
      <c r="G252" s="94">
        <f t="shared" si="62"/>
        <v>100</v>
      </c>
      <c r="H252" s="94">
        <f>G252</f>
        <v>100</v>
      </c>
      <c r="I252" s="94"/>
      <c r="J252" s="96"/>
    </row>
    <row r="253" spans="1:10" ht="16">
      <c r="A253" s="325"/>
      <c r="B253" s="103" t="s">
        <v>948</v>
      </c>
      <c r="C253" s="334"/>
      <c r="D253" s="67"/>
      <c r="E253" s="67"/>
      <c r="F253" s="66"/>
      <c r="G253" s="67"/>
      <c r="H253" s="67">
        <f>SUM(H251:H252)</f>
        <v>303.39999999999998</v>
      </c>
      <c r="I253" s="67">
        <f>SUM(I251:I252)</f>
        <v>0</v>
      </c>
      <c r="J253" s="68">
        <f>SUM(J251:J252)</f>
        <v>0</v>
      </c>
    </row>
    <row r="254" spans="1:10" ht="16">
      <c r="A254" s="122"/>
      <c r="B254" s="103" t="s">
        <v>949</v>
      </c>
      <c r="C254" s="127"/>
      <c r="D254" s="319"/>
      <c r="E254" s="67"/>
      <c r="F254" s="66"/>
      <c r="G254" s="67"/>
      <c r="H254" s="67">
        <f>SUM(H253,H249,H241,H232,H228,H221,H216,H210,H204)</f>
        <v>4949.0917999999992</v>
      </c>
      <c r="I254" s="67">
        <f>SUM(I253,I249,I241,I232,I228,I221,I216,I210,I204)</f>
        <v>0</v>
      </c>
      <c r="J254" s="68">
        <f>SUM(J253,J249,J241,J232,J228,J221,J216,J210,J204)</f>
        <v>0</v>
      </c>
    </row>
    <row r="255" spans="1:10" ht="16">
      <c r="A255" s="122" t="s">
        <v>771</v>
      </c>
      <c r="B255" s="87"/>
      <c r="C255" s="315"/>
      <c r="D255" s="316"/>
      <c r="E255" s="107"/>
      <c r="F255" s="108"/>
      <c r="G255" s="107"/>
      <c r="H255" s="107"/>
      <c r="I255" s="107"/>
      <c r="J255" s="109"/>
    </row>
    <row r="256" spans="1:10">
      <c r="A256" s="338" t="s">
        <v>950</v>
      </c>
      <c r="B256" s="21"/>
      <c r="C256" s="22"/>
      <c r="D256" s="32"/>
      <c r="E256" s="32"/>
      <c r="F256" s="33"/>
      <c r="G256" s="32"/>
      <c r="H256" s="32"/>
      <c r="I256" s="32"/>
      <c r="J256" s="34"/>
    </row>
    <row r="257" spans="1:10">
      <c r="A257" s="51"/>
      <c r="B257" s="22" t="s">
        <v>1108</v>
      </c>
      <c r="C257" s="339" t="s">
        <v>951</v>
      </c>
      <c r="D257" s="340" t="s">
        <v>896</v>
      </c>
      <c r="E257" s="32">
        <v>80</v>
      </c>
      <c r="F257" s="33">
        <v>1</v>
      </c>
      <c r="G257" s="32">
        <f t="shared" ref="G257" si="64">E257*F257</f>
        <v>80</v>
      </c>
      <c r="H257" s="32">
        <f t="shared" ref="H257" si="65">G257*1.13</f>
        <v>90.399999999999991</v>
      </c>
      <c r="I257" s="32"/>
      <c r="J257" s="34"/>
    </row>
    <row r="258" spans="1:10">
      <c r="A258" s="51"/>
      <c r="B258" s="37" t="s">
        <v>952</v>
      </c>
      <c r="C258" s="341"/>
      <c r="D258" s="41"/>
      <c r="E258" s="41"/>
      <c r="F258" s="47"/>
      <c r="G258" s="41"/>
      <c r="H258" s="41">
        <f>SUM(H256:H257)</f>
        <v>90.399999999999991</v>
      </c>
      <c r="I258" s="41">
        <f>SUM(I256:I257)</f>
        <v>0</v>
      </c>
      <c r="J258" s="42">
        <f>SUM(J256:J257)</f>
        <v>0</v>
      </c>
    </row>
    <row r="259" spans="1:10">
      <c r="A259" s="307"/>
      <c r="B259" s="21"/>
      <c r="C259" s="425"/>
      <c r="D259" s="43"/>
      <c r="E259" s="43"/>
      <c r="F259" s="44"/>
      <c r="G259" s="43"/>
      <c r="H259" s="43"/>
      <c r="I259" s="43"/>
      <c r="J259" s="45"/>
    </row>
    <row r="260" spans="1:10">
      <c r="A260" s="307" t="s">
        <v>626</v>
      </c>
      <c r="B260" s="21"/>
      <c r="C260" s="168"/>
      <c r="D260" s="32"/>
      <c r="E260" s="32"/>
      <c r="F260" s="33"/>
      <c r="G260" s="32"/>
      <c r="H260" s="32"/>
      <c r="I260" s="32"/>
      <c r="J260" s="34"/>
    </row>
    <row r="261" spans="1:10">
      <c r="A261" s="51"/>
      <c r="B261" s="35" t="s">
        <v>1109</v>
      </c>
      <c r="C261" s="167" t="s">
        <v>953</v>
      </c>
      <c r="D261" s="27" t="s">
        <v>954</v>
      </c>
      <c r="E261" s="27">
        <v>0.25</v>
      </c>
      <c r="F261" s="28">
        <v>20</v>
      </c>
      <c r="G261" s="27">
        <f>E261*F261</f>
        <v>5</v>
      </c>
      <c r="H261" s="27">
        <f>G261*1.13</f>
        <v>5.6499999999999995</v>
      </c>
      <c r="I261" s="27"/>
      <c r="J261" s="29"/>
    </row>
    <row r="262" spans="1:10" ht="17" customHeight="1">
      <c r="A262" s="51"/>
      <c r="B262" s="22" t="s">
        <v>1110</v>
      </c>
      <c r="C262" s="429" t="s">
        <v>797</v>
      </c>
      <c r="D262" s="430" t="s">
        <v>798</v>
      </c>
      <c r="E262" s="428">
        <v>11.95</v>
      </c>
      <c r="F262" s="431">
        <v>1</v>
      </c>
      <c r="G262" s="32">
        <f>E262*F262</f>
        <v>11.95</v>
      </c>
      <c r="H262" s="32">
        <f>G262*1.13</f>
        <v>13.503499999999997</v>
      </c>
      <c r="I262" s="32"/>
      <c r="J262" s="34"/>
    </row>
    <row r="263" spans="1:10">
      <c r="A263" s="51"/>
      <c r="B263" s="37" t="s">
        <v>955</v>
      </c>
      <c r="C263" s="46"/>
      <c r="D263" s="41"/>
      <c r="E263" s="41"/>
      <c r="F263" s="47"/>
      <c r="G263" s="41"/>
      <c r="H263" s="41">
        <f>SUM(H261:H262)</f>
        <v>19.153499999999998</v>
      </c>
      <c r="I263" s="41">
        <f>SUM(I261:I262)</f>
        <v>0</v>
      </c>
      <c r="J263" s="42">
        <f>SUM(J261:J262)</f>
        <v>0</v>
      </c>
    </row>
    <row r="264" spans="1:10">
      <c r="A264" s="51"/>
      <c r="B264" s="22"/>
      <c r="C264" s="22"/>
      <c r="D264" s="32"/>
      <c r="E264" s="32"/>
      <c r="F264" s="33"/>
      <c r="G264" s="32"/>
      <c r="H264" s="32"/>
      <c r="I264" s="32"/>
      <c r="J264" s="34"/>
    </row>
    <row r="265" spans="1:10">
      <c r="A265" s="307" t="s">
        <v>956</v>
      </c>
      <c r="B265" s="21"/>
      <c r="C265" s="22"/>
      <c r="D265" s="32"/>
      <c r="E265" s="32"/>
      <c r="F265" s="33"/>
      <c r="G265" s="32"/>
      <c r="H265" s="32"/>
      <c r="I265" s="32"/>
      <c r="J265" s="34"/>
    </row>
    <row r="266" spans="1:10">
      <c r="A266" s="51"/>
      <c r="B266" s="35" t="s">
        <v>1111</v>
      </c>
      <c r="C266" s="36" t="s">
        <v>419</v>
      </c>
      <c r="D266" s="217" t="s">
        <v>1222</v>
      </c>
      <c r="E266" s="27">
        <v>100</v>
      </c>
      <c r="F266" s="28">
        <v>1</v>
      </c>
      <c r="G266" s="27">
        <f>E266*F266</f>
        <v>100</v>
      </c>
      <c r="H266" s="27">
        <v>100</v>
      </c>
      <c r="I266" s="27"/>
      <c r="J266" s="29"/>
    </row>
    <row r="267" spans="1:10">
      <c r="A267" s="51"/>
      <c r="B267" s="22" t="s">
        <v>1112</v>
      </c>
      <c r="C267" s="22" t="s">
        <v>433</v>
      </c>
      <c r="D267" s="32"/>
      <c r="E267" s="32">
        <v>50</v>
      </c>
      <c r="F267" s="33">
        <v>1</v>
      </c>
      <c r="G267" s="32">
        <f t="shared" ref="G267" si="66">E267*F267</f>
        <v>50</v>
      </c>
      <c r="H267" s="32">
        <f t="shared" ref="H267" si="67">G267*1.13</f>
        <v>56.499999999999993</v>
      </c>
      <c r="I267" s="32"/>
      <c r="J267" s="34"/>
    </row>
    <row r="268" spans="1:10">
      <c r="A268" s="51"/>
      <c r="B268" s="37" t="s">
        <v>957</v>
      </c>
      <c r="C268" s="46"/>
      <c r="D268" s="41"/>
      <c r="E268" s="41"/>
      <c r="F268" s="47"/>
      <c r="G268" s="41"/>
      <c r="H268" s="41">
        <f>SUM(H266:H267)</f>
        <v>156.5</v>
      </c>
      <c r="I268" s="41">
        <f>SUM(I266:I267)</f>
        <v>0</v>
      </c>
      <c r="J268" s="42">
        <f>SUM(J266:J267)</f>
        <v>0</v>
      </c>
    </row>
    <row r="269" spans="1:10">
      <c r="A269" s="51"/>
      <c r="B269" s="22"/>
      <c r="C269" s="21"/>
      <c r="D269" s="43"/>
      <c r="E269" s="43"/>
      <c r="F269" s="44"/>
      <c r="G269" s="43"/>
      <c r="H269" s="43"/>
      <c r="I269" s="43"/>
      <c r="J269" s="45"/>
    </row>
    <row r="270" spans="1:10">
      <c r="A270" s="307" t="s">
        <v>958</v>
      </c>
      <c r="B270" s="21"/>
      <c r="C270" s="22"/>
      <c r="D270" s="32"/>
      <c r="E270" s="32"/>
      <c r="F270" s="33"/>
      <c r="G270" s="32"/>
      <c r="H270" s="32"/>
      <c r="I270" s="32"/>
      <c r="J270" s="34"/>
    </row>
    <row r="271" spans="1:10">
      <c r="A271" s="307"/>
      <c r="B271" s="52" t="s">
        <v>1113</v>
      </c>
      <c r="C271" s="35" t="s">
        <v>803</v>
      </c>
      <c r="D271" s="27" t="s">
        <v>959</v>
      </c>
      <c r="E271" s="27">
        <v>80</v>
      </c>
      <c r="F271" s="28">
        <v>1</v>
      </c>
      <c r="G271" s="27">
        <f t="shared" ref="G271:G275" si="68">E271*F271</f>
        <v>80</v>
      </c>
      <c r="H271" s="27">
        <f t="shared" ref="H271:H275" si="69">G271*1.13</f>
        <v>90.399999999999991</v>
      </c>
      <c r="I271" s="27"/>
      <c r="J271" s="29"/>
    </row>
    <row r="272" spans="1:10">
      <c r="A272" s="307"/>
      <c r="B272" s="21" t="s">
        <v>1114</v>
      </c>
      <c r="C272" s="22" t="s">
        <v>960</v>
      </c>
      <c r="D272" s="32" t="s">
        <v>961</v>
      </c>
      <c r="E272" s="32">
        <v>9.99</v>
      </c>
      <c r="F272" s="33">
        <v>2</v>
      </c>
      <c r="G272" s="32">
        <f t="shared" si="68"/>
        <v>19.98</v>
      </c>
      <c r="H272" s="32">
        <f t="shared" si="69"/>
        <v>22.577399999999997</v>
      </c>
      <c r="I272" s="32"/>
      <c r="J272" s="34"/>
    </row>
    <row r="273" spans="1:10">
      <c r="A273" s="307"/>
      <c r="B273" s="52" t="s">
        <v>1115</v>
      </c>
      <c r="C273" s="35" t="s">
        <v>804</v>
      </c>
      <c r="D273" s="27" t="s">
        <v>959</v>
      </c>
      <c r="E273" s="27">
        <v>14</v>
      </c>
      <c r="F273" s="28">
        <v>4</v>
      </c>
      <c r="G273" s="27">
        <f t="shared" si="68"/>
        <v>56</v>
      </c>
      <c r="H273" s="27">
        <f t="shared" si="69"/>
        <v>63.279999999999994</v>
      </c>
      <c r="I273" s="27"/>
      <c r="J273" s="29"/>
    </row>
    <row r="274" spans="1:10">
      <c r="A274" s="307"/>
      <c r="B274" s="21" t="s">
        <v>1116</v>
      </c>
      <c r="C274" s="22" t="s">
        <v>805</v>
      </c>
      <c r="D274" s="32" t="s">
        <v>959</v>
      </c>
      <c r="E274" s="32">
        <v>18</v>
      </c>
      <c r="F274" s="33">
        <v>4</v>
      </c>
      <c r="G274" s="32">
        <f t="shared" si="68"/>
        <v>72</v>
      </c>
      <c r="H274" s="32">
        <f t="shared" si="69"/>
        <v>81.359999999999985</v>
      </c>
      <c r="I274" s="32"/>
      <c r="J274" s="34"/>
    </row>
    <row r="275" spans="1:10">
      <c r="A275" s="307"/>
      <c r="B275" s="52" t="s">
        <v>1117</v>
      </c>
      <c r="C275" s="35" t="s">
        <v>962</v>
      </c>
      <c r="D275" s="27" t="s">
        <v>963</v>
      </c>
      <c r="E275" s="27">
        <v>0.69</v>
      </c>
      <c r="F275" s="28">
        <v>10</v>
      </c>
      <c r="G275" s="27">
        <f t="shared" si="68"/>
        <v>6.8999999999999995</v>
      </c>
      <c r="H275" s="27">
        <f t="shared" si="69"/>
        <v>7.7969999999999988</v>
      </c>
      <c r="I275" s="27"/>
      <c r="J275" s="29"/>
    </row>
    <row r="276" spans="1:10">
      <c r="A276" s="30"/>
      <c r="B276" s="37" t="s">
        <v>1444</v>
      </c>
      <c r="C276" s="46"/>
      <c r="D276" s="41"/>
      <c r="E276" s="41"/>
      <c r="F276" s="47"/>
      <c r="G276" s="41"/>
      <c r="H276" s="41">
        <f>SUM(H271:H275)</f>
        <v>265.4144</v>
      </c>
      <c r="I276" s="41">
        <f>SUM(I271:I275)</f>
        <v>0</v>
      </c>
      <c r="J276" s="42">
        <f>SUM(J271:J275)</f>
        <v>0</v>
      </c>
    </row>
    <row r="277" spans="1:10" ht="16">
      <c r="A277" s="122"/>
      <c r="B277" s="103" t="s">
        <v>964</v>
      </c>
      <c r="C277" s="127"/>
      <c r="D277" s="319"/>
      <c r="E277" s="67"/>
      <c r="F277" s="66"/>
      <c r="G277" s="67"/>
      <c r="H277" s="67">
        <f>SUM(H276,H268,H263,H258)</f>
        <v>531.46789999999999</v>
      </c>
      <c r="I277" s="67">
        <f>SUM(I276,I268,I263,I258)</f>
        <v>0</v>
      </c>
      <c r="J277" s="68">
        <f>SUM(J276,J268,J263,J258)</f>
        <v>0</v>
      </c>
    </row>
    <row r="278" spans="1:10" ht="16">
      <c r="A278" s="122"/>
      <c r="B278" s="310"/>
      <c r="C278" s="342"/>
      <c r="D278" s="301"/>
      <c r="E278" s="79"/>
      <c r="F278" s="343"/>
      <c r="G278" s="79"/>
      <c r="H278" s="79"/>
      <c r="I278" s="79"/>
      <c r="J278" s="82"/>
    </row>
    <row r="279" spans="1:10" ht="16">
      <c r="A279" s="122"/>
      <c r="B279" s="87"/>
      <c r="C279" s="315" t="s">
        <v>965</v>
      </c>
      <c r="D279" s="316"/>
      <c r="E279" s="107"/>
      <c r="F279" s="108"/>
      <c r="G279" s="107"/>
      <c r="H279" s="107">
        <f>SUM(H277,H254,H197,H174,H130,H108,H56)</f>
        <v>27136.603299999999</v>
      </c>
      <c r="I279" s="107"/>
      <c r="J279" s="109"/>
    </row>
    <row r="280" spans="1:10" ht="16">
      <c r="A280" s="122"/>
      <c r="B280" s="308"/>
      <c r="C280" s="344"/>
      <c r="D280" s="345"/>
      <c r="E280" s="104"/>
      <c r="F280" s="134"/>
      <c r="G280" s="104"/>
      <c r="H280" s="104"/>
      <c r="I280" s="104"/>
      <c r="J280" s="105"/>
    </row>
    <row r="281" spans="1:10" ht="18">
      <c r="A281" s="426" t="s">
        <v>14</v>
      </c>
      <c r="B281" s="424"/>
      <c r="C281" s="346"/>
      <c r="D281" s="347"/>
      <c r="E281" s="140"/>
      <c r="F281" s="141"/>
      <c r="G281" s="140"/>
      <c r="H281" s="140"/>
      <c r="I281" s="140"/>
      <c r="J281" s="142"/>
    </row>
    <row r="282" spans="1:10" ht="18">
      <c r="A282" s="143"/>
      <c r="B282" s="144" t="s">
        <v>15</v>
      </c>
      <c r="C282" s="145"/>
      <c r="D282" s="348"/>
      <c r="E282" s="146"/>
      <c r="F282" s="146"/>
      <c r="G282" s="146"/>
      <c r="H282" s="146">
        <f>H48</f>
        <v>16233</v>
      </c>
      <c r="I282" s="146">
        <f>I48</f>
        <v>0</v>
      </c>
      <c r="J282" s="438">
        <f>J48</f>
        <v>0</v>
      </c>
    </row>
    <row r="283" spans="1:10" ht="18">
      <c r="A283" s="143"/>
      <c r="B283" s="148" t="s">
        <v>16</v>
      </c>
      <c r="C283" s="149"/>
      <c r="D283" s="349"/>
      <c r="E283" s="150"/>
      <c r="F283" s="150"/>
      <c r="G283" s="150"/>
      <c r="H283" s="150">
        <f>H279</f>
        <v>27136.603299999999</v>
      </c>
      <c r="I283" s="150">
        <f>I56</f>
        <v>0</v>
      </c>
      <c r="J283" s="151">
        <f>J52</f>
        <v>0</v>
      </c>
    </row>
    <row r="284" spans="1:10" ht="18">
      <c r="A284" s="152"/>
      <c r="B284" s="153" t="s">
        <v>17</v>
      </c>
      <c r="C284" s="154"/>
      <c r="D284" s="350"/>
      <c r="E284" s="155"/>
      <c r="F284" s="155"/>
      <c r="G284" s="155"/>
      <c r="H284" s="155">
        <f>H282-H283</f>
        <v>-10903.603299999999</v>
      </c>
      <c r="I284" s="155">
        <f t="shared" ref="I284:J284" si="70">I282-I283</f>
        <v>0</v>
      </c>
      <c r="J284" s="156">
        <f t="shared" si="70"/>
        <v>0</v>
      </c>
    </row>
  </sheetData>
  <mergeCells count="3">
    <mergeCell ref="A1:J1"/>
    <mergeCell ref="A4:C4"/>
    <mergeCell ref="A50:C50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102" workbookViewId="0">
      <selection activeCell="A134" sqref="A134:XFD134"/>
    </sheetView>
  </sheetViews>
  <sheetFormatPr baseColWidth="10" defaultRowHeight="15" x14ac:dyDescent="0"/>
  <cols>
    <col min="3" max="3" width="32.5" customWidth="1"/>
    <col min="8" max="8" width="16.83203125" bestFit="1" customWidth="1"/>
  </cols>
  <sheetData>
    <row r="1" spans="1:8" ht="16">
      <c r="A1" s="485" t="s">
        <v>1234</v>
      </c>
      <c r="B1" s="490"/>
      <c r="C1" s="486"/>
      <c r="D1" s="491"/>
      <c r="E1" s="492"/>
      <c r="F1" s="66"/>
      <c r="G1" s="67"/>
      <c r="H1" s="68"/>
    </row>
    <row r="2" spans="1:8" ht="16">
      <c r="A2" s="69"/>
      <c r="B2" s="70" t="s">
        <v>0</v>
      </c>
      <c r="C2" s="71" t="s">
        <v>1</v>
      </c>
      <c r="D2" s="404" t="s">
        <v>2</v>
      </c>
      <c r="E2" s="72" t="s">
        <v>3</v>
      </c>
      <c r="F2" s="73" t="s">
        <v>4</v>
      </c>
      <c r="G2" s="74" t="s">
        <v>5</v>
      </c>
      <c r="H2" s="439" t="s">
        <v>6</v>
      </c>
    </row>
    <row r="3" spans="1:8" ht="16">
      <c r="A3" s="76"/>
      <c r="B3" s="77"/>
      <c r="C3" s="77"/>
      <c r="D3" s="405"/>
      <c r="E3" s="405"/>
      <c r="F3" s="406"/>
      <c r="G3" s="405"/>
      <c r="H3" s="440"/>
    </row>
    <row r="4" spans="1:8" ht="16">
      <c r="A4" s="493" t="s">
        <v>9</v>
      </c>
      <c r="B4" s="494"/>
      <c r="C4" s="494"/>
      <c r="D4" s="117"/>
      <c r="E4" s="117"/>
      <c r="F4" s="118"/>
      <c r="G4" s="117"/>
      <c r="H4" s="242"/>
    </row>
    <row r="5" spans="1:8" ht="16">
      <c r="A5" s="220" t="s">
        <v>1145</v>
      </c>
      <c r="B5" s="441"/>
      <c r="C5" s="442"/>
      <c r="D5" s="443"/>
      <c r="E5" s="443"/>
      <c r="F5" s="444"/>
      <c r="G5" s="443"/>
      <c r="H5" s="255"/>
    </row>
    <row r="6" spans="1:8" ht="16">
      <c r="A6" s="220" t="s">
        <v>1185</v>
      </c>
      <c r="B6" s="77"/>
      <c r="C6" s="442"/>
      <c r="D6" s="443"/>
      <c r="E6" s="443"/>
      <c r="F6" s="444"/>
      <c r="G6" s="443"/>
      <c r="H6" s="255"/>
    </row>
    <row r="7" spans="1:8" ht="16">
      <c r="A7" s="220"/>
      <c r="B7" s="445" t="s">
        <v>1235</v>
      </c>
      <c r="C7" s="445" t="s">
        <v>1236</v>
      </c>
      <c r="D7" s="446" t="s">
        <v>1237</v>
      </c>
      <c r="E7" s="446"/>
      <c r="F7" s="447"/>
      <c r="G7" s="446"/>
      <c r="H7" s="256">
        <v>1800</v>
      </c>
    </row>
    <row r="8" spans="1:8" ht="16">
      <c r="A8" s="407" t="s">
        <v>1238</v>
      </c>
      <c r="B8" s="448"/>
      <c r="C8" s="449"/>
      <c r="D8" s="428"/>
      <c r="E8" s="428"/>
      <c r="F8" s="431"/>
      <c r="G8" s="428"/>
      <c r="H8" s="450"/>
    </row>
    <row r="9" spans="1:8" ht="16">
      <c r="A9" s="220"/>
      <c r="B9" s="445" t="s">
        <v>1239</v>
      </c>
      <c r="C9" s="451" t="s">
        <v>777</v>
      </c>
      <c r="D9" s="446" t="s">
        <v>1240</v>
      </c>
      <c r="E9" s="446"/>
      <c r="F9" s="447"/>
      <c r="G9" s="446"/>
      <c r="H9" s="256">
        <v>7500</v>
      </c>
    </row>
    <row r="10" spans="1:8" ht="16">
      <c r="A10" s="220"/>
      <c r="B10" s="445"/>
      <c r="C10" s="451"/>
      <c r="D10" s="446" t="s">
        <v>10</v>
      </c>
      <c r="E10" s="446"/>
      <c r="F10" s="447"/>
      <c r="G10" s="446"/>
      <c r="H10" s="256"/>
    </row>
    <row r="11" spans="1:8" ht="16">
      <c r="A11" s="407" t="s">
        <v>1148</v>
      </c>
      <c r="B11" s="429"/>
      <c r="C11" s="449"/>
      <c r="D11" s="428"/>
      <c r="E11" s="428"/>
      <c r="F11" s="431"/>
      <c r="G11" s="428"/>
      <c r="H11" s="450"/>
    </row>
    <row r="12" spans="1:8" ht="16">
      <c r="A12" s="220"/>
      <c r="B12" s="445" t="s">
        <v>1241</v>
      </c>
      <c r="C12" s="451" t="s">
        <v>1242</v>
      </c>
      <c r="D12" s="446" t="s">
        <v>1243</v>
      </c>
      <c r="E12" s="446"/>
      <c r="F12" s="447"/>
      <c r="G12" s="446"/>
      <c r="H12" s="256">
        <v>400</v>
      </c>
    </row>
    <row r="13" spans="1:8" ht="16">
      <c r="A13" s="407" t="s">
        <v>1149</v>
      </c>
      <c r="B13" s="448"/>
      <c r="C13" s="449"/>
      <c r="D13" s="428" t="s">
        <v>10</v>
      </c>
      <c r="E13" s="428"/>
      <c r="F13" s="431"/>
      <c r="G13" s="428"/>
      <c r="H13" s="450"/>
    </row>
    <row r="14" spans="1:8" ht="16">
      <c r="A14" s="220"/>
      <c r="B14" s="445" t="s">
        <v>1244</v>
      </c>
      <c r="C14" s="451" t="s">
        <v>1245</v>
      </c>
      <c r="D14" s="446" t="s">
        <v>1246</v>
      </c>
      <c r="E14" s="446"/>
      <c r="F14" s="447"/>
      <c r="G14" s="446"/>
      <c r="H14" s="256">
        <v>37500</v>
      </c>
    </row>
    <row r="15" spans="1:8" ht="16">
      <c r="A15" s="407" t="s">
        <v>1150</v>
      </c>
      <c r="B15" s="448"/>
      <c r="C15" s="449"/>
      <c r="D15" s="428"/>
      <c r="E15" s="428"/>
      <c r="F15" s="431"/>
      <c r="G15" s="428"/>
      <c r="H15" s="450"/>
    </row>
    <row r="16" spans="1:8" ht="16">
      <c r="A16" s="220"/>
      <c r="B16" s="445" t="s">
        <v>1247</v>
      </c>
      <c r="C16" s="451" t="s">
        <v>1248</v>
      </c>
      <c r="D16" s="446" t="s">
        <v>1249</v>
      </c>
      <c r="E16" s="446"/>
      <c r="F16" s="447"/>
      <c r="G16" s="446"/>
      <c r="H16" s="256">
        <v>8000</v>
      </c>
    </row>
    <row r="17" spans="1:8" ht="16">
      <c r="A17" s="407" t="s">
        <v>1250</v>
      </c>
      <c r="B17" s="448"/>
      <c r="C17" s="448"/>
      <c r="D17" s="428"/>
      <c r="E17" s="428"/>
      <c r="F17" s="431"/>
      <c r="G17" s="428"/>
      <c r="H17" s="450"/>
    </row>
    <row r="18" spans="1:8" ht="16">
      <c r="A18" s="220"/>
      <c r="B18" s="445" t="s">
        <v>1251</v>
      </c>
      <c r="C18" s="451" t="s">
        <v>1250</v>
      </c>
      <c r="D18" s="446" t="s">
        <v>1252</v>
      </c>
      <c r="E18" s="446"/>
      <c r="F18" s="447"/>
      <c r="G18" s="446"/>
      <c r="H18" s="256">
        <f>2800*59.61</f>
        <v>166908</v>
      </c>
    </row>
    <row r="19" spans="1:8" ht="16">
      <c r="A19" s="220"/>
      <c r="B19" s="445" t="s">
        <v>1253</v>
      </c>
      <c r="C19" s="451" t="s">
        <v>1254</v>
      </c>
      <c r="D19" s="446"/>
      <c r="E19" s="446"/>
      <c r="F19" s="447"/>
      <c r="G19" s="446"/>
      <c r="H19" s="256">
        <v>-5500</v>
      </c>
    </row>
    <row r="20" spans="1:8" ht="16">
      <c r="A20" s="407" t="s">
        <v>1255</v>
      </c>
      <c r="B20" s="448"/>
      <c r="C20" s="448"/>
      <c r="D20" s="428"/>
      <c r="E20" s="428"/>
      <c r="F20" s="431"/>
      <c r="G20" s="428"/>
      <c r="H20" s="450"/>
    </row>
    <row r="21" spans="1:8" ht="16">
      <c r="A21" s="220"/>
      <c r="B21" s="445" t="s">
        <v>1256</v>
      </c>
      <c r="C21" s="451" t="s">
        <v>1257</v>
      </c>
      <c r="D21" s="446" t="s">
        <v>1258</v>
      </c>
      <c r="E21" s="446"/>
      <c r="F21" s="447"/>
      <c r="G21" s="446"/>
      <c r="H21" s="256">
        <v>16000</v>
      </c>
    </row>
    <row r="22" spans="1:8" ht="16">
      <c r="A22" s="407"/>
      <c r="B22" s="429" t="s">
        <v>1259</v>
      </c>
      <c r="C22" s="449" t="s">
        <v>1260</v>
      </c>
      <c r="D22" s="428" t="s">
        <v>1258</v>
      </c>
      <c r="E22" s="428"/>
      <c r="F22" s="431"/>
      <c r="G22" s="428"/>
      <c r="H22" s="450">
        <v>10000</v>
      </c>
    </row>
    <row r="23" spans="1:8" ht="16">
      <c r="A23" s="220"/>
      <c r="B23" s="445"/>
      <c r="C23" s="451"/>
      <c r="D23" s="446"/>
      <c r="E23" s="446"/>
      <c r="F23" s="447"/>
      <c r="G23" s="446"/>
      <c r="H23" s="256"/>
    </row>
    <row r="24" spans="1:8" ht="16">
      <c r="A24" s="407" t="s">
        <v>1154</v>
      </c>
      <c r="B24" s="448"/>
      <c r="C24" s="449"/>
      <c r="D24" s="428"/>
      <c r="E24" s="428"/>
      <c r="F24" s="431"/>
      <c r="G24" s="428"/>
      <c r="H24" s="450"/>
    </row>
    <row r="25" spans="1:8" ht="16">
      <c r="A25" s="220"/>
      <c r="B25" s="445" t="s">
        <v>1261</v>
      </c>
      <c r="C25" s="451" t="s">
        <v>1262</v>
      </c>
      <c r="D25" s="446" t="s">
        <v>1263</v>
      </c>
      <c r="E25" s="446"/>
      <c r="F25" s="447"/>
      <c r="G25" s="446"/>
      <c r="H25" s="256">
        <f>700*15</f>
        <v>10500</v>
      </c>
    </row>
    <row r="26" spans="1:8" ht="16">
      <c r="A26" s="220" t="s">
        <v>1467</v>
      </c>
      <c r="B26" s="442"/>
      <c r="C26" s="452"/>
      <c r="D26" s="443"/>
      <c r="E26" s="443"/>
      <c r="F26" s="444"/>
      <c r="G26" s="443"/>
      <c r="H26" s="255"/>
    </row>
    <row r="27" spans="1:8" ht="16">
      <c r="A27" s="220"/>
      <c r="B27" s="445" t="s">
        <v>1264</v>
      </c>
      <c r="C27" s="451" t="s">
        <v>1265</v>
      </c>
      <c r="D27" s="446"/>
      <c r="E27" s="446"/>
      <c r="F27" s="447"/>
      <c r="G27" s="446"/>
      <c r="H27" s="256">
        <v>25000</v>
      </c>
    </row>
    <row r="28" spans="1:8" ht="16">
      <c r="A28" s="220" t="s">
        <v>1266</v>
      </c>
      <c r="B28" s="429"/>
      <c r="C28" s="449"/>
      <c r="D28" s="428"/>
      <c r="E28" s="428"/>
      <c r="F28" s="431"/>
      <c r="G28" s="428"/>
      <c r="H28" s="450"/>
    </row>
    <row r="29" spans="1:8" ht="16">
      <c r="A29" s="220"/>
      <c r="B29" s="408"/>
      <c r="C29" s="409" t="s">
        <v>1182</v>
      </c>
      <c r="D29" s="410"/>
      <c r="E29" s="410"/>
      <c r="F29" s="411"/>
      <c r="G29" s="410"/>
      <c r="H29" s="453">
        <v>8000</v>
      </c>
    </row>
    <row r="30" spans="1:8" ht="16">
      <c r="A30" s="220"/>
      <c r="B30" s="412" t="s">
        <v>1156</v>
      </c>
      <c r="C30" s="413"/>
      <c r="D30" s="414"/>
      <c r="E30" s="414"/>
      <c r="F30" s="415"/>
      <c r="G30" s="414"/>
      <c r="H30" s="263">
        <f>SUM(H6:H29)</f>
        <v>286108</v>
      </c>
    </row>
    <row r="31" spans="1:8" ht="16">
      <c r="A31" s="220"/>
      <c r="B31" s="77"/>
      <c r="C31" s="77"/>
      <c r="D31" s="454"/>
      <c r="E31" s="454"/>
      <c r="F31" s="455"/>
      <c r="G31" s="454"/>
      <c r="H31" s="241"/>
    </row>
    <row r="32" spans="1:8" ht="16">
      <c r="A32" s="220" t="s">
        <v>1174</v>
      </c>
      <c r="B32" s="441"/>
      <c r="C32" s="442"/>
      <c r="D32" s="443"/>
      <c r="E32" s="443"/>
      <c r="F32" s="444"/>
      <c r="G32" s="443"/>
      <c r="H32" s="255"/>
    </row>
    <row r="33" spans="1:8" ht="16">
      <c r="A33" s="220" t="s">
        <v>1175</v>
      </c>
      <c r="B33" s="441"/>
      <c r="C33" s="442"/>
      <c r="D33" s="443"/>
      <c r="E33" s="443"/>
      <c r="F33" s="444"/>
      <c r="G33" s="443"/>
      <c r="H33" s="255"/>
    </row>
    <row r="34" spans="1:8" ht="16">
      <c r="A34" s="220"/>
      <c r="B34" s="445" t="s">
        <v>1267</v>
      </c>
      <c r="C34" s="451" t="s">
        <v>1268</v>
      </c>
      <c r="D34" s="446" t="s">
        <v>1269</v>
      </c>
      <c r="E34" s="446"/>
      <c r="F34" s="447"/>
      <c r="G34" s="446"/>
      <c r="H34" s="256">
        <f>12*750.64*1.13</f>
        <v>10178.678399999999</v>
      </c>
    </row>
    <row r="35" spans="1:8" ht="16">
      <c r="A35" s="220" t="s">
        <v>1176</v>
      </c>
      <c r="B35" s="441"/>
      <c r="C35" s="441"/>
      <c r="D35" s="443"/>
      <c r="E35" s="443"/>
      <c r="F35" s="444"/>
      <c r="G35" s="456"/>
      <c r="H35" s="130"/>
    </row>
    <row r="36" spans="1:8" ht="16">
      <c r="A36" s="220"/>
      <c r="B36" s="445" t="s">
        <v>1270</v>
      </c>
      <c r="C36" s="451" t="s">
        <v>1271</v>
      </c>
      <c r="D36" s="446" t="s">
        <v>1269</v>
      </c>
      <c r="E36" s="446"/>
      <c r="F36" s="447"/>
      <c r="G36" s="446"/>
      <c r="H36" s="256">
        <f>12*3566.98*1.13</f>
        <v>48368.248800000001</v>
      </c>
    </row>
    <row r="37" spans="1:8" ht="16">
      <c r="A37" s="220" t="s">
        <v>1177</v>
      </c>
      <c r="B37" s="441"/>
      <c r="C37" s="452"/>
      <c r="D37" s="443"/>
      <c r="E37" s="443"/>
      <c r="F37" s="444"/>
      <c r="G37" s="456"/>
      <c r="H37" s="130"/>
    </row>
    <row r="38" spans="1:8" ht="16">
      <c r="A38" s="220"/>
      <c r="B38" s="445" t="s">
        <v>1272</v>
      </c>
      <c r="C38" s="451" t="s">
        <v>1273</v>
      </c>
      <c r="D38" s="446" t="s">
        <v>1269</v>
      </c>
      <c r="E38" s="446"/>
      <c r="F38" s="447"/>
      <c r="G38" s="446"/>
      <c r="H38" s="256">
        <f>12*1383.47*1.13</f>
        <v>18759.853199999998</v>
      </c>
    </row>
    <row r="39" spans="1:8" ht="16">
      <c r="A39" s="220" t="s">
        <v>1178</v>
      </c>
      <c r="B39" s="441"/>
      <c r="C39" s="441"/>
      <c r="D39" s="443"/>
      <c r="E39" s="443"/>
      <c r="F39" s="444"/>
      <c r="G39" s="456"/>
      <c r="H39" s="130"/>
    </row>
    <row r="40" spans="1:8" ht="16">
      <c r="A40" s="220"/>
      <c r="B40" s="445" t="s">
        <v>1274</v>
      </c>
      <c r="C40" s="451" t="s">
        <v>1275</v>
      </c>
      <c r="D40" s="446" t="s">
        <v>1269</v>
      </c>
      <c r="E40" s="446"/>
      <c r="F40" s="447"/>
      <c r="G40" s="446"/>
      <c r="H40" s="256">
        <f>12*256.7*1.13</f>
        <v>3480.8519999999994</v>
      </c>
    </row>
    <row r="41" spans="1:8" ht="16">
      <c r="A41" s="220" t="s">
        <v>1179</v>
      </c>
      <c r="B41" s="441"/>
      <c r="C41" s="452"/>
      <c r="D41" s="443"/>
      <c r="E41" s="443"/>
      <c r="F41" s="444"/>
      <c r="G41" s="456"/>
      <c r="H41" s="130"/>
    </row>
    <row r="42" spans="1:8" ht="16">
      <c r="A42" s="220"/>
      <c r="B42" s="445" t="s">
        <v>1276</v>
      </c>
      <c r="C42" s="451" t="s">
        <v>1277</v>
      </c>
      <c r="D42" s="446" t="s">
        <v>1269</v>
      </c>
      <c r="E42" s="446"/>
      <c r="F42" s="447"/>
      <c r="G42" s="446"/>
      <c r="H42" s="256">
        <f>266.67*12*1.13</f>
        <v>3616.0451999999996</v>
      </c>
    </row>
    <row r="43" spans="1:8" ht="16">
      <c r="A43" s="220" t="s">
        <v>1180</v>
      </c>
      <c r="B43" s="441"/>
      <c r="C43" s="452"/>
      <c r="D43" s="443"/>
      <c r="E43" s="443"/>
      <c r="F43" s="444"/>
      <c r="G43" s="456"/>
      <c r="H43" s="130"/>
    </row>
    <row r="44" spans="1:8" ht="16">
      <c r="A44" s="220"/>
      <c r="B44" s="445" t="s">
        <v>1278</v>
      </c>
      <c r="C44" s="451" t="s">
        <v>1279</v>
      </c>
      <c r="D44" s="446" t="s">
        <v>1269</v>
      </c>
      <c r="E44" s="446"/>
      <c r="F44" s="447"/>
      <c r="G44" s="446"/>
      <c r="H44" s="256">
        <f>12*58.33*1.13</f>
        <v>790.95479999999998</v>
      </c>
    </row>
    <row r="45" spans="1:8" ht="16">
      <c r="A45" s="220"/>
      <c r="B45" s="445"/>
      <c r="C45" s="451"/>
      <c r="D45" s="446" t="s">
        <v>10</v>
      </c>
      <c r="E45" s="446"/>
      <c r="F45" s="447"/>
      <c r="G45" s="446"/>
      <c r="H45" s="256"/>
    </row>
    <row r="46" spans="1:8" ht="16">
      <c r="A46" s="220"/>
      <c r="B46" s="412" t="s">
        <v>1181</v>
      </c>
      <c r="C46" s="413"/>
      <c r="D46" s="261"/>
      <c r="E46" s="261"/>
      <c r="F46" s="262"/>
      <c r="G46" s="261"/>
      <c r="H46" s="263">
        <f>SUM(H34:H44)</f>
        <v>85194.632399999988</v>
      </c>
    </row>
    <row r="47" spans="1:8" ht="16">
      <c r="A47" s="220"/>
      <c r="B47" s="77"/>
      <c r="C47" s="77"/>
      <c r="D47" s="454"/>
      <c r="E47" s="454"/>
      <c r="F47" s="455"/>
      <c r="G47" s="454"/>
      <c r="H47" s="241"/>
    </row>
    <row r="48" spans="1:8" ht="17">
      <c r="A48" s="243"/>
      <c r="B48" s="457"/>
      <c r="C48" s="457" t="s">
        <v>11</v>
      </c>
      <c r="D48" s="458"/>
      <c r="E48" s="458"/>
      <c r="F48" s="459"/>
      <c r="G48" s="458"/>
      <c r="H48" s="247">
        <f>H46+H30</f>
        <v>371302.6324</v>
      </c>
    </row>
    <row r="49" spans="1:8" ht="17">
      <c r="A49" s="243"/>
      <c r="B49" s="457"/>
      <c r="C49" s="457"/>
      <c r="D49" s="454"/>
      <c r="E49" s="454"/>
      <c r="F49" s="455"/>
      <c r="G49" s="454"/>
      <c r="H49" s="241"/>
    </row>
    <row r="50" spans="1:8" ht="16">
      <c r="A50" s="493" t="s">
        <v>12</v>
      </c>
      <c r="B50" s="494"/>
      <c r="C50" s="494"/>
      <c r="D50" s="117"/>
      <c r="E50" s="117"/>
      <c r="F50" s="118"/>
      <c r="G50" s="117"/>
      <c r="H50" s="242"/>
    </row>
    <row r="51" spans="1:8" ht="16">
      <c r="A51" s="220" t="s">
        <v>1280</v>
      </c>
      <c r="B51" s="441"/>
      <c r="C51" s="442"/>
      <c r="D51" s="443"/>
      <c r="E51" s="443"/>
      <c r="F51" s="444"/>
      <c r="G51" s="443"/>
      <c r="H51" s="255"/>
    </row>
    <row r="52" spans="1:8" ht="16">
      <c r="A52" s="220" t="s">
        <v>1185</v>
      </c>
      <c r="B52" s="77"/>
      <c r="C52" s="442"/>
      <c r="D52" s="443"/>
      <c r="E52" s="443"/>
      <c r="F52" s="444"/>
      <c r="G52" s="443"/>
      <c r="H52" s="255"/>
    </row>
    <row r="53" spans="1:8" ht="16">
      <c r="A53" s="220"/>
      <c r="B53" s="445" t="s">
        <v>1281</v>
      </c>
      <c r="C53" s="451" t="s">
        <v>1282</v>
      </c>
      <c r="D53" s="446" t="s">
        <v>1283</v>
      </c>
      <c r="E53" s="446"/>
      <c r="F53" s="447"/>
      <c r="G53" s="446"/>
      <c r="H53" s="256">
        <v>1800</v>
      </c>
    </row>
    <row r="54" spans="1:8" ht="16">
      <c r="A54" s="220" t="s">
        <v>1186</v>
      </c>
      <c r="B54" s="441"/>
      <c r="C54" s="452"/>
      <c r="D54" s="443"/>
      <c r="E54" s="443"/>
      <c r="F54" s="444"/>
      <c r="G54" s="428"/>
      <c r="H54" s="450"/>
    </row>
    <row r="55" spans="1:8" ht="16">
      <c r="A55" s="220"/>
      <c r="B55" s="445" t="s">
        <v>1284</v>
      </c>
      <c r="C55" s="451" t="s">
        <v>1285</v>
      </c>
      <c r="D55" s="446" t="s">
        <v>1286</v>
      </c>
      <c r="E55" s="446"/>
      <c r="F55" s="447"/>
      <c r="G55" s="446"/>
      <c r="H55" s="256">
        <v>2913.32</v>
      </c>
    </row>
    <row r="56" spans="1:8" ht="16">
      <c r="A56" s="220"/>
      <c r="B56" s="429" t="s">
        <v>1287</v>
      </c>
      <c r="C56" s="452" t="s">
        <v>1288</v>
      </c>
      <c r="D56" s="443" t="s">
        <v>1289</v>
      </c>
      <c r="E56" s="443"/>
      <c r="F56" s="444"/>
      <c r="G56" s="428"/>
      <c r="H56" s="450">
        <v>1600</v>
      </c>
    </row>
    <row r="57" spans="1:8" ht="16">
      <c r="A57" s="220"/>
      <c r="B57" s="445" t="s">
        <v>1290</v>
      </c>
      <c r="C57" s="451" t="s">
        <v>1291</v>
      </c>
      <c r="D57" s="446" t="s">
        <v>1292</v>
      </c>
      <c r="E57" s="446"/>
      <c r="F57" s="447"/>
      <c r="G57" s="446"/>
      <c r="H57" s="256">
        <v>3325</v>
      </c>
    </row>
    <row r="58" spans="1:8" ht="16">
      <c r="A58" s="220"/>
      <c r="B58" s="445"/>
      <c r="C58" s="451"/>
      <c r="D58" s="446"/>
      <c r="E58" s="446"/>
      <c r="F58" s="447"/>
      <c r="G58" s="446"/>
      <c r="H58" s="256"/>
    </row>
    <row r="59" spans="1:8" ht="16">
      <c r="A59" s="220" t="s">
        <v>1148</v>
      </c>
      <c r="B59" s="442"/>
      <c r="C59" s="452"/>
      <c r="D59" s="443"/>
      <c r="E59" s="443"/>
      <c r="F59" s="444"/>
      <c r="G59" s="428"/>
      <c r="H59" s="450"/>
    </row>
    <row r="60" spans="1:8" ht="16">
      <c r="A60" s="220"/>
      <c r="B60" s="445" t="s">
        <v>1293</v>
      </c>
      <c r="C60" s="451" t="s">
        <v>1294</v>
      </c>
      <c r="D60" s="446" t="s">
        <v>1396</v>
      </c>
      <c r="E60" s="446"/>
      <c r="F60" s="447"/>
      <c r="G60" s="446"/>
      <c r="H60" s="256">
        <f>G60*1</f>
        <v>0</v>
      </c>
    </row>
    <row r="61" spans="1:8" ht="16">
      <c r="A61" s="220" t="s">
        <v>1187</v>
      </c>
      <c r="B61" s="441"/>
      <c r="C61" s="452"/>
      <c r="D61" s="443"/>
      <c r="E61" s="443"/>
      <c r="F61" s="444"/>
      <c r="G61" s="428"/>
      <c r="H61" s="450"/>
    </row>
    <row r="62" spans="1:8" ht="16">
      <c r="A62" s="220"/>
      <c r="B62" s="445" t="s">
        <v>1295</v>
      </c>
      <c r="C62" s="451" t="s">
        <v>1296</v>
      </c>
      <c r="D62" s="446" t="s">
        <v>1297</v>
      </c>
      <c r="E62" s="446"/>
      <c r="F62" s="447"/>
      <c r="G62" s="446"/>
      <c r="H62" s="256">
        <f>G62*1.13</f>
        <v>0</v>
      </c>
    </row>
    <row r="63" spans="1:8" ht="16">
      <c r="A63" s="220" t="s">
        <v>1188</v>
      </c>
      <c r="B63" s="441"/>
      <c r="C63" s="452"/>
      <c r="D63" s="443"/>
      <c r="E63" s="443"/>
      <c r="F63" s="444"/>
      <c r="G63" s="428"/>
      <c r="H63" s="450"/>
    </row>
    <row r="64" spans="1:8" ht="16">
      <c r="A64" s="220"/>
      <c r="B64" s="445" t="s">
        <v>1298</v>
      </c>
      <c r="C64" s="451" t="s">
        <v>1299</v>
      </c>
      <c r="D64" s="446" t="s">
        <v>1300</v>
      </c>
      <c r="E64" s="446"/>
      <c r="F64" s="447"/>
      <c r="G64" s="446"/>
      <c r="H64" s="256">
        <f>14000</f>
        <v>14000</v>
      </c>
    </row>
    <row r="65" spans="1:8" ht="16">
      <c r="A65" s="220" t="s">
        <v>1189</v>
      </c>
      <c r="B65" s="441"/>
      <c r="C65" s="452"/>
      <c r="D65" s="443"/>
      <c r="E65" s="443"/>
      <c r="F65" s="444"/>
      <c r="G65" s="428"/>
      <c r="H65" s="450"/>
    </row>
    <row r="66" spans="1:8" ht="16">
      <c r="A66" s="220"/>
      <c r="B66" s="445" t="s">
        <v>1301</v>
      </c>
      <c r="C66" s="451" t="s">
        <v>1302</v>
      </c>
      <c r="D66" s="446" t="s">
        <v>1300</v>
      </c>
      <c r="E66" s="446"/>
      <c r="F66" s="447"/>
      <c r="G66" s="446"/>
      <c r="H66" s="256">
        <v>9000</v>
      </c>
    </row>
    <row r="67" spans="1:8" ht="16">
      <c r="A67" s="220" t="s">
        <v>1190</v>
      </c>
      <c r="B67" s="442"/>
      <c r="C67" s="452"/>
      <c r="D67" s="443"/>
      <c r="E67" s="443"/>
      <c r="F67" s="444"/>
      <c r="G67" s="428"/>
      <c r="H67" s="450"/>
    </row>
    <row r="68" spans="1:8" ht="16">
      <c r="A68" s="220"/>
      <c r="B68" s="445" t="s">
        <v>1303</v>
      </c>
      <c r="C68" s="451" t="s">
        <v>1304</v>
      </c>
      <c r="D68" s="446" t="s">
        <v>1300</v>
      </c>
      <c r="E68" s="446"/>
      <c r="F68" s="447"/>
      <c r="G68" s="446"/>
      <c r="H68" s="256">
        <v>14500</v>
      </c>
    </row>
    <row r="69" spans="1:8" ht="16">
      <c r="A69" s="407"/>
      <c r="B69" s="429"/>
      <c r="C69" s="449"/>
      <c r="D69" s="428"/>
      <c r="E69" s="428"/>
      <c r="F69" s="431"/>
      <c r="G69" s="428"/>
      <c r="H69" s="450"/>
    </row>
    <row r="70" spans="1:8" ht="16">
      <c r="A70" s="220"/>
      <c r="B70" s="412" t="s">
        <v>1305</v>
      </c>
      <c r="C70" s="413"/>
      <c r="D70" s="261"/>
      <c r="E70" s="261"/>
      <c r="F70" s="262"/>
      <c r="G70" s="261"/>
      <c r="H70" s="263">
        <f>SUM(H53:H68)</f>
        <v>47138.32</v>
      </c>
    </row>
    <row r="71" spans="1:8" ht="16">
      <c r="A71" s="220"/>
      <c r="B71" s="77"/>
      <c r="C71" s="77"/>
      <c r="D71" s="454"/>
      <c r="E71" s="454"/>
      <c r="F71" s="455"/>
      <c r="G71" s="454"/>
      <c r="H71" s="241"/>
    </row>
    <row r="72" spans="1:8" ht="16">
      <c r="A72" s="220" t="s">
        <v>1195</v>
      </c>
      <c r="B72" s="441"/>
      <c r="C72" s="442"/>
      <c r="D72" s="443"/>
      <c r="E72" s="443"/>
      <c r="F72" s="444"/>
      <c r="G72" s="443"/>
      <c r="H72" s="255"/>
    </row>
    <row r="73" spans="1:8" ht="16">
      <c r="A73" s="220" t="s">
        <v>1196</v>
      </c>
      <c r="B73" s="441"/>
      <c r="C73" s="442"/>
      <c r="D73" s="443"/>
      <c r="E73" s="443"/>
      <c r="F73" s="444"/>
      <c r="G73" s="443"/>
      <c r="H73" s="255"/>
    </row>
    <row r="74" spans="1:8" ht="16">
      <c r="A74" s="220"/>
      <c r="B74" s="445" t="s">
        <v>1306</v>
      </c>
      <c r="C74" s="451" t="s">
        <v>1129</v>
      </c>
      <c r="D74" s="446" t="s">
        <v>1397</v>
      </c>
      <c r="E74" s="446"/>
      <c r="F74" s="447"/>
      <c r="G74" s="446"/>
      <c r="H74" s="256">
        <v>650</v>
      </c>
    </row>
    <row r="75" spans="1:8" ht="16">
      <c r="A75" s="220"/>
      <c r="B75" s="429" t="s">
        <v>1307</v>
      </c>
      <c r="C75" s="452" t="s">
        <v>1308</v>
      </c>
      <c r="D75" s="443" t="s">
        <v>1309</v>
      </c>
      <c r="E75" s="443"/>
      <c r="F75" s="444"/>
      <c r="G75" s="428"/>
      <c r="H75" s="255">
        <v>9690.9120000000003</v>
      </c>
    </row>
    <row r="76" spans="1:8" ht="16">
      <c r="A76" s="220"/>
      <c r="B76" s="445" t="s">
        <v>1310</v>
      </c>
      <c r="C76" s="451" t="s">
        <v>1311</v>
      </c>
      <c r="D76" s="446" t="s">
        <v>1309</v>
      </c>
      <c r="E76" s="446"/>
      <c r="F76" s="447"/>
      <c r="G76" s="446"/>
      <c r="H76" s="256">
        <v>9690.9120000000003</v>
      </c>
    </row>
    <row r="77" spans="1:8" ht="16">
      <c r="A77" s="220"/>
      <c r="B77" s="429" t="s">
        <v>1312</v>
      </c>
      <c r="C77" s="452" t="s">
        <v>1398</v>
      </c>
      <c r="D77" s="443" t="s">
        <v>1309</v>
      </c>
      <c r="E77" s="443"/>
      <c r="F77" s="444"/>
      <c r="G77" s="428"/>
      <c r="H77" s="255">
        <v>9690.9120000000003</v>
      </c>
    </row>
    <row r="78" spans="1:8" ht="16">
      <c r="A78" s="220"/>
      <c r="B78" s="445"/>
      <c r="C78" s="451"/>
      <c r="D78" s="446"/>
      <c r="E78" s="446"/>
      <c r="F78" s="447"/>
      <c r="G78" s="446"/>
      <c r="H78" s="256"/>
    </row>
    <row r="79" spans="1:8" ht="16">
      <c r="A79" s="220" t="s">
        <v>1197</v>
      </c>
      <c r="B79" s="442"/>
      <c r="C79" s="452"/>
      <c r="D79" s="443"/>
      <c r="E79" s="443"/>
      <c r="F79" s="444"/>
      <c r="G79" s="428"/>
      <c r="H79" s="255"/>
    </row>
    <row r="80" spans="1:8" ht="16">
      <c r="A80" s="220"/>
      <c r="B80" s="445" t="s">
        <v>1313</v>
      </c>
      <c r="C80" s="451" t="s">
        <v>1314</v>
      </c>
      <c r="D80" s="446" t="s">
        <v>1315</v>
      </c>
      <c r="E80" s="446"/>
      <c r="F80" s="447"/>
      <c r="G80" s="446"/>
      <c r="H80" s="256">
        <v>800</v>
      </c>
    </row>
    <row r="81" spans="1:8" ht="16">
      <c r="A81" s="220" t="s">
        <v>1198</v>
      </c>
      <c r="B81" s="442"/>
      <c r="C81" s="452"/>
      <c r="D81" s="443"/>
      <c r="E81" s="443"/>
      <c r="F81" s="444"/>
      <c r="G81" s="428"/>
      <c r="H81" s="255"/>
    </row>
    <row r="82" spans="1:8" ht="16">
      <c r="A82" s="220"/>
      <c r="B82" s="445" t="s">
        <v>1316</v>
      </c>
      <c r="C82" s="451" t="s">
        <v>1317</v>
      </c>
      <c r="D82" s="446" t="s">
        <v>1315</v>
      </c>
      <c r="E82" s="446"/>
      <c r="F82" s="447"/>
      <c r="G82" s="446"/>
      <c r="H82" s="256">
        <v>1200</v>
      </c>
    </row>
    <row r="83" spans="1:8" ht="16">
      <c r="A83" s="220" t="s">
        <v>1199</v>
      </c>
      <c r="B83" s="441"/>
      <c r="C83" s="441"/>
      <c r="D83" s="443"/>
      <c r="E83" s="443"/>
      <c r="F83" s="444"/>
      <c r="G83" s="428"/>
      <c r="H83" s="255"/>
    </row>
    <row r="84" spans="1:8" ht="16">
      <c r="A84" s="220"/>
      <c r="B84" s="445" t="s">
        <v>1318</v>
      </c>
      <c r="C84" s="451" t="s">
        <v>1319</v>
      </c>
      <c r="D84" s="446" t="s">
        <v>1320</v>
      </c>
      <c r="E84" s="446"/>
      <c r="F84" s="447"/>
      <c r="G84" s="446"/>
      <c r="H84" s="256">
        <v>11000</v>
      </c>
    </row>
    <row r="85" spans="1:8" ht="16">
      <c r="A85" s="220"/>
      <c r="B85" s="429" t="s">
        <v>1321</v>
      </c>
      <c r="C85" s="442" t="s">
        <v>1322</v>
      </c>
      <c r="D85" s="443" t="s">
        <v>1323</v>
      </c>
      <c r="E85" s="443"/>
      <c r="F85" s="444"/>
      <c r="G85" s="428"/>
      <c r="H85" s="255">
        <v>1774.5</v>
      </c>
    </row>
    <row r="86" spans="1:8" ht="16">
      <c r="A86" s="220"/>
      <c r="B86" s="436"/>
      <c r="C86" s="436"/>
      <c r="D86" s="427"/>
      <c r="E86" s="427"/>
      <c r="F86" s="437"/>
      <c r="G86" s="427"/>
      <c r="H86" s="460"/>
    </row>
    <row r="87" spans="1:8" ht="16">
      <c r="A87" s="220"/>
      <c r="B87" s="412" t="s">
        <v>1200</v>
      </c>
      <c r="C87" s="413"/>
      <c r="D87" s="261"/>
      <c r="E87" s="261"/>
      <c r="F87" s="262"/>
      <c r="G87" s="261"/>
      <c r="H87" s="263">
        <f>SUM(H74:H85)</f>
        <v>44497.236000000004</v>
      </c>
    </row>
    <row r="88" spans="1:8" ht="16">
      <c r="A88" s="220"/>
      <c r="B88" s="442"/>
      <c r="C88" s="442"/>
      <c r="D88" s="443"/>
      <c r="E88" s="443"/>
      <c r="F88" s="444"/>
      <c r="G88" s="443"/>
      <c r="H88" s="255"/>
    </row>
    <row r="89" spans="1:8" ht="16">
      <c r="A89" s="220" t="s">
        <v>1201</v>
      </c>
      <c r="B89" s="441"/>
      <c r="C89" s="441"/>
      <c r="D89" s="443"/>
      <c r="E89" s="443"/>
      <c r="F89" s="444"/>
      <c r="G89" s="443"/>
      <c r="H89" s="255"/>
    </row>
    <row r="90" spans="1:8" ht="16">
      <c r="A90" s="220" t="s">
        <v>1202</v>
      </c>
      <c r="B90" s="441"/>
      <c r="C90" s="442"/>
      <c r="D90" s="443"/>
      <c r="E90" s="443"/>
      <c r="F90" s="444"/>
      <c r="G90" s="443"/>
      <c r="H90" s="255"/>
    </row>
    <row r="91" spans="1:8" ht="16">
      <c r="A91" s="220"/>
      <c r="B91" s="445" t="s">
        <v>1324</v>
      </c>
      <c r="C91" s="451" t="s">
        <v>1325</v>
      </c>
      <c r="D91" s="446" t="s">
        <v>1326</v>
      </c>
      <c r="E91" s="446"/>
      <c r="F91" s="447"/>
      <c r="G91" s="446"/>
      <c r="H91" s="256">
        <v>11000</v>
      </c>
    </row>
    <row r="92" spans="1:8" ht="16">
      <c r="A92" s="220"/>
      <c r="B92" s="429" t="s">
        <v>1327</v>
      </c>
      <c r="C92" s="452" t="s">
        <v>1328</v>
      </c>
      <c r="D92" s="443" t="s">
        <v>1329</v>
      </c>
      <c r="E92" s="443"/>
      <c r="F92" s="444"/>
      <c r="G92" s="428"/>
      <c r="H92" s="255">
        <v>3500</v>
      </c>
    </row>
    <row r="93" spans="1:8" ht="16">
      <c r="A93" s="220"/>
      <c r="B93" s="445"/>
      <c r="C93" s="451"/>
      <c r="D93" s="446"/>
      <c r="E93" s="446"/>
      <c r="F93" s="447"/>
      <c r="G93" s="446"/>
      <c r="H93" s="256"/>
    </row>
    <row r="94" spans="1:8" ht="16">
      <c r="A94" s="220" t="s">
        <v>1330</v>
      </c>
      <c r="B94" s="441"/>
      <c r="C94" s="441"/>
      <c r="D94" s="443"/>
      <c r="E94" s="443"/>
      <c r="F94" s="444"/>
      <c r="G94" s="428"/>
      <c r="H94" s="255"/>
    </row>
    <row r="95" spans="1:8" ht="16">
      <c r="A95" s="220"/>
      <c r="B95" s="445" t="s">
        <v>1331</v>
      </c>
      <c r="C95" s="445" t="s">
        <v>1332</v>
      </c>
      <c r="D95" s="446" t="s">
        <v>1333</v>
      </c>
      <c r="E95" s="446"/>
      <c r="F95" s="447"/>
      <c r="G95" s="446"/>
      <c r="H95" s="256">
        <v>53013.82</v>
      </c>
    </row>
    <row r="96" spans="1:8" ht="16">
      <c r="A96" s="220"/>
      <c r="B96" s="429" t="s">
        <v>1334</v>
      </c>
      <c r="C96" s="442" t="s">
        <v>1332</v>
      </c>
      <c r="D96" s="443" t="s">
        <v>1335</v>
      </c>
      <c r="E96" s="443"/>
      <c r="F96" s="444"/>
      <c r="G96" s="428"/>
      <c r="H96" s="255">
        <v>12954.18</v>
      </c>
    </row>
    <row r="97" spans="1:8" ht="16">
      <c r="A97" s="220"/>
      <c r="B97" s="445" t="s">
        <v>1336</v>
      </c>
      <c r="C97" s="445" t="s">
        <v>1337</v>
      </c>
      <c r="D97" s="446" t="s">
        <v>1338</v>
      </c>
      <c r="E97" s="446"/>
      <c r="F97" s="447"/>
      <c r="G97" s="446"/>
      <c r="H97" s="256">
        <v>1500</v>
      </c>
    </row>
    <row r="98" spans="1:8" ht="16">
      <c r="A98" s="220" t="s">
        <v>1203</v>
      </c>
      <c r="B98" s="442"/>
      <c r="C98" s="442"/>
      <c r="D98" s="443"/>
      <c r="E98" s="443"/>
      <c r="F98" s="444"/>
      <c r="G98" s="428"/>
      <c r="H98" s="255"/>
    </row>
    <row r="99" spans="1:8" ht="16">
      <c r="A99" s="416"/>
      <c r="B99" s="445" t="s">
        <v>1339</v>
      </c>
      <c r="C99" s="445" t="s">
        <v>1340</v>
      </c>
      <c r="D99" s="446" t="s">
        <v>1341</v>
      </c>
      <c r="E99" s="446"/>
      <c r="F99" s="447"/>
      <c r="G99" s="446"/>
      <c r="H99" s="256">
        <v>20280</v>
      </c>
    </row>
    <row r="100" spans="1:8" ht="16">
      <c r="A100" s="220" t="s">
        <v>1204</v>
      </c>
      <c r="B100" s="441"/>
      <c r="C100" s="441"/>
      <c r="D100" s="443"/>
      <c r="E100" s="443"/>
      <c r="F100" s="444"/>
      <c r="G100" s="428"/>
      <c r="H100" s="255"/>
    </row>
    <row r="101" spans="1:8" ht="16">
      <c r="A101" s="416"/>
      <c r="B101" s="445" t="s">
        <v>1342</v>
      </c>
      <c r="C101" s="445" t="s">
        <v>1399</v>
      </c>
      <c r="D101" s="446" t="s">
        <v>1343</v>
      </c>
      <c r="E101" s="446"/>
      <c r="F101" s="447"/>
      <c r="G101" s="446"/>
      <c r="H101" s="256">
        <v>4620</v>
      </c>
    </row>
    <row r="102" spans="1:8" ht="16">
      <c r="A102" s="416"/>
      <c r="B102" s="442" t="s">
        <v>1344</v>
      </c>
      <c r="C102" s="442" t="s">
        <v>1399</v>
      </c>
      <c r="D102" s="443" t="s">
        <v>1345</v>
      </c>
      <c r="E102" s="443"/>
      <c r="F102" s="444"/>
      <c r="G102" s="428"/>
      <c r="H102" s="255">
        <v>660</v>
      </c>
    </row>
    <row r="103" spans="1:8" ht="16">
      <c r="A103" s="416"/>
      <c r="B103" s="445"/>
      <c r="C103" s="445"/>
      <c r="D103" s="446"/>
      <c r="E103" s="446"/>
      <c r="F103" s="447"/>
      <c r="G103" s="446"/>
      <c r="H103" s="256"/>
    </row>
    <row r="104" spans="1:8" ht="16">
      <c r="A104" s="220" t="s">
        <v>1346</v>
      </c>
      <c r="B104" s="442"/>
      <c r="C104" s="442"/>
      <c r="D104" s="443"/>
      <c r="E104" s="443"/>
      <c r="F104" s="444"/>
      <c r="G104" s="428"/>
      <c r="H104" s="255"/>
    </row>
    <row r="105" spans="1:8" ht="16">
      <c r="A105" s="416"/>
      <c r="B105" s="445" t="s">
        <v>1347</v>
      </c>
      <c r="C105" s="445" t="s">
        <v>1348</v>
      </c>
      <c r="D105" s="446" t="s">
        <v>1349</v>
      </c>
      <c r="E105" s="446"/>
      <c r="F105" s="447"/>
      <c r="G105" s="446"/>
      <c r="H105" s="256">
        <v>4000</v>
      </c>
    </row>
    <row r="106" spans="1:8" ht="16">
      <c r="A106" s="416"/>
      <c r="B106" s="442" t="s">
        <v>1350</v>
      </c>
      <c r="C106" s="442" t="s">
        <v>1351</v>
      </c>
      <c r="D106" s="443" t="s">
        <v>1352</v>
      </c>
      <c r="E106" s="443"/>
      <c r="F106" s="444"/>
      <c r="G106" s="428"/>
      <c r="H106" s="255">
        <v>1400</v>
      </c>
    </row>
    <row r="107" spans="1:8" ht="16">
      <c r="A107" s="416"/>
      <c r="B107" s="445"/>
      <c r="C107" s="445"/>
      <c r="D107" s="446"/>
      <c r="E107" s="446"/>
      <c r="F107" s="447"/>
      <c r="G107" s="446"/>
      <c r="H107" s="256"/>
    </row>
    <row r="108" spans="1:8" ht="16">
      <c r="A108" s="220" t="s">
        <v>1206</v>
      </c>
      <c r="B108" s="442"/>
      <c r="C108" s="442"/>
      <c r="D108" s="443"/>
      <c r="E108" s="443"/>
      <c r="F108" s="444"/>
      <c r="G108" s="428"/>
      <c r="H108" s="255"/>
    </row>
    <row r="109" spans="1:8" ht="16">
      <c r="A109" s="220"/>
      <c r="B109" s="429" t="s">
        <v>1353</v>
      </c>
      <c r="C109" s="442" t="s">
        <v>1354</v>
      </c>
      <c r="D109" s="443" t="s">
        <v>1355</v>
      </c>
      <c r="E109" s="443"/>
      <c r="F109" s="444"/>
      <c r="G109" s="428"/>
      <c r="H109" s="255">
        <v>1500</v>
      </c>
    </row>
    <row r="110" spans="1:8" ht="16">
      <c r="A110" s="416"/>
      <c r="B110" s="445" t="s">
        <v>1356</v>
      </c>
      <c r="C110" s="445" t="s">
        <v>1357</v>
      </c>
      <c r="D110" s="446" t="s">
        <v>1358</v>
      </c>
      <c r="E110" s="461"/>
      <c r="F110" s="445"/>
      <c r="G110" s="446"/>
      <c r="H110" s="256">
        <v>1800</v>
      </c>
    </row>
    <row r="111" spans="1:8" ht="16">
      <c r="A111" s="220"/>
      <c r="B111" s="429" t="s">
        <v>1359</v>
      </c>
      <c r="C111" s="442" t="s">
        <v>1357</v>
      </c>
      <c r="D111" s="443" t="s">
        <v>1360</v>
      </c>
      <c r="E111" s="462"/>
      <c r="F111" s="444"/>
      <c r="G111" s="428"/>
      <c r="H111" s="255">
        <v>200</v>
      </c>
    </row>
    <row r="112" spans="1:8" ht="16">
      <c r="A112" s="416"/>
      <c r="B112" s="445" t="s">
        <v>1361</v>
      </c>
      <c r="C112" s="445" t="s">
        <v>1362</v>
      </c>
      <c r="D112" s="446" t="s">
        <v>1363</v>
      </c>
      <c r="E112" s="446"/>
      <c r="F112" s="447"/>
      <c r="G112" s="446"/>
      <c r="H112" s="256">
        <f>F112*G112</f>
        <v>0</v>
      </c>
    </row>
    <row r="113" spans="1:8" ht="16">
      <c r="A113" s="220"/>
      <c r="B113" s="442"/>
      <c r="C113" s="442"/>
      <c r="D113" s="443"/>
      <c r="E113" s="443"/>
      <c r="F113" s="444"/>
      <c r="G113" s="428"/>
      <c r="H113" s="255"/>
    </row>
    <row r="114" spans="1:8" ht="16">
      <c r="A114" s="220"/>
      <c r="B114" s="445"/>
      <c r="C114" s="445"/>
      <c r="D114" s="446"/>
      <c r="E114" s="446"/>
      <c r="F114" s="447"/>
      <c r="G114" s="446"/>
      <c r="H114" s="256"/>
    </row>
    <row r="115" spans="1:8" ht="16">
      <c r="A115" s="220"/>
      <c r="B115" s="412" t="s">
        <v>1207</v>
      </c>
      <c r="C115" s="413"/>
      <c r="D115" s="261"/>
      <c r="E115" s="261"/>
      <c r="F115" s="262"/>
      <c r="G115" s="417"/>
      <c r="H115" s="263">
        <f>SUM(H91:H114)</f>
        <v>116428</v>
      </c>
    </row>
    <row r="116" spans="1:8" ht="16">
      <c r="A116" s="220"/>
      <c r="B116" s="442"/>
      <c r="C116" s="442"/>
      <c r="D116" s="443"/>
      <c r="E116" s="443"/>
      <c r="F116" s="444"/>
      <c r="G116" s="428"/>
      <c r="H116" s="255"/>
    </row>
    <row r="117" spans="1:8" ht="16">
      <c r="A117" s="220" t="s">
        <v>1208</v>
      </c>
      <c r="B117" s="441"/>
      <c r="C117" s="442"/>
      <c r="D117" s="443"/>
      <c r="E117" s="443"/>
      <c r="F117" s="444"/>
      <c r="G117" s="428"/>
      <c r="H117" s="255"/>
    </row>
    <row r="118" spans="1:8" ht="16">
      <c r="A118" s="220" t="s">
        <v>1209</v>
      </c>
      <c r="B118" s="77"/>
      <c r="C118" s="442"/>
      <c r="D118" s="443"/>
      <c r="E118" s="443"/>
      <c r="F118" s="444"/>
      <c r="G118" s="428"/>
      <c r="H118" s="255"/>
    </row>
    <row r="119" spans="1:8" ht="16">
      <c r="A119" s="220"/>
      <c r="B119" s="445" t="s">
        <v>1364</v>
      </c>
      <c r="C119" s="451" t="s">
        <v>1365</v>
      </c>
      <c r="D119" s="446" t="s">
        <v>1366</v>
      </c>
      <c r="E119" s="446"/>
      <c r="F119" s="447"/>
      <c r="G119" s="446"/>
      <c r="H119" s="256">
        <v>400</v>
      </c>
    </row>
    <row r="120" spans="1:8" ht="16">
      <c r="A120" s="220" t="s">
        <v>1210</v>
      </c>
      <c r="B120" s="442"/>
      <c r="C120" s="442"/>
      <c r="D120" s="443"/>
      <c r="E120" s="443"/>
      <c r="F120" s="444"/>
      <c r="G120" s="428"/>
      <c r="H120" s="255"/>
    </row>
    <row r="121" spans="1:8" ht="16">
      <c r="A121" s="220"/>
      <c r="B121" s="445" t="s">
        <v>1367</v>
      </c>
      <c r="C121" s="445" t="s">
        <v>1368</v>
      </c>
      <c r="D121" s="446" t="s">
        <v>1369</v>
      </c>
      <c r="E121" s="446"/>
      <c r="F121" s="447"/>
      <c r="G121" s="446"/>
      <c r="H121" s="256">
        <v>550</v>
      </c>
    </row>
    <row r="122" spans="1:8" ht="16">
      <c r="A122" s="220" t="s">
        <v>1212</v>
      </c>
      <c r="B122" s="441"/>
      <c r="C122" s="442"/>
      <c r="D122" s="443"/>
      <c r="E122" s="443"/>
      <c r="F122" s="444"/>
      <c r="G122" s="428"/>
      <c r="H122" s="255"/>
    </row>
    <row r="123" spans="1:8" ht="16">
      <c r="A123" s="220"/>
      <c r="B123" s="445" t="s">
        <v>1370</v>
      </c>
      <c r="C123" s="445" t="s">
        <v>1371</v>
      </c>
      <c r="D123" s="446" t="s">
        <v>1372</v>
      </c>
      <c r="E123" s="446"/>
      <c r="F123" s="447"/>
      <c r="G123" s="446"/>
      <c r="H123" s="256">
        <v>600</v>
      </c>
    </row>
    <row r="124" spans="1:8" ht="16">
      <c r="A124" s="220" t="s">
        <v>1213</v>
      </c>
      <c r="B124" s="441"/>
      <c r="C124" s="442"/>
      <c r="D124" s="443"/>
      <c r="E124" s="443"/>
      <c r="F124" s="444"/>
      <c r="G124" s="428"/>
      <c r="H124" s="255"/>
    </row>
    <row r="125" spans="1:8" ht="16">
      <c r="A125" s="220"/>
      <c r="B125" s="445" t="s">
        <v>1373</v>
      </c>
      <c r="C125" s="445" t="s">
        <v>1374</v>
      </c>
      <c r="D125" s="446" t="s">
        <v>1375</v>
      </c>
      <c r="E125" s="446"/>
      <c r="F125" s="447"/>
      <c r="G125" s="446"/>
      <c r="H125" s="256">
        <v>600</v>
      </c>
    </row>
    <row r="126" spans="1:8" ht="16">
      <c r="A126" s="220" t="s">
        <v>1214</v>
      </c>
      <c r="B126" s="441"/>
      <c r="C126" s="442"/>
      <c r="D126" s="443"/>
      <c r="E126" s="443"/>
      <c r="F126" s="444"/>
      <c r="G126" s="428"/>
      <c r="H126" s="255"/>
    </row>
    <row r="127" spans="1:8" ht="16">
      <c r="A127" s="220"/>
      <c r="B127" s="429" t="s">
        <v>1376</v>
      </c>
      <c r="C127" s="429" t="s">
        <v>1377</v>
      </c>
      <c r="D127" s="428" t="s">
        <v>1400</v>
      </c>
      <c r="E127" s="428"/>
      <c r="F127" s="431"/>
      <c r="G127" s="428"/>
      <c r="H127" s="450">
        <v>1400</v>
      </c>
    </row>
    <row r="128" spans="1:8" ht="16">
      <c r="A128" s="220"/>
      <c r="B128" s="436" t="s">
        <v>1378</v>
      </c>
      <c r="C128" s="436" t="s">
        <v>1379</v>
      </c>
      <c r="D128" s="427" t="s">
        <v>1401</v>
      </c>
      <c r="E128" s="427"/>
      <c r="F128" s="437"/>
      <c r="G128" s="446"/>
      <c r="H128" s="460">
        <v>1500</v>
      </c>
    </row>
    <row r="129" spans="1:8" ht="16">
      <c r="A129" s="220" t="s">
        <v>1215</v>
      </c>
      <c r="B129" s="77"/>
      <c r="C129" s="442"/>
      <c r="D129" s="443"/>
      <c r="E129" s="443"/>
      <c r="F129" s="444"/>
      <c r="G129" s="428"/>
      <c r="H129" s="255"/>
    </row>
    <row r="130" spans="1:8" ht="16">
      <c r="A130" s="220"/>
      <c r="B130" s="445" t="s">
        <v>1380</v>
      </c>
      <c r="C130" s="445" t="s">
        <v>1381</v>
      </c>
      <c r="D130" s="446" t="s">
        <v>1382</v>
      </c>
      <c r="E130" s="446"/>
      <c r="F130" s="447"/>
      <c r="G130" s="446"/>
      <c r="H130" s="256">
        <v>1000</v>
      </c>
    </row>
    <row r="131" spans="1:8" ht="16">
      <c r="A131" s="220" t="s">
        <v>1216</v>
      </c>
      <c r="B131" s="441"/>
      <c r="C131" s="442"/>
      <c r="D131" s="443"/>
      <c r="E131" s="443"/>
      <c r="F131" s="444"/>
      <c r="G131" s="428"/>
      <c r="H131" s="255"/>
    </row>
    <row r="132" spans="1:8" ht="16">
      <c r="A132" s="220"/>
      <c r="B132" s="445" t="s">
        <v>1383</v>
      </c>
      <c r="C132" s="445" t="s">
        <v>1384</v>
      </c>
      <c r="D132" s="446" t="s">
        <v>1402</v>
      </c>
      <c r="E132" s="446"/>
      <c r="F132" s="447"/>
      <c r="G132" s="446"/>
      <c r="H132" s="256">
        <v>600</v>
      </c>
    </row>
    <row r="133" spans="1:8" ht="16">
      <c r="A133" s="220" t="s">
        <v>1217</v>
      </c>
      <c r="B133" s="441"/>
      <c r="C133" s="442"/>
      <c r="D133" s="443"/>
      <c r="E133" s="443"/>
      <c r="F133" s="444"/>
      <c r="G133" s="428"/>
      <c r="H133" s="255"/>
    </row>
    <row r="134" spans="1:8" ht="16">
      <c r="A134" s="220"/>
      <c r="B134" s="445" t="s">
        <v>1385</v>
      </c>
      <c r="C134" s="445" t="s">
        <v>1386</v>
      </c>
      <c r="D134" s="446"/>
      <c r="E134" s="446"/>
      <c r="F134" s="447"/>
      <c r="G134" s="446"/>
      <c r="H134" s="256">
        <v>1000</v>
      </c>
    </row>
    <row r="135" spans="1:8" ht="16">
      <c r="A135" s="220" t="s">
        <v>1387</v>
      </c>
      <c r="B135" s="441"/>
      <c r="C135" s="442"/>
      <c r="D135" s="443"/>
      <c r="E135" s="443"/>
      <c r="F135" s="444"/>
      <c r="G135" s="428"/>
      <c r="H135" s="255"/>
    </row>
    <row r="136" spans="1:8" ht="16">
      <c r="A136" s="220"/>
      <c r="B136" s="445" t="s">
        <v>1388</v>
      </c>
      <c r="C136" s="445" t="s">
        <v>1389</v>
      </c>
      <c r="D136" s="446" t="s">
        <v>1390</v>
      </c>
      <c r="E136" s="446"/>
      <c r="F136" s="447"/>
      <c r="G136" s="446"/>
      <c r="H136" s="256">
        <v>15000</v>
      </c>
    </row>
    <row r="137" spans="1:8" ht="16">
      <c r="A137" s="220"/>
      <c r="B137" s="77"/>
      <c r="C137" s="442"/>
      <c r="D137" s="443"/>
      <c r="E137" s="443"/>
      <c r="F137" s="444"/>
      <c r="G137" s="428"/>
      <c r="H137" s="255"/>
    </row>
    <row r="138" spans="1:8" ht="16">
      <c r="A138" s="220"/>
      <c r="B138" s="445"/>
      <c r="C138" s="445"/>
      <c r="D138" s="446"/>
      <c r="E138" s="446"/>
      <c r="F138" s="447"/>
      <c r="G138" s="446"/>
      <c r="H138" s="256"/>
    </row>
    <row r="139" spans="1:8" ht="16">
      <c r="A139" s="220"/>
      <c r="B139" s="412" t="s">
        <v>1220</v>
      </c>
      <c r="C139" s="413"/>
      <c r="D139" s="261"/>
      <c r="E139" s="261"/>
      <c r="F139" s="262"/>
      <c r="G139" s="261"/>
      <c r="H139" s="263">
        <f>SUM(H119:H138)</f>
        <v>22650</v>
      </c>
    </row>
    <row r="140" spans="1:8" ht="16">
      <c r="A140" s="418"/>
      <c r="B140" s="463"/>
      <c r="C140" s="464"/>
      <c r="D140" s="454"/>
      <c r="E140" s="454"/>
      <c r="F140" s="455"/>
      <c r="G140" s="454"/>
      <c r="H140" s="241"/>
    </row>
    <row r="141" spans="1:8" ht="17">
      <c r="A141" s="419"/>
      <c r="B141" s="465"/>
      <c r="C141" s="466" t="s">
        <v>13</v>
      </c>
      <c r="D141" s="458"/>
      <c r="E141" s="458"/>
      <c r="F141" s="459"/>
      <c r="G141" s="458"/>
      <c r="H141" s="247">
        <f>SUM(H70+H87+H115+H139)</f>
        <v>230713.55600000001</v>
      </c>
    </row>
    <row r="142" spans="1:8" ht="17">
      <c r="A142" s="419"/>
      <c r="B142" s="465"/>
      <c r="C142" s="466"/>
      <c r="D142" s="458"/>
      <c r="E142" s="458"/>
      <c r="F142" s="459"/>
      <c r="G142" s="458"/>
      <c r="H142" s="247"/>
    </row>
    <row r="143" spans="1:8" ht="18">
      <c r="A143" s="495" t="s">
        <v>14</v>
      </c>
      <c r="B143" s="496"/>
      <c r="C143" s="496"/>
      <c r="D143" s="268"/>
      <c r="E143" s="268"/>
      <c r="F143" s="269"/>
      <c r="G143" s="268"/>
      <c r="H143" s="270"/>
    </row>
    <row r="144" spans="1:8" ht="18">
      <c r="A144" s="420"/>
      <c r="B144" s="467" t="s">
        <v>15</v>
      </c>
      <c r="C144" s="467"/>
      <c r="D144" s="468"/>
      <c r="E144" s="468"/>
      <c r="F144" s="468"/>
      <c r="G144" s="468"/>
      <c r="H144" s="273">
        <f>H48</f>
        <v>371302.6324</v>
      </c>
    </row>
    <row r="145" spans="1:8" ht="18">
      <c r="A145" s="420"/>
      <c r="B145" s="469" t="s">
        <v>16</v>
      </c>
      <c r="C145" s="469"/>
      <c r="D145" s="470"/>
      <c r="E145" s="470"/>
      <c r="F145" s="470"/>
      <c r="G145" s="470"/>
      <c r="H145" s="276">
        <f>H141</f>
        <v>230713.55600000001</v>
      </c>
    </row>
    <row r="146" spans="1:8" ht="18">
      <c r="A146" s="421"/>
      <c r="B146" s="422" t="s">
        <v>17</v>
      </c>
      <c r="C146" s="422"/>
      <c r="D146" s="278"/>
      <c r="E146" s="278"/>
      <c r="F146" s="278"/>
      <c r="G146" s="278"/>
      <c r="H146" s="279">
        <f>H144-H145</f>
        <v>140589.07639999999</v>
      </c>
    </row>
  </sheetData>
  <mergeCells count="5">
    <mergeCell ref="A1:C1"/>
    <mergeCell ref="D1:E1"/>
    <mergeCell ref="A4:C4"/>
    <mergeCell ref="A50:C50"/>
    <mergeCell ref="A143:C14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1"/>
  <sheetViews>
    <sheetView topLeftCell="A4" workbookViewId="0">
      <selection activeCell="B9" sqref="B9"/>
    </sheetView>
  </sheetViews>
  <sheetFormatPr baseColWidth="10" defaultColWidth="10.83203125" defaultRowHeight="14" x14ac:dyDescent="0"/>
  <cols>
    <col min="1" max="1" width="10.83203125" style="1"/>
    <col min="2" max="2" width="10.83203125" style="1" customWidth="1"/>
    <col min="3" max="4" width="28.33203125" style="1" customWidth="1"/>
    <col min="5" max="7" width="10.83203125" style="1"/>
    <col min="8" max="8" width="12.83203125" style="1" bestFit="1" customWidth="1"/>
    <col min="9" max="10" width="10.83203125" style="1"/>
    <col min="11" max="100" width="10.83203125" style="59"/>
    <col min="101" max="16384" width="10.83203125" style="1"/>
  </cols>
  <sheetData>
    <row r="1" spans="1:10" s="59" customFormat="1" ht="49" customHeight="1">
      <c r="A1" s="499" t="s">
        <v>57</v>
      </c>
      <c r="B1" s="499"/>
      <c r="C1" s="499"/>
      <c r="D1" s="499"/>
      <c r="E1" s="499"/>
      <c r="F1" s="499"/>
      <c r="G1" s="499"/>
      <c r="H1" s="499"/>
      <c r="I1" s="499"/>
      <c r="J1" s="500"/>
    </row>
    <row r="2" spans="1:10" ht="15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 ht="15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 ht="15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 ht="15">
      <c r="A5" s="20" t="s">
        <v>18</v>
      </c>
      <c r="B5" s="21"/>
      <c r="C5" s="22"/>
      <c r="D5" s="23"/>
      <c r="E5" s="23"/>
      <c r="F5" s="24"/>
      <c r="G5" s="23"/>
      <c r="H5" s="23"/>
      <c r="I5" s="23"/>
      <c r="J5" s="25"/>
    </row>
    <row r="6" spans="1:10" ht="15">
      <c r="A6" s="20"/>
      <c r="B6" s="26" t="s">
        <v>77</v>
      </c>
      <c r="C6" s="26" t="s">
        <v>19</v>
      </c>
      <c r="D6" s="27" t="s">
        <v>20</v>
      </c>
      <c r="E6" s="27">
        <v>6000</v>
      </c>
      <c r="F6" s="28">
        <v>1</v>
      </c>
      <c r="G6" s="27">
        <f t="shared" ref="G6" si="0">E6*F6</f>
        <v>6000</v>
      </c>
      <c r="H6" s="27">
        <f>G6</f>
        <v>6000</v>
      </c>
      <c r="I6" s="27"/>
      <c r="J6" s="29"/>
    </row>
    <row r="7" spans="1:10" ht="15">
      <c r="A7" s="30"/>
      <c r="B7" s="35"/>
      <c r="C7" s="36"/>
      <c r="D7" s="27"/>
      <c r="E7" s="27"/>
      <c r="F7" s="28"/>
      <c r="G7" s="27"/>
      <c r="H7" s="27"/>
      <c r="I7" s="27"/>
      <c r="J7" s="29"/>
    </row>
    <row r="8" spans="1:10" ht="15">
      <c r="A8" s="30"/>
      <c r="B8" s="37" t="s">
        <v>1468</v>
      </c>
      <c r="C8" s="38"/>
      <c r="D8" s="39"/>
      <c r="E8" s="39"/>
      <c r="F8" s="40"/>
      <c r="G8" s="39"/>
      <c r="H8" s="41">
        <f>SUM(H5:H6)</f>
        <v>6000</v>
      </c>
      <c r="I8" s="41">
        <f>SUM(I5:I6)</f>
        <v>0</v>
      </c>
      <c r="J8" s="42">
        <f>SUM(J5:J6)</f>
        <v>0</v>
      </c>
    </row>
    <row r="9" spans="1:10" ht="15">
      <c r="A9" s="20"/>
      <c r="B9" s="21"/>
      <c r="C9" s="21"/>
      <c r="D9" s="43"/>
      <c r="E9" s="43"/>
      <c r="F9" s="44"/>
      <c r="G9" s="43"/>
      <c r="H9" s="43"/>
      <c r="I9" s="43"/>
      <c r="J9" s="45"/>
    </row>
    <row r="10" spans="1:10" ht="15">
      <c r="A10" s="20"/>
      <c r="B10" s="21"/>
      <c r="C10" s="21" t="s">
        <v>11</v>
      </c>
      <c r="D10" s="43"/>
      <c r="E10" s="43"/>
      <c r="F10" s="44"/>
      <c r="G10" s="43"/>
      <c r="H10" s="43">
        <f>H8</f>
        <v>6000</v>
      </c>
      <c r="I10" s="43">
        <f>I8</f>
        <v>0</v>
      </c>
      <c r="J10" s="45">
        <f>J8</f>
        <v>0</v>
      </c>
    </row>
    <row r="11" spans="1:10" ht="15">
      <c r="A11" s="20"/>
      <c r="B11" s="21"/>
      <c r="C11" s="21"/>
      <c r="D11" s="43"/>
      <c r="E11" s="43"/>
      <c r="F11" s="44"/>
      <c r="G11" s="43"/>
      <c r="H11" s="43"/>
      <c r="I11" s="43"/>
      <c r="J11" s="45"/>
    </row>
    <row r="12" spans="1:10" ht="15">
      <c r="A12" s="497" t="s">
        <v>12</v>
      </c>
      <c r="B12" s="498"/>
      <c r="C12" s="498"/>
      <c r="D12" s="17"/>
      <c r="E12" s="48"/>
      <c r="F12" s="49"/>
      <c r="G12" s="48"/>
      <c r="H12" s="48"/>
      <c r="I12" s="48"/>
      <c r="J12" s="19"/>
    </row>
    <row r="13" spans="1:10" ht="15">
      <c r="A13" s="20" t="s">
        <v>21</v>
      </c>
      <c r="B13" s="21"/>
      <c r="C13" s="22"/>
      <c r="D13" s="32"/>
      <c r="E13" s="32"/>
      <c r="F13" s="33"/>
      <c r="G13" s="32"/>
      <c r="H13" s="32"/>
      <c r="I13" s="32"/>
      <c r="J13" s="34"/>
    </row>
    <row r="14" spans="1:10" ht="15">
      <c r="A14" s="30"/>
      <c r="B14" s="35" t="s">
        <v>58</v>
      </c>
      <c r="C14" s="36" t="s">
        <v>22</v>
      </c>
      <c r="D14" s="27" t="s">
        <v>56</v>
      </c>
      <c r="E14" s="27">
        <v>1000</v>
      </c>
      <c r="F14" s="28">
        <v>1</v>
      </c>
      <c r="G14" s="27">
        <f t="shared" ref="G14:G15" si="1">E14*F14</f>
        <v>1000</v>
      </c>
      <c r="H14" s="27">
        <f>G14</f>
        <v>1000</v>
      </c>
      <c r="I14" s="27"/>
      <c r="J14" s="29"/>
    </row>
    <row r="15" spans="1:10" ht="15">
      <c r="A15" s="30"/>
      <c r="B15" s="22" t="s">
        <v>59</v>
      </c>
      <c r="C15" s="31" t="s">
        <v>23</v>
      </c>
      <c r="D15" s="32" t="s">
        <v>24</v>
      </c>
      <c r="E15" s="32">
        <v>20</v>
      </c>
      <c r="F15" s="33">
        <v>21</v>
      </c>
      <c r="G15" s="32">
        <f t="shared" si="1"/>
        <v>420</v>
      </c>
      <c r="H15" s="32">
        <f>G15*1.13</f>
        <v>474.59999999999997</v>
      </c>
      <c r="I15" s="32"/>
      <c r="J15" s="34"/>
    </row>
    <row r="16" spans="1:10" ht="15">
      <c r="A16" s="30"/>
      <c r="B16" s="35"/>
      <c r="C16" s="36"/>
      <c r="D16" s="27"/>
      <c r="E16" s="27"/>
      <c r="F16" s="28"/>
      <c r="G16" s="27"/>
      <c r="H16" s="27"/>
      <c r="I16" s="27"/>
      <c r="J16" s="29"/>
    </row>
    <row r="17" spans="1:10" ht="15">
      <c r="A17" s="30"/>
      <c r="B17" s="37" t="s">
        <v>25</v>
      </c>
      <c r="C17" s="50"/>
      <c r="D17" s="41"/>
      <c r="E17" s="41"/>
      <c r="F17" s="47"/>
      <c r="G17" s="41"/>
      <c r="H17" s="41">
        <f>SUM(H13:H15)</f>
        <v>1474.6</v>
      </c>
      <c r="I17" s="41">
        <f>SUM(I13:I15)</f>
        <v>0</v>
      </c>
      <c r="J17" s="42">
        <f>SUM(J13:J15)</f>
        <v>0</v>
      </c>
    </row>
    <row r="18" spans="1:10" ht="15">
      <c r="A18" s="20"/>
      <c r="B18" s="21"/>
      <c r="C18" s="21"/>
      <c r="D18" s="43"/>
      <c r="E18" s="43"/>
      <c r="F18" s="44"/>
      <c r="G18" s="43"/>
      <c r="H18" s="43"/>
      <c r="I18" s="43"/>
      <c r="J18" s="45"/>
    </row>
    <row r="19" spans="1:10" ht="15">
      <c r="A19" s="20" t="s">
        <v>26</v>
      </c>
      <c r="B19" s="21"/>
      <c r="C19" s="22"/>
      <c r="D19" s="32"/>
      <c r="E19" s="32"/>
      <c r="F19" s="33"/>
      <c r="G19" s="32"/>
      <c r="H19" s="32"/>
      <c r="I19" s="32"/>
      <c r="J19" s="34"/>
    </row>
    <row r="20" spans="1:10" ht="15">
      <c r="A20" s="51"/>
      <c r="B20" s="35" t="s">
        <v>61</v>
      </c>
      <c r="C20" s="36" t="s">
        <v>27</v>
      </c>
      <c r="D20" s="27" t="s">
        <v>28</v>
      </c>
      <c r="E20" s="27">
        <v>25</v>
      </c>
      <c r="F20" s="28">
        <v>15</v>
      </c>
      <c r="G20" s="27">
        <f>E20*F20</f>
        <v>375</v>
      </c>
      <c r="H20" s="27">
        <f>G20</f>
        <v>375</v>
      </c>
      <c r="I20" s="27"/>
      <c r="J20" s="29"/>
    </row>
    <row r="21" spans="1:10" ht="15">
      <c r="A21" s="51"/>
      <c r="B21" s="22" t="s">
        <v>62</v>
      </c>
      <c r="C21" s="31" t="s">
        <v>29</v>
      </c>
      <c r="D21" s="32" t="s">
        <v>30</v>
      </c>
      <c r="E21" s="32">
        <v>120</v>
      </c>
      <c r="F21" s="33">
        <v>15</v>
      </c>
      <c r="G21" s="32">
        <f t="shared" ref="G21:G24" si="2">E21*F21</f>
        <v>1800</v>
      </c>
      <c r="H21" s="32">
        <f>G21</f>
        <v>1800</v>
      </c>
      <c r="I21" s="32"/>
      <c r="J21" s="34"/>
    </row>
    <row r="22" spans="1:10" ht="15">
      <c r="A22" s="51"/>
      <c r="B22" s="35" t="s">
        <v>63</v>
      </c>
      <c r="C22" s="36" t="s">
        <v>31</v>
      </c>
      <c r="D22" s="27" t="s">
        <v>32</v>
      </c>
      <c r="E22" s="27">
        <v>150</v>
      </c>
      <c r="F22" s="28">
        <v>15</v>
      </c>
      <c r="G22" s="27">
        <f t="shared" si="2"/>
        <v>2250</v>
      </c>
      <c r="H22" s="27">
        <f>G22</f>
        <v>2250</v>
      </c>
      <c r="I22" s="27"/>
      <c r="J22" s="29"/>
    </row>
    <row r="23" spans="1:10" ht="15">
      <c r="A23" s="51"/>
      <c r="B23" s="22" t="s">
        <v>64</v>
      </c>
      <c r="C23" s="31" t="s">
        <v>33</v>
      </c>
      <c r="D23" s="32" t="s">
        <v>34</v>
      </c>
      <c r="E23" s="32">
        <v>60</v>
      </c>
      <c r="F23" s="33">
        <v>6</v>
      </c>
      <c r="G23" s="32">
        <f t="shared" si="2"/>
        <v>360</v>
      </c>
      <c r="H23" s="32">
        <f>G23</f>
        <v>360</v>
      </c>
      <c r="I23" s="32"/>
      <c r="J23" s="34"/>
    </row>
    <row r="24" spans="1:10" ht="15">
      <c r="A24" s="51"/>
      <c r="B24" s="35" t="s">
        <v>65</v>
      </c>
      <c r="C24" s="36" t="s">
        <v>35</v>
      </c>
      <c r="D24" s="27" t="s">
        <v>34</v>
      </c>
      <c r="E24" s="27">
        <v>60</v>
      </c>
      <c r="F24" s="28">
        <v>24</v>
      </c>
      <c r="G24" s="27">
        <f t="shared" si="2"/>
        <v>1440</v>
      </c>
      <c r="H24" s="27">
        <f>G24</f>
        <v>1440</v>
      </c>
      <c r="I24" s="27"/>
      <c r="J24" s="29"/>
    </row>
    <row r="25" spans="1:10" ht="15">
      <c r="A25" s="30"/>
      <c r="B25" s="35"/>
      <c r="C25" s="35"/>
      <c r="D25" s="27"/>
      <c r="E25" s="27"/>
      <c r="F25" s="28"/>
      <c r="G25" s="27"/>
      <c r="H25" s="27"/>
      <c r="I25" s="27"/>
      <c r="J25" s="29"/>
    </row>
    <row r="26" spans="1:10" ht="15">
      <c r="A26" s="30"/>
      <c r="B26" s="37" t="s">
        <v>60</v>
      </c>
      <c r="C26" s="46"/>
      <c r="D26" s="41"/>
      <c r="E26" s="41"/>
      <c r="F26" s="47"/>
      <c r="G26" s="41"/>
      <c r="H26" s="41">
        <f>SUM(H20:H25)</f>
        <v>6225</v>
      </c>
      <c r="I26" s="41">
        <f>SUM(I20:I25)</f>
        <v>0</v>
      </c>
      <c r="J26" s="42">
        <f>SUM(J20:J25)</f>
        <v>0</v>
      </c>
    </row>
    <row r="27" spans="1:10" ht="15">
      <c r="A27" s="30"/>
      <c r="B27" s="22"/>
      <c r="C27" s="22"/>
      <c r="D27" s="32"/>
      <c r="E27" s="32"/>
      <c r="F27" s="33"/>
      <c r="G27" s="32"/>
      <c r="H27" s="32"/>
      <c r="I27" s="32"/>
      <c r="J27" s="34"/>
    </row>
    <row r="28" spans="1:10" ht="15">
      <c r="A28" s="20" t="s">
        <v>36</v>
      </c>
      <c r="B28" s="21"/>
      <c r="C28" s="22"/>
      <c r="D28" s="32"/>
      <c r="E28" s="32"/>
      <c r="F28" s="33"/>
      <c r="G28" s="32"/>
      <c r="H28" s="32"/>
      <c r="I28" s="32"/>
      <c r="J28" s="34"/>
    </row>
    <row r="29" spans="1:10" ht="15">
      <c r="A29" s="30"/>
      <c r="B29" s="35" t="s">
        <v>66</v>
      </c>
      <c r="C29" s="36" t="s">
        <v>37</v>
      </c>
      <c r="D29" s="27" t="s">
        <v>38</v>
      </c>
      <c r="E29" s="27">
        <v>0.4</v>
      </c>
      <c r="F29" s="28">
        <v>2745</v>
      </c>
      <c r="G29" s="27">
        <f t="shared" ref="G29:G31" si="3">E29*F29</f>
        <v>1098</v>
      </c>
      <c r="H29" s="27">
        <f>G29</f>
        <v>1098</v>
      </c>
      <c r="I29" s="27"/>
      <c r="J29" s="29"/>
    </row>
    <row r="30" spans="1:10" ht="15">
      <c r="A30" s="30"/>
      <c r="B30" s="22" t="s">
        <v>67</v>
      </c>
      <c r="C30" s="22" t="s">
        <v>39</v>
      </c>
      <c r="D30" s="32" t="s">
        <v>40</v>
      </c>
      <c r="E30" s="32">
        <v>15</v>
      </c>
      <c r="F30" s="33">
        <v>10</v>
      </c>
      <c r="G30" s="32">
        <f t="shared" si="3"/>
        <v>150</v>
      </c>
      <c r="H30" s="32">
        <f>G30</f>
        <v>150</v>
      </c>
      <c r="I30" s="32"/>
      <c r="J30" s="34"/>
    </row>
    <row r="31" spans="1:10" ht="15">
      <c r="A31" s="30"/>
      <c r="B31" s="35" t="s">
        <v>68</v>
      </c>
      <c r="C31" s="35" t="s">
        <v>43</v>
      </c>
      <c r="D31" s="27" t="s">
        <v>44</v>
      </c>
      <c r="E31" s="27">
        <v>30</v>
      </c>
      <c r="F31" s="28">
        <v>1</v>
      </c>
      <c r="G31" s="27">
        <f t="shared" si="3"/>
        <v>30</v>
      </c>
      <c r="H31" s="27">
        <f>G31</f>
        <v>30</v>
      </c>
      <c r="I31" s="27"/>
      <c r="J31" s="29"/>
    </row>
    <row r="32" spans="1:10" ht="15">
      <c r="A32" s="30"/>
      <c r="B32" s="35"/>
      <c r="C32" s="35"/>
      <c r="D32" s="27"/>
      <c r="E32" s="27"/>
      <c r="F32" s="28"/>
      <c r="G32" s="27"/>
      <c r="H32" s="27"/>
      <c r="I32" s="27"/>
      <c r="J32" s="29"/>
    </row>
    <row r="33" spans="1:10" ht="15">
      <c r="A33" s="30"/>
      <c r="B33" s="37" t="s">
        <v>75</v>
      </c>
      <c r="C33" s="46"/>
      <c r="D33" s="41"/>
      <c r="E33" s="41"/>
      <c r="F33" s="47"/>
      <c r="G33" s="41"/>
      <c r="H33" s="41">
        <f>SUM(H29:H32)</f>
        <v>1278</v>
      </c>
      <c r="I33" s="41">
        <f>SUM(I29:I32)</f>
        <v>0</v>
      </c>
      <c r="J33" s="42">
        <f>SUM(J29:J32)</f>
        <v>0</v>
      </c>
    </row>
    <row r="34" spans="1:10" ht="15">
      <c r="A34" s="30"/>
      <c r="B34" s="22"/>
      <c r="C34" s="22"/>
      <c r="D34" s="32"/>
      <c r="E34" s="32"/>
      <c r="F34" s="33"/>
      <c r="G34" s="32"/>
      <c r="H34" s="32"/>
      <c r="I34" s="32"/>
      <c r="J34" s="34"/>
    </row>
    <row r="35" spans="1:10" ht="15">
      <c r="A35" s="20" t="s">
        <v>45</v>
      </c>
      <c r="B35" s="21"/>
      <c r="C35" s="22"/>
      <c r="D35" s="32"/>
      <c r="E35" s="32"/>
      <c r="F35" s="33"/>
      <c r="G35" s="32"/>
      <c r="H35" s="32"/>
      <c r="I35" s="32"/>
      <c r="J35" s="34"/>
    </row>
    <row r="36" spans="1:10" ht="15">
      <c r="A36" s="30"/>
      <c r="B36" s="35" t="s">
        <v>69</v>
      </c>
      <c r="C36" s="36" t="s">
        <v>41</v>
      </c>
      <c r="D36" s="27" t="s">
        <v>42</v>
      </c>
      <c r="E36" s="27">
        <v>150</v>
      </c>
      <c r="F36" s="28">
        <v>2</v>
      </c>
      <c r="G36" s="27">
        <f t="shared" ref="G36:G41" si="4">E36*F36</f>
        <v>300</v>
      </c>
      <c r="H36" s="27">
        <f>G36</f>
        <v>300</v>
      </c>
      <c r="I36" s="27"/>
      <c r="J36" s="29"/>
    </row>
    <row r="37" spans="1:10" ht="15">
      <c r="A37" s="30" t="s">
        <v>10</v>
      </c>
      <c r="B37" s="22" t="s">
        <v>70</v>
      </c>
      <c r="C37" s="22" t="s">
        <v>46</v>
      </c>
      <c r="D37" s="32" t="s">
        <v>47</v>
      </c>
      <c r="E37" s="32">
        <v>60</v>
      </c>
      <c r="F37" s="33">
        <v>2</v>
      </c>
      <c r="G37" s="32">
        <f t="shared" si="4"/>
        <v>120</v>
      </c>
      <c r="H37" s="32">
        <f t="shared" ref="H37:H38" si="5">G37*1.13</f>
        <v>135.6</v>
      </c>
      <c r="I37" s="32"/>
      <c r="J37" s="34"/>
    </row>
    <row r="38" spans="1:10" ht="15">
      <c r="A38" s="30"/>
      <c r="B38" s="35" t="s">
        <v>71</v>
      </c>
      <c r="C38" s="35" t="s">
        <v>48</v>
      </c>
      <c r="D38" s="27" t="s">
        <v>49</v>
      </c>
      <c r="E38" s="27">
        <v>150</v>
      </c>
      <c r="F38" s="28">
        <v>1</v>
      </c>
      <c r="G38" s="27">
        <f t="shared" si="4"/>
        <v>150</v>
      </c>
      <c r="H38" s="27">
        <f t="shared" si="5"/>
        <v>169.49999999999997</v>
      </c>
      <c r="I38" s="27"/>
      <c r="J38" s="29"/>
    </row>
    <row r="39" spans="1:10" ht="15">
      <c r="A39" s="30"/>
      <c r="B39" s="22" t="s">
        <v>72</v>
      </c>
      <c r="C39" s="22" t="s">
        <v>50</v>
      </c>
      <c r="D39" s="32" t="s">
        <v>51</v>
      </c>
      <c r="E39" s="32">
        <v>1203</v>
      </c>
      <c r="F39" s="33">
        <v>1</v>
      </c>
      <c r="G39" s="32">
        <f t="shared" si="4"/>
        <v>1203</v>
      </c>
      <c r="H39" s="32">
        <f>G39</f>
        <v>1203</v>
      </c>
      <c r="I39" s="32"/>
      <c r="J39" s="34"/>
    </row>
    <row r="40" spans="1:10" ht="15">
      <c r="A40" s="20"/>
      <c r="B40" s="52" t="s">
        <v>73</v>
      </c>
      <c r="C40" s="35" t="s">
        <v>52</v>
      </c>
      <c r="D40" s="27" t="s">
        <v>53</v>
      </c>
      <c r="E40" s="27">
        <v>1200</v>
      </c>
      <c r="F40" s="28">
        <v>1</v>
      </c>
      <c r="G40" s="27">
        <f t="shared" si="4"/>
        <v>1200</v>
      </c>
      <c r="H40" s="27">
        <f>G40</f>
        <v>1200</v>
      </c>
      <c r="I40" s="27"/>
      <c r="J40" s="29"/>
    </row>
    <row r="41" spans="1:10" ht="15">
      <c r="A41" s="20"/>
      <c r="B41" s="21" t="s">
        <v>74</v>
      </c>
      <c r="C41" s="22" t="s">
        <v>54</v>
      </c>
      <c r="D41" s="32" t="s">
        <v>55</v>
      </c>
      <c r="E41" s="32">
        <v>1000</v>
      </c>
      <c r="F41" s="33">
        <v>3</v>
      </c>
      <c r="G41" s="32">
        <f t="shared" si="4"/>
        <v>3000</v>
      </c>
      <c r="H41" s="32">
        <f>G41</f>
        <v>3000</v>
      </c>
      <c r="I41" s="32"/>
      <c r="J41" s="34"/>
    </row>
    <row r="42" spans="1:10" ht="15">
      <c r="A42" s="30"/>
      <c r="B42" s="35"/>
      <c r="C42" s="35"/>
      <c r="D42" s="27"/>
      <c r="E42" s="27"/>
      <c r="F42" s="28"/>
      <c r="G42" s="27"/>
      <c r="H42" s="27"/>
      <c r="I42" s="27"/>
      <c r="J42" s="29"/>
    </row>
    <row r="43" spans="1:10" ht="15">
      <c r="A43" s="30"/>
      <c r="B43" s="37" t="s">
        <v>76</v>
      </c>
      <c r="C43" s="46"/>
      <c r="D43" s="41"/>
      <c r="E43" s="41"/>
      <c r="F43" s="47"/>
      <c r="G43" s="41"/>
      <c r="H43" s="41">
        <f>SUM(H36:H42)</f>
        <v>6008.1</v>
      </c>
      <c r="I43" s="41">
        <f>SUM(I36:I42)</f>
        <v>0</v>
      </c>
      <c r="J43" s="42">
        <f>SUM(J36:J42)</f>
        <v>0</v>
      </c>
    </row>
    <row r="44" spans="1:10" ht="15">
      <c r="A44" s="30"/>
      <c r="B44" s="22"/>
      <c r="C44" s="21"/>
      <c r="D44" s="43"/>
      <c r="E44" s="43"/>
      <c r="F44" s="44"/>
      <c r="G44" s="43"/>
      <c r="H44" s="43"/>
      <c r="I44" s="43"/>
      <c r="J44" s="45"/>
    </row>
    <row r="45" spans="1:10" ht="15">
      <c r="A45" s="30"/>
      <c r="B45" s="22"/>
      <c r="C45" s="31"/>
      <c r="D45" s="32"/>
      <c r="E45" s="32"/>
      <c r="F45" s="33"/>
      <c r="G45" s="32"/>
      <c r="H45" s="32"/>
      <c r="I45" s="32"/>
      <c r="J45" s="34"/>
    </row>
    <row r="46" spans="1:10" ht="15">
      <c r="A46" s="30"/>
      <c r="B46" s="22"/>
      <c r="C46" s="21" t="s">
        <v>13</v>
      </c>
      <c r="D46" s="43"/>
      <c r="E46" s="43"/>
      <c r="F46" s="44"/>
      <c r="G46" s="43"/>
      <c r="H46" s="43">
        <f>SUM(H43+H33+H26+H17)</f>
        <v>14985.7</v>
      </c>
      <c r="I46" s="43">
        <f>SUM(I43+I33+I26+I17)</f>
        <v>0</v>
      </c>
      <c r="J46" s="45">
        <f>SUM(J43+J33+J26+J17)</f>
        <v>0</v>
      </c>
    </row>
    <row r="47" spans="1:10" ht="15">
      <c r="A47" s="30"/>
      <c r="B47" s="22"/>
      <c r="C47" s="21"/>
      <c r="D47" s="43"/>
      <c r="E47" s="43"/>
      <c r="F47" s="44"/>
      <c r="G47" s="43"/>
      <c r="H47" s="43"/>
      <c r="I47" s="43"/>
      <c r="J47" s="45"/>
    </row>
    <row r="48" spans="1:10" ht="15">
      <c r="A48" s="497" t="s">
        <v>14</v>
      </c>
      <c r="B48" s="498"/>
      <c r="C48" s="498"/>
      <c r="D48" s="17"/>
      <c r="E48" s="17"/>
      <c r="F48" s="18"/>
      <c r="G48" s="17"/>
      <c r="H48" s="17"/>
      <c r="I48" s="17"/>
      <c r="J48" s="19"/>
    </row>
    <row r="49" spans="1:10" ht="15">
      <c r="A49" s="20"/>
      <c r="B49" s="52" t="s">
        <v>15</v>
      </c>
      <c r="C49" s="52"/>
      <c r="D49" s="53"/>
      <c r="E49" s="53"/>
      <c r="F49" s="53"/>
      <c r="G49" s="53"/>
      <c r="H49" s="53">
        <f>H10</f>
        <v>6000</v>
      </c>
      <c r="I49" s="53">
        <f>I10</f>
        <v>0</v>
      </c>
      <c r="J49" s="54">
        <f>J10</f>
        <v>0</v>
      </c>
    </row>
    <row r="50" spans="1:10" ht="15">
      <c r="A50" s="20"/>
      <c r="B50" s="21" t="s">
        <v>16</v>
      </c>
      <c r="C50" s="21"/>
      <c r="D50" s="43"/>
      <c r="E50" s="43"/>
      <c r="F50" s="43"/>
      <c r="G50" s="43"/>
      <c r="H50" s="43">
        <f>H46</f>
        <v>14985.7</v>
      </c>
      <c r="I50" s="43">
        <f>I46</f>
        <v>0</v>
      </c>
      <c r="J50" s="45">
        <f>J46</f>
        <v>0</v>
      </c>
    </row>
    <row r="51" spans="1:10" ht="15">
      <c r="A51" s="55"/>
      <c r="B51" s="56" t="s">
        <v>17</v>
      </c>
      <c r="C51" s="56"/>
      <c r="D51" s="57"/>
      <c r="E51" s="57"/>
      <c r="F51" s="57"/>
      <c r="G51" s="57"/>
      <c r="H51" s="57">
        <f>H49-H50</f>
        <v>-8985.7000000000007</v>
      </c>
      <c r="I51" s="57">
        <f>I49-I50</f>
        <v>0</v>
      </c>
      <c r="J51" s="58">
        <f>J49-J50</f>
        <v>0</v>
      </c>
    </row>
  </sheetData>
  <mergeCells count="4">
    <mergeCell ref="A4:C4"/>
    <mergeCell ref="A12:C12"/>
    <mergeCell ref="A48:C48"/>
    <mergeCell ref="A1:J1"/>
  </mergeCells>
  <pageMargins left="0.75" right="0.75" top="1" bottom="1" header="0.5" footer="0.5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C22" sqref="C22"/>
    </sheetView>
  </sheetViews>
  <sheetFormatPr baseColWidth="10" defaultRowHeight="15" x14ac:dyDescent="0"/>
  <cols>
    <col min="3" max="3" width="25" customWidth="1"/>
    <col min="4" max="4" width="30.6640625" customWidth="1"/>
    <col min="8" max="8" width="11.83203125" bestFit="1" customWidth="1"/>
  </cols>
  <sheetData>
    <row r="1" spans="1:10" ht="25">
      <c r="A1" s="501" t="s">
        <v>1122</v>
      </c>
      <c r="B1" s="501"/>
      <c r="C1" s="501"/>
      <c r="D1" s="501"/>
      <c r="E1" s="501"/>
      <c r="F1" s="501"/>
      <c r="G1" s="501"/>
      <c r="H1" s="501"/>
      <c r="I1" s="501"/>
      <c r="J1" s="502"/>
    </row>
    <row r="2" spans="1:10">
      <c r="A2" s="351"/>
      <c r="B2" s="352" t="s">
        <v>0</v>
      </c>
      <c r="C2" s="353" t="s">
        <v>1</v>
      </c>
      <c r="D2" s="354" t="s">
        <v>2</v>
      </c>
      <c r="E2" s="354" t="s">
        <v>3</v>
      </c>
      <c r="F2" s="355" t="s">
        <v>4</v>
      </c>
      <c r="G2" s="356" t="s">
        <v>5</v>
      </c>
      <c r="H2" s="356" t="s">
        <v>6</v>
      </c>
      <c r="I2" s="356" t="s">
        <v>7</v>
      </c>
      <c r="J2" s="357" t="s">
        <v>8</v>
      </c>
    </row>
    <row r="3" spans="1:10">
      <c r="A3" s="10"/>
      <c r="B3" s="358"/>
      <c r="C3" s="358"/>
      <c r="D3" s="359"/>
      <c r="E3" s="359"/>
      <c r="F3" s="360"/>
      <c r="G3" s="359"/>
      <c r="H3" s="359"/>
      <c r="I3" s="359"/>
      <c r="J3" s="361"/>
    </row>
    <row r="4" spans="1:10">
      <c r="A4" s="503" t="s">
        <v>9</v>
      </c>
      <c r="B4" s="504"/>
      <c r="C4" s="504"/>
      <c r="D4" s="48"/>
      <c r="E4" s="48"/>
      <c r="F4" s="49"/>
      <c r="G4" s="48"/>
      <c r="H4" s="48"/>
      <c r="I4" s="48"/>
      <c r="J4" s="362"/>
    </row>
    <row r="5" spans="1:10">
      <c r="A5" s="248"/>
      <c r="B5" s="249"/>
      <c r="C5" s="249"/>
      <c r="D5" s="359"/>
      <c r="E5" s="359"/>
      <c r="F5" s="360"/>
      <c r="G5" s="359"/>
      <c r="H5" s="359"/>
      <c r="I5" s="359"/>
      <c r="J5" s="361"/>
    </row>
    <row r="6" spans="1:10">
      <c r="A6" s="248"/>
      <c r="B6" s="249"/>
      <c r="C6" s="249" t="s">
        <v>11</v>
      </c>
      <c r="D6" s="249"/>
      <c r="E6" s="359"/>
      <c r="F6" s="360"/>
      <c r="G6" s="359"/>
      <c r="H6" s="359">
        <v>0</v>
      </c>
      <c r="I6" s="359">
        <v>0</v>
      </c>
      <c r="J6" s="361">
        <v>0</v>
      </c>
    </row>
    <row r="7" spans="1:10">
      <c r="A7" s="248"/>
      <c r="B7" s="249"/>
      <c r="C7" s="249"/>
      <c r="D7" s="359"/>
      <c r="E7" s="359"/>
      <c r="F7" s="360"/>
      <c r="G7" s="359"/>
      <c r="H7" s="359"/>
      <c r="I7" s="359"/>
      <c r="J7" s="361"/>
    </row>
    <row r="8" spans="1:10">
      <c r="A8" s="503" t="s">
        <v>12</v>
      </c>
      <c r="B8" s="504"/>
      <c r="C8" s="504"/>
      <c r="D8" s="48"/>
      <c r="E8" s="48"/>
      <c r="F8" s="49"/>
      <c r="G8" s="48"/>
      <c r="H8" s="48"/>
      <c r="I8" s="48"/>
      <c r="J8" s="362"/>
    </row>
    <row r="9" spans="1:10" ht="16">
      <c r="A9" s="86" t="s">
        <v>1123</v>
      </c>
      <c r="B9" s="106"/>
      <c r="C9" s="88"/>
      <c r="D9" s="119"/>
      <c r="E9" s="119"/>
      <c r="F9" s="120"/>
      <c r="G9" s="119"/>
      <c r="H9" s="119"/>
      <c r="I9" s="119"/>
      <c r="J9" s="121"/>
    </row>
    <row r="10" spans="1:10" ht="16">
      <c r="A10" s="122"/>
      <c r="B10" s="92" t="s">
        <v>1445</v>
      </c>
      <c r="C10" s="123" t="s">
        <v>1124</v>
      </c>
      <c r="D10" s="94" t="s">
        <v>1125</v>
      </c>
      <c r="E10" s="94">
        <f>7*17</f>
        <v>119</v>
      </c>
      <c r="F10" s="95">
        <v>7</v>
      </c>
      <c r="G10" s="94">
        <f>E10*F10</f>
        <v>833</v>
      </c>
      <c r="H10" s="94">
        <f>G10*1.13</f>
        <v>941.29</v>
      </c>
      <c r="I10" s="94"/>
      <c r="J10" s="96"/>
    </row>
    <row r="11" spans="1:10" ht="16">
      <c r="A11" s="122"/>
      <c r="B11" s="88" t="s">
        <v>1446</v>
      </c>
      <c r="C11" s="124" t="s">
        <v>1126</v>
      </c>
      <c r="D11" s="119" t="s">
        <v>1127</v>
      </c>
      <c r="E11" s="119">
        <v>35</v>
      </c>
      <c r="F11" s="120">
        <v>24</v>
      </c>
      <c r="G11" s="119">
        <f>E11*F11</f>
        <v>840</v>
      </c>
      <c r="H11" s="119">
        <f>G11*1.13</f>
        <v>949.19999999999993</v>
      </c>
      <c r="I11" s="119"/>
      <c r="J11" s="121"/>
    </row>
    <row r="12" spans="1:10" ht="16">
      <c r="A12" s="122"/>
      <c r="B12" s="92" t="s">
        <v>1447</v>
      </c>
      <c r="C12" s="123" t="s">
        <v>400</v>
      </c>
      <c r="D12" s="94" t="s">
        <v>1128</v>
      </c>
      <c r="E12" s="94">
        <v>20</v>
      </c>
      <c r="F12" s="95">
        <v>4</v>
      </c>
      <c r="G12" s="94">
        <f>E12*F12</f>
        <v>80</v>
      </c>
      <c r="H12" s="94">
        <f>G12*1.13</f>
        <v>90.399999999999991</v>
      </c>
      <c r="I12" s="94"/>
      <c r="J12" s="96"/>
    </row>
    <row r="13" spans="1:10" ht="16">
      <c r="A13" s="122"/>
      <c r="B13" s="88" t="s">
        <v>1448</v>
      </c>
      <c r="C13" s="124" t="s">
        <v>1129</v>
      </c>
      <c r="D13" s="119" t="s">
        <v>1130</v>
      </c>
      <c r="E13" s="119">
        <v>50</v>
      </c>
      <c r="F13" s="120">
        <v>6</v>
      </c>
      <c r="G13" s="119">
        <f>F13*E13</f>
        <v>300</v>
      </c>
      <c r="H13" s="119">
        <f>F13*E13</f>
        <v>300</v>
      </c>
      <c r="I13" s="119"/>
      <c r="J13" s="121"/>
    </row>
    <row r="14" spans="1:10" ht="16">
      <c r="A14" s="122"/>
      <c r="B14" s="92"/>
      <c r="C14" s="123"/>
      <c r="D14" s="94"/>
      <c r="E14" s="94"/>
      <c r="F14" s="95"/>
      <c r="G14" s="94"/>
      <c r="H14" s="94"/>
      <c r="I14" s="94"/>
      <c r="J14" s="96"/>
    </row>
    <row r="15" spans="1:10" ht="16">
      <c r="A15" s="122"/>
      <c r="B15" s="370" t="s">
        <v>1131</v>
      </c>
      <c r="C15" s="127"/>
      <c r="D15" s="67"/>
      <c r="E15" s="67"/>
      <c r="F15" s="66"/>
      <c r="G15" s="67"/>
      <c r="H15" s="67">
        <f>SUM(H10:H13)</f>
        <v>2280.89</v>
      </c>
      <c r="I15" s="67"/>
      <c r="J15" s="68"/>
    </row>
    <row r="16" spans="1:10" ht="16">
      <c r="A16" s="86"/>
      <c r="B16" s="106"/>
      <c r="C16" s="106"/>
      <c r="D16" s="107"/>
      <c r="E16" s="107"/>
      <c r="F16" s="108"/>
      <c r="G16" s="107"/>
      <c r="H16" s="107"/>
      <c r="I16" s="107"/>
      <c r="J16" s="109"/>
    </row>
    <row r="17" spans="1:10" ht="16">
      <c r="A17" s="86" t="s">
        <v>1132</v>
      </c>
      <c r="B17" s="106"/>
      <c r="C17" s="88"/>
      <c r="D17" s="119"/>
      <c r="E17" s="119"/>
      <c r="F17" s="120"/>
      <c r="G17" s="119"/>
      <c r="H17" s="119"/>
      <c r="I17" s="119"/>
      <c r="J17" s="121"/>
    </row>
    <row r="18" spans="1:10" ht="16">
      <c r="A18" s="325"/>
      <c r="B18" s="92" t="s">
        <v>1449</v>
      </c>
      <c r="C18" s="123" t="s">
        <v>1133</v>
      </c>
      <c r="D18" s="94"/>
      <c r="E18" s="94">
        <v>7.95</v>
      </c>
      <c r="F18" s="95">
        <v>17</v>
      </c>
      <c r="G18" s="94">
        <f>E18*F18</f>
        <v>135.15</v>
      </c>
      <c r="H18" s="94">
        <f>G18*1.13</f>
        <v>152.71949999999998</v>
      </c>
      <c r="I18" s="94"/>
      <c r="J18" s="96"/>
    </row>
    <row r="19" spans="1:10" ht="16">
      <c r="A19" s="325"/>
      <c r="B19" s="88" t="s">
        <v>1450</v>
      </c>
      <c r="C19" s="124" t="s">
        <v>1134</v>
      </c>
      <c r="D19" s="119"/>
      <c r="E19" s="119">
        <v>12.75</v>
      </c>
      <c r="F19" s="120">
        <v>17</v>
      </c>
      <c r="G19" s="119">
        <f>E19*F19</f>
        <v>216.75</v>
      </c>
      <c r="H19" s="119">
        <f>G19*1.13</f>
        <v>244.92749999999998</v>
      </c>
      <c r="I19" s="119"/>
      <c r="J19" s="121"/>
    </row>
    <row r="20" spans="1:10" ht="16">
      <c r="A20" s="325"/>
      <c r="B20" s="92" t="s">
        <v>1451</v>
      </c>
      <c r="C20" s="123" t="s">
        <v>1135</v>
      </c>
      <c r="D20" s="94" t="s">
        <v>1136</v>
      </c>
      <c r="E20" s="94">
        <v>20</v>
      </c>
      <c r="F20" s="95">
        <v>17</v>
      </c>
      <c r="G20" s="94">
        <f>E20*F20</f>
        <v>340</v>
      </c>
      <c r="H20" s="94">
        <f>G20*1.13</f>
        <v>384.2</v>
      </c>
      <c r="I20" s="94"/>
      <c r="J20" s="96"/>
    </row>
    <row r="21" spans="1:10" ht="16">
      <c r="A21" s="122"/>
      <c r="B21" s="88" t="s">
        <v>1452</v>
      </c>
      <c r="C21" s="88" t="s">
        <v>1129</v>
      </c>
      <c r="D21" s="119" t="s">
        <v>1137</v>
      </c>
      <c r="E21" s="119">
        <v>100</v>
      </c>
      <c r="F21" s="120">
        <f>1</f>
        <v>1</v>
      </c>
      <c r="G21" s="119">
        <f>F21*E21</f>
        <v>100</v>
      </c>
      <c r="H21" s="119">
        <f>E21</f>
        <v>100</v>
      </c>
      <c r="I21" s="119"/>
      <c r="J21" s="121"/>
    </row>
    <row r="22" spans="1:10" ht="16">
      <c r="A22" s="122"/>
      <c r="B22" s="92"/>
      <c r="C22" s="92"/>
      <c r="D22" s="94"/>
      <c r="E22" s="94"/>
      <c r="F22" s="95"/>
      <c r="G22" s="94"/>
      <c r="H22" s="94"/>
      <c r="I22" s="94"/>
      <c r="J22" s="96"/>
    </row>
    <row r="23" spans="1:10" ht="16">
      <c r="A23" s="122"/>
      <c r="B23" s="370" t="s">
        <v>1138</v>
      </c>
      <c r="C23" s="371"/>
      <c r="D23" s="67"/>
      <c r="E23" s="67"/>
      <c r="F23" s="66"/>
      <c r="G23" s="67"/>
      <c r="H23" s="67">
        <f>SUM(H18:H21)</f>
        <v>881.84699999999998</v>
      </c>
      <c r="I23" s="67"/>
      <c r="J23" s="68"/>
    </row>
    <row r="24" spans="1:10">
      <c r="A24" s="254"/>
      <c r="B24" s="250"/>
      <c r="C24" s="280"/>
      <c r="D24" s="251"/>
      <c r="E24" s="251"/>
      <c r="F24" s="252"/>
      <c r="G24" s="251"/>
      <c r="H24" s="251"/>
      <c r="I24" s="251"/>
      <c r="J24" s="253"/>
    </row>
    <row r="25" spans="1:10">
      <c r="A25" s="254"/>
      <c r="B25" s="250"/>
      <c r="C25" s="249" t="s">
        <v>13</v>
      </c>
      <c r="D25" s="249"/>
      <c r="E25" s="359"/>
      <c r="F25" s="360"/>
      <c r="G25" s="359"/>
      <c r="H25" s="359">
        <f>SUM(H23,H15)</f>
        <v>3162.7370000000001</v>
      </c>
      <c r="I25" s="359">
        <v>0</v>
      </c>
      <c r="J25" s="361">
        <v>0</v>
      </c>
    </row>
    <row r="26" spans="1:10">
      <c r="A26" s="254"/>
      <c r="B26" s="250"/>
      <c r="C26" s="249"/>
      <c r="D26" s="359"/>
      <c r="E26" s="359"/>
      <c r="F26" s="360"/>
      <c r="G26" s="359"/>
      <c r="H26" s="359"/>
      <c r="I26" s="359"/>
      <c r="J26" s="361"/>
    </row>
    <row r="27" spans="1:10">
      <c r="A27" s="503" t="s">
        <v>14</v>
      </c>
      <c r="B27" s="504"/>
      <c r="C27" s="504"/>
      <c r="D27" s="48"/>
      <c r="E27" s="48"/>
      <c r="F27" s="49"/>
      <c r="G27" s="48"/>
      <c r="H27" s="48"/>
      <c r="I27" s="48"/>
      <c r="J27" s="362"/>
    </row>
    <row r="28" spans="1:10">
      <c r="A28" s="248"/>
      <c r="B28" s="363" t="s">
        <v>15</v>
      </c>
      <c r="C28" s="363"/>
      <c r="D28" s="364"/>
      <c r="E28" s="364"/>
      <c r="F28" s="364"/>
      <c r="G28" s="364"/>
      <c r="H28" s="364">
        <v>0</v>
      </c>
      <c r="I28" s="364">
        <v>0</v>
      </c>
      <c r="J28" s="365">
        <v>0</v>
      </c>
    </row>
    <row r="29" spans="1:10">
      <c r="A29" s="248"/>
      <c r="B29" s="249" t="s">
        <v>16</v>
      </c>
      <c r="C29" s="249"/>
      <c r="D29" s="359"/>
      <c r="E29" s="359"/>
      <c r="F29" s="359"/>
      <c r="G29" s="359"/>
      <c r="H29" s="359">
        <f>H25</f>
        <v>3162.7370000000001</v>
      </c>
      <c r="I29" s="359">
        <v>0</v>
      </c>
      <c r="J29" s="361">
        <v>0</v>
      </c>
    </row>
    <row r="30" spans="1:10">
      <c r="A30" s="366"/>
      <c r="B30" s="367" t="s">
        <v>17</v>
      </c>
      <c r="C30" s="367"/>
      <c r="D30" s="368"/>
      <c r="E30" s="368"/>
      <c r="F30" s="368"/>
      <c r="G30" s="368"/>
      <c r="H30" s="368">
        <f>H28-H29</f>
        <v>-3162.7370000000001</v>
      </c>
      <c r="I30" s="368">
        <v>0</v>
      </c>
      <c r="J30" s="369">
        <v>0</v>
      </c>
    </row>
  </sheetData>
  <mergeCells count="4">
    <mergeCell ref="A1:J1"/>
    <mergeCell ref="A4:C4"/>
    <mergeCell ref="A8:C8"/>
    <mergeCell ref="A27:C2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C7" sqref="C7"/>
    </sheetView>
  </sheetViews>
  <sheetFormatPr baseColWidth="10" defaultRowHeight="15" x14ac:dyDescent="0"/>
  <cols>
    <col min="3" max="3" width="27.1640625" customWidth="1"/>
    <col min="4" max="4" width="24.5" customWidth="1"/>
    <col min="8" max="8" width="11.6640625" bestFit="1" customWidth="1"/>
  </cols>
  <sheetData>
    <row r="1" spans="1:10" ht="25">
      <c r="A1" s="505" t="s">
        <v>78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>
      <c r="A5" s="62"/>
      <c r="B5" s="63"/>
      <c r="C5" s="63"/>
      <c r="D5" s="43"/>
      <c r="E5" s="43"/>
      <c r="F5" s="44"/>
      <c r="G5" s="43"/>
      <c r="H5" s="43"/>
      <c r="I5" s="43"/>
      <c r="J5" s="45"/>
    </row>
    <row r="6" spans="1:10">
      <c r="A6" s="20"/>
      <c r="B6" s="21"/>
      <c r="C6" s="21" t="s">
        <v>11</v>
      </c>
      <c r="D6" s="43"/>
      <c r="E6" s="43"/>
      <c r="F6" s="44"/>
      <c r="G6" s="43"/>
      <c r="H6" s="43">
        <v>0</v>
      </c>
      <c r="I6" s="43">
        <v>0</v>
      </c>
      <c r="J6" s="45">
        <v>0</v>
      </c>
    </row>
    <row r="7" spans="1:10">
      <c r="A7" s="20"/>
      <c r="B7" s="21"/>
      <c r="C7" s="21"/>
      <c r="D7" s="43"/>
      <c r="E7" s="43"/>
      <c r="F7" s="44"/>
      <c r="G7" s="43"/>
      <c r="H7" s="43"/>
      <c r="I7" s="43"/>
      <c r="J7" s="45"/>
    </row>
    <row r="8" spans="1:10">
      <c r="A8" s="497" t="s">
        <v>12</v>
      </c>
      <c r="B8" s="498"/>
      <c r="C8" s="498"/>
      <c r="D8" s="17"/>
      <c r="E8" s="48"/>
      <c r="F8" s="49"/>
      <c r="G8" s="48"/>
      <c r="H8" s="48"/>
      <c r="I8" s="48"/>
      <c r="J8" s="19"/>
    </row>
    <row r="9" spans="1:10">
      <c r="A9" s="62" t="s">
        <v>79</v>
      </c>
      <c r="B9" s="63"/>
      <c r="C9" s="63"/>
      <c r="D9" s="43"/>
      <c r="E9" s="64"/>
      <c r="F9" s="65"/>
      <c r="G9" s="64"/>
      <c r="H9" s="64"/>
      <c r="I9" s="64"/>
      <c r="J9" s="45"/>
    </row>
    <row r="10" spans="1:10">
      <c r="A10" s="51"/>
      <c r="B10" s="35" t="s">
        <v>80</v>
      </c>
      <c r="C10" s="36" t="s">
        <v>1403</v>
      </c>
      <c r="D10" s="27" t="s">
        <v>81</v>
      </c>
      <c r="E10" s="27">
        <v>899.95</v>
      </c>
      <c r="F10" s="28">
        <v>1</v>
      </c>
      <c r="G10" s="27">
        <f>E10*F10</f>
        <v>899.95</v>
      </c>
      <c r="H10" s="27">
        <f>G10*1.13</f>
        <v>1016.9435</v>
      </c>
      <c r="I10" s="27"/>
      <c r="J10" s="29"/>
    </row>
    <row r="11" spans="1:10">
      <c r="A11" s="51"/>
      <c r="B11" s="22" t="s">
        <v>82</v>
      </c>
      <c r="C11" s="31" t="s">
        <v>83</v>
      </c>
      <c r="D11" s="32"/>
      <c r="E11" s="32">
        <v>50</v>
      </c>
      <c r="F11" s="33">
        <v>1</v>
      </c>
      <c r="G11" s="32">
        <f>E11*F11</f>
        <v>50</v>
      </c>
      <c r="H11" s="32">
        <f>G11</f>
        <v>50</v>
      </c>
      <c r="I11" s="32"/>
      <c r="J11" s="34"/>
    </row>
    <row r="12" spans="1:10">
      <c r="A12" s="51"/>
      <c r="B12" s="35" t="s">
        <v>84</v>
      </c>
      <c r="C12" s="36" t="s">
        <v>85</v>
      </c>
      <c r="D12" s="27"/>
      <c r="E12" s="27">
        <v>99.97</v>
      </c>
      <c r="F12" s="28">
        <v>1</v>
      </c>
      <c r="G12" s="27">
        <f t="shared" ref="G12" si="0">E12*F12</f>
        <v>99.97</v>
      </c>
      <c r="H12" s="27">
        <f t="shared" ref="H12" si="1">G12*1.13</f>
        <v>112.96609999999998</v>
      </c>
      <c r="I12" s="27"/>
      <c r="J12" s="29"/>
    </row>
    <row r="13" spans="1:10">
      <c r="A13" s="30"/>
      <c r="B13" s="35"/>
      <c r="C13" s="35"/>
      <c r="D13" s="27"/>
      <c r="E13" s="27"/>
      <c r="F13" s="28"/>
      <c r="G13" s="27"/>
      <c r="H13" s="27"/>
      <c r="I13" s="27"/>
      <c r="J13" s="29"/>
    </row>
    <row r="14" spans="1:10">
      <c r="A14" s="30"/>
      <c r="B14" s="37" t="s">
        <v>86</v>
      </c>
      <c r="C14" s="46"/>
      <c r="D14" s="41"/>
      <c r="E14" s="41"/>
      <c r="F14" s="47"/>
      <c r="G14" s="41"/>
      <c r="H14" s="41">
        <f>SUM(H10:H13)</f>
        <v>1179.9096</v>
      </c>
      <c r="I14" s="41">
        <f>SUM(I10:I13)</f>
        <v>0</v>
      </c>
      <c r="J14" s="42">
        <f>SUM(J10:J13)</f>
        <v>0</v>
      </c>
    </row>
    <row r="15" spans="1:10">
      <c r="A15" s="30"/>
      <c r="B15" s="22"/>
      <c r="C15" s="22"/>
      <c r="D15" s="32"/>
      <c r="E15" s="32"/>
      <c r="F15" s="33"/>
      <c r="G15" s="32"/>
      <c r="H15" s="32"/>
      <c r="I15" s="32"/>
      <c r="J15" s="34"/>
    </row>
    <row r="16" spans="1:10">
      <c r="A16" s="20" t="s">
        <v>87</v>
      </c>
      <c r="B16" s="21"/>
      <c r="C16" s="21"/>
      <c r="D16" s="32"/>
      <c r="E16" s="32"/>
      <c r="F16" s="33"/>
      <c r="G16" s="32"/>
      <c r="H16" s="32"/>
      <c r="I16" s="32"/>
      <c r="J16" s="34"/>
    </row>
    <row r="17" spans="1:10">
      <c r="A17" s="30"/>
      <c r="B17" s="35" t="s">
        <v>88</v>
      </c>
      <c r="C17" s="36" t="s">
        <v>89</v>
      </c>
      <c r="D17" s="27" t="s">
        <v>90</v>
      </c>
      <c r="E17" s="27">
        <f>37.99+5.98</f>
        <v>43.97</v>
      </c>
      <c r="F17" s="28">
        <v>10</v>
      </c>
      <c r="G17" s="27">
        <f t="shared" ref="G17:G18" si="2">E17*F17</f>
        <v>439.7</v>
      </c>
      <c r="H17" s="27">
        <f t="shared" ref="H17:H18" si="3">G17*1.13</f>
        <v>496.86099999999993</v>
      </c>
      <c r="I17" s="27"/>
      <c r="J17" s="29"/>
    </row>
    <row r="18" spans="1:10">
      <c r="A18" s="30"/>
      <c r="B18" s="22" t="s">
        <v>91</v>
      </c>
      <c r="C18" s="22" t="s">
        <v>92</v>
      </c>
      <c r="D18" s="32"/>
      <c r="E18" s="32">
        <v>262.79000000000002</v>
      </c>
      <c r="F18" s="33">
        <v>1</v>
      </c>
      <c r="G18" s="32">
        <f t="shared" si="2"/>
        <v>262.79000000000002</v>
      </c>
      <c r="H18" s="32">
        <f t="shared" si="3"/>
        <v>296.95269999999999</v>
      </c>
      <c r="I18" s="32"/>
      <c r="J18" s="34"/>
    </row>
    <row r="19" spans="1:10">
      <c r="A19" s="30"/>
      <c r="B19" s="35"/>
      <c r="C19" s="35"/>
      <c r="D19" s="27"/>
      <c r="E19" s="27"/>
      <c r="F19" s="28"/>
      <c r="G19" s="27"/>
      <c r="H19" s="27"/>
      <c r="I19" s="27"/>
      <c r="J19" s="29"/>
    </row>
    <row r="20" spans="1:10">
      <c r="A20" s="30"/>
      <c r="B20" s="37" t="s">
        <v>93</v>
      </c>
      <c r="C20" s="46"/>
      <c r="D20" s="41"/>
      <c r="E20" s="41"/>
      <c r="F20" s="47"/>
      <c r="G20" s="41"/>
      <c r="H20" s="41">
        <f>SUM(H17:H19)</f>
        <v>793.81369999999993</v>
      </c>
      <c r="I20" s="41">
        <f>SUM(I17:I19)</f>
        <v>0</v>
      </c>
      <c r="J20" s="42">
        <f>SUM(J17:J19)</f>
        <v>0</v>
      </c>
    </row>
    <row r="21" spans="1:10">
      <c r="A21" s="30"/>
      <c r="B21" s="22"/>
      <c r="C21" s="22"/>
      <c r="D21" s="32"/>
      <c r="E21" s="32"/>
      <c r="F21" s="33"/>
      <c r="G21" s="32"/>
      <c r="H21" s="32"/>
      <c r="I21" s="32"/>
      <c r="J21" s="34"/>
    </row>
    <row r="22" spans="1:10">
      <c r="A22" s="20" t="s">
        <v>94</v>
      </c>
      <c r="B22" s="21"/>
      <c r="C22" s="21"/>
      <c r="D22" s="32"/>
      <c r="E22" s="32"/>
      <c r="F22" s="33"/>
      <c r="G22" s="32"/>
      <c r="H22" s="32"/>
      <c r="I22" s="32"/>
      <c r="J22" s="34"/>
    </row>
    <row r="23" spans="1:10">
      <c r="A23" s="30"/>
      <c r="B23" s="35" t="s">
        <v>95</v>
      </c>
      <c r="C23" s="36" t="s">
        <v>96</v>
      </c>
      <c r="D23" s="27" t="s">
        <v>97</v>
      </c>
      <c r="E23" s="27">
        <v>32.5</v>
      </c>
      <c r="F23" s="28">
        <v>24</v>
      </c>
      <c r="G23" s="27">
        <f t="shared" ref="G23:G26" si="4">E23*F23</f>
        <v>780</v>
      </c>
      <c r="H23" s="27">
        <f t="shared" ref="H23:H26" si="5">G23*1.13</f>
        <v>881.39999999999986</v>
      </c>
      <c r="I23" s="27"/>
      <c r="J23" s="29"/>
    </row>
    <row r="24" spans="1:10">
      <c r="A24" s="30" t="s">
        <v>10</v>
      </c>
      <c r="B24" s="22" t="s">
        <v>98</v>
      </c>
      <c r="C24" s="22" t="s">
        <v>99</v>
      </c>
      <c r="D24" s="32"/>
      <c r="E24" s="32">
        <v>40</v>
      </c>
      <c r="F24" s="33">
        <v>1</v>
      </c>
      <c r="G24" s="32">
        <f>E24*F24</f>
        <v>40</v>
      </c>
      <c r="H24" s="32">
        <f>G24*1.13</f>
        <v>45.199999999999996</v>
      </c>
      <c r="I24" s="32"/>
      <c r="J24" s="34"/>
    </row>
    <row r="25" spans="1:10">
      <c r="A25" s="30"/>
      <c r="B25" s="35" t="s">
        <v>100</v>
      </c>
      <c r="C25" s="35" t="s">
        <v>101</v>
      </c>
      <c r="D25" s="27"/>
      <c r="E25" s="27">
        <v>15</v>
      </c>
      <c r="F25" s="28">
        <v>8</v>
      </c>
      <c r="G25" s="27">
        <f t="shared" si="4"/>
        <v>120</v>
      </c>
      <c r="H25" s="27">
        <f t="shared" si="5"/>
        <v>135.6</v>
      </c>
      <c r="I25" s="27"/>
      <c r="J25" s="29"/>
    </row>
    <row r="26" spans="1:10">
      <c r="A26" s="30"/>
      <c r="B26" s="22" t="s">
        <v>102</v>
      </c>
      <c r="C26" s="22" t="s">
        <v>103</v>
      </c>
      <c r="D26" s="32"/>
      <c r="E26" s="32">
        <v>1.5</v>
      </c>
      <c r="F26" s="33">
        <v>8</v>
      </c>
      <c r="G26" s="32">
        <f t="shared" si="4"/>
        <v>12</v>
      </c>
      <c r="H26" s="32">
        <f t="shared" si="5"/>
        <v>13.559999999999999</v>
      </c>
      <c r="I26" s="32"/>
      <c r="J26" s="34"/>
    </row>
    <row r="27" spans="1:10">
      <c r="A27" s="20"/>
      <c r="B27" s="52" t="s">
        <v>104</v>
      </c>
      <c r="C27" s="35" t="s">
        <v>105</v>
      </c>
      <c r="D27" s="27" t="s">
        <v>106</v>
      </c>
      <c r="E27" s="27">
        <v>10</v>
      </c>
      <c r="F27" s="28">
        <v>8</v>
      </c>
      <c r="G27" s="27">
        <f>E27*F27</f>
        <v>80</v>
      </c>
      <c r="H27" s="27">
        <f>G27*1.13</f>
        <v>90.399999999999991</v>
      </c>
      <c r="I27" s="27"/>
      <c r="J27" s="29"/>
    </row>
    <row r="28" spans="1:10">
      <c r="A28" s="30"/>
      <c r="B28" s="35"/>
      <c r="C28" s="35"/>
      <c r="D28" s="27"/>
      <c r="E28" s="27"/>
      <c r="F28" s="28"/>
      <c r="G28" s="27"/>
      <c r="H28" s="27"/>
      <c r="I28" s="27"/>
      <c r="J28" s="29"/>
    </row>
    <row r="29" spans="1:10">
      <c r="A29" s="30"/>
      <c r="B29" s="37" t="s">
        <v>107</v>
      </c>
      <c r="C29" s="46"/>
      <c r="D29" s="41"/>
      <c r="E29" s="41"/>
      <c r="F29" s="47"/>
      <c r="G29" s="41"/>
      <c r="H29" s="41">
        <f>SUM(H23:H28)</f>
        <v>1166.1599999999999</v>
      </c>
      <c r="I29" s="41">
        <f>SUM(I23:I28)</f>
        <v>0</v>
      </c>
      <c r="J29" s="42">
        <f>SUM(J23:J28)</f>
        <v>0</v>
      </c>
    </row>
    <row r="30" spans="1:10">
      <c r="A30" s="30"/>
      <c r="B30" s="22"/>
      <c r="C30" s="21"/>
      <c r="D30" s="43"/>
      <c r="E30" s="43"/>
      <c r="F30" s="44"/>
      <c r="G30" s="43"/>
      <c r="H30" s="43"/>
      <c r="I30" s="43"/>
      <c r="J30" s="45"/>
    </row>
    <row r="31" spans="1:10">
      <c r="A31" s="20" t="s">
        <v>108</v>
      </c>
      <c r="B31" s="21"/>
      <c r="C31" s="21"/>
      <c r="D31" s="32"/>
      <c r="E31" s="32"/>
      <c r="F31" s="33"/>
      <c r="G31" s="32"/>
      <c r="H31" s="32"/>
      <c r="I31" s="32"/>
      <c r="J31" s="34"/>
    </row>
    <row r="32" spans="1:10">
      <c r="A32" s="20"/>
      <c r="B32" s="52" t="s">
        <v>109</v>
      </c>
      <c r="C32" s="35" t="s">
        <v>110</v>
      </c>
      <c r="D32" s="27"/>
      <c r="E32" s="27">
        <v>0.5</v>
      </c>
      <c r="F32" s="28">
        <v>50</v>
      </c>
      <c r="G32" s="27">
        <f t="shared" ref="G32" si="6">E32*F32</f>
        <v>25</v>
      </c>
      <c r="H32" s="27">
        <f t="shared" ref="H32" si="7">G32*1.13</f>
        <v>28.249999999999996</v>
      </c>
      <c r="I32" s="27"/>
      <c r="J32" s="29"/>
    </row>
    <row r="33" spans="1:10">
      <c r="A33" s="20"/>
      <c r="B33" s="21" t="s">
        <v>111</v>
      </c>
      <c r="C33" s="22" t="s">
        <v>112</v>
      </c>
      <c r="D33" s="32"/>
      <c r="E33" s="32">
        <v>0.5</v>
      </c>
      <c r="F33" s="33">
        <v>50</v>
      </c>
      <c r="G33" s="32">
        <f>F33*E33</f>
        <v>25</v>
      </c>
      <c r="H33" s="32">
        <f>G33*1.13</f>
        <v>28.249999999999996</v>
      </c>
      <c r="I33" s="32"/>
      <c r="J33" s="34"/>
    </row>
    <row r="34" spans="1:10">
      <c r="A34" s="20"/>
      <c r="B34" s="52"/>
      <c r="C34" s="35"/>
      <c r="D34" s="27"/>
      <c r="E34" s="27"/>
      <c r="F34" s="28"/>
      <c r="G34" s="27"/>
      <c r="H34" s="27"/>
      <c r="I34" s="27"/>
      <c r="J34" s="29"/>
    </row>
    <row r="35" spans="1:10">
      <c r="A35" s="30"/>
      <c r="B35" s="37" t="s">
        <v>113</v>
      </c>
      <c r="C35" s="46"/>
      <c r="D35" s="41"/>
      <c r="E35" s="41"/>
      <c r="F35" s="47"/>
      <c r="G35" s="41"/>
      <c r="H35" s="41">
        <f>SUM(H32:H34)</f>
        <v>56.499999999999993</v>
      </c>
      <c r="I35" s="41">
        <f>SUM(I32:I34)</f>
        <v>0</v>
      </c>
      <c r="J35" s="42">
        <f>SUM(J32:J34)</f>
        <v>0</v>
      </c>
    </row>
    <row r="36" spans="1:10">
      <c r="A36" s="30"/>
      <c r="B36" s="22"/>
      <c r="C36" s="31"/>
      <c r="D36" s="32"/>
      <c r="E36" s="32"/>
      <c r="F36" s="33"/>
      <c r="G36" s="32"/>
      <c r="H36" s="32"/>
      <c r="I36" s="32"/>
      <c r="J36" s="34"/>
    </row>
    <row r="37" spans="1:10">
      <c r="A37" s="30"/>
      <c r="B37" s="22"/>
      <c r="C37" s="21" t="s">
        <v>13</v>
      </c>
      <c r="D37" s="43"/>
      <c r="E37" s="43"/>
      <c r="F37" s="44"/>
      <c r="G37" s="43"/>
      <c r="H37" s="43">
        <f>H35+H29+H20+H14</f>
        <v>3196.3832999999995</v>
      </c>
      <c r="I37" s="43">
        <f>I35+I29+I20+I14</f>
        <v>0</v>
      </c>
      <c r="J37" s="45">
        <f>J35+J29+J20+J14</f>
        <v>0</v>
      </c>
    </row>
    <row r="38" spans="1:10">
      <c r="A38" s="30"/>
      <c r="B38" s="22"/>
      <c r="C38" s="21"/>
      <c r="D38" s="43"/>
      <c r="E38" s="43"/>
      <c r="F38" s="44"/>
      <c r="G38" s="43"/>
      <c r="H38" s="43"/>
      <c r="I38" s="43"/>
      <c r="J38" s="45"/>
    </row>
    <row r="39" spans="1:10">
      <c r="A39" s="497" t="s">
        <v>14</v>
      </c>
      <c r="B39" s="498"/>
      <c r="C39" s="498"/>
      <c r="D39" s="17"/>
      <c r="E39" s="17"/>
      <c r="F39" s="18"/>
      <c r="G39" s="17"/>
      <c r="H39" s="17"/>
      <c r="I39" s="17"/>
      <c r="J39" s="19"/>
    </row>
    <row r="40" spans="1:10">
      <c r="A40" s="20"/>
      <c r="B40" s="52" t="s">
        <v>15</v>
      </c>
      <c r="C40" s="52"/>
      <c r="D40" s="53"/>
      <c r="E40" s="53"/>
      <c r="F40" s="53"/>
      <c r="G40" s="53"/>
      <c r="H40" s="53">
        <f>H6</f>
        <v>0</v>
      </c>
      <c r="I40" s="53">
        <f>I6</f>
        <v>0</v>
      </c>
      <c r="J40" s="54">
        <f>J6</f>
        <v>0</v>
      </c>
    </row>
    <row r="41" spans="1:10">
      <c r="A41" s="20"/>
      <c r="B41" s="21" t="s">
        <v>16</v>
      </c>
      <c r="C41" s="21"/>
      <c r="D41" s="43"/>
      <c r="E41" s="43"/>
      <c r="F41" s="43"/>
      <c r="G41" s="43"/>
      <c r="H41" s="43">
        <f>H37</f>
        <v>3196.3832999999995</v>
      </c>
      <c r="I41" s="43">
        <f t="shared" ref="I41:J41" si="8">I37</f>
        <v>0</v>
      </c>
      <c r="J41" s="45">
        <f t="shared" si="8"/>
        <v>0</v>
      </c>
    </row>
    <row r="42" spans="1:10">
      <c r="A42" s="55"/>
      <c r="B42" s="56" t="s">
        <v>17</v>
      </c>
      <c r="C42" s="56"/>
      <c r="D42" s="57"/>
      <c r="E42" s="57"/>
      <c r="F42" s="57"/>
      <c r="G42" s="57"/>
      <c r="H42" s="57">
        <f>H40-H41</f>
        <v>-3196.3832999999995</v>
      </c>
      <c r="I42" s="57">
        <f t="shared" ref="I42:J42" si="9">I40-I41</f>
        <v>0</v>
      </c>
      <c r="J42" s="58">
        <f t="shared" si="9"/>
        <v>0</v>
      </c>
    </row>
  </sheetData>
  <mergeCells count="4">
    <mergeCell ref="A1:J1"/>
    <mergeCell ref="A4:C4"/>
    <mergeCell ref="A8:C8"/>
    <mergeCell ref="A39:C3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4" workbookViewId="0">
      <selection activeCell="A42" sqref="A42:XFD42"/>
    </sheetView>
  </sheetViews>
  <sheetFormatPr baseColWidth="10" defaultRowHeight="15" x14ac:dyDescent="0"/>
  <cols>
    <col min="3" max="3" width="34.33203125" customWidth="1"/>
    <col min="4" max="4" width="47.5" customWidth="1"/>
    <col min="7" max="7" width="13.1640625" bestFit="1" customWidth="1"/>
    <col min="8" max="8" width="15.33203125" bestFit="1" customWidth="1"/>
  </cols>
  <sheetData>
    <row r="1" spans="1:10" ht="25">
      <c r="A1" s="506" t="s">
        <v>114</v>
      </c>
      <c r="B1" s="506"/>
      <c r="C1" s="506"/>
      <c r="D1" s="507"/>
      <c r="E1" s="507"/>
      <c r="F1" s="66"/>
      <c r="G1" s="67"/>
      <c r="H1" s="67"/>
      <c r="I1" s="67"/>
      <c r="J1" s="68"/>
    </row>
    <row r="2" spans="1:10" ht="16">
      <c r="A2" s="158"/>
      <c r="B2" s="159" t="s">
        <v>0</v>
      </c>
      <c r="C2" s="159" t="s">
        <v>1</v>
      </c>
      <c r="D2" s="160" t="s">
        <v>2</v>
      </c>
      <c r="E2" s="159" t="s">
        <v>3</v>
      </c>
      <c r="F2" s="73" t="s">
        <v>4</v>
      </c>
      <c r="G2" s="74" t="s">
        <v>5</v>
      </c>
      <c r="H2" s="74" t="s">
        <v>6</v>
      </c>
      <c r="I2" s="74" t="s">
        <v>7</v>
      </c>
      <c r="J2" s="75" t="s">
        <v>8</v>
      </c>
    </row>
    <row r="3" spans="1:10" ht="16">
      <c r="A3" s="76"/>
      <c r="B3" s="77"/>
      <c r="C3" s="78"/>
      <c r="D3" s="107"/>
      <c r="E3" s="157"/>
      <c r="F3" s="81"/>
      <c r="G3" s="80"/>
      <c r="H3" s="80"/>
      <c r="I3" s="80"/>
      <c r="J3" s="82"/>
    </row>
    <row r="4" spans="1:10" ht="16">
      <c r="A4" s="472" t="s">
        <v>9</v>
      </c>
      <c r="B4" s="473"/>
      <c r="C4" s="473"/>
      <c r="D4" s="83"/>
      <c r="E4" s="83"/>
      <c r="F4" s="84"/>
      <c r="G4" s="83"/>
      <c r="H4" s="83"/>
      <c r="I4" s="83"/>
      <c r="J4" s="85"/>
    </row>
    <row r="5" spans="1:10" ht="16">
      <c r="A5" s="86" t="s">
        <v>115</v>
      </c>
      <c r="B5" s="87"/>
      <c r="C5" s="88"/>
      <c r="D5" s="89"/>
      <c r="E5" s="89"/>
      <c r="F5" s="90"/>
      <c r="G5" s="89"/>
      <c r="H5" s="89"/>
      <c r="I5" s="89"/>
      <c r="J5" s="91"/>
    </row>
    <row r="6" spans="1:10" ht="16">
      <c r="A6" s="87"/>
      <c r="B6" s="92" t="s">
        <v>116</v>
      </c>
      <c r="C6" s="92" t="s">
        <v>117</v>
      </c>
      <c r="D6" s="93" t="s">
        <v>118</v>
      </c>
      <c r="E6" s="94">
        <v>10</v>
      </c>
      <c r="F6" s="95">
        <v>1200</v>
      </c>
      <c r="G6" s="94">
        <f>F6*E6</f>
        <v>12000</v>
      </c>
      <c r="H6" s="94">
        <f>G6</f>
        <v>12000</v>
      </c>
      <c r="I6" s="94">
        <v>0</v>
      </c>
      <c r="J6" s="96">
        <v>0</v>
      </c>
    </row>
    <row r="7" spans="1:10" ht="16">
      <c r="A7" s="97"/>
      <c r="B7" s="98"/>
      <c r="C7" s="99"/>
      <c r="D7" s="100"/>
      <c r="E7" s="100"/>
      <c r="F7" s="101"/>
      <c r="G7" s="100"/>
      <c r="H7" s="100"/>
      <c r="I7" s="100"/>
      <c r="J7" s="102"/>
    </row>
    <row r="8" spans="1:10" ht="16">
      <c r="A8" s="97"/>
      <c r="B8" s="103" t="s">
        <v>119</v>
      </c>
      <c r="C8" s="99"/>
      <c r="D8" s="100"/>
      <c r="E8" s="100"/>
      <c r="F8" s="101"/>
      <c r="G8" s="100"/>
      <c r="H8" s="104">
        <f>SUM(H6:H6)</f>
        <v>12000</v>
      </c>
      <c r="I8" s="104">
        <v>0</v>
      </c>
      <c r="J8" s="105">
        <f>J6</f>
        <v>0</v>
      </c>
    </row>
    <row r="9" spans="1:10" ht="16">
      <c r="A9" s="86"/>
      <c r="B9" s="87"/>
      <c r="C9" s="106"/>
      <c r="D9" s="107"/>
      <c r="E9" s="107"/>
      <c r="F9" s="108"/>
      <c r="G9" s="107"/>
      <c r="H9" s="107"/>
      <c r="I9" s="107"/>
      <c r="J9" s="109"/>
    </row>
    <row r="10" spans="1:10" ht="17">
      <c r="A10" s="110"/>
      <c r="B10" s="111"/>
      <c r="C10" s="112" t="s">
        <v>11</v>
      </c>
      <c r="D10" s="113"/>
      <c r="E10" s="113"/>
      <c r="F10" s="114"/>
      <c r="G10" s="113"/>
      <c r="H10" s="113">
        <f>H8</f>
        <v>12000</v>
      </c>
      <c r="I10" s="113">
        <f>I8</f>
        <v>0</v>
      </c>
      <c r="J10" s="115">
        <f>J8</f>
        <v>0</v>
      </c>
    </row>
    <row r="11" spans="1:10" ht="17">
      <c r="A11" s="110"/>
      <c r="B11" s="111"/>
      <c r="C11" s="116"/>
      <c r="D11" s="107"/>
      <c r="E11" s="107"/>
      <c r="F11" s="108"/>
      <c r="G11" s="107"/>
      <c r="H11" s="107"/>
      <c r="I11" s="107"/>
      <c r="J11" s="109"/>
    </row>
    <row r="12" spans="1:10" ht="16">
      <c r="A12" s="472" t="s">
        <v>12</v>
      </c>
      <c r="B12" s="473"/>
      <c r="C12" s="473"/>
      <c r="D12" s="83"/>
      <c r="E12" s="117"/>
      <c r="F12" s="118"/>
      <c r="G12" s="117"/>
      <c r="H12" s="117"/>
      <c r="I12" s="117"/>
      <c r="J12" s="85"/>
    </row>
    <row r="13" spans="1:10" ht="16">
      <c r="A13" s="86" t="s">
        <v>120</v>
      </c>
      <c r="B13" s="87"/>
      <c r="C13" s="88"/>
      <c r="D13" s="119"/>
      <c r="E13" s="119"/>
      <c r="F13" s="120"/>
      <c r="G13" s="119"/>
      <c r="H13" s="119"/>
      <c r="I13" s="119"/>
      <c r="J13" s="121"/>
    </row>
    <row r="14" spans="1:10" ht="16">
      <c r="A14" s="122"/>
      <c r="B14" s="92" t="s">
        <v>121</v>
      </c>
      <c r="C14" s="123" t="s">
        <v>122</v>
      </c>
      <c r="D14" s="94" t="s">
        <v>123</v>
      </c>
      <c r="E14" s="94">
        <v>80</v>
      </c>
      <c r="F14" s="95">
        <v>40</v>
      </c>
      <c r="G14" s="94">
        <f t="shared" ref="G14:G19" si="0">E14*F14</f>
        <v>3200</v>
      </c>
      <c r="H14" s="94">
        <f>G14</f>
        <v>3200</v>
      </c>
      <c r="I14" s="94"/>
      <c r="J14" s="96"/>
    </row>
    <row r="15" spans="1:10" s="129" customFormat="1" ht="16">
      <c r="A15" s="122"/>
      <c r="B15" s="88" t="s">
        <v>124</v>
      </c>
      <c r="C15" s="124" t="s">
        <v>125</v>
      </c>
      <c r="D15" s="125" t="s">
        <v>1404</v>
      </c>
      <c r="E15" s="119">
        <v>6.35</v>
      </c>
      <c r="F15" s="120">
        <v>5</v>
      </c>
      <c r="G15" s="119">
        <f t="shared" si="0"/>
        <v>31.75</v>
      </c>
      <c r="H15" s="119">
        <f>G15*1.13</f>
        <v>35.877499999999998</v>
      </c>
      <c r="I15" s="119"/>
      <c r="J15" s="121"/>
    </row>
    <row r="16" spans="1:10" ht="16">
      <c r="A16" s="122"/>
      <c r="B16" s="92" t="s">
        <v>126</v>
      </c>
      <c r="C16" s="123" t="s">
        <v>127</v>
      </c>
      <c r="D16" s="126" t="s">
        <v>128</v>
      </c>
      <c r="E16" s="94">
        <v>1.4</v>
      </c>
      <c r="F16" s="95">
        <v>1200</v>
      </c>
      <c r="G16" s="94">
        <f t="shared" si="0"/>
        <v>1680</v>
      </c>
      <c r="H16" s="94">
        <f>G16*1.13</f>
        <v>1898.3999999999999</v>
      </c>
      <c r="I16" s="94"/>
      <c r="J16" s="96"/>
    </row>
    <row r="17" spans="1:10" s="129" customFormat="1" ht="16">
      <c r="A17" s="122"/>
      <c r="B17" s="88" t="s">
        <v>129</v>
      </c>
      <c r="C17" s="124" t="s">
        <v>131</v>
      </c>
      <c r="D17" s="125" t="s">
        <v>132</v>
      </c>
      <c r="E17" s="119">
        <v>20</v>
      </c>
      <c r="F17" s="120">
        <v>15</v>
      </c>
      <c r="G17" s="119">
        <f t="shared" si="0"/>
        <v>300</v>
      </c>
      <c r="H17" s="119">
        <f>G17*1.13</f>
        <v>338.99999999999994</v>
      </c>
      <c r="I17" s="119"/>
      <c r="J17" s="121"/>
    </row>
    <row r="18" spans="1:10" ht="16">
      <c r="A18" s="122"/>
      <c r="B18" s="92" t="s">
        <v>130</v>
      </c>
      <c r="C18" s="123" t="s">
        <v>1228</v>
      </c>
      <c r="D18" s="126" t="s">
        <v>1231</v>
      </c>
      <c r="E18" s="94">
        <v>13</v>
      </c>
      <c r="F18" s="95">
        <v>1</v>
      </c>
      <c r="G18" s="94">
        <f t="shared" si="0"/>
        <v>13</v>
      </c>
      <c r="H18" s="94">
        <v>13</v>
      </c>
      <c r="I18" s="94"/>
      <c r="J18" s="96"/>
    </row>
    <row r="19" spans="1:10" s="129" customFormat="1" ht="16">
      <c r="A19" s="122"/>
      <c r="B19" s="88" t="s">
        <v>1230</v>
      </c>
      <c r="C19" s="124" t="s">
        <v>1232</v>
      </c>
      <c r="D19" s="125" t="s">
        <v>1233</v>
      </c>
      <c r="E19" s="119">
        <v>120</v>
      </c>
      <c r="F19" s="120">
        <v>10</v>
      </c>
      <c r="G19" s="119">
        <f t="shared" si="0"/>
        <v>1200</v>
      </c>
      <c r="H19" s="119">
        <v>1200</v>
      </c>
      <c r="I19" s="119"/>
      <c r="J19" s="121"/>
    </row>
    <row r="20" spans="1:10" ht="16">
      <c r="A20" s="122"/>
      <c r="B20" s="97"/>
      <c r="C20" s="124"/>
      <c r="D20" s="119"/>
      <c r="E20" s="119"/>
      <c r="F20" s="120"/>
      <c r="G20" s="119"/>
      <c r="H20" s="119"/>
      <c r="I20" s="119"/>
      <c r="J20" s="121"/>
    </row>
    <row r="21" spans="1:10" ht="16">
      <c r="A21" s="122"/>
      <c r="B21" s="103" t="s">
        <v>133</v>
      </c>
      <c r="C21" s="127"/>
      <c r="D21" s="67"/>
      <c r="E21" s="67"/>
      <c r="F21" s="66"/>
      <c r="G21" s="67"/>
      <c r="H21" s="67">
        <f>SUM(H14:H19)</f>
        <v>6686.2775000000001</v>
      </c>
      <c r="I21" s="67">
        <f>SUM(I14:I20)</f>
        <v>0</v>
      </c>
      <c r="J21" s="68">
        <f>SUM(J14:J20)</f>
        <v>0</v>
      </c>
    </row>
    <row r="22" spans="1:10" ht="16">
      <c r="A22" s="86"/>
      <c r="B22" s="87"/>
      <c r="C22" s="106"/>
      <c r="D22" s="107"/>
      <c r="E22" s="107"/>
      <c r="F22" s="108"/>
      <c r="G22" s="107"/>
      <c r="H22" s="107"/>
      <c r="I22" s="107"/>
      <c r="J22" s="109"/>
    </row>
    <row r="23" spans="1:10" ht="16">
      <c r="A23" s="86" t="s">
        <v>134</v>
      </c>
      <c r="B23" s="87"/>
      <c r="C23" s="88"/>
      <c r="D23" s="119"/>
      <c r="E23" s="119"/>
      <c r="F23" s="120"/>
      <c r="G23" s="119"/>
      <c r="H23" s="119"/>
      <c r="I23" s="119"/>
      <c r="J23" s="121"/>
    </row>
    <row r="24" spans="1:10" ht="16">
      <c r="A24" s="122"/>
      <c r="B24" s="92" t="s">
        <v>135</v>
      </c>
      <c r="C24" s="123" t="s">
        <v>136</v>
      </c>
      <c r="D24" s="94" t="s">
        <v>137</v>
      </c>
      <c r="E24" s="94">
        <v>500</v>
      </c>
      <c r="F24" s="95">
        <v>1</v>
      </c>
      <c r="G24" s="94">
        <f>E24*F24</f>
        <v>500</v>
      </c>
      <c r="H24" s="94">
        <f>G24</f>
        <v>500</v>
      </c>
      <c r="I24" s="94"/>
      <c r="J24" s="96"/>
    </row>
    <row r="25" spans="1:10" ht="16">
      <c r="A25" s="122"/>
      <c r="B25" s="88" t="s">
        <v>138</v>
      </c>
      <c r="C25" s="124" t="s">
        <v>139</v>
      </c>
      <c r="D25" s="119" t="s">
        <v>140</v>
      </c>
      <c r="E25" s="119">
        <v>19.989999999999998</v>
      </c>
      <c r="F25" s="120">
        <v>15</v>
      </c>
      <c r="G25" s="119">
        <f>E25*F25</f>
        <v>299.84999999999997</v>
      </c>
      <c r="H25" s="119">
        <f>G25*1.13</f>
        <v>338.83049999999992</v>
      </c>
      <c r="I25" s="119"/>
      <c r="J25" s="121"/>
    </row>
    <row r="26" spans="1:10" ht="16">
      <c r="A26" s="122"/>
      <c r="B26" s="92" t="s">
        <v>141</v>
      </c>
      <c r="C26" s="123" t="s">
        <v>142</v>
      </c>
      <c r="D26" s="94" t="s">
        <v>143</v>
      </c>
      <c r="E26" s="94">
        <v>50</v>
      </c>
      <c r="F26" s="95">
        <v>4</v>
      </c>
      <c r="G26" s="94">
        <f>E26*F26</f>
        <v>200</v>
      </c>
      <c r="H26" s="94">
        <f>G26*1.13</f>
        <v>225.99999999999997</v>
      </c>
      <c r="I26" s="94"/>
      <c r="J26" s="96"/>
    </row>
    <row r="27" spans="1:10" ht="16">
      <c r="A27" s="122"/>
      <c r="B27" s="88" t="s">
        <v>144</v>
      </c>
      <c r="C27" s="124" t="s">
        <v>145</v>
      </c>
      <c r="D27" s="119" t="s">
        <v>146</v>
      </c>
      <c r="E27" s="119">
        <v>30</v>
      </c>
      <c r="F27" s="120">
        <v>5</v>
      </c>
      <c r="G27" s="119">
        <f>E27*F27</f>
        <v>150</v>
      </c>
      <c r="H27" s="119">
        <f>G27*1.13</f>
        <v>169.49999999999997</v>
      </c>
      <c r="I27" s="119"/>
      <c r="J27" s="121"/>
    </row>
    <row r="28" spans="1:10" ht="16">
      <c r="A28" s="122"/>
      <c r="B28" s="92" t="s">
        <v>1227</v>
      </c>
      <c r="C28" s="123" t="s">
        <v>1228</v>
      </c>
      <c r="D28" s="94" t="s">
        <v>1229</v>
      </c>
      <c r="E28" s="94">
        <v>13</v>
      </c>
      <c r="F28" s="95">
        <v>1</v>
      </c>
      <c r="G28" s="94">
        <f>E28*F28</f>
        <v>13</v>
      </c>
      <c r="H28" s="94">
        <f>13</f>
        <v>13</v>
      </c>
      <c r="I28" s="94"/>
      <c r="J28" s="96"/>
    </row>
    <row r="29" spans="1:10" ht="16">
      <c r="A29" s="122"/>
      <c r="B29" s="88"/>
      <c r="C29" s="124"/>
      <c r="D29" s="119"/>
      <c r="E29" s="119"/>
      <c r="F29" s="120"/>
      <c r="G29" s="119"/>
      <c r="H29" s="119"/>
      <c r="I29" s="119"/>
      <c r="J29" s="121"/>
    </row>
    <row r="30" spans="1:10" ht="16">
      <c r="A30" s="122"/>
      <c r="B30" s="103" t="s">
        <v>147</v>
      </c>
      <c r="C30" s="127"/>
      <c r="D30" s="67"/>
      <c r="E30" s="67"/>
      <c r="F30" s="66"/>
      <c r="G30" s="67"/>
      <c r="H30" s="67">
        <f>SUM(H24:H28)</f>
        <v>1247.3304999999998</v>
      </c>
      <c r="I30" s="67">
        <f>SUM(I23:I26)</f>
        <v>0</v>
      </c>
      <c r="J30" s="68">
        <f>SUM(J23:J26)</f>
        <v>0</v>
      </c>
    </row>
    <row r="31" spans="1:10" ht="16">
      <c r="A31" s="86"/>
      <c r="B31" s="87"/>
      <c r="C31" s="106"/>
      <c r="D31" s="107"/>
      <c r="E31" s="107"/>
      <c r="F31" s="108"/>
      <c r="G31" s="107"/>
      <c r="H31" s="107"/>
      <c r="I31" s="107"/>
      <c r="J31" s="109"/>
    </row>
    <row r="32" spans="1:10" ht="16">
      <c r="A32" s="86" t="s">
        <v>148</v>
      </c>
      <c r="B32" s="87"/>
      <c r="C32" s="88"/>
      <c r="D32" s="89"/>
      <c r="E32" s="89"/>
      <c r="F32" s="90"/>
      <c r="G32" s="89"/>
      <c r="H32" s="89"/>
      <c r="I32" s="89"/>
      <c r="J32" s="91"/>
    </row>
    <row r="33" spans="1:10" ht="16">
      <c r="A33" s="86"/>
      <c r="B33" s="87"/>
      <c r="C33" s="97"/>
      <c r="D33" s="97"/>
      <c r="E33" s="97"/>
      <c r="F33" s="97"/>
      <c r="G33" s="97"/>
      <c r="H33" s="97"/>
      <c r="I33" s="89"/>
      <c r="J33" s="91"/>
    </row>
    <row r="34" spans="1:10" ht="16">
      <c r="A34" s="86"/>
      <c r="B34" s="92" t="s">
        <v>149</v>
      </c>
      <c r="C34" s="92" t="s">
        <v>150</v>
      </c>
      <c r="D34" s="126" t="s">
        <v>151</v>
      </c>
      <c r="E34" s="94">
        <v>100</v>
      </c>
      <c r="F34" s="95">
        <v>1</v>
      </c>
      <c r="G34" s="94">
        <f>E34*F34</f>
        <v>100</v>
      </c>
      <c r="H34" s="94">
        <f>G34*1.13</f>
        <v>112.99999999999999</v>
      </c>
      <c r="I34" s="94"/>
      <c r="J34" s="96"/>
    </row>
    <row r="35" spans="1:10" ht="16">
      <c r="A35" s="122"/>
      <c r="B35" s="88" t="s">
        <v>152</v>
      </c>
      <c r="C35" s="124" t="s">
        <v>153</v>
      </c>
      <c r="D35" s="125" t="s">
        <v>154</v>
      </c>
      <c r="E35" s="119">
        <v>15</v>
      </c>
      <c r="F35" s="120">
        <v>45</v>
      </c>
      <c r="G35" s="119">
        <f>E35*F35</f>
        <v>675</v>
      </c>
      <c r="H35" s="119">
        <f>G35*1.13</f>
        <v>762.74999999999989</v>
      </c>
      <c r="I35" s="119"/>
      <c r="J35" s="121"/>
    </row>
    <row r="36" spans="1:10" ht="16">
      <c r="A36" s="122"/>
      <c r="B36" s="92" t="s">
        <v>155</v>
      </c>
      <c r="C36" s="123" t="s">
        <v>156</v>
      </c>
      <c r="D36" s="126" t="s">
        <v>157</v>
      </c>
      <c r="E36" s="94">
        <v>49.99</v>
      </c>
      <c r="F36" s="95">
        <v>1</v>
      </c>
      <c r="G36" s="94">
        <f t="shared" ref="G36:G40" si="1">E36*F36</f>
        <v>49.99</v>
      </c>
      <c r="H36" s="94">
        <f t="shared" ref="H36:H40" si="2">G36*1.13</f>
        <v>56.488699999999994</v>
      </c>
      <c r="I36" s="94"/>
      <c r="J36" s="96"/>
    </row>
    <row r="37" spans="1:10" s="129" customFormat="1" ht="16">
      <c r="A37" s="122"/>
      <c r="B37" s="88" t="s">
        <v>158</v>
      </c>
      <c r="C37" s="124" t="s">
        <v>159</v>
      </c>
      <c r="D37" s="129" t="s">
        <v>1226</v>
      </c>
      <c r="E37" s="119">
        <v>200</v>
      </c>
      <c r="F37" s="120">
        <v>6</v>
      </c>
      <c r="G37" s="119">
        <f t="shared" si="1"/>
        <v>1200</v>
      </c>
      <c r="H37" s="119">
        <f>G37</f>
        <v>1200</v>
      </c>
      <c r="I37" s="119"/>
      <c r="J37" s="121"/>
    </row>
    <row r="38" spans="1:10" ht="16">
      <c r="A38" s="122"/>
      <c r="B38" s="92" t="s">
        <v>160</v>
      </c>
      <c r="C38" s="123" t="s">
        <v>161</v>
      </c>
      <c r="D38" s="126" t="s">
        <v>162</v>
      </c>
      <c r="E38" s="94">
        <v>300</v>
      </c>
      <c r="F38" s="95">
        <v>8</v>
      </c>
      <c r="G38" s="94">
        <f t="shared" si="1"/>
        <v>2400</v>
      </c>
      <c r="H38" s="94">
        <f>G38</f>
        <v>2400</v>
      </c>
      <c r="I38" s="94"/>
      <c r="J38" s="96"/>
    </row>
    <row r="39" spans="1:10" ht="16">
      <c r="A39" s="122"/>
      <c r="B39" s="88" t="s">
        <v>163</v>
      </c>
      <c r="C39" s="124" t="s">
        <v>164</v>
      </c>
      <c r="D39" s="125" t="s">
        <v>165</v>
      </c>
      <c r="E39" s="119">
        <v>6</v>
      </c>
      <c r="F39" s="120">
        <v>30</v>
      </c>
      <c r="G39" s="119">
        <f t="shared" si="1"/>
        <v>180</v>
      </c>
      <c r="H39" s="119">
        <f t="shared" si="2"/>
        <v>203.39999999999998</v>
      </c>
      <c r="I39" s="119"/>
      <c r="J39" s="121"/>
    </row>
    <row r="40" spans="1:10" ht="16">
      <c r="A40" s="122"/>
      <c r="B40" s="92" t="s">
        <v>166</v>
      </c>
      <c r="C40" s="123" t="s">
        <v>167</v>
      </c>
      <c r="D40" s="126" t="s">
        <v>168</v>
      </c>
      <c r="E40" s="94">
        <v>0.25</v>
      </c>
      <c r="F40" s="95">
        <v>200</v>
      </c>
      <c r="G40" s="94">
        <f t="shared" si="1"/>
        <v>50</v>
      </c>
      <c r="H40" s="94">
        <f t="shared" si="2"/>
        <v>56.499999999999993</v>
      </c>
      <c r="I40" s="94"/>
      <c r="J40" s="96"/>
    </row>
    <row r="41" spans="1:10" s="129" customFormat="1" ht="16">
      <c r="A41" s="128"/>
      <c r="B41" s="88" t="s">
        <v>169</v>
      </c>
      <c r="C41" s="124" t="s">
        <v>170</v>
      </c>
      <c r="D41" s="125" t="s">
        <v>171</v>
      </c>
      <c r="E41" s="119">
        <v>1</v>
      </c>
      <c r="F41" s="120">
        <v>100</v>
      </c>
      <c r="G41" s="119">
        <f>E41*F41</f>
        <v>100</v>
      </c>
      <c r="H41" s="119">
        <f>G41*1.13</f>
        <v>112.99999999999999</v>
      </c>
      <c r="J41" s="130"/>
    </row>
    <row r="42" spans="1:10" ht="16">
      <c r="A42" s="128"/>
      <c r="B42" s="92" t="s">
        <v>172</v>
      </c>
      <c r="C42" s="123" t="s">
        <v>1405</v>
      </c>
      <c r="D42" s="126" t="s">
        <v>173</v>
      </c>
      <c r="E42" s="94">
        <v>10</v>
      </c>
      <c r="F42" s="95">
        <v>70</v>
      </c>
      <c r="G42" s="94">
        <f>E42*F42</f>
        <v>700</v>
      </c>
      <c r="H42" s="94">
        <f>G42</f>
        <v>700</v>
      </c>
      <c r="I42" s="131"/>
      <c r="J42" s="132"/>
    </row>
    <row r="43" spans="1:10" s="129" customFormat="1" ht="16">
      <c r="A43" s="128"/>
      <c r="B43" s="88" t="s">
        <v>177</v>
      </c>
      <c r="C43" s="124" t="s">
        <v>174</v>
      </c>
      <c r="D43" s="125" t="s">
        <v>175</v>
      </c>
      <c r="E43" s="119">
        <v>30</v>
      </c>
      <c r="F43" s="120">
        <v>6</v>
      </c>
      <c r="G43" s="119">
        <f>E43*F43</f>
        <v>180</v>
      </c>
      <c r="H43" s="119">
        <f>G43</f>
        <v>180</v>
      </c>
      <c r="J43" s="130"/>
    </row>
    <row r="44" spans="1:10" ht="16">
      <c r="A44" s="128"/>
      <c r="B44" s="128"/>
      <c r="C44" s="133"/>
      <c r="D44" s="104"/>
      <c r="E44" s="104"/>
      <c r="F44" s="134"/>
      <c r="G44" s="104"/>
      <c r="H44" s="89"/>
      <c r="J44" s="135"/>
    </row>
    <row r="45" spans="1:10" ht="16">
      <c r="A45" s="122"/>
      <c r="B45" s="103" t="s">
        <v>133</v>
      </c>
      <c r="C45" s="127"/>
      <c r="D45" s="67"/>
      <c r="E45" s="67"/>
      <c r="F45" s="66"/>
      <c r="G45" s="67"/>
      <c r="H45" s="67">
        <f>SUM(H34:H43)</f>
        <v>5785.1386999999995</v>
      </c>
      <c r="I45" s="67">
        <f>SUM(I34:I37)</f>
        <v>0</v>
      </c>
      <c r="J45" s="68">
        <f>SUM(J34:J37)</f>
        <v>0</v>
      </c>
    </row>
    <row r="46" spans="1:10" ht="16">
      <c r="A46" s="122"/>
      <c r="B46" s="97"/>
      <c r="C46" s="97"/>
      <c r="D46" s="97"/>
      <c r="E46" s="97"/>
      <c r="F46" s="97"/>
      <c r="G46" s="97"/>
      <c r="H46" s="97"/>
      <c r="I46" s="119"/>
      <c r="J46" s="121"/>
    </row>
    <row r="47" spans="1:10" ht="16">
      <c r="A47" s="86" t="s">
        <v>176</v>
      </c>
      <c r="B47" s="87"/>
      <c r="C47" s="88"/>
      <c r="D47" s="119"/>
      <c r="E47" s="119"/>
      <c r="F47" s="120"/>
      <c r="G47" s="119"/>
      <c r="H47" s="119"/>
      <c r="I47" s="119"/>
      <c r="J47" s="121"/>
    </row>
    <row r="48" spans="1:10" ht="16">
      <c r="A48" s="122"/>
      <c r="B48" s="92" t="s">
        <v>1428</v>
      </c>
      <c r="C48" s="123" t="s">
        <v>178</v>
      </c>
      <c r="D48" s="94" t="s">
        <v>179</v>
      </c>
      <c r="E48" s="94">
        <v>80</v>
      </c>
      <c r="F48" s="95">
        <v>4</v>
      </c>
      <c r="G48" s="94">
        <f>E48*F48</f>
        <v>320</v>
      </c>
      <c r="H48" s="94">
        <f>G48*1.13</f>
        <v>361.59999999999997</v>
      </c>
      <c r="I48" s="94"/>
      <c r="J48" s="96"/>
    </row>
    <row r="49" spans="1:10" ht="16">
      <c r="A49" s="122"/>
      <c r="B49" s="88"/>
      <c r="C49" s="124"/>
      <c r="D49" s="119"/>
      <c r="E49" s="119"/>
      <c r="F49" s="120"/>
      <c r="G49" s="119"/>
      <c r="H49" s="119"/>
      <c r="I49" s="119"/>
      <c r="J49" s="121"/>
    </row>
    <row r="50" spans="1:10" ht="16">
      <c r="A50" s="122"/>
      <c r="B50" s="103" t="s">
        <v>180</v>
      </c>
      <c r="C50" s="127"/>
      <c r="D50" s="67"/>
      <c r="E50" s="67"/>
      <c r="F50" s="66"/>
      <c r="G50" s="67"/>
      <c r="H50" s="67">
        <f>SUM(H48:H48)</f>
        <v>361.59999999999997</v>
      </c>
      <c r="I50" s="67">
        <f>SUM(I47:I48)</f>
        <v>0</v>
      </c>
      <c r="J50" s="68">
        <f>SUM(J47:J48)</f>
        <v>0</v>
      </c>
    </row>
    <row r="51" spans="1:10" ht="16">
      <c r="A51" s="122"/>
      <c r="B51" s="97"/>
      <c r="C51" s="124"/>
      <c r="D51" s="119"/>
      <c r="E51" s="119"/>
      <c r="F51" s="120"/>
      <c r="G51" s="119"/>
      <c r="H51" s="119"/>
      <c r="I51" s="119"/>
      <c r="J51" s="121"/>
    </row>
    <row r="52" spans="1:10" ht="17">
      <c r="A52" s="136"/>
      <c r="B52" s="137"/>
      <c r="C52" s="112" t="s">
        <v>13</v>
      </c>
      <c r="D52" s="113"/>
      <c r="E52" s="113"/>
      <c r="F52" s="114"/>
      <c r="G52" s="113"/>
      <c r="H52" s="113">
        <f>SUM(H21+H30+H45+H50)</f>
        <v>14080.3467</v>
      </c>
      <c r="I52" s="113">
        <f>SUM(I21+I30+I45+I50)</f>
        <v>0</v>
      </c>
      <c r="J52" s="115">
        <f>SUM(J21+J30+J45+J50)</f>
        <v>0</v>
      </c>
    </row>
    <row r="53" spans="1:10" ht="17">
      <c r="A53" s="136"/>
      <c r="B53" s="137"/>
      <c r="C53" s="116"/>
      <c r="D53" s="113"/>
      <c r="E53" s="113"/>
      <c r="F53" s="114"/>
      <c r="G53" s="113"/>
      <c r="H53" s="113"/>
      <c r="I53" s="113"/>
      <c r="J53" s="115"/>
    </row>
    <row r="54" spans="1:10" ht="18">
      <c r="A54" s="138" t="s">
        <v>14</v>
      </c>
      <c r="B54" s="139"/>
      <c r="C54" s="139"/>
      <c r="D54" s="140"/>
      <c r="E54" s="140"/>
      <c r="F54" s="141"/>
      <c r="G54" s="140"/>
      <c r="H54" s="140"/>
      <c r="I54" s="140"/>
      <c r="J54" s="142"/>
    </row>
    <row r="55" spans="1:10" ht="18">
      <c r="A55" s="143"/>
      <c r="B55" s="144" t="s">
        <v>15</v>
      </c>
      <c r="C55" s="145"/>
      <c r="D55" s="146"/>
      <c r="E55" s="146"/>
      <c r="F55" s="146"/>
      <c r="G55" s="146"/>
      <c r="H55" s="146">
        <f>H10</f>
        <v>12000</v>
      </c>
      <c r="I55" s="146">
        <f>I10</f>
        <v>0</v>
      </c>
      <c r="J55" s="147">
        <f>J10</f>
        <v>0</v>
      </c>
    </row>
    <row r="56" spans="1:10" ht="18">
      <c r="A56" s="143"/>
      <c r="B56" s="148" t="s">
        <v>16</v>
      </c>
      <c r="C56" s="149"/>
      <c r="D56" s="150"/>
      <c r="E56" s="150"/>
      <c r="F56" s="150"/>
      <c r="G56" s="150"/>
      <c r="H56" s="150">
        <f>H52</f>
        <v>14080.3467</v>
      </c>
      <c r="I56" s="150">
        <f>I52</f>
        <v>0</v>
      </c>
      <c r="J56" s="151">
        <f>J52</f>
        <v>0</v>
      </c>
    </row>
    <row r="57" spans="1:10" ht="18">
      <c r="A57" s="152"/>
      <c r="B57" s="153" t="s">
        <v>17</v>
      </c>
      <c r="C57" s="154"/>
      <c r="D57" s="155"/>
      <c r="E57" s="155"/>
      <c r="F57" s="155"/>
      <c r="G57" s="155"/>
      <c r="H57" s="155">
        <f>H55-H56</f>
        <v>-2080.3467000000001</v>
      </c>
      <c r="I57" s="155">
        <f>I55-I56</f>
        <v>0</v>
      </c>
      <c r="J57" s="156">
        <f>J55-J56</f>
        <v>0</v>
      </c>
    </row>
  </sheetData>
  <mergeCells count="4">
    <mergeCell ref="A1:C1"/>
    <mergeCell ref="D1:E1"/>
    <mergeCell ref="A4:C4"/>
    <mergeCell ref="A12:C1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A30" sqref="A30:XFD30"/>
    </sheetView>
  </sheetViews>
  <sheetFormatPr baseColWidth="10" defaultRowHeight="15" x14ac:dyDescent="0"/>
  <cols>
    <col min="3" max="3" width="30.33203125" customWidth="1"/>
    <col min="4" max="4" width="28.5" customWidth="1"/>
    <col min="8" max="8" width="12.83203125" bestFit="1" customWidth="1"/>
  </cols>
  <sheetData>
    <row r="1" spans="1:10" ht="25">
      <c r="A1" s="499" t="s">
        <v>245</v>
      </c>
      <c r="B1" s="499"/>
      <c r="C1" s="499"/>
      <c r="D1" s="499"/>
      <c r="E1" s="499"/>
      <c r="F1" s="499"/>
      <c r="G1" s="499"/>
      <c r="H1" s="499"/>
      <c r="I1" s="499"/>
      <c r="J1" s="500"/>
    </row>
    <row r="2" spans="1:10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>
      <c r="A5" s="62"/>
      <c r="B5" s="63"/>
      <c r="C5" s="63"/>
      <c r="D5" s="43"/>
      <c r="E5" s="43"/>
      <c r="F5" s="44"/>
      <c r="G5" s="43"/>
      <c r="H5" s="43"/>
      <c r="I5" s="43"/>
      <c r="J5" s="45"/>
    </row>
    <row r="6" spans="1:10">
      <c r="A6" s="20"/>
      <c r="B6" s="21"/>
      <c r="C6" s="21" t="s">
        <v>11</v>
      </c>
      <c r="D6" s="43"/>
      <c r="E6" s="43"/>
      <c r="F6" s="44"/>
      <c r="G6" s="43"/>
      <c r="H6" s="43">
        <v>0</v>
      </c>
      <c r="I6" s="43">
        <v>0</v>
      </c>
      <c r="J6" s="45">
        <v>0</v>
      </c>
    </row>
    <row r="7" spans="1:10">
      <c r="A7" s="20"/>
      <c r="B7" s="21"/>
      <c r="C7" s="21"/>
      <c r="D7" s="43"/>
      <c r="E7" s="43"/>
      <c r="F7" s="44"/>
      <c r="G7" s="43"/>
      <c r="H7" s="43"/>
      <c r="I7" s="43"/>
      <c r="J7" s="45"/>
    </row>
    <row r="8" spans="1:10">
      <c r="A8" s="497" t="s">
        <v>12</v>
      </c>
      <c r="B8" s="498"/>
      <c r="C8" s="498"/>
      <c r="D8" s="17"/>
      <c r="E8" s="48"/>
      <c r="F8" s="49"/>
      <c r="G8" s="48"/>
      <c r="H8" s="48"/>
      <c r="I8" s="48"/>
      <c r="J8" s="19"/>
    </row>
    <row r="9" spans="1:10">
      <c r="A9" s="20" t="s">
        <v>246</v>
      </c>
      <c r="B9" s="21"/>
      <c r="C9" s="22"/>
      <c r="D9" s="32"/>
      <c r="E9" s="32"/>
      <c r="F9" s="33"/>
      <c r="G9" s="32"/>
      <c r="H9" s="32"/>
      <c r="I9" s="32"/>
      <c r="J9" s="34"/>
    </row>
    <row r="10" spans="1:10">
      <c r="A10" s="30"/>
      <c r="B10" s="35" t="s">
        <v>247</v>
      </c>
      <c r="C10" s="35" t="s">
        <v>248</v>
      </c>
      <c r="D10" s="27" t="s">
        <v>249</v>
      </c>
      <c r="E10" s="27">
        <v>80</v>
      </c>
      <c r="F10" s="28">
        <v>7</v>
      </c>
      <c r="G10" s="27">
        <f>F10*E10</f>
        <v>560</v>
      </c>
      <c r="H10" s="27">
        <f>G10*1.13</f>
        <v>632.79999999999995</v>
      </c>
      <c r="I10" s="27"/>
      <c r="J10" s="29"/>
    </row>
    <row r="11" spans="1:10" s="129" customFormat="1">
      <c r="A11" s="30"/>
      <c r="B11" s="22" t="s">
        <v>250</v>
      </c>
      <c r="C11" s="22" t="s">
        <v>251</v>
      </c>
      <c r="D11" s="32" t="s">
        <v>252</v>
      </c>
      <c r="E11" s="32">
        <v>0.05</v>
      </c>
      <c r="F11" s="33">
        <v>200</v>
      </c>
      <c r="G11" s="32">
        <f t="shared" ref="G11:G13" si="0">F11*E11</f>
        <v>10</v>
      </c>
      <c r="H11" s="32">
        <f t="shared" ref="H11:H13" si="1">G11*1.13</f>
        <v>11.299999999999999</v>
      </c>
      <c r="I11" s="32"/>
      <c r="J11" s="34"/>
    </row>
    <row r="12" spans="1:10">
      <c r="A12" s="30"/>
      <c r="B12" s="35" t="s">
        <v>253</v>
      </c>
      <c r="C12" s="35" t="s">
        <v>248</v>
      </c>
      <c r="D12" s="27" t="s">
        <v>254</v>
      </c>
      <c r="E12" s="27">
        <v>40</v>
      </c>
      <c r="F12" s="28">
        <v>7</v>
      </c>
      <c r="G12" s="27">
        <f t="shared" si="0"/>
        <v>280</v>
      </c>
      <c r="H12" s="27">
        <f t="shared" si="1"/>
        <v>316.39999999999998</v>
      </c>
      <c r="I12" s="27"/>
      <c r="J12" s="29"/>
    </row>
    <row r="13" spans="1:10">
      <c r="A13" s="30"/>
      <c r="B13" s="22" t="s">
        <v>255</v>
      </c>
      <c r="C13" s="22" t="s">
        <v>251</v>
      </c>
      <c r="D13" s="32" t="s">
        <v>256</v>
      </c>
      <c r="E13" s="32">
        <v>0.05</v>
      </c>
      <c r="F13" s="33">
        <v>50</v>
      </c>
      <c r="G13" s="32">
        <f t="shared" si="0"/>
        <v>2.5</v>
      </c>
      <c r="H13" s="32">
        <f t="shared" si="1"/>
        <v>2.8249999999999997</v>
      </c>
      <c r="I13" s="32"/>
      <c r="J13" s="34"/>
    </row>
    <row r="14" spans="1:10">
      <c r="A14" s="30"/>
      <c r="B14" s="22"/>
      <c r="C14" s="31"/>
      <c r="D14" s="32"/>
      <c r="E14" s="32"/>
      <c r="F14" s="33"/>
      <c r="G14" s="32"/>
      <c r="H14" s="32"/>
      <c r="I14" s="32"/>
      <c r="J14" s="34"/>
    </row>
    <row r="15" spans="1:10">
      <c r="A15" s="30"/>
      <c r="B15" s="37" t="s">
        <v>257</v>
      </c>
      <c r="C15" s="50"/>
      <c r="D15" s="41"/>
      <c r="E15" s="41"/>
      <c r="F15" s="47"/>
      <c r="G15" s="41"/>
      <c r="H15" s="41">
        <f>SUM(H9:H13)</f>
        <v>963.32499999999993</v>
      </c>
      <c r="I15" s="41">
        <f>SUM(I9:I13)</f>
        <v>0</v>
      </c>
      <c r="J15" s="42">
        <f>SUM(J9:J13)</f>
        <v>0</v>
      </c>
    </row>
    <row r="16" spans="1:10">
      <c r="A16" s="20"/>
      <c r="B16" s="21"/>
      <c r="C16" s="21"/>
      <c r="D16" s="43"/>
      <c r="E16" s="43"/>
      <c r="F16" s="44"/>
      <c r="G16" s="43"/>
      <c r="H16" s="43"/>
      <c r="I16" s="43"/>
      <c r="J16" s="45"/>
    </row>
    <row r="17" spans="1:10">
      <c r="A17" s="20" t="s">
        <v>258</v>
      </c>
      <c r="B17" s="21"/>
      <c r="C17" s="22"/>
      <c r="D17" s="32"/>
      <c r="E17" s="32"/>
      <c r="F17" s="33"/>
      <c r="G17" s="32"/>
      <c r="H17" s="32"/>
      <c r="I17" s="32"/>
      <c r="J17" s="34"/>
    </row>
    <row r="18" spans="1:10">
      <c r="A18" s="51"/>
      <c r="B18" s="207" t="s">
        <v>259</v>
      </c>
      <c r="C18" s="36" t="s">
        <v>260</v>
      </c>
      <c r="D18" s="27" t="s">
        <v>261</v>
      </c>
      <c r="E18" s="27">
        <v>166.57</v>
      </c>
      <c r="F18" s="28">
        <v>1</v>
      </c>
      <c r="G18" s="27">
        <f t="shared" ref="G18:G23" si="2">F18*E18</f>
        <v>166.57</v>
      </c>
      <c r="H18" s="27">
        <f t="shared" ref="H18:H23" si="3">G18*1.13</f>
        <v>188.22409999999996</v>
      </c>
      <c r="I18" s="27"/>
      <c r="J18" s="29"/>
    </row>
    <row r="19" spans="1:10">
      <c r="A19" s="51"/>
      <c r="B19" s="208" t="s">
        <v>262</v>
      </c>
      <c r="C19" s="31" t="s">
        <v>263</v>
      </c>
      <c r="D19" s="32" t="s">
        <v>264</v>
      </c>
      <c r="E19" s="32">
        <v>850</v>
      </c>
      <c r="F19" s="33">
        <v>1</v>
      </c>
      <c r="G19" s="32">
        <f t="shared" si="2"/>
        <v>850</v>
      </c>
      <c r="H19" s="32">
        <f t="shared" si="3"/>
        <v>960.49999999999989</v>
      </c>
      <c r="I19" s="32"/>
      <c r="J19" s="34"/>
    </row>
    <row r="20" spans="1:10">
      <c r="A20" s="51"/>
      <c r="B20" s="207" t="s">
        <v>265</v>
      </c>
      <c r="C20" s="36" t="s">
        <v>266</v>
      </c>
      <c r="D20" s="27" t="s">
        <v>267</v>
      </c>
      <c r="E20" s="27">
        <v>40.53</v>
      </c>
      <c r="F20" s="28">
        <v>1</v>
      </c>
      <c r="G20" s="27">
        <f t="shared" si="2"/>
        <v>40.53</v>
      </c>
      <c r="H20" s="27">
        <f t="shared" si="3"/>
        <v>45.798899999999996</v>
      </c>
      <c r="I20" s="27"/>
      <c r="J20" s="29"/>
    </row>
    <row r="21" spans="1:10" s="129" customFormat="1">
      <c r="A21" s="51"/>
      <c r="B21" s="208" t="s">
        <v>268</v>
      </c>
      <c r="C21" s="31" t="s">
        <v>269</v>
      </c>
      <c r="D21" s="32" t="s">
        <v>270</v>
      </c>
      <c r="E21" s="32">
        <v>351</v>
      </c>
      <c r="F21" s="33">
        <v>2</v>
      </c>
      <c r="G21" s="32">
        <f t="shared" si="2"/>
        <v>702</v>
      </c>
      <c r="H21" s="32">
        <f t="shared" si="3"/>
        <v>793.25999999999988</v>
      </c>
      <c r="I21" s="32"/>
      <c r="J21" s="34"/>
    </row>
    <row r="22" spans="1:10">
      <c r="A22" s="51"/>
      <c r="B22" s="207" t="s">
        <v>271</v>
      </c>
      <c r="C22" s="36" t="s">
        <v>272</v>
      </c>
      <c r="D22" s="27" t="s">
        <v>273</v>
      </c>
      <c r="E22" s="27">
        <v>6.91</v>
      </c>
      <c r="F22" s="28">
        <v>1</v>
      </c>
      <c r="G22" s="27">
        <f t="shared" si="2"/>
        <v>6.91</v>
      </c>
      <c r="H22" s="27">
        <f t="shared" si="3"/>
        <v>7.8082999999999991</v>
      </c>
      <c r="I22" s="27"/>
      <c r="J22" s="29"/>
    </row>
    <row r="23" spans="1:10">
      <c r="A23" s="51"/>
      <c r="B23" s="208" t="s">
        <v>274</v>
      </c>
      <c r="C23" s="22" t="s">
        <v>275</v>
      </c>
      <c r="D23" s="32" t="s">
        <v>276</v>
      </c>
      <c r="E23" s="32">
        <v>200</v>
      </c>
      <c r="F23" s="33">
        <v>1</v>
      </c>
      <c r="G23" s="32">
        <f t="shared" si="2"/>
        <v>200</v>
      </c>
      <c r="H23" s="32">
        <f t="shared" si="3"/>
        <v>225.99999999999997</v>
      </c>
      <c r="I23" s="32"/>
      <c r="J23" s="34"/>
    </row>
    <row r="24" spans="1:10">
      <c r="A24" s="30"/>
      <c r="B24" s="22"/>
      <c r="C24" s="31"/>
      <c r="D24" s="32"/>
      <c r="E24" s="32"/>
      <c r="F24" s="33"/>
      <c r="G24" s="32"/>
      <c r="H24" s="32"/>
      <c r="I24" s="32"/>
      <c r="J24" s="34"/>
    </row>
    <row r="25" spans="1:10">
      <c r="A25" s="30"/>
      <c r="B25" s="37" t="s">
        <v>277</v>
      </c>
      <c r="C25" s="46"/>
      <c r="D25" s="41"/>
      <c r="E25" s="41"/>
      <c r="F25" s="47"/>
      <c r="G25" s="41"/>
      <c r="H25" s="41">
        <f>SUM(H18:H24)</f>
        <v>2221.5912999999996</v>
      </c>
      <c r="I25" s="41">
        <f>SUM(I18:I24)</f>
        <v>0</v>
      </c>
      <c r="J25" s="42">
        <f>SUM(J18:J24)</f>
        <v>0</v>
      </c>
    </row>
    <row r="26" spans="1:10">
      <c r="A26" s="30"/>
      <c r="B26" s="22"/>
      <c r="C26" s="22"/>
      <c r="D26" s="32"/>
      <c r="E26" s="32"/>
      <c r="F26" s="33"/>
      <c r="G26" s="32"/>
      <c r="H26" s="32"/>
      <c r="I26" s="32"/>
      <c r="J26" s="34"/>
    </row>
    <row r="27" spans="1:10">
      <c r="A27" s="20" t="s">
        <v>278</v>
      </c>
      <c r="B27" s="21"/>
      <c r="C27" s="22"/>
      <c r="D27" s="32"/>
      <c r="E27" s="32"/>
      <c r="F27" s="33"/>
      <c r="G27" s="32"/>
      <c r="H27" s="32"/>
      <c r="I27" s="32"/>
      <c r="J27" s="34"/>
    </row>
    <row r="28" spans="1:10">
      <c r="A28" s="30"/>
      <c r="B28" s="35" t="s">
        <v>279</v>
      </c>
      <c r="C28" s="36" t="s">
        <v>280</v>
      </c>
      <c r="D28" s="27" t="s">
        <v>281</v>
      </c>
      <c r="E28" s="27">
        <v>30</v>
      </c>
      <c r="F28" s="28">
        <v>50</v>
      </c>
      <c r="G28" s="27">
        <f t="shared" ref="G28:G30" si="4">F28*E28</f>
        <v>1500</v>
      </c>
      <c r="H28" s="27">
        <f t="shared" ref="H28:H30" si="5">G28*1.13</f>
        <v>1694.9999999999998</v>
      </c>
      <c r="I28" s="27"/>
      <c r="J28" s="29"/>
    </row>
    <row r="29" spans="1:10">
      <c r="A29" s="30"/>
      <c r="B29" s="22" t="s">
        <v>282</v>
      </c>
      <c r="C29" s="22" t="s">
        <v>283</v>
      </c>
      <c r="D29" s="32" t="s">
        <v>284</v>
      </c>
      <c r="E29" s="32">
        <v>100</v>
      </c>
      <c r="F29" s="33">
        <v>1</v>
      </c>
      <c r="G29" s="32">
        <f t="shared" si="4"/>
        <v>100</v>
      </c>
      <c r="H29" s="32">
        <f t="shared" si="5"/>
        <v>112.99999999999999</v>
      </c>
      <c r="I29" s="32"/>
      <c r="J29" s="34"/>
    </row>
    <row r="30" spans="1:10">
      <c r="A30" s="30"/>
      <c r="B30" s="35" t="s">
        <v>285</v>
      </c>
      <c r="C30" s="35" t="s">
        <v>286</v>
      </c>
      <c r="D30" s="27" t="s">
        <v>287</v>
      </c>
      <c r="E30" s="27">
        <v>500</v>
      </c>
      <c r="F30" s="28">
        <v>1</v>
      </c>
      <c r="G30" s="27">
        <f t="shared" si="4"/>
        <v>500</v>
      </c>
      <c r="H30" s="27">
        <f t="shared" si="5"/>
        <v>565</v>
      </c>
      <c r="I30" s="27"/>
      <c r="J30" s="29"/>
    </row>
    <row r="31" spans="1:10">
      <c r="A31" s="30"/>
      <c r="B31" s="22"/>
      <c r="C31" s="22"/>
      <c r="D31" s="22"/>
      <c r="E31" s="22"/>
      <c r="F31" s="22"/>
      <c r="G31" s="22"/>
      <c r="H31" s="22"/>
      <c r="I31" s="22"/>
      <c r="J31" s="471"/>
    </row>
    <row r="32" spans="1:10">
      <c r="A32" s="30"/>
      <c r="B32" s="37" t="s">
        <v>288</v>
      </c>
      <c r="C32" s="46"/>
      <c r="D32" s="41"/>
      <c r="E32" s="41"/>
      <c r="F32" s="47"/>
      <c r="G32" s="41"/>
      <c r="H32" s="41">
        <f>SUM(H28:H31)</f>
        <v>2373</v>
      </c>
      <c r="I32" s="41">
        <f>SUM(I28:I31)</f>
        <v>0</v>
      </c>
      <c r="J32" s="42">
        <f>SUM(J28:J31)</f>
        <v>0</v>
      </c>
    </row>
    <row r="33" spans="1:10">
      <c r="A33" s="30"/>
      <c r="B33" s="22"/>
      <c r="C33" s="22"/>
      <c r="D33" s="32"/>
      <c r="E33" s="32"/>
      <c r="F33" s="33"/>
      <c r="G33" s="32"/>
      <c r="H33" s="32"/>
      <c r="I33" s="32"/>
      <c r="J33" s="34"/>
    </row>
    <row r="34" spans="1:10">
      <c r="A34" s="20" t="s">
        <v>289</v>
      </c>
      <c r="B34" s="21"/>
      <c r="C34" s="22"/>
      <c r="D34" s="32"/>
      <c r="E34" s="32"/>
      <c r="F34" s="33"/>
      <c r="G34" s="32"/>
      <c r="H34" s="32"/>
      <c r="I34" s="32"/>
      <c r="J34" s="34"/>
    </row>
    <row r="35" spans="1:10">
      <c r="A35" s="30"/>
      <c r="B35" s="35" t="s">
        <v>290</v>
      </c>
      <c r="C35" s="36" t="s">
        <v>291</v>
      </c>
      <c r="D35" s="27" t="s">
        <v>292</v>
      </c>
      <c r="E35" s="27">
        <v>121</v>
      </c>
      <c r="F35" s="28">
        <v>28</v>
      </c>
      <c r="G35" s="27">
        <f>F35*E35</f>
        <v>3388</v>
      </c>
      <c r="H35" s="27">
        <f>G35*1.13</f>
        <v>3828.4399999999996</v>
      </c>
      <c r="I35" s="27"/>
      <c r="J35" s="29"/>
    </row>
    <row r="36" spans="1:10">
      <c r="A36" s="30"/>
      <c r="B36" s="22"/>
      <c r="C36" s="22"/>
      <c r="D36" s="22"/>
      <c r="E36" s="22"/>
      <c r="F36" s="22"/>
      <c r="G36" s="22"/>
      <c r="H36" s="22"/>
      <c r="I36" s="22"/>
      <c r="J36" s="471"/>
    </row>
    <row r="37" spans="1:10">
      <c r="A37" s="30"/>
      <c r="B37" s="37" t="s">
        <v>293</v>
      </c>
      <c r="C37" s="46"/>
      <c r="D37" s="41"/>
      <c r="E37" s="41"/>
      <c r="F37" s="47"/>
      <c r="G37" s="41"/>
      <c r="H37" s="41">
        <f>SUM(H35:H36)</f>
        <v>3828.4399999999996</v>
      </c>
      <c r="I37" s="41">
        <f>SUM(I35:I36)</f>
        <v>0</v>
      </c>
      <c r="J37" s="42">
        <f>SUM(J35:J36)</f>
        <v>0</v>
      </c>
    </row>
    <row r="38" spans="1:10">
      <c r="A38" s="30"/>
      <c r="B38" s="22"/>
      <c r="C38" s="21"/>
      <c r="D38" s="43"/>
      <c r="E38" s="43"/>
      <c r="F38" s="44"/>
      <c r="G38" s="43"/>
      <c r="H38" s="43"/>
      <c r="I38" s="43"/>
      <c r="J38" s="45"/>
    </row>
    <row r="39" spans="1:10" s="129" customFormat="1">
      <c r="A39" s="20" t="s">
        <v>294</v>
      </c>
      <c r="B39" s="21"/>
      <c r="C39" s="22"/>
      <c r="D39" s="32"/>
      <c r="E39" s="32"/>
      <c r="F39" s="33"/>
      <c r="G39" s="32"/>
      <c r="H39" s="32"/>
      <c r="I39" s="32"/>
      <c r="J39" s="34"/>
    </row>
    <row r="40" spans="1:10">
      <c r="A40" s="20"/>
      <c r="B40" s="52" t="s">
        <v>295</v>
      </c>
      <c r="C40" s="35" t="s">
        <v>296</v>
      </c>
      <c r="D40" s="27" t="s">
        <v>297</v>
      </c>
      <c r="E40" s="27">
        <v>0.5</v>
      </c>
      <c r="F40" s="28">
        <v>90</v>
      </c>
      <c r="G40" s="27">
        <f t="shared" ref="G40:G41" si="6">F40*E40</f>
        <v>45</v>
      </c>
      <c r="H40" s="27">
        <f t="shared" ref="H40:H41" si="7">G40*1.13</f>
        <v>50.849999999999994</v>
      </c>
      <c r="I40" s="27"/>
      <c r="J40" s="29"/>
    </row>
    <row r="41" spans="1:10">
      <c r="A41" s="20"/>
      <c r="B41" s="21" t="s">
        <v>298</v>
      </c>
      <c r="C41" s="22" t="s">
        <v>299</v>
      </c>
      <c r="D41" s="32" t="s">
        <v>300</v>
      </c>
      <c r="E41" s="32">
        <v>30</v>
      </c>
      <c r="F41" s="33">
        <v>3</v>
      </c>
      <c r="G41" s="32">
        <f t="shared" si="6"/>
        <v>90</v>
      </c>
      <c r="H41" s="32">
        <f t="shared" si="7"/>
        <v>101.69999999999999</v>
      </c>
      <c r="I41" s="32"/>
      <c r="J41" s="34"/>
    </row>
    <row r="42" spans="1:10">
      <c r="A42" s="20"/>
      <c r="B42" s="21"/>
      <c r="C42" s="22"/>
      <c r="D42" s="32"/>
      <c r="E42" s="32"/>
      <c r="F42" s="33"/>
      <c r="G42" s="32"/>
      <c r="H42" s="32"/>
      <c r="I42" s="32"/>
      <c r="J42" s="34"/>
    </row>
    <row r="43" spans="1:10">
      <c r="A43" s="30"/>
      <c r="B43" s="37" t="s">
        <v>301</v>
      </c>
      <c r="C43" s="46"/>
      <c r="D43" s="41"/>
      <c r="E43" s="41"/>
      <c r="F43" s="47"/>
      <c r="G43" s="41"/>
      <c r="H43" s="41">
        <f>SUM(H40:H42)</f>
        <v>152.54999999999998</v>
      </c>
      <c r="I43" s="41">
        <f>SUM(I40:I42)</f>
        <v>0</v>
      </c>
      <c r="J43" s="42">
        <f>SUM(J40:J42)</f>
        <v>0</v>
      </c>
    </row>
    <row r="44" spans="1:10">
      <c r="A44" s="30"/>
      <c r="B44" s="21"/>
      <c r="C44" s="21"/>
      <c r="D44" s="43"/>
      <c r="E44" s="43"/>
      <c r="F44" s="44"/>
      <c r="G44" s="43"/>
      <c r="H44" s="43"/>
      <c r="I44" s="43"/>
      <c r="J44" s="45"/>
    </row>
    <row r="45" spans="1:10">
      <c r="A45" s="20" t="s">
        <v>1455</v>
      </c>
      <c r="B45" s="21"/>
      <c r="C45" s="22"/>
      <c r="D45" s="32"/>
      <c r="E45" s="32"/>
      <c r="F45" s="33"/>
      <c r="G45" s="32"/>
      <c r="H45" s="32"/>
      <c r="I45" s="32"/>
      <c r="J45" s="34"/>
    </row>
    <row r="46" spans="1:10" s="129" customFormat="1">
      <c r="A46" s="20"/>
      <c r="B46" s="52" t="s">
        <v>303</v>
      </c>
      <c r="C46" s="35" t="s">
        <v>1456</v>
      </c>
      <c r="D46" s="27" t="s">
        <v>1457</v>
      </c>
      <c r="E46" s="27">
        <v>1000</v>
      </c>
      <c r="F46" s="28">
        <v>1</v>
      </c>
      <c r="G46" s="27">
        <f t="shared" ref="G46" si="8">F46*E46</f>
        <v>1000</v>
      </c>
      <c r="H46" s="27">
        <f t="shared" ref="H46" si="9">G46*1.13</f>
        <v>1130</v>
      </c>
      <c r="I46" s="27"/>
      <c r="J46" s="29"/>
    </row>
    <row r="47" spans="1:10">
      <c r="A47" s="20"/>
      <c r="B47" s="21"/>
      <c r="C47" s="22"/>
      <c r="D47" s="32"/>
      <c r="E47" s="32"/>
      <c r="F47" s="33"/>
      <c r="G47" s="32"/>
      <c r="H47" s="32"/>
      <c r="I47" s="32"/>
      <c r="J47" s="34"/>
    </row>
    <row r="48" spans="1:10">
      <c r="A48" s="30"/>
      <c r="B48" s="37" t="s">
        <v>1458</v>
      </c>
      <c r="C48" s="46"/>
      <c r="D48" s="41"/>
      <c r="E48" s="41"/>
      <c r="F48" s="47"/>
      <c r="G48" s="41"/>
      <c r="H48" s="41">
        <f>SUM(H46:H47)</f>
        <v>1130</v>
      </c>
      <c r="I48" s="41">
        <f>SUM(I46:I47)</f>
        <v>0</v>
      </c>
      <c r="J48" s="42">
        <f>SUM(J46:J47)</f>
        <v>0</v>
      </c>
    </row>
    <row r="49" spans="1:10">
      <c r="A49" s="30"/>
      <c r="B49" s="22"/>
      <c r="C49" s="21"/>
      <c r="D49" s="43"/>
      <c r="E49" s="43"/>
      <c r="F49" s="44"/>
      <c r="G49" s="43"/>
      <c r="H49" s="43"/>
      <c r="I49" s="43"/>
      <c r="J49" s="45"/>
    </row>
    <row r="50" spans="1:10">
      <c r="A50" s="20" t="s">
        <v>302</v>
      </c>
      <c r="B50" s="21"/>
      <c r="C50" s="22"/>
      <c r="D50" s="32"/>
      <c r="E50" s="32"/>
      <c r="F50" s="33"/>
      <c r="G50" s="32"/>
      <c r="H50" s="32"/>
      <c r="I50" s="32"/>
      <c r="J50" s="34"/>
    </row>
    <row r="51" spans="1:10">
      <c r="A51" s="20"/>
      <c r="B51" s="52" t="s">
        <v>1459</v>
      </c>
      <c r="C51" s="35" t="s">
        <v>304</v>
      </c>
      <c r="D51" s="27" t="s">
        <v>305</v>
      </c>
      <c r="E51" s="27">
        <v>6.25</v>
      </c>
      <c r="F51" s="28">
        <v>135</v>
      </c>
      <c r="G51" s="27">
        <f t="shared" ref="G51:G52" si="10">F51*E51</f>
        <v>843.75</v>
      </c>
      <c r="H51" s="27">
        <f t="shared" ref="H51:H52" si="11">G51*1.13</f>
        <v>953.43749999999989</v>
      </c>
      <c r="I51" s="27"/>
      <c r="J51" s="29"/>
    </row>
    <row r="52" spans="1:10">
      <c r="A52" s="20"/>
      <c r="B52" s="21" t="s">
        <v>1460</v>
      </c>
      <c r="C52" s="22" t="s">
        <v>248</v>
      </c>
      <c r="D52" s="32"/>
      <c r="E52" s="32">
        <v>5</v>
      </c>
      <c r="F52" s="33">
        <v>135</v>
      </c>
      <c r="G52" s="32">
        <f t="shared" si="10"/>
        <v>675</v>
      </c>
      <c r="H52" s="32">
        <f t="shared" si="11"/>
        <v>762.74999999999989</v>
      </c>
      <c r="I52" s="32"/>
      <c r="J52" s="34"/>
    </row>
    <row r="53" spans="1:10">
      <c r="A53" s="20"/>
      <c r="B53" s="21"/>
      <c r="C53" s="22"/>
      <c r="D53" s="32"/>
      <c r="E53" s="32"/>
      <c r="F53" s="33"/>
      <c r="G53" s="32"/>
      <c r="H53" s="32"/>
      <c r="I53" s="32"/>
      <c r="J53" s="34"/>
    </row>
    <row r="54" spans="1:10">
      <c r="A54" s="30"/>
      <c r="B54" s="37" t="s">
        <v>301</v>
      </c>
      <c r="C54" s="46"/>
      <c r="D54" s="41"/>
      <c r="E54" s="41"/>
      <c r="F54" s="47"/>
      <c r="G54" s="41"/>
      <c r="H54" s="41">
        <f>SUM(H51:H53)</f>
        <v>1716.1874999999998</v>
      </c>
      <c r="I54" s="41">
        <f>SUM(I51:I53)</f>
        <v>0</v>
      </c>
      <c r="J54" s="42">
        <f>SUM(J51:J53)</f>
        <v>0</v>
      </c>
    </row>
    <row r="55" spans="1:10">
      <c r="A55" s="30"/>
      <c r="B55" s="401"/>
      <c r="C55" s="401"/>
      <c r="D55" s="13"/>
      <c r="E55" s="13"/>
      <c r="F55" s="402"/>
      <c r="G55" s="13"/>
      <c r="H55" s="13"/>
      <c r="I55" s="13"/>
      <c r="J55" s="16"/>
    </row>
    <row r="56" spans="1:10">
      <c r="A56" s="30"/>
      <c r="B56" s="21"/>
      <c r="C56" s="508" t="s">
        <v>13</v>
      </c>
      <c r="D56" s="508"/>
      <c r="E56" s="43"/>
      <c r="F56" s="44"/>
      <c r="G56" s="43"/>
      <c r="H56" s="43">
        <f>SUM(H54,H43,H37,H32,H25,H15)</f>
        <v>11255.093800000001</v>
      </c>
      <c r="I56" s="43"/>
      <c r="J56" s="45"/>
    </row>
    <row r="57" spans="1:10">
      <c r="A57" s="30"/>
      <c r="B57" s="397"/>
      <c r="C57" s="397"/>
      <c r="D57" s="398"/>
      <c r="E57" s="398"/>
      <c r="F57" s="399"/>
      <c r="G57" s="398"/>
      <c r="H57" s="398"/>
      <c r="I57" s="398"/>
      <c r="J57" s="400"/>
    </row>
    <row r="58" spans="1:10">
      <c r="A58" s="497" t="s">
        <v>14</v>
      </c>
      <c r="B58" s="498"/>
      <c r="C58" s="498"/>
      <c r="D58" s="17"/>
      <c r="E58" s="17"/>
      <c r="F58" s="18"/>
      <c r="G58" s="17"/>
      <c r="H58" s="17"/>
      <c r="I58" s="17"/>
      <c r="J58" s="19"/>
    </row>
    <row r="59" spans="1:10">
      <c r="A59" s="20"/>
      <c r="B59" s="52" t="s">
        <v>15</v>
      </c>
      <c r="C59" s="52"/>
      <c r="D59" s="53"/>
      <c r="E59" s="53"/>
      <c r="F59" s="53"/>
      <c r="G59" s="53"/>
      <c r="H59" s="53">
        <v>0</v>
      </c>
      <c r="I59" s="53">
        <v>0</v>
      </c>
      <c r="J59" s="284">
        <v>0</v>
      </c>
    </row>
    <row r="60" spans="1:10">
      <c r="A60" s="20"/>
      <c r="B60" s="21" t="s">
        <v>16</v>
      </c>
      <c r="C60" s="21"/>
      <c r="D60" s="43"/>
      <c r="E60" s="43"/>
      <c r="F60" s="43"/>
      <c r="G60" s="43"/>
      <c r="H60" s="43">
        <f>H15+H25+H32+H37+H43+H54</f>
        <v>11255.093799999999</v>
      </c>
      <c r="I60" s="43">
        <f>I15+I25+I32+I37+I43</f>
        <v>0</v>
      </c>
      <c r="J60" s="45">
        <f>J15+J25+J32+J37+J43</f>
        <v>0</v>
      </c>
    </row>
    <row r="61" spans="1:10">
      <c r="A61" s="55"/>
      <c r="B61" s="56" t="s">
        <v>17</v>
      </c>
      <c r="C61" s="56"/>
      <c r="D61" s="57"/>
      <c r="E61" s="57"/>
      <c r="F61" s="57"/>
      <c r="G61" s="57"/>
      <c r="H61" s="57">
        <f>H59-H60</f>
        <v>-11255.093799999999</v>
      </c>
      <c r="I61" s="57">
        <f t="shared" ref="I61:J61" si="12">I59-I60</f>
        <v>0</v>
      </c>
      <c r="J61" s="58">
        <f t="shared" si="12"/>
        <v>0</v>
      </c>
    </row>
  </sheetData>
  <mergeCells count="5">
    <mergeCell ref="A1:J1"/>
    <mergeCell ref="A4:C4"/>
    <mergeCell ref="A8:C8"/>
    <mergeCell ref="A58:C58"/>
    <mergeCell ref="C56:D56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D59" sqref="D59"/>
    </sheetView>
  </sheetViews>
  <sheetFormatPr baseColWidth="10" defaultRowHeight="15" x14ac:dyDescent="0"/>
  <cols>
    <col min="3" max="3" width="25.83203125" customWidth="1"/>
    <col min="4" max="4" width="28.83203125" customWidth="1"/>
    <col min="7" max="8" width="11.83203125" bestFit="1" customWidth="1"/>
  </cols>
  <sheetData>
    <row r="1" spans="1:10" ht="25">
      <c r="A1" s="505" t="s">
        <v>181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>
      <c r="A5" s="20" t="s">
        <v>182</v>
      </c>
      <c r="B5" s="21"/>
      <c r="C5" s="22"/>
      <c r="D5" s="23"/>
      <c r="E5" s="23"/>
      <c r="F5" s="24"/>
      <c r="G5" s="23"/>
      <c r="H5" s="23"/>
      <c r="I5" s="23"/>
      <c r="J5" s="25"/>
    </row>
    <row r="6" spans="1:10" ht="16">
      <c r="A6" s="20"/>
      <c r="B6" s="161" t="s">
        <v>183</v>
      </c>
      <c r="C6" s="92" t="s">
        <v>184</v>
      </c>
      <c r="D6" s="94"/>
      <c r="E6" s="94">
        <v>60</v>
      </c>
      <c r="F6" s="95">
        <v>40</v>
      </c>
      <c r="G6" s="94">
        <f>F6*E6</f>
        <v>2400</v>
      </c>
      <c r="H6" s="94">
        <f>G6</f>
        <v>2400</v>
      </c>
      <c r="I6" s="94"/>
      <c r="J6" s="96"/>
    </row>
    <row r="7" spans="1:10" ht="16">
      <c r="A7" s="30"/>
      <c r="B7" s="162" t="s">
        <v>185</v>
      </c>
      <c r="C7" s="124" t="s">
        <v>186</v>
      </c>
      <c r="D7" s="119"/>
      <c r="E7" s="119">
        <v>60</v>
      </c>
      <c r="F7" s="120">
        <v>40</v>
      </c>
      <c r="G7" s="119">
        <f t="shared" ref="G7:G9" si="0">E7*F7</f>
        <v>2400</v>
      </c>
      <c r="H7" s="119">
        <f t="shared" ref="H7:H9" si="1">G7</f>
        <v>2400</v>
      </c>
      <c r="I7" s="119"/>
      <c r="J7" s="121"/>
    </row>
    <row r="8" spans="1:10" ht="16">
      <c r="A8" s="30"/>
      <c r="B8" s="161" t="s">
        <v>187</v>
      </c>
      <c r="C8" s="123" t="s">
        <v>188</v>
      </c>
      <c r="D8" s="94"/>
      <c r="E8" s="94">
        <v>60</v>
      </c>
      <c r="F8" s="95">
        <v>40</v>
      </c>
      <c r="G8" s="94">
        <f t="shared" si="0"/>
        <v>2400</v>
      </c>
      <c r="H8" s="94">
        <f t="shared" si="1"/>
        <v>2400</v>
      </c>
      <c r="I8" s="94"/>
      <c r="J8" s="96"/>
    </row>
    <row r="9" spans="1:10" ht="16">
      <c r="A9" s="30"/>
      <c r="B9" s="162" t="s">
        <v>189</v>
      </c>
      <c r="C9" s="124" t="s">
        <v>190</v>
      </c>
      <c r="D9" s="119" t="s">
        <v>10</v>
      </c>
      <c r="E9" s="119">
        <v>60</v>
      </c>
      <c r="F9" s="120">
        <v>40</v>
      </c>
      <c r="G9" s="119">
        <f t="shared" si="0"/>
        <v>2400</v>
      </c>
      <c r="H9" s="119">
        <f t="shared" si="1"/>
        <v>2400</v>
      </c>
      <c r="I9" s="119"/>
      <c r="J9" s="121"/>
    </row>
    <row r="10" spans="1:10" ht="16">
      <c r="A10" s="30"/>
      <c r="B10" s="163" t="s">
        <v>191</v>
      </c>
      <c r="C10" s="164"/>
      <c r="D10" s="165"/>
      <c r="E10" s="165"/>
      <c r="F10" s="166"/>
      <c r="G10" s="165"/>
      <c r="H10" s="67">
        <f>SUM(H5:H9)</f>
        <v>9600</v>
      </c>
      <c r="I10" s="67">
        <f>SUM(I5:I9)</f>
        <v>0</v>
      </c>
      <c r="J10" s="68">
        <f>SUM(J5:J9)</f>
        <v>0</v>
      </c>
    </row>
    <row r="11" spans="1:10" s="129" customFormat="1">
      <c r="A11" s="30"/>
      <c r="B11" s="22"/>
      <c r="C11" s="31"/>
      <c r="D11" s="32"/>
      <c r="E11" s="32"/>
      <c r="F11" s="33"/>
      <c r="G11" s="32"/>
      <c r="H11" s="32"/>
      <c r="I11" s="32"/>
      <c r="J11" s="34"/>
    </row>
    <row r="12" spans="1:10">
      <c r="A12" s="20" t="s">
        <v>192</v>
      </c>
      <c r="B12" s="21"/>
      <c r="C12" s="22"/>
      <c r="D12" s="32"/>
      <c r="E12" s="32"/>
      <c r="F12" s="33"/>
      <c r="G12" s="32"/>
      <c r="H12" s="32"/>
      <c r="I12" s="32"/>
      <c r="J12" s="34"/>
    </row>
    <row r="13" spans="1:10">
      <c r="A13" s="30"/>
      <c r="B13" s="26" t="s">
        <v>193</v>
      </c>
      <c r="C13" s="167" t="s">
        <v>194</v>
      </c>
      <c r="D13" s="27"/>
      <c r="E13" s="27">
        <v>5</v>
      </c>
      <c r="F13" s="28">
        <v>60</v>
      </c>
      <c r="G13" s="27">
        <f>E13*F13</f>
        <v>300</v>
      </c>
      <c r="H13" s="27">
        <f>G13</f>
        <v>300</v>
      </c>
      <c r="I13" s="27"/>
      <c r="J13" s="29"/>
    </row>
    <row r="14" spans="1:10">
      <c r="A14" s="30"/>
      <c r="B14" s="168"/>
      <c r="C14" s="169"/>
      <c r="D14" s="32"/>
      <c r="E14" s="32"/>
      <c r="F14" s="33"/>
      <c r="G14" s="32"/>
      <c r="H14" s="32"/>
      <c r="I14" s="32"/>
      <c r="J14" s="34"/>
    </row>
    <row r="15" spans="1:10">
      <c r="A15" s="20"/>
      <c r="B15" s="37" t="s">
        <v>195</v>
      </c>
      <c r="C15" s="46"/>
      <c r="D15" s="41"/>
      <c r="E15" s="41"/>
      <c r="F15" s="47"/>
      <c r="G15" s="41"/>
      <c r="H15" s="41">
        <f>SUM(H13:H14)</f>
        <v>300</v>
      </c>
      <c r="I15" s="41">
        <f>SUM(I7:I14)</f>
        <v>0</v>
      </c>
      <c r="J15" s="42">
        <f>SUM(J7:J14)</f>
        <v>0</v>
      </c>
    </row>
    <row r="16" spans="1:10">
      <c r="A16" s="20"/>
      <c r="B16" s="21"/>
      <c r="C16" s="21"/>
      <c r="D16" s="43"/>
      <c r="E16" s="43"/>
      <c r="F16" s="44"/>
      <c r="G16" s="43"/>
      <c r="H16" s="43"/>
      <c r="I16" s="43"/>
      <c r="J16" s="45"/>
    </row>
    <row r="17" spans="1:10">
      <c r="A17" s="20"/>
      <c r="B17" s="21"/>
      <c r="C17" s="21" t="s">
        <v>11</v>
      </c>
      <c r="D17" s="43"/>
      <c r="E17" s="43"/>
      <c r="F17" s="44"/>
      <c r="G17" s="43"/>
      <c r="H17" s="43">
        <f>H10+H15</f>
        <v>9900</v>
      </c>
      <c r="I17" s="43">
        <f>I10+I15</f>
        <v>0</v>
      </c>
      <c r="J17" s="45">
        <f>J10+J15</f>
        <v>0</v>
      </c>
    </row>
    <row r="18" spans="1:10">
      <c r="A18" s="20"/>
      <c r="B18" s="21"/>
      <c r="C18" s="21"/>
      <c r="D18" s="43"/>
      <c r="E18" s="43"/>
      <c r="F18" s="44"/>
      <c r="G18" s="43"/>
      <c r="H18" s="43"/>
      <c r="I18" s="43"/>
      <c r="J18" s="45"/>
    </row>
    <row r="19" spans="1:10">
      <c r="A19" s="60" t="s">
        <v>12</v>
      </c>
      <c r="B19" s="61"/>
      <c r="C19" s="61"/>
      <c r="D19" s="17"/>
      <c r="E19" s="48"/>
      <c r="F19" s="49"/>
      <c r="G19" s="48"/>
      <c r="H19" s="48"/>
      <c r="I19" s="48"/>
      <c r="J19" s="19"/>
    </row>
    <row r="20" spans="1:10" ht="16">
      <c r="A20" s="170" t="s">
        <v>196</v>
      </c>
      <c r="B20" s="171"/>
      <c r="C20" s="172"/>
      <c r="D20" s="173"/>
      <c r="E20" s="173"/>
      <c r="F20" s="174"/>
      <c r="G20" s="173"/>
      <c r="H20" s="173"/>
      <c r="I20" s="173"/>
      <c r="J20" s="175"/>
    </row>
    <row r="21" spans="1:10" ht="16">
      <c r="A21" s="170"/>
      <c r="B21" s="176" t="s">
        <v>197</v>
      </c>
      <c r="C21" s="177" t="s">
        <v>198</v>
      </c>
      <c r="D21" s="178"/>
      <c r="E21" s="178">
        <v>45</v>
      </c>
      <c r="F21" s="179">
        <v>40</v>
      </c>
      <c r="G21" s="178">
        <f t="shared" ref="G21:G32" si="2">E21*F21</f>
        <v>1800</v>
      </c>
      <c r="H21" s="178">
        <f>G21</f>
        <v>1800</v>
      </c>
      <c r="I21" s="178"/>
      <c r="J21" s="180"/>
    </row>
    <row r="22" spans="1:10" ht="16">
      <c r="A22" s="170"/>
      <c r="B22" s="181" t="s">
        <v>199</v>
      </c>
      <c r="C22" s="182" t="s">
        <v>200</v>
      </c>
      <c r="D22" s="173"/>
      <c r="E22" s="173">
        <v>520</v>
      </c>
      <c r="F22" s="174">
        <v>1</v>
      </c>
      <c r="G22" s="173">
        <f t="shared" si="2"/>
        <v>520</v>
      </c>
      <c r="H22" s="173">
        <f t="shared" ref="H22:H29" si="3">G22*1.13</f>
        <v>587.59999999999991</v>
      </c>
      <c r="I22" s="173"/>
      <c r="J22" s="175"/>
    </row>
    <row r="23" spans="1:10" ht="16">
      <c r="A23" s="170"/>
      <c r="B23" s="176" t="s">
        <v>201</v>
      </c>
      <c r="C23" s="177" t="s">
        <v>202</v>
      </c>
      <c r="D23" s="178"/>
      <c r="E23" s="178">
        <v>40</v>
      </c>
      <c r="F23" s="179">
        <v>1</v>
      </c>
      <c r="G23" s="178">
        <f t="shared" si="2"/>
        <v>40</v>
      </c>
      <c r="H23" s="178">
        <f t="shared" si="3"/>
        <v>45.199999999999996</v>
      </c>
      <c r="I23" s="178"/>
      <c r="J23" s="180"/>
    </row>
    <row r="24" spans="1:10" ht="16">
      <c r="A24" s="170"/>
      <c r="B24" s="181" t="s">
        <v>203</v>
      </c>
      <c r="C24" s="182" t="s">
        <v>204</v>
      </c>
      <c r="D24" s="173"/>
      <c r="E24" s="173">
        <v>45</v>
      </c>
      <c r="F24" s="174">
        <v>40</v>
      </c>
      <c r="G24" s="173">
        <f t="shared" si="2"/>
        <v>1800</v>
      </c>
      <c r="H24" s="173">
        <f>G24</f>
        <v>1800</v>
      </c>
      <c r="I24" s="173"/>
      <c r="J24" s="175"/>
    </row>
    <row r="25" spans="1:10" ht="16">
      <c r="A25" s="170"/>
      <c r="B25" s="176" t="s">
        <v>205</v>
      </c>
      <c r="C25" s="177" t="s">
        <v>206</v>
      </c>
      <c r="D25" s="178"/>
      <c r="E25" s="178">
        <v>520</v>
      </c>
      <c r="F25" s="179">
        <v>1</v>
      </c>
      <c r="G25" s="178">
        <f t="shared" si="2"/>
        <v>520</v>
      </c>
      <c r="H25" s="178">
        <f t="shared" si="3"/>
        <v>587.59999999999991</v>
      </c>
      <c r="I25" s="178"/>
      <c r="J25" s="180"/>
    </row>
    <row r="26" spans="1:10" ht="16">
      <c r="A26" s="170"/>
      <c r="B26" s="181" t="s">
        <v>207</v>
      </c>
      <c r="C26" s="182" t="s">
        <v>208</v>
      </c>
      <c r="D26" s="173"/>
      <c r="E26" s="173">
        <v>40</v>
      </c>
      <c r="F26" s="174">
        <v>1</v>
      </c>
      <c r="G26" s="173">
        <f t="shared" si="2"/>
        <v>40</v>
      </c>
      <c r="H26" s="173">
        <f t="shared" si="3"/>
        <v>45.199999999999996</v>
      </c>
      <c r="I26" s="173"/>
      <c r="J26" s="175"/>
    </row>
    <row r="27" spans="1:10" ht="16">
      <c r="A27" s="170"/>
      <c r="B27" s="176" t="s">
        <v>209</v>
      </c>
      <c r="C27" s="177" t="s">
        <v>210</v>
      </c>
      <c r="D27" s="178"/>
      <c r="E27" s="178">
        <v>45</v>
      </c>
      <c r="F27" s="179">
        <v>40</v>
      </c>
      <c r="G27" s="178">
        <f t="shared" si="2"/>
        <v>1800</v>
      </c>
      <c r="H27" s="178">
        <f>G27</f>
        <v>1800</v>
      </c>
      <c r="I27" s="178"/>
      <c r="J27" s="180"/>
    </row>
    <row r="28" spans="1:10" ht="16">
      <c r="A28" s="170" t="s">
        <v>10</v>
      </c>
      <c r="B28" s="181" t="s">
        <v>211</v>
      </c>
      <c r="C28" s="182" t="s">
        <v>212</v>
      </c>
      <c r="D28" s="173"/>
      <c r="E28" s="173">
        <v>520</v>
      </c>
      <c r="F28" s="174">
        <v>1</v>
      </c>
      <c r="G28" s="173">
        <f t="shared" si="2"/>
        <v>520</v>
      </c>
      <c r="H28" s="173">
        <f t="shared" si="3"/>
        <v>587.59999999999991</v>
      </c>
      <c r="I28" s="173"/>
      <c r="J28" s="175"/>
    </row>
    <row r="29" spans="1:10" ht="16">
      <c r="A29" s="170"/>
      <c r="B29" s="176" t="s">
        <v>213</v>
      </c>
      <c r="C29" s="177" t="s">
        <v>214</v>
      </c>
      <c r="D29" s="178"/>
      <c r="E29" s="178">
        <v>40</v>
      </c>
      <c r="F29" s="179">
        <v>1</v>
      </c>
      <c r="G29" s="178">
        <f t="shared" si="2"/>
        <v>40</v>
      </c>
      <c r="H29" s="178">
        <f t="shared" si="3"/>
        <v>45.199999999999996</v>
      </c>
      <c r="I29" s="178"/>
      <c r="J29" s="180"/>
    </row>
    <row r="30" spans="1:10" ht="16">
      <c r="A30" s="170"/>
      <c r="B30" s="181" t="s">
        <v>215</v>
      </c>
      <c r="C30" s="182" t="s">
        <v>216</v>
      </c>
      <c r="D30" s="173"/>
      <c r="E30" s="173">
        <v>45</v>
      </c>
      <c r="F30" s="174">
        <v>40</v>
      </c>
      <c r="G30" s="173">
        <f t="shared" si="2"/>
        <v>1800</v>
      </c>
      <c r="H30" s="173">
        <f>G30</f>
        <v>1800</v>
      </c>
      <c r="I30" s="173"/>
      <c r="J30" s="175"/>
    </row>
    <row r="31" spans="1:10" ht="16">
      <c r="A31" s="170"/>
      <c r="B31" s="176" t="s">
        <v>217</v>
      </c>
      <c r="C31" s="177" t="s">
        <v>218</v>
      </c>
      <c r="D31" s="178"/>
      <c r="E31" s="178">
        <v>520</v>
      </c>
      <c r="F31" s="179">
        <v>1</v>
      </c>
      <c r="G31" s="178">
        <f t="shared" si="2"/>
        <v>520</v>
      </c>
      <c r="H31" s="178">
        <f t="shared" ref="H31:H32" si="4">G31*1.13</f>
        <v>587.59999999999991</v>
      </c>
      <c r="I31" s="178"/>
      <c r="J31" s="180"/>
    </row>
    <row r="32" spans="1:10" ht="16">
      <c r="A32" s="170"/>
      <c r="B32" s="181" t="s">
        <v>219</v>
      </c>
      <c r="C32" s="182" t="s">
        <v>220</v>
      </c>
      <c r="D32" s="173"/>
      <c r="E32" s="173">
        <v>40</v>
      </c>
      <c r="F32" s="174">
        <v>1</v>
      </c>
      <c r="G32" s="173">
        <f t="shared" si="2"/>
        <v>40</v>
      </c>
      <c r="H32" s="173">
        <f t="shared" si="4"/>
        <v>45.199999999999996</v>
      </c>
      <c r="I32" s="173"/>
      <c r="J32" s="175"/>
    </row>
    <row r="33" spans="1:10" ht="16">
      <c r="A33" s="170"/>
      <c r="B33" s="183"/>
      <c r="C33" s="182"/>
      <c r="D33" s="173"/>
      <c r="E33" s="173"/>
      <c r="F33" s="174"/>
      <c r="G33" s="173"/>
      <c r="H33" s="173"/>
      <c r="I33" s="173"/>
      <c r="J33" s="175"/>
    </row>
    <row r="34" spans="1:10" ht="16">
      <c r="A34" s="184"/>
      <c r="B34" s="185" t="s">
        <v>221</v>
      </c>
      <c r="C34" s="186"/>
      <c r="D34" s="187"/>
      <c r="E34" s="187"/>
      <c r="F34" s="188"/>
      <c r="G34" s="187"/>
      <c r="H34" s="187">
        <f>SUM(H21:H32)</f>
        <v>9731.1999999999989</v>
      </c>
      <c r="I34" s="187">
        <f>SUM(I21:I33)</f>
        <v>0</v>
      </c>
      <c r="J34" s="189">
        <f>SUM(J21:J33)</f>
        <v>0</v>
      </c>
    </row>
    <row r="35" spans="1:10">
      <c r="A35" s="30"/>
      <c r="B35" s="22"/>
      <c r="C35" s="22"/>
      <c r="D35" s="32"/>
      <c r="E35" s="32"/>
      <c r="F35" s="33"/>
      <c r="G35" s="32"/>
      <c r="H35" s="32"/>
      <c r="I35" s="32"/>
      <c r="J35" s="34"/>
    </row>
    <row r="36" spans="1:10">
      <c r="A36" s="20" t="s">
        <v>222</v>
      </c>
      <c r="B36" s="21"/>
      <c r="C36" s="22"/>
      <c r="D36" s="32"/>
      <c r="E36" s="32"/>
      <c r="F36" s="33"/>
      <c r="G36" s="32"/>
      <c r="H36" s="32"/>
      <c r="I36" s="32"/>
      <c r="J36" s="34"/>
    </row>
    <row r="37" spans="1:10">
      <c r="A37" s="30"/>
      <c r="B37" s="35" t="s">
        <v>223</v>
      </c>
      <c r="C37" s="36" t="s">
        <v>224</v>
      </c>
      <c r="D37" s="27"/>
      <c r="E37" s="27">
        <v>300</v>
      </c>
      <c r="F37" s="28">
        <v>1</v>
      </c>
      <c r="G37" s="27">
        <f t="shared" ref="G37" si="5">E37*F37</f>
        <v>300</v>
      </c>
      <c r="H37" s="27">
        <f>G37</f>
        <v>300</v>
      </c>
      <c r="I37" s="27"/>
      <c r="J37" s="29"/>
    </row>
    <row r="38" spans="1:10">
      <c r="A38" s="30"/>
      <c r="B38" s="22"/>
      <c r="C38" s="22"/>
      <c r="D38" s="32"/>
      <c r="E38" s="32"/>
      <c r="F38" s="33"/>
      <c r="G38" s="32"/>
      <c r="H38" s="32"/>
      <c r="I38" s="32"/>
      <c r="J38" s="34"/>
    </row>
    <row r="39" spans="1:10">
      <c r="A39" s="30"/>
      <c r="B39" s="37" t="s">
        <v>225</v>
      </c>
      <c r="C39" s="46"/>
      <c r="D39" s="41"/>
      <c r="E39" s="41"/>
      <c r="F39" s="47"/>
      <c r="G39" s="41"/>
      <c r="H39" s="41">
        <f>SUM(H37:H38)</f>
        <v>300</v>
      </c>
      <c r="I39" s="41">
        <f>SUM(I30:I38)</f>
        <v>0</v>
      </c>
      <c r="J39" s="42">
        <f>SUM(J30:J38)</f>
        <v>0</v>
      </c>
    </row>
    <row r="40" spans="1:10">
      <c r="A40" s="30"/>
      <c r="B40" s="22"/>
      <c r="C40" s="22"/>
      <c r="D40" s="32"/>
      <c r="E40" s="32"/>
      <c r="F40" s="33"/>
      <c r="G40" s="32"/>
      <c r="H40" s="32"/>
      <c r="I40" s="32"/>
      <c r="J40" s="34"/>
    </row>
    <row r="41" spans="1:10" ht="16">
      <c r="A41" s="190" t="s">
        <v>226</v>
      </c>
      <c r="B41" s="191"/>
      <c r="C41" s="192"/>
      <c r="D41" s="193"/>
      <c r="E41" s="193"/>
      <c r="F41" s="194"/>
      <c r="G41" s="193"/>
      <c r="H41" s="193"/>
      <c r="I41" s="193"/>
      <c r="J41" s="195"/>
    </row>
    <row r="42" spans="1:10" ht="16">
      <c r="A42" s="196"/>
      <c r="B42" s="197" t="s">
        <v>227</v>
      </c>
      <c r="C42" s="198" t="s">
        <v>228</v>
      </c>
      <c r="D42" s="199" t="s">
        <v>229</v>
      </c>
      <c r="E42" s="199">
        <v>50</v>
      </c>
      <c r="F42" s="200">
        <v>10</v>
      </c>
      <c r="G42" s="199">
        <f>E42*F42</f>
        <v>500</v>
      </c>
      <c r="H42" s="199">
        <f>G42*1.13</f>
        <v>565</v>
      </c>
      <c r="I42" s="199"/>
      <c r="J42" s="201"/>
    </row>
    <row r="43" spans="1:10" ht="16">
      <c r="A43" s="196"/>
      <c r="B43" s="202" t="s">
        <v>230</v>
      </c>
      <c r="C43" s="203" t="s">
        <v>231</v>
      </c>
      <c r="D43" s="193" t="s">
        <v>229</v>
      </c>
      <c r="E43" s="193">
        <v>50</v>
      </c>
      <c r="F43" s="194">
        <v>10</v>
      </c>
      <c r="G43" s="193">
        <f>E43*F43</f>
        <v>500</v>
      </c>
      <c r="H43" s="193">
        <f>G43*1.13</f>
        <v>565</v>
      </c>
      <c r="I43" s="193"/>
      <c r="J43" s="195"/>
    </row>
    <row r="44" spans="1:10" ht="16">
      <c r="A44" s="196"/>
      <c r="B44" s="197" t="s">
        <v>232</v>
      </c>
      <c r="C44" s="198" t="s">
        <v>233</v>
      </c>
      <c r="D44" s="199"/>
      <c r="E44" s="199">
        <v>15</v>
      </c>
      <c r="F44" s="200">
        <v>5</v>
      </c>
      <c r="G44" s="199">
        <v>75</v>
      </c>
      <c r="H44" s="199">
        <v>84.75</v>
      </c>
      <c r="I44" s="199"/>
      <c r="J44" s="201"/>
    </row>
    <row r="45" spans="1:10" ht="16">
      <c r="A45" s="196"/>
      <c r="B45" s="204"/>
      <c r="C45" s="192"/>
      <c r="D45" s="193"/>
      <c r="E45" s="193"/>
      <c r="F45" s="194"/>
      <c r="G45" s="193"/>
      <c r="H45" s="193"/>
      <c r="I45" s="193"/>
      <c r="J45" s="195"/>
    </row>
    <row r="46" spans="1:10" ht="16">
      <c r="A46" s="196"/>
      <c r="B46" s="163" t="s">
        <v>234</v>
      </c>
      <c r="C46" s="205"/>
      <c r="D46" s="67"/>
      <c r="E46" s="67"/>
      <c r="F46" s="66"/>
      <c r="G46" s="67"/>
      <c r="H46" s="67">
        <f>SUM(H42:H44)</f>
        <v>1214.75</v>
      </c>
      <c r="I46" s="67">
        <f>SUM(I40:I45)</f>
        <v>0</v>
      </c>
      <c r="J46" s="68">
        <f>SUM(J40:J45)</f>
        <v>0</v>
      </c>
    </row>
    <row r="47" spans="1:10">
      <c r="A47" s="30"/>
      <c r="B47" s="22"/>
      <c r="C47" s="22"/>
      <c r="D47" s="32"/>
      <c r="E47" s="32"/>
      <c r="F47" s="33"/>
      <c r="G47" s="32"/>
      <c r="H47" s="32"/>
      <c r="I47" s="32"/>
      <c r="J47" s="34"/>
    </row>
    <row r="48" spans="1:10">
      <c r="A48" s="20" t="s">
        <v>235</v>
      </c>
      <c r="B48" s="21"/>
      <c r="C48" s="22"/>
      <c r="D48" s="32"/>
      <c r="E48" s="32"/>
      <c r="F48" s="33"/>
      <c r="G48" s="32"/>
      <c r="H48" s="32"/>
      <c r="I48" s="32"/>
      <c r="J48" s="34"/>
    </row>
    <row r="49" spans="1:10">
      <c r="A49" s="30"/>
      <c r="B49" s="35" t="s">
        <v>236</v>
      </c>
      <c r="C49" s="36" t="s">
        <v>237</v>
      </c>
      <c r="D49" s="27" t="s">
        <v>238</v>
      </c>
      <c r="E49" s="27">
        <v>45</v>
      </c>
      <c r="F49" s="28">
        <v>3</v>
      </c>
      <c r="G49" s="27">
        <f t="shared" ref="G49:G51" si="6">E49*F49</f>
        <v>135</v>
      </c>
      <c r="H49" s="27">
        <f t="shared" ref="H49:H51" si="7">G49*1.13</f>
        <v>152.54999999999998</v>
      </c>
      <c r="I49" s="27"/>
      <c r="J49" s="29"/>
    </row>
    <row r="50" spans="1:10">
      <c r="A50" s="30" t="s">
        <v>10</v>
      </c>
      <c r="B50" s="22" t="s">
        <v>239</v>
      </c>
      <c r="C50" s="22" t="s">
        <v>240</v>
      </c>
      <c r="D50" s="32"/>
      <c r="E50" s="32">
        <v>60</v>
      </c>
      <c r="F50" s="33">
        <v>1</v>
      </c>
      <c r="G50" s="32">
        <f t="shared" si="6"/>
        <v>60</v>
      </c>
      <c r="H50" s="32">
        <f t="shared" si="7"/>
        <v>67.8</v>
      </c>
      <c r="I50" s="32"/>
      <c r="J50" s="34"/>
    </row>
    <row r="51" spans="1:10">
      <c r="A51" s="30"/>
      <c r="B51" s="35" t="s">
        <v>241</v>
      </c>
      <c r="C51" s="35" t="s">
        <v>242</v>
      </c>
      <c r="D51" s="27" t="s">
        <v>243</v>
      </c>
      <c r="E51" s="27">
        <v>1.7</v>
      </c>
      <c r="F51" s="28">
        <v>50</v>
      </c>
      <c r="G51" s="27">
        <f t="shared" si="6"/>
        <v>85</v>
      </c>
      <c r="H51" s="27">
        <f t="shared" si="7"/>
        <v>96.05</v>
      </c>
      <c r="I51" s="27"/>
      <c r="J51" s="29"/>
    </row>
    <row r="52" spans="1:10" ht="16">
      <c r="A52" s="30"/>
      <c r="B52" s="22"/>
      <c r="C52" s="22"/>
      <c r="D52" s="206"/>
      <c r="E52" s="32"/>
      <c r="F52" s="33"/>
      <c r="G52" s="32"/>
      <c r="H52" s="32"/>
      <c r="I52" s="32"/>
      <c r="J52" s="34"/>
    </row>
    <row r="53" spans="1:10">
      <c r="A53" s="30"/>
      <c r="B53" s="37" t="s">
        <v>244</v>
      </c>
      <c r="C53" s="46"/>
      <c r="D53" s="41"/>
      <c r="E53" s="41"/>
      <c r="F53" s="47"/>
      <c r="G53" s="41"/>
      <c r="H53" s="41">
        <f>SUM(H47:H52)</f>
        <v>316.39999999999998</v>
      </c>
      <c r="I53" s="41">
        <f>SUM(I47:I52)</f>
        <v>0</v>
      </c>
      <c r="J53" s="42">
        <f>SUM(J47:J52)</f>
        <v>0</v>
      </c>
    </row>
    <row r="54" spans="1:10">
      <c r="A54" s="30"/>
      <c r="B54" s="22"/>
      <c r="C54" s="31"/>
      <c r="D54" s="32"/>
      <c r="E54" s="32"/>
      <c r="F54" s="33"/>
      <c r="G54" s="32"/>
      <c r="H54" s="32"/>
      <c r="I54" s="32"/>
      <c r="J54" s="34"/>
    </row>
    <row r="55" spans="1:10">
      <c r="A55" s="30"/>
      <c r="B55" s="22"/>
      <c r="C55" s="21" t="s">
        <v>13</v>
      </c>
      <c r="D55" s="43"/>
      <c r="E55" s="43"/>
      <c r="F55" s="44"/>
      <c r="G55" s="43"/>
      <c r="H55" s="43">
        <f>H34+H39+H46+H53</f>
        <v>11562.349999999999</v>
      </c>
      <c r="I55" s="43">
        <f>I34+I39+I46+I53</f>
        <v>0</v>
      </c>
      <c r="J55" s="45">
        <f>J34+J39+J46+J53</f>
        <v>0</v>
      </c>
    </row>
    <row r="56" spans="1:10">
      <c r="A56" s="30"/>
      <c r="B56" s="22"/>
      <c r="C56" s="21"/>
      <c r="D56" s="43"/>
      <c r="E56" s="43"/>
      <c r="F56" s="44"/>
      <c r="G56" s="43"/>
      <c r="H56" s="43"/>
      <c r="I56" s="43"/>
      <c r="J56" s="45"/>
    </row>
    <row r="57" spans="1:10">
      <c r="A57" s="60" t="s">
        <v>14</v>
      </c>
      <c r="B57" s="61"/>
      <c r="C57" s="61"/>
      <c r="D57" s="17"/>
      <c r="E57" s="17"/>
      <c r="F57" s="18"/>
      <c r="G57" s="17"/>
      <c r="H57" s="17"/>
      <c r="I57" s="17"/>
      <c r="J57" s="19"/>
    </row>
    <row r="58" spans="1:10">
      <c r="A58" s="20"/>
      <c r="B58" s="52" t="s">
        <v>15</v>
      </c>
      <c r="C58" s="52"/>
      <c r="D58" s="53"/>
      <c r="E58" s="53"/>
      <c r="F58" s="53"/>
      <c r="G58" s="53"/>
      <c r="H58" s="53">
        <f>H17</f>
        <v>9900</v>
      </c>
      <c r="I58" s="53">
        <f>I17</f>
        <v>0</v>
      </c>
      <c r="J58" s="54">
        <f>J17</f>
        <v>0</v>
      </c>
    </row>
    <row r="59" spans="1:10">
      <c r="A59" s="20"/>
      <c r="B59" s="21" t="s">
        <v>16</v>
      </c>
      <c r="C59" s="21"/>
      <c r="D59" s="43"/>
      <c r="E59" s="43"/>
      <c r="F59" s="43"/>
      <c r="G59" s="43"/>
      <c r="H59" s="43">
        <f>H55</f>
        <v>11562.349999999999</v>
      </c>
      <c r="I59" s="43">
        <f t="shared" ref="I59:J59" si="8">I55</f>
        <v>0</v>
      </c>
      <c r="J59" s="45">
        <f t="shared" si="8"/>
        <v>0</v>
      </c>
    </row>
    <row r="60" spans="1:10">
      <c r="A60" s="55"/>
      <c r="B60" s="56" t="s">
        <v>17</v>
      </c>
      <c r="C60" s="56"/>
      <c r="D60" s="57"/>
      <c r="E60" s="57"/>
      <c r="F60" s="57"/>
      <c r="G60" s="57"/>
      <c r="H60" s="57">
        <f t="shared" ref="H60:J60" si="9">H58-H59</f>
        <v>-1662.3499999999985</v>
      </c>
      <c r="I60" s="57">
        <f t="shared" si="9"/>
        <v>0</v>
      </c>
      <c r="J60" s="58">
        <f t="shared" si="9"/>
        <v>0</v>
      </c>
    </row>
  </sheetData>
  <mergeCells count="2">
    <mergeCell ref="A1:J1"/>
    <mergeCell ref="A4:C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28" workbookViewId="0">
      <selection activeCell="A60" sqref="A60:XFD60"/>
    </sheetView>
  </sheetViews>
  <sheetFormatPr baseColWidth="10" defaultRowHeight="15" x14ac:dyDescent="0"/>
  <cols>
    <col min="3" max="3" width="26.83203125" customWidth="1"/>
    <col min="4" max="4" width="28.6640625" customWidth="1"/>
    <col min="8" max="8" width="12.83203125" bestFit="1" customWidth="1"/>
  </cols>
  <sheetData>
    <row r="1" spans="1:10" ht="25">
      <c r="A1" s="505" t="s">
        <v>306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>
      <c r="A2" s="2"/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>
      <c r="A3" s="10"/>
      <c r="B3" s="11"/>
      <c r="C3" s="12"/>
      <c r="D3" s="13"/>
      <c r="E3" s="14"/>
      <c r="F3" s="15"/>
      <c r="G3" s="14"/>
      <c r="H3" s="14"/>
      <c r="I3" s="14"/>
      <c r="J3" s="16"/>
    </row>
    <row r="4" spans="1:10">
      <c r="A4" s="497" t="s">
        <v>9</v>
      </c>
      <c r="B4" s="498"/>
      <c r="C4" s="498"/>
      <c r="D4" s="17"/>
      <c r="E4" s="17"/>
      <c r="F4" s="18"/>
      <c r="G4" s="17"/>
      <c r="H4" s="17"/>
      <c r="I4" s="17"/>
      <c r="J4" s="19"/>
    </row>
    <row r="5" spans="1:10">
      <c r="A5" s="20"/>
      <c r="B5" s="21"/>
      <c r="C5" s="21"/>
      <c r="D5" s="43"/>
      <c r="E5" s="43"/>
      <c r="F5" s="44"/>
      <c r="G5" s="43"/>
      <c r="H5" s="43"/>
      <c r="I5" s="43"/>
      <c r="J5" s="45"/>
    </row>
    <row r="6" spans="1:10">
      <c r="A6" s="20"/>
      <c r="B6" s="21"/>
      <c r="C6" s="21" t="s">
        <v>11</v>
      </c>
      <c r="D6" s="43"/>
      <c r="E6" s="43"/>
      <c r="F6" s="44"/>
      <c r="G6" s="43"/>
      <c r="H6" s="43">
        <v>0</v>
      </c>
      <c r="I6" s="43">
        <v>0</v>
      </c>
      <c r="J6" s="45">
        <v>0</v>
      </c>
    </row>
    <row r="7" spans="1:10">
      <c r="A7" s="20"/>
      <c r="B7" s="21"/>
      <c r="C7" s="21"/>
      <c r="D7" s="43"/>
      <c r="E7" s="43"/>
      <c r="F7" s="44"/>
      <c r="G7" s="43"/>
      <c r="H7" s="43"/>
      <c r="I7" s="43"/>
      <c r="J7" s="45"/>
    </row>
    <row r="8" spans="1:10">
      <c r="A8" s="497" t="s">
        <v>12</v>
      </c>
      <c r="B8" s="498"/>
      <c r="C8" s="498"/>
      <c r="D8" s="17"/>
      <c r="E8" s="48"/>
      <c r="F8" s="49"/>
      <c r="G8" s="48"/>
      <c r="H8" s="48"/>
      <c r="I8" s="48"/>
      <c r="J8" s="19"/>
    </row>
    <row r="9" spans="1:10">
      <c r="A9" s="20" t="s">
        <v>307</v>
      </c>
      <c r="B9" s="21"/>
      <c r="C9" s="22"/>
      <c r="D9" s="32"/>
      <c r="E9" s="32"/>
      <c r="F9" s="33"/>
      <c r="G9" s="32"/>
      <c r="H9" s="32"/>
      <c r="I9" s="32"/>
      <c r="J9" s="34"/>
    </row>
    <row r="10" spans="1:10">
      <c r="A10" s="30"/>
      <c r="B10" s="22" t="s">
        <v>308</v>
      </c>
      <c r="C10" s="169" t="s">
        <v>309</v>
      </c>
      <c r="D10" s="32" t="s">
        <v>310</v>
      </c>
      <c r="E10" s="32">
        <v>300</v>
      </c>
      <c r="F10" s="33">
        <v>7</v>
      </c>
      <c r="G10" s="32">
        <f>E10*F10</f>
        <v>2100</v>
      </c>
      <c r="H10" s="32">
        <f>G10</f>
        <v>2100</v>
      </c>
      <c r="I10" s="32"/>
      <c r="J10" s="34"/>
    </row>
    <row r="11" spans="1:10">
      <c r="A11" s="30"/>
      <c r="B11" s="35" t="s">
        <v>311</v>
      </c>
      <c r="C11" s="167" t="s">
        <v>312</v>
      </c>
      <c r="D11" s="27" t="s">
        <v>313</v>
      </c>
      <c r="E11" s="27">
        <v>400</v>
      </c>
      <c r="F11" s="28">
        <v>1</v>
      </c>
      <c r="G11" s="27">
        <f t="shared" ref="G11:G20" si="0">E11*F11</f>
        <v>400</v>
      </c>
      <c r="H11" s="27">
        <f>G11*1</f>
        <v>400</v>
      </c>
      <c r="I11" s="27"/>
      <c r="J11" s="29"/>
    </row>
    <row r="12" spans="1:10">
      <c r="A12" s="30"/>
      <c r="B12" s="22" t="s">
        <v>314</v>
      </c>
      <c r="C12" s="168" t="s">
        <v>315</v>
      </c>
      <c r="D12" s="32" t="s">
        <v>1406</v>
      </c>
      <c r="E12" s="32">
        <v>20</v>
      </c>
      <c r="F12" s="33">
        <v>1</v>
      </c>
      <c r="G12" s="32">
        <f t="shared" si="0"/>
        <v>20</v>
      </c>
      <c r="H12" s="32">
        <f>G12*1</f>
        <v>20</v>
      </c>
      <c r="I12" s="32"/>
      <c r="J12" s="34"/>
    </row>
    <row r="13" spans="1:10">
      <c r="A13" s="30"/>
      <c r="B13" s="35" t="s">
        <v>316</v>
      </c>
      <c r="C13" s="167" t="s">
        <v>317</v>
      </c>
      <c r="D13" s="27" t="s">
        <v>1406</v>
      </c>
      <c r="E13" s="27">
        <v>150</v>
      </c>
      <c r="F13" s="28">
        <v>2</v>
      </c>
      <c r="G13" s="27">
        <f t="shared" si="0"/>
        <v>300</v>
      </c>
      <c r="H13" s="27">
        <f>G13*1</f>
        <v>300</v>
      </c>
      <c r="I13" s="27"/>
      <c r="J13" s="209"/>
    </row>
    <row r="14" spans="1:10">
      <c r="A14" s="30"/>
      <c r="B14" s="22" t="s">
        <v>318</v>
      </c>
      <c r="C14" s="168" t="s">
        <v>319</v>
      </c>
      <c r="D14" s="32" t="s">
        <v>1406</v>
      </c>
      <c r="E14" s="32">
        <v>55</v>
      </c>
      <c r="F14" s="33">
        <v>1</v>
      </c>
      <c r="G14" s="32">
        <f t="shared" si="0"/>
        <v>55</v>
      </c>
      <c r="H14" s="32">
        <f>G14*1</f>
        <v>55</v>
      </c>
      <c r="I14" s="32"/>
      <c r="J14" s="34"/>
    </row>
    <row r="15" spans="1:10">
      <c r="A15" s="30"/>
      <c r="B15" s="35" t="s">
        <v>320</v>
      </c>
      <c r="C15" s="26" t="s">
        <v>321</v>
      </c>
      <c r="D15" s="27" t="s">
        <v>1406</v>
      </c>
      <c r="E15" s="27">
        <v>150</v>
      </c>
      <c r="F15" s="28">
        <v>2</v>
      </c>
      <c r="G15" s="27">
        <f t="shared" si="0"/>
        <v>300</v>
      </c>
      <c r="H15" s="27">
        <f t="shared" ref="H15:H20" si="1">G15*1</f>
        <v>300</v>
      </c>
      <c r="I15" s="27"/>
      <c r="J15" s="29"/>
    </row>
    <row r="16" spans="1:10">
      <c r="A16" s="30"/>
      <c r="B16" s="22" t="s">
        <v>322</v>
      </c>
      <c r="C16" s="168" t="s">
        <v>323</v>
      </c>
      <c r="D16" s="32" t="s">
        <v>1406</v>
      </c>
      <c r="E16" s="32">
        <v>50</v>
      </c>
      <c r="F16" s="33">
        <v>1</v>
      </c>
      <c r="G16" s="32">
        <f t="shared" si="0"/>
        <v>50</v>
      </c>
      <c r="H16" s="32">
        <f t="shared" si="1"/>
        <v>50</v>
      </c>
      <c r="I16" s="32"/>
      <c r="J16" s="34"/>
    </row>
    <row r="17" spans="1:10">
      <c r="A17" s="30"/>
      <c r="B17" s="35" t="s">
        <v>324</v>
      </c>
      <c r="C17" s="26" t="s">
        <v>325</v>
      </c>
      <c r="D17" s="27" t="s">
        <v>1406</v>
      </c>
      <c r="E17" s="27">
        <v>80</v>
      </c>
      <c r="F17" s="28">
        <v>2</v>
      </c>
      <c r="G17" s="27">
        <f t="shared" si="0"/>
        <v>160</v>
      </c>
      <c r="H17" s="27">
        <f t="shared" si="1"/>
        <v>160</v>
      </c>
      <c r="I17" s="27"/>
      <c r="J17" s="29"/>
    </row>
    <row r="18" spans="1:10">
      <c r="A18" s="30"/>
      <c r="B18" s="22" t="s">
        <v>326</v>
      </c>
      <c r="C18" s="168" t="s">
        <v>327</v>
      </c>
      <c r="D18" s="32" t="s">
        <v>1406</v>
      </c>
      <c r="E18" s="32">
        <v>100</v>
      </c>
      <c r="F18" s="33">
        <v>2</v>
      </c>
      <c r="G18" s="32">
        <f t="shared" si="0"/>
        <v>200</v>
      </c>
      <c r="H18" s="32">
        <f t="shared" si="1"/>
        <v>200</v>
      </c>
      <c r="I18" s="32"/>
      <c r="J18" s="34"/>
    </row>
    <row r="19" spans="1:10">
      <c r="A19" s="30"/>
      <c r="B19" s="35" t="s">
        <v>328</v>
      </c>
      <c r="C19" s="26" t="s">
        <v>329</v>
      </c>
      <c r="D19" s="27" t="s">
        <v>1406</v>
      </c>
      <c r="E19" s="27">
        <v>50</v>
      </c>
      <c r="F19" s="28">
        <v>1</v>
      </c>
      <c r="G19" s="27">
        <f t="shared" si="0"/>
        <v>50</v>
      </c>
      <c r="H19" s="27">
        <f t="shared" si="1"/>
        <v>50</v>
      </c>
      <c r="I19" s="27"/>
      <c r="J19" s="29"/>
    </row>
    <row r="20" spans="1:10">
      <c r="A20" s="30"/>
      <c r="B20" s="22" t="s">
        <v>330</v>
      </c>
      <c r="C20" s="168" t="s">
        <v>331</v>
      </c>
      <c r="D20" s="32" t="s">
        <v>332</v>
      </c>
      <c r="E20" s="32">
        <v>35</v>
      </c>
      <c r="F20" s="33">
        <v>15</v>
      </c>
      <c r="G20" s="32">
        <f t="shared" si="0"/>
        <v>525</v>
      </c>
      <c r="H20" s="32">
        <f t="shared" si="1"/>
        <v>525</v>
      </c>
      <c r="I20" s="32"/>
      <c r="J20" s="34"/>
    </row>
    <row r="21" spans="1:10" s="129" customFormat="1">
      <c r="A21" s="30"/>
      <c r="B21" s="22"/>
      <c r="C21" s="31"/>
      <c r="D21" s="32"/>
      <c r="E21" s="32"/>
      <c r="F21" s="33"/>
      <c r="G21" s="32"/>
      <c r="H21" s="32"/>
      <c r="I21" s="32"/>
      <c r="J21" s="34"/>
    </row>
    <row r="22" spans="1:10">
      <c r="A22" s="30"/>
      <c r="B22" s="37" t="s">
        <v>333</v>
      </c>
      <c r="C22" s="50"/>
      <c r="D22" s="41"/>
      <c r="E22" s="41"/>
      <c r="F22" s="47"/>
      <c r="G22" s="41"/>
      <c r="H22" s="41">
        <f>SUM(H9:H20)</f>
        <v>4160</v>
      </c>
      <c r="I22" s="41">
        <f>SUM(I9:I14)</f>
        <v>0</v>
      </c>
      <c r="J22" s="42">
        <f>SUM(J9:J14)</f>
        <v>0</v>
      </c>
    </row>
    <row r="23" spans="1:10">
      <c r="A23" s="20"/>
      <c r="B23" s="21"/>
      <c r="C23" s="21"/>
      <c r="D23" s="43"/>
      <c r="E23" s="43"/>
      <c r="F23" s="44"/>
      <c r="G23" s="43"/>
      <c r="H23" s="43"/>
      <c r="I23" s="43"/>
      <c r="J23" s="45"/>
    </row>
    <row r="24" spans="1:10">
      <c r="A24" s="20" t="s">
        <v>334</v>
      </c>
      <c r="B24" s="21"/>
      <c r="C24" s="22"/>
      <c r="D24" s="32"/>
      <c r="E24" s="32"/>
      <c r="F24" s="33"/>
      <c r="G24" s="32"/>
      <c r="H24" s="32"/>
      <c r="I24" s="32"/>
      <c r="J24" s="34"/>
    </row>
    <row r="25" spans="1:10">
      <c r="A25" s="51"/>
      <c r="B25" s="35" t="s">
        <v>335</v>
      </c>
      <c r="C25" s="167" t="s">
        <v>336</v>
      </c>
      <c r="D25" s="27" t="s">
        <v>337</v>
      </c>
      <c r="E25" s="27">
        <v>250</v>
      </c>
      <c r="F25" s="28">
        <v>4</v>
      </c>
      <c r="G25" s="27">
        <f>E25*F25</f>
        <v>1000</v>
      </c>
      <c r="H25" s="27">
        <f>G25*1.13</f>
        <v>1130</v>
      </c>
      <c r="I25" s="27"/>
      <c r="J25" s="29"/>
    </row>
    <row r="26" spans="1:10">
      <c r="A26" s="51"/>
      <c r="B26" s="22" t="s">
        <v>338</v>
      </c>
      <c r="C26" s="169" t="s">
        <v>339</v>
      </c>
      <c r="D26" s="32" t="s">
        <v>337</v>
      </c>
      <c r="E26" s="32">
        <v>250</v>
      </c>
      <c r="F26" s="33">
        <v>4</v>
      </c>
      <c r="G26" s="32">
        <f t="shared" ref="G26:G28" si="2">E26*F26</f>
        <v>1000</v>
      </c>
      <c r="H26" s="32">
        <f t="shared" ref="H26:H32" si="3">G26*1.13</f>
        <v>1130</v>
      </c>
      <c r="I26" s="32"/>
      <c r="J26" s="34"/>
    </row>
    <row r="27" spans="1:10">
      <c r="A27" s="51"/>
      <c r="B27" s="35" t="s">
        <v>340</v>
      </c>
      <c r="C27" s="26" t="s">
        <v>336</v>
      </c>
      <c r="D27" s="27" t="s">
        <v>341</v>
      </c>
      <c r="E27" s="27">
        <v>200</v>
      </c>
      <c r="F27" s="28">
        <v>1</v>
      </c>
      <c r="G27" s="27">
        <f t="shared" si="2"/>
        <v>200</v>
      </c>
      <c r="H27" s="27">
        <f t="shared" si="3"/>
        <v>225.99999999999997</v>
      </c>
      <c r="I27" s="27"/>
      <c r="J27" s="29"/>
    </row>
    <row r="28" spans="1:10">
      <c r="A28" s="51"/>
      <c r="B28" s="22" t="s">
        <v>342</v>
      </c>
      <c r="C28" s="168" t="s">
        <v>339</v>
      </c>
      <c r="D28" s="32" t="s">
        <v>343</v>
      </c>
      <c r="E28" s="32">
        <v>150</v>
      </c>
      <c r="F28" s="33">
        <v>4</v>
      </c>
      <c r="G28" s="32">
        <f t="shared" si="2"/>
        <v>600</v>
      </c>
      <c r="H28" s="32">
        <f t="shared" si="3"/>
        <v>677.99999999999989</v>
      </c>
      <c r="I28" s="32"/>
      <c r="J28" s="34"/>
    </row>
    <row r="29" spans="1:10">
      <c r="A29" s="51"/>
      <c r="B29" s="35" t="s">
        <v>344</v>
      </c>
      <c r="C29" s="167" t="s">
        <v>345</v>
      </c>
      <c r="D29" s="27" t="s">
        <v>346</v>
      </c>
      <c r="E29" s="27">
        <v>250</v>
      </c>
      <c r="F29" s="28">
        <v>16</v>
      </c>
      <c r="G29" s="27">
        <f>E29*F29</f>
        <v>4000</v>
      </c>
      <c r="H29" s="27">
        <f>G29*1.13</f>
        <v>4520</v>
      </c>
      <c r="I29" s="27"/>
      <c r="J29" s="29"/>
    </row>
    <row r="30" spans="1:10">
      <c r="A30" s="51"/>
      <c r="B30" s="22" t="s">
        <v>347</v>
      </c>
      <c r="C30" s="168" t="s">
        <v>345</v>
      </c>
      <c r="D30" s="32" t="s">
        <v>1407</v>
      </c>
      <c r="E30" s="32">
        <v>60</v>
      </c>
      <c r="F30" s="33">
        <v>16</v>
      </c>
      <c r="G30" s="32">
        <f>E30*F30</f>
        <v>960</v>
      </c>
      <c r="H30" s="32">
        <f>G30*1.13</f>
        <v>1084.8</v>
      </c>
      <c r="I30" s="32"/>
      <c r="J30" s="34"/>
    </row>
    <row r="31" spans="1:10">
      <c r="A31" s="51"/>
      <c r="B31" s="52" t="s">
        <v>348</v>
      </c>
      <c r="C31" s="26" t="s">
        <v>349</v>
      </c>
      <c r="D31" s="27" t="s">
        <v>346</v>
      </c>
      <c r="E31" s="27">
        <v>250</v>
      </c>
      <c r="F31" s="28">
        <v>4</v>
      </c>
      <c r="G31" s="27">
        <f t="shared" ref="G31:G32" si="4">E31*F31</f>
        <v>1000</v>
      </c>
      <c r="H31" s="27">
        <f t="shared" si="3"/>
        <v>1130</v>
      </c>
      <c r="I31" s="27"/>
      <c r="J31" s="29"/>
    </row>
    <row r="32" spans="1:10">
      <c r="A32" s="30"/>
      <c r="B32" s="21" t="s">
        <v>350</v>
      </c>
      <c r="C32" s="168" t="s">
        <v>349</v>
      </c>
      <c r="D32" s="32" t="s">
        <v>351</v>
      </c>
      <c r="E32" s="32">
        <v>60</v>
      </c>
      <c r="F32" s="33">
        <v>4</v>
      </c>
      <c r="G32" s="32">
        <f t="shared" si="4"/>
        <v>240</v>
      </c>
      <c r="H32" s="32">
        <f t="shared" si="3"/>
        <v>271.2</v>
      </c>
      <c r="I32" s="32"/>
      <c r="J32" s="34"/>
    </row>
    <row r="33" spans="1:10" s="129" customFormat="1" ht="16">
      <c r="A33" s="30"/>
      <c r="B33" s="22"/>
      <c r="C33" s="97"/>
      <c r="D33" s="97"/>
      <c r="E33" s="97"/>
      <c r="F33" s="97"/>
      <c r="G33" s="32"/>
      <c r="H33" s="32"/>
      <c r="I33" s="32"/>
      <c r="J33" s="34"/>
    </row>
    <row r="34" spans="1:10">
      <c r="A34" s="30"/>
      <c r="B34" s="37" t="s">
        <v>352</v>
      </c>
      <c r="C34" s="46"/>
      <c r="D34" s="41"/>
      <c r="E34" s="41"/>
      <c r="F34" s="47"/>
      <c r="G34" s="41"/>
      <c r="H34" s="41">
        <f>SUM(H25:H32)</f>
        <v>10170</v>
      </c>
      <c r="I34" s="41">
        <f>SUM(I25:I33)</f>
        <v>0</v>
      </c>
      <c r="J34" s="42">
        <f>SUM(J25:J33)</f>
        <v>0</v>
      </c>
    </row>
    <row r="35" spans="1:10">
      <c r="A35" s="30"/>
      <c r="B35" s="22"/>
      <c r="C35" s="22"/>
      <c r="D35" s="32"/>
      <c r="E35" s="32"/>
      <c r="F35" s="33"/>
      <c r="G35" s="32"/>
      <c r="H35" s="32"/>
      <c r="I35" s="32"/>
      <c r="J35" s="34"/>
    </row>
    <row r="36" spans="1:10">
      <c r="A36" s="20" t="s">
        <v>353</v>
      </c>
      <c r="B36" s="21"/>
      <c r="C36" s="22"/>
      <c r="D36" s="32"/>
      <c r="E36" s="32"/>
      <c r="F36" s="33"/>
      <c r="G36" s="32"/>
      <c r="H36" s="32"/>
      <c r="I36" s="32"/>
      <c r="J36" s="34"/>
    </row>
    <row r="37" spans="1:10">
      <c r="A37" s="30"/>
      <c r="B37" s="35" t="s">
        <v>354</v>
      </c>
      <c r="C37" s="26" t="s">
        <v>31</v>
      </c>
      <c r="D37" s="27" t="s">
        <v>317</v>
      </c>
      <c r="E37" s="27">
        <v>75</v>
      </c>
      <c r="F37" s="28">
        <v>2</v>
      </c>
      <c r="G37" s="27">
        <f t="shared" ref="G37:G44" si="5">E37*F37</f>
        <v>150</v>
      </c>
      <c r="H37" s="27">
        <f>G37*1</f>
        <v>150</v>
      </c>
      <c r="I37" s="27"/>
      <c r="J37" s="29"/>
    </row>
    <row r="38" spans="1:10">
      <c r="A38" s="30"/>
      <c r="B38" s="22" t="s">
        <v>355</v>
      </c>
      <c r="C38" s="168" t="s">
        <v>31</v>
      </c>
      <c r="D38" s="32" t="s">
        <v>321</v>
      </c>
      <c r="E38" s="32">
        <v>75</v>
      </c>
      <c r="F38" s="33">
        <v>2</v>
      </c>
      <c r="G38" s="32">
        <f t="shared" si="5"/>
        <v>150</v>
      </c>
      <c r="H38" s="32">
        <f t="shared" ref="H38:H42" si="6">G38*1</f>
        <v>150</v>
      </c>
      <c r="I38" s="32"/>
      <c r="J38" s="34"/>
    </row>
    <row r="39" spans="1:10">
      <c r="A39" s="30"/>
      <c r="B39" s="35" t="s">
        <v>356</v>
      </c>
      <c r="C39" s="26" t="s">
        <v>31</v>
      </c>
      <c r="D39" s="27" t="s">
        <v>319</v>
      </c>
      <c r="E39" s="27">
        <v>25</v>
      </c>
      <c r="F39" s="28">
        <v>2</v>
      </c>
      <c r="G39" s="27">
        <f t="shared" si="5"/>
        <v>50</v>
      </c>
      <c r="H39" s="27">
        <f t="shared" si="6"/>
        <v>50</v>
      </c>
      <c r="I39" s="27"/>
      <c r="J39" s="29"/>
    </row>
    <row r="40" spans="1:10">
      <c r="A40" s="30"/>
      <c r="B40" s="22" t="s">
        <v>357</v>
      </c>
      <c r="C40" s="168" t="s">
        <v>31</v>
      </c>
      <c r="D40" s="32" t="s">
        <v>323</v>
      </c>
      <c r="E40" s="32">
        <v>25</v>
      </c>
      <c r="F40" s="33">
        <v>2</v>
      </c>
      <c r="G40" s="32">
        <f t="shared" si="5"/>
        <v>50</v>
      </c>
      <c r="H40" s="32">
        <f t="shared" si="6"/>
        <v>50</v>
      </c>
      <c r="I40" s="32"/>
      <c r="J40" s="34"/>
    </row>
    <row r="41" spans="1:10">
      <c r="A41" s="30"/>
      <c r="B41" s="35" t="s">
        <v>358</v>
      </c>
      <c r="C41" s="26" t="s">
        <v>31</v>
      </c>
      <c r="D41" s="27" t="s">
        <v>329</v>
      </c>
      <c r="E41" s="27">
        <v>25</v>
      </c>
      <c r="F41" s="28">
        <v>2</v>
      </c>
      <c r="G41" s="27">
        <f t="shared" si="5"/>
        <v>50</v>
      </c>
      <c r="H41" s="27">
        <f t="shared" si="6"/>
        <v>50</v>
      </c>
      <c r="I41" s="27"/>
      <c r="J41" s="29"/>
    </row>
    <row r="42" spans="1:10">
      <c r="A42" s="30"/>
      <c r="B42" s="22" t="s">
        <v>359</v>
      </c>
      <c r="C42" s="168" t="s">
        <v>31</v>
      </c>
      <c r="D42" s="32" t="s">
        <v>315</v>
      </c>
      <c r="E42" s="32">
        <v>20</v>
      </c>
      <c r="F42" s="33">
        <v>4</v>
      </c>
      <c r="G42" s="32">
        <f t="shared" si="5"/>
        <v>80</v>
      </c>
      <c r="H42" s="32">
        <f t="shared" si="6"/>
        <v>80</v>
      </c>
      <c r="I42" s="32"/>
      <c r="J42" s="34"/>
    </row>
    <row r="43" spans="1:10">
      <c r="A43" s="30"/>
      <c r="B43" s="52" t="s">
        <v>360</v>
      </c>
      <c r="C43" s="26" t="s">
        <v>31</v>
      </c>
      <c r="D43" s="27" t="s">
        <v>325</v>
      </c>
      <c r="E43" s="27">
        <v>40</v>
      </c>
      <c r="F43" s="28">
        <v>2</v>
      </c>
      <c r="G43" s="27">
        <f t="shared" si="5"/>
        <v>80</v>
      </c>
      <c r="H43" s="27">
        <f t="shared" ref="H43:H44" si="7">G43*1.13</f>
        <v>90.399999999999991</v>
      </c>
      <c r="I43" s="27"/>
      <c r="J43" s="29"/>
    </row>
    <row r="44" spans="1:10">
      <c r="A44" s="30"/>
      <c r="B44" s="21" t="s">
        <v>361</v>
      </c>
      <c r="C44" s="168" t="s">
        <v>31</v>
      </c>
      <c r="D44" s="32" t="s">
        <v>327</v>
      </c>
      <c r="E44" s="32">
        <v>50</v>
      </c>
      <c r="F44" s="33">
        <v>2</v>
      </c>
      <c r="G44" s="32">
        <f t="shared" si="5"/>
        <v>100</v>
      </c>
      <c r="H44" s="32">
        <f t="shared" si="7"/>
        <v>112.99999999999999</v>
      </c>
      <c r="I44" s="32"/>
      <c r="J44" s="34"/>
    </row>
    <row r="45" spans="1:10" s="129" customFormat="1" ht="16">
      <c r="A45" s="30"/>
      <c r="B45" s="22"/>
      <c r="C45" s="97"/>
      <c r="D45" s="97"/>
      <c r="E45" s="97"/>
      <c r="F45" s="97"/>
      <c r="G45" s="32"/>
      <c r="H45" s="32"/>
      <c r="I45" s="32"/>
      <c r="J45" s="34"/>
    </row>
    <row r="46" spans="1:10">
      <c r="A46" s="30"/>
      <c r="B46" s="37" t="s">
        <v>362</v>
      </c>
      <c r="C46" s="46"/>
      <c r="D46" s="41"/>
      <c r="E46" s="41"/>
      <c r="F46" s="47"/>
      <c r="G46" s="41"/>
      <c r="H46" s="41">
        <f>SUM(H37:H45)</f>
        <v>733.4</v>
      </c>
      <c r="I46" s="41">
        <f>SUM(I37:I45)</f>
        <v>0</v>
      </c>
      <c r="J46" s="42">
        <f>SUM(J37:J45)</f>
        <v>0</v>
      </c>
    </row>
    <row r="47" spans="1:10">
      <c r="A47" s="30"/>
      <c r="B47" s="22"/>
      <c r="C47" s="22"/>
      <c r="D47" s="32"/>
      <c r="E47" s="32"/>
      <c r="F47" s="33"/>
      <c r="G47" s="32"/>
      <c r="H47" s="32"/>
      <c r="I47" s="32"/>
      <c r="J47" s="34"/>
    </row>
    <row r="48" spans="1:10">
      <c r="A48" s="20" t="s">
        <v>363</v>
      </c>
      <c r="B48" s="21"/>
      <c r="C48" s="22"/>
      <c r="D48" s="32"/>
      <c r="E48" s="32"/>
      <c r="F48" s="33"/>
      <c r="G48" s="32"/>
      <c r="H48" s="32"/>
      <c r="I48" s="32"/>
      <c r="J48" s="34"/>
    </row>
    <row r="49" spans="1:10">
      <c r="A49" s="20"/>
      <c r="B49" s="52" t="s">
        <v>364</v>
      </c>
      <c r="C49" s="26" t="s">
        <v>365</v>
      </c>
      <c r="D49" s="27" t="s">
        <v>366</v>
      </c>
      <c r="E49" s="27">
        <v>3</v>
      </c>
      <c r="F49" s="28">
        <v>20</v>
      </c>
      <c r="G49" s="27">
        <f t="shared" ref="G49:G50" si="8">E49*F49</f>
        <v>60</v>
      </c>
      <c r="H49" s="27">
        <f t="shared" ref="H49:H50" si="9">G49*1.13</f>
        <v>67.8</v>
      </c>
      <c r="I49" s="27"/>
      <c r="J49" s="29"/>
    </row>
    <row r="50" spans="1:10">
      <c r="A50" s="20"/>
      <c r="B50" s="21" t="s">
        <v>367</v>
      </c>
      <c r="C50" s="168" t="s">
        <v>368</v>
      </c>
      <c r="D50" s="32" t="s">
        <v>369</v>
      </c>
      <c r="E50" s="32">
        <v>30</v>
      </c>
      <c r="F50" s="33">
        <v>4</v>
      </c>
      <c r="G50" s="32">
        <f t="shared" si="8"/>
        <v>120</v>
      </c>
      <c r="H50" s="32">
        <f t="shared" si="9"/>
        <v>135.6</v>
      </c>
      <c r="I50" s="32"/>
      <c r="J50" s="34"/>
    </row>
    <row r="51" spans="1:10" s="129" customFormat="1">
      <c r="A51" s="20"/>
      <c r="B51" s="21"/>
      <c r="C51" s="22"/>
      <c r="D51" s="32"/>
      <c r="E51" s="32"/>
      <c r="F51" s="33"/>
      <c r="G51" s="32"/>
      <c r="H51" s="32"/>
      <c r="I51" s="32"/>
      <c r="J51" s="34"/>
    </row>
    <row r="52" spans="1:10">
      <c r="A52" s="30"/>
      <c r="B52" s="37" t="s">
        <v>370</v>
      </c>
      <c r="C52" s="46"/>
      <c r="D52" s="41"/>
      <c r="E52" s="41"/>
      <c r="F52" s="47"/>
      <c r="G52" s="41"/>
      <c r="H52" s="41">
        <f>SUM(H49:H51)</f>
        <v>203.39999999999998</v>
      </c>
      <c r="I52" s="41">
        <f>SUM(I49:I51)</f>
        <v>0</v>
      </c>
      <c r="J52" s="42">
        <f>SUM(J49:J51)</f>
        <v>0</v>
      </c>
    </row>
    <row r="53" spans="1:10">
      <c r="A53" s="30"/>
      <c r="B53" s="22"/>
      <c r="C53" s="21"/>
      <c r="D53" s="43"/>
      <c r="E53" s="43"/>
      <c r="F53" s="44"/>
      <c r="G53" s="43"/>
      <c r="H53" s="43"/>
      <c r="I53" s="43"/>
      <c r="J53" s="45"/>
    </row>
    <row r="54" spans="1:10">
      <c r="A54" s="20" t="s">
        <v>371</v>
      </c>
      <c r="B54" s="21"/>
      <c r="C54" s="22"/>
      <c r="D54" s="32"/>
      <c r="E54" s="32"/>
      <c r="F54" s="33"/>
      <c r="G54" s="32"/>
      <c r="H54" s="32"/>
      <c r="I54" s="32"/>
      <c r="J54" s="34"/>
    </row>
    <row r="55" spans="1:10">
      <c r="A55" s="20"/>
      <c r="B55" s="35" t="s">
        <v>372</v>
      </c>
      <c r="C55" s="26" t="s">
        <v>373</v>
      </c>
      <c r="D55" s="27" t="s">
        <v>1408</v>
      </c>
      <c r="E55" s="27">
        <v>50</v>
      </c>
      <c r="F55" s="28">
        <v>1</v>
      </c>
      <c r="G55" s="27">
        <f t="shared" ref="G55" si="10">E55*F55</f>
        <v>50</v>
      </c>
      <c r="H55" s="27">
        <f t="shared" ref="H55" si="11">G55*1.13</f>
        <v>56.499999999999993</v>
      </c>
      <c r="I55" s="27"/>
      <c r="J55" s="29"/>
    </row>
    <row r="56" spans="1:10">
      <c r="A56" s="30"/>
      <c r="B56" s="21"/>
      <c r="C56" s="21"/>
      <c r="D56" s="43"/>
      <c r="E56" s="43"/>
      <c r="F56" s="44"/>
      <c r="G56" s="43"/>
      <c r="H56" s="43"/>
      <c r="I56" s="43"/>
      <c r="J56" s="45"/>
    </row>
    <row r="57" spans="1:10">
      <c r="A57" s="30"/>
      <c r="B57" s="37" t="s">
        <v>374</v>
      </c>
      <c r="C57" s="46"/>
      <c r="D57" s="41"/>
      <c r="E57" s="41"/>
      <c r="F57" s="47"/>
      <c r="G57" s="41"/>
      <c r="H57" s="41">
        <f>SUM(H55:H56)</f>
        <v>56.499999999999993</v>
      </c>
      <c r="I57" s="41">
        <f>SUM(I55:I56)</f>
        <v>0</v>
      </c>
      <c r="J57" s="42">
        <f>SUM(J55:J56)</f>
        <v>0</v>
      </c>
    </row>
    <row r="58" spans="1:10">
      <c r="A58" s="30"/>
      <c r="B58" s="21"/>
      <c r="C58" s="21"/>
      <c r="D58" s="43"/>
      <c r="E58" s="43"/>
      <c r="F58" s="44"/>
      <c r="G58" s="43"/>
      <c r="H58" s="43"/>
      <c r="I58" s="43"/>
      <c r="J58" s="45"/>
    </row>
    <row r="59" spans="1:10">
      <c r="A59" s="20" t="s">
        <v>375</v>
      </c>
      <c r="B59" s="21"/>
      <c r="C59" s="22"/>
      <c r="D59" s="32"/>
      <c r="E59" s="32"/>
      <c r="F59" s="33"/>
      <c r="G59" s="32"/>
      <c r="H59" s="32"/>
      <c r="I59" s="32"/>
      <c r="J59" s="34"/>
    </row>
    <row r="60" spans="1:10">
      <c r="A60" s="20"/>
      <c r="B60" s="52" t="s">
        <v>376</v>
      </c>
      <c r="C60" s="26" t="s">
        <v>377</v>
      </c>
      <c r="D60" s="27" t="s">
        <v>378</v>
      </c>
      <c r="E60" s="27">
        <v>50</v>
      </c>
      <c r="F60" s="28">
        <v>4</v>
      </c>
      <c r="G60" s="27">
        <f t="shared" ref="G60" si="12">E60*F60</f>
        <v>200</v>
      </c>
      <c r="H60" s="27">
        <f t="shared" ref="H60" si="13">G60*1.13</f>
        <v>225.99999999999997</v>
      </c>
      <c r="I60" s="27"/>
      <c r="J60" s="29"/>
    </row>
    <row r="61" spans="1:10">
      <c r="A61" s="20"/>
      <c r="B61" s="22" t="s">
        <v>379</v>
      </c>
      <c r="C61" s="168" t="s">
        <v>1409</v>
      </c>
      <c r="D61" s="32" t="s">
        <v>380</v>
      </c>
      <c r="E61" s="32">
        <v>50</v>
      </c>
      <c r="F61" s="33">
        <v>2</v>
      </c>
      <c r="G61" s="32">
        <f>E61*F61</f>
        <v>100</v>
      </c>
      <c r="H61" s="32">
        <f>G61*1.13</f>
        <v>112.99999999999999</v>
      </c>
      <c r="I61" s="32"/>
      <c r="J61" s="34"/>
    </row>
    <row r="62" spans="1:10" s="129" customFormat="1">
      <c r="A62" s="20"/>
      <c r="B62" s="21"/>
      <c r="C62" s="22"/>
      <c r="D62" s="32"/>
      <c r="E62" s="32"/>
      <c r="F62" s="33"/>
      <c r="G62" s="32"/>
      <c r="H62" s="32"/>
      <c r="I62" s="32"/>
      <c r="J62" s="34"/>
    </row>
    <row r="63" spans="1:10">
      <c r="A63" s="30"/>
      <c r="B63" s="37" t="s">
        <v>381</v>
      </c>
      <c r="C63" s="46"/>
      <c r="D63" s="41"/>
      <c r="E63" s="41"/>
      <c r="F63" s="47"/>
      <c r="G63" s="41"/>
      <c r="H63" s="41">
        <f>SUM(H60:H62)</f>
        <v>338.99999999999994</v>
      </c>
      <c r="I63" s="41">
        <f>SUM(I60:I62)</f>
        <v>0</v>
      </c>
      <c r="J63" s="42">
        <f>SUM(J60:J62)</f>
        <v>0</v>
      </c>
    </row>
    <row r="64" spans="1:10">
      <c r="A64" s="30"/>
      <c r="B64" s="21"/>
      <c r="C64" s="21"/>
      <c r="D64" s="43"/>
      <c r="E64" s="43"/>
      <c r="F64" s="44"/>
      <c r="G64" s="43"/>
      <c r="H64" s="43"/>
      <c r="I64" s="43"/>
      <c r="J64" s="45"/>
    </row>
    <row r="65" spans="1:10">
      <c r="A65" s="20" t="s">
        <v>382</v>
      </c>
      <c r="B65" s="21"/>
      <c r="C65" s="22"/>
      <c r="D65" s="32"/>
      <c r="E65" s="32"/>
      <c r="F65" s="33"/>
      <c r="G65" s="32"/>
      <c r="H65" s="32"/>
      <c r="I65" s="32"/>
      <c r="J65" s="34"/>
    </row>
    <row r="66" spans="1:10">
      <c r="A66" s="20"/>
      <c r="B66" s="52" t="s">
        <v>383</v>
      </c>
      <c r="C66" s="26" t="s">
        <v>384</v>
      </c>
      <c r="D66" s="27" t="s">
        <v>366</v>
      </c>
      <c r="E66" s="27">
        <v>3</v>
      </c>
      <c r="F66" s="28">
        <v>40</v>
      </c>
      <c r="G66" s="27">
        <f t="shared" ref="G66" si="14">E66*F66</f>
        <v>120</v>
      </c>
      <c r="H66" s="27">
        <f t="shared" ref="H66" si="15">G66*1.13</f>
        <v>135.6</v>
      </c>
      <c r="I66" s="27"/>
      <c r="J66" s="29"/>
    </row>
    <row r="67" spans="1:10">
      <c r="A67" s="20"/>
      <c r="B67" s="21" t="s">
        <v>385</v>
      </c>
      <c r="C67" s="211" t="s">
        <v>386</v>
      </c>
      <c r="D67" s="212" t="s">
        <v>387</v>
      </c>
      <c r="E67" s="32">
        <v>75</v>
      </c>
      <c r="F67" s="33">
        <v>1</v>
      </c>
      <c r="G67" s="32">
        <f>E67*F67</f>
        <v>75</v>
      </c>
      <c r="H67" s="32">
        <f>G67*1.13</f>
        <v>84.749999999999986</v>
      </c>
      <c r="I67" s="32"/>
      <c r="J67" s="34"/>
    </row>
    <row r="68" spans="1:10">
      <c r="A68" s="20"/>
      <c r="B68" s="52" t="s">
        <v>388</v>
      </c>
      <c r="C68" s="26" t="s">
        <v>368</v>
      </c>
      <c r="D68" s="27" t="s">
        <v>389</v>
      </c>
      <c r="E68" s="27">
        <v>15</v>
      </c>
      <c r="F68" s="28">
        <v>4</v>
      </c>
      <c r="G68" s="27">
        <f t="shared" ref="G68" si="16">E68*F68</f>
        <v>60</v>
      </c>
      <c r="H68" s="27">
        <f t="shared" ref="H68" si="17">G68*1.13</f>
        <v>67.8</v>
      </c>
      <c r="I68" s="27"/>
      <c r="J68" s="29"/>
    </row>
    <row r="69" spans="1:10">
      <c r="A69" s="20"/>
      <c r="B69" s="21"/>
      <c r="C69" s="21"/>
      <c r="D69" s="43"/>
      <c r="E69" s="43"/>
      <c r="F69" s="44"/>
      <c r="G69" s="43"/>
      <c r="H69" s="43"/>
      <c r="I69" s="43"/>
      <c r="J69" s="45"/>
    </row>
    <row r="70" spans="1:10">
      <c r="A70" s="30"/>
      <c r="B70" s="37" t="s">
        <v>390</v>
      </c>
      <c r="C70" s="46"/>
      <c r="D70" s="41"/>
      <c r="E70" s="41"/>
      <c r="F70" s="47"/>
      <c r="G70" s="41"/>
      <c r="H70" s="41">
        <f>SUM(H66:H69)</f>
        <v>288.14999999999998</v>
      </c>
      <c r="I70" s="41">
        <f>SUM(I66:I69)</f>
        <v>0</v>
      </c>
      <c r="J70" s="42">
        <f>SUM(J66:J69)</f>
        <v>0</v>
      </c>
    </row>
    <row r="71" spans="1:10">
      <c r="A71" s="30"/>
      <c r="B71" s="22"/>
      <c r="C71" s="31"/>
      <c r="D71" s="32"/>
      <c r="E71" s="32"/>
      <c r="F71" s="33"/>
      <c r="G71" s="32"/>
      <c r="H71" s="32"/>
      <c r="I71" s="32"/>
      <c r="J71" s="34"/>
    </row>
    <row r="72" spans="1:10">
      <c r="A72" s="30"/>
      <c r="B72" s="22"/>
      <c r="C72" s="21" t="s">
        <v>13</v>
      </c>
      <c r="D72" s="43"/>
      <c r="E72" s="43"/>
      <c r="F72" s="44"/>
      <c r="G72" s="43"/>
      <c r="H72" s="43">
        <f>H70+H57+H52+H46+H22+H63+H34</f>
        <v>15950.45</v>
      </c>
      <c r="I72" s="43">
        <f>I70+I57+I52+I46+I22+I63+I34</f>
        <v>0</v>
      </c>
      <c r="J72" s="45">
        <f>J70+J57+J34+J52+J46+J22+J63</f>
        <v>0</v>
      </c>
    </row>
    <row r="73" spans="1:10">
      <c r="A73" s="30"/>
      <c r="B73" s="22"/>
      <c r="C73" s="21"/>
      <c r="D73" s="43"/>
      <c r="E73" s="43"/>
      <c r="F73" s="44"/>
      <c r="G73" s="43"/>
      <c r="H73" s="43"/>
      <c r="I73" s="43"/>
      <c r="J73" s="45"/>
    </row>
    <row r="74" spans="1:10">
      <c r="A74" s="497" t="s">
        <v>14</v>
      </c>
      <c r="B74" s="498"/>
      <c r="C74" s="498"/>
      <c r="D74" s="17"/>
      <c r="E74" s="17"/>
      <c r="F74" s="18"/>
      <c r="G74" s="17"/>
      <c r="H74" s="17"/>
      <c r="I74" s="17"/>
      <c r="J74" s="19"/>
    </row>
    <row r="75" spans="1:10">
      <c r="A75" s="20"/>
      <c r="B75" s="52" t="s">
        <v>15</v>
      </c>
      <c r="C75" s="52"/>
      <c r="D75" s="53"/>
      <c r="E75" s="53"/>
      <c r="F75" s="53"/>
      <c r="G75" s="53"/>
      <c r="H75" s="53">
        <f>H6</f>
        <v>0</v>
      </c>
      <c r="I75" s="53">
        <f>I6</f>
        <v>0</v>
      </c>
      <c r="J75" s="54">
        <f>J6</f>
        <v>0</v>
      </c>
    </row>
    <row r="76" spans="1:10">
      <c r="A76" s="20"/>
      <c r="B76" s="21" t="s">
        <v>16</v>
      </c>
      <c r="C76" s="21"/>
      <c r="D76" s="43"/>
      <c r="E76" s="43"/>
      <c r="F76" s="43"/>
      <c r="G76" s="43"/>
      <c r="H76" s="43">
        <f>H72</f>
        <v>15950.45</v>
      </c>
      <c r="I76" s="43">
        <f t="shared" ref="I76:J76" si="18">I72</f>
        <v>0</v>
      </c>
      <c r="J76" s="45">
        <f t="shared" si="18"/>
        <v>0</v>
      </c>
    </row>
    <row r="77" spans="1:10">
      <c r="A77" s="55"/>
      <c r="B77" s="56" t="s">
        <v>17</v>
      </c>
      <c r="C77" s="56"/>
      <c r="D77" s="57"/>
      <c r="E77" s="57"/>
      <c r="F77" s="57"/>
      <c r="G77" s="57"/>
      <c r="H77" s="57">
        <f>H75-H76</f>
        <v>-15950.45</v>
      </c>
      <c r="I77" s="57">
        <f t="shared" ref="I77:J77" si="19">I75-I76</f>
        <v>0</v>
      </c>
      <c r="J77" s="58">
        <f t="shared" si="19"/>
        <v>0</v>
      </c>
    </row>
  </sheetData>
  <mergeCells count="4">
    <mergeCell ref="A1:J1"/>
    <mergeCell ref="A4:C4"/>
    <mergeCell ref="A8:C8"/>
    <mergeCell ref="A74:C74"/>
  </mergeCells>
  <phoneticPr fontId="2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301085B07F9459249C2DF7740ED3D" ma:contentTypeVersion="1" ma:contentTypeDescription="Create a new document." ma:contentTypeScope="" ma:versionID="52b2148349da07ae4e5b8209fcdb8a6f">
  <xsd:schema xmlns:xsd="http://www.w3.org/2001/XMLSchema" xmlns:xs="http://www.w3.org/2001/XMLSchema" xmlns:p="http://schemas.microsoft.com/office/2006/metadata/properties" xmlns:ns3="6c60dad5-d3c9-4315-8ff8-42df4b79729a" targetNamespace="http://schemas.microsoft.com/office/2006/metadata/properties" ma:root="true" ma:fieldsID="b361c9524c5eb2a22762104eca6c328a" ns3:_="">
    <xsd:import namespace="6c60dad5-d3c9-4315-8ff8-42df4b79729a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0dad5-d3c9-4315-8ff8-42df4b7972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1C94BA-2FB5-4667-98CC-EA17CE53A73C}">
  <ds:schemaRefs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c60dad5-d3c9-4315-8ff8-42df4b79729a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8583FD4-C9B7-41F2-AD3D-7456B738E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60dad5-d3c9-4315-8ff8-42df4b797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EE30DE-F9DF-4ACB-9BE4-3A25420E17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General</vt:lpstr>
      <vt:lpstr>11-Pres</vt:lpstr>
      <vt:lpstr>12-VPOPS</vt:lpstr>
      <vt:lpstr>13-VPSA</vt:lpstr>
      <vt:lpstr>14-Academics</vt:lpstr>
      <vt:lpstr>15-Design</vt:lpstr>
      <vt:lpstr>16-PD</vt:lpstr>
      <vt:lpstr>17-CONF</vt:lpstr>
      <vt:lpstr>18-DoFY</vt:lpstr>
      <vt:lpstr>19-Finances</vt:lpstr>
      <vt:lpstr>20-Services</vt:lpstr>
      <vt:lpstr>21-IT</vt:lpstr>
      <vt:lpstr>22-Events</vt:lpstr>
      <vt:lpstr>23-Comm</vt:lpstr>
      <vt:lpstr>24-IA</vt:lpstr>
      <vt:lpstr>25-HR</vt:lpstr>
      <vt:lpstr>26-EVOPS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Prendergast</dc:creator>
  <cp:lastModifiedBy>Julianna Jeans</cp:lastModifiedBy>
  <cp:lastPrinted>2015-09-14T22:01:00Z</cp:lastPrinted>
  <dcterms:created xsi:type="dcterms:W3CDTF">2013-07-27T17:18:08Z</dcterms:created>
  <dcterms:modified xsi:type="dcterms:W3CDTF">2015-10-02T04:30:36Z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0x0101009A7301085B07F9459249C2DF7740ED3D</vt:lpwstr>
  </property>
  <property fmtid="{D5CDD505-2E9C-101B-9397-08002B2CF9AE}" pid="3" name="IsMyDocuments">
    <vt:bool>true</vt:bool>
  </property>
</Properties>
</file>