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3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omments4.xml" ContentType="application/vnd.openxmlformats-officedocument.spreadsheetml.comments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engsoc_vpops\Desktop\Fuck OneDrive\Finance\Budgets\"/>
    </mc:Choice>
  </mc:AlternateContent>
  <bookViews>
    <workbookView xWindow="0" yWindow="0" windowWidth="28800" windowHeight="12435"/>
  </bookViews>
  <sheets>
    <sheet name="SUMMARY" sheetId="1" r:id="rId1"/>
    <sheet name="General" sheetId="25" r:id="rId2"/>
    <sheet name="11-PRES" sheetId="9" r:id="rId3"/>
    <sheet name="12-VPOPS" sheetId="11" r:id="rId4"/>
    <sheet name="13-VPSA" sheetId="12" r:id="rId5"/>
    <sheet name="14 - Academics" sheetId="13" r:id="rId6"/>
    <sheet name="15-Design" sheetId="14" r:id="rId7"/>
    <sheet name="16-PD" sheetId="15" r:id="rId8"/>
    <sheet name="17-CONFS" sheetId="16" r:id="rId9"/>
    <sheet name="18-FY" sheetId="17" r:id="rId10"/>
    <sheet name="19-FINANCE" sheetId="18" r:id="rId11"/>
    <sheet name="20-SERVICES" sheetId="19" r:id="rId12"/>
    <sheet name="21-IT" sheetId="20" r:id="rId13"/>
    <sheet name="22-EVENTS" sheetId="21" r:id="rId14"/>
    <sheet name="23-COMM" sheetId="22" r:id="rId15"/>
    <sheet name="24-IA" sheetId="23" r:id="rId16"/>
    <sheet name="25-HR" sheetId="27" r:id="rId17"/>
    <sheet name="26-EVPOS" sheetId="24" r:id="rId18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71" i="24" l="1"/>
  <c r="J171" i="24"/>
  <c r="J31" i="21"/>
  <c r="I31" i="21"/>
  <c r="I87" i="20"/>
  <c r="I82" i="25"/>
  <c r="J16" i="15"/>
  <c r="I16" i="15"/>
  <c r="I13" i="13"/>
  <c r="I35" i="25"/>
  <c r="D18" i="1" s="1"/>
  <c r="D107" i="1"/>
  <c r="D108" i="1"/>
  <c r="D109" i="1"/>
  <c r="D97" i="1"/>
  <c r="D98" i="1"/>
  <c r="D99" i="1"/>
  <c r="D100" i="1"/>
  <c r="D101" i="1"/>
  <c r="D102" i="1"/>
  <c r="D89" i="1"/>
  <c r="D90" i="1"/>
  <c r="D91" i="1"/>
  <c r="D92" i="1"/>
  <c r="D67" i="1"/>
  <c r="D68" i="1"/>
  <c r="D69" i="1"/>
  <c r="D70" i="1"/>
  <c r="D71" i="1"/>
  <c r="D72" i="1"/>
  <c r="D73" i="1"/>
  <c r="D74" i="1"/>
  <c r="D75" i="1"/>
  <c r="D76" i="1"/>
  <c r="D80" i="1"/>
  <c r="D81" i="1"/>
  <c r="D57" i="1"/>
  <c r="D58" i="1"/>
  <c r="D59" i="1"/>
  <c r="D60" i="1"/>
  <c r="D61" i="1"/>
  <c r="D62" i="1"/>
  <c r="D63" i="1"/>
  <c r="D44" i="1"/>
  <c r="D45" i="1"/>
  <c r="D46" i="1"/>
  <c r="D47" i="1"/>
  <c r="D48" i="1"/>
  <c r="D49" i="1"/>
  <c r="D23" i="1"/>
  <c r="D24" i="1"/>
  <c r="D25" i="1"/>
  <c r="D27" i="1"/>
  <c r="D29" i="1"/>
  <c r="D30" i="1"/>
  <c r="D31" i="1"/>
  <c r="D32" i="1"/>
  <c r="D33" i="1"/>
  <c r="D34" i="1"/>
  <c r="D35" i="1"/>
  <c r="D36" i="1"/>
  <c r="D37" i="1"/>
  <c r="D38" i="1"/>
  <c r="I139" i="25"/>
  <c r="I45" i="23"/>
  <c r="I48" i="23"/>
  <c r="I154" i="25"/>
  <c r="I150" i="25"/>
  <c r="I143" i="25"/>
  <c r="I46" i="25"/>
  <c r="I48" i="25"/>
  <c r="I50" i="25"/>
  <c r="I52" i="25"/>
  <c r="I54" i="25"/>
  <c r="I56" i="25"/>
  <c r="I13" i="25"/>
  <c r="I70" i="25"/>
  <c r="I69" i="25"/>
  <c r="I68" i="25"/>
  <c r="I128" i="25"/>
  <c r="I117" i="25"/>
  <c r="I107" i="25"/>
  <c r="D10" i="1"/>
  <c r="D11" i="1"/>
  <c r="D12" i="1"/>
  <c r="D14" i="1"/>
  <c r="D15" i="1"/>
  <c r="D16" i="1"/>
  <c r="D17" i="1"/>
  <c r="D19" i="1"/>
  <c r="C10" i="1"/>
  <c r="I86" i="24"/>
  <c r="J364" i="24"/>
  <c r="J342" i="24"/>
  <c r="J333" i="24"/>
  <c r="J347" i="24" s="1"/>
  <c r="J309" i="24"/>
  <c r="J296" i="24"/>
  <c r="J291" i="24"/>
  <c r="J290" i="24"/>
  <c r="J324" i="24" s="1"/>
  <c r="J286" i="24"/>
  <c r="J266" i="24"/>
  <c r="J246" i="24"/>
  <c r="J247" i="24" s="1"/>
  <c r="J205" i="24"/>
  <c r="J191" i="24"/>
  <c r="J181" i="24"/>
  <c r="J183" i="24" s="1"/>
  <c r="J180" i="24"/>
  <c r="J167" i="24"/>
  <c r="J154" i="24"/>
  <c r="J149" i="24"/>
  <c r="I342" i="24"/>
  <c r="I333" i="24"/>
  <c r="I324" i="24"/>
  <c r="I309" i="24"/>
  <c r="I291" i="24"/>
  <c r="I296" i="24"/>
  <c r="I290" i="24"/>
  <c r="I247" i="24"/>
  <c r="I246" i="24"/>
  <c r="I180" i="24"/>
  <c r="I181" i="24"/>
  <c r="I167" i="24"/>
  <c r="I154" i="24"/>
  <c r="I33" i="27"/>
  <c r="I25" i="27"/>
  <c r="I20" i="27"/>
  <c r="J76" i="23"/>
  <c r="I76" i="23"/>
  <c r="J69" i="23"/>
  <c r="J70" i="23" s="1"/>
  <c r="J60" i="23"/>
  <c r="J55" i="23"/>
  <c r="J53" i="23"/>
  <c r="J43" i="23"/>
  <c r="J41" i="23"/>
  <c r="J40" i="23"/>
  <c r="J39" i="23"/>
  <c r="J50" i="23" s="1"/>
  <c r="J29" i="23"/>
  <c r="J23" i="23"/>
  <c r="J20" i="23"/>
  <c r="J19" i="23"/>
  <c r="J15" i="23"/>
  <c r="J36" i="23" s="1"/>
  <c r="I72" i="23"/>
  <c r="I77" i="23" s="1"/>
  <c r="I78" i="23" s="1"/>
  <c r="I70" i="23"/>
  <c r="I60" i="23"/>
  <c r="I50" i="23"/>
  <c r="I36" i="23"/>
  <c r="I29" i="23"/>
  <c r="I15" i="23"/>
  <c r="I55" i="23"/>
  <c r="I53" i="23"/>
  <c r="I41" i="23"/>
  <c r="I40" i="23"/>
  <c r="I69" i="23"/>
  <c r="I43" i="23"/>
  <c r="I39" i="23"/>
  <c r="I23" i="23"/>
  <c r="I20" i="23"/>
  <c r="I19" i="23"/>
  <c r="I23" i="21"/>
  <c r="H24" i="21"/>
  <c r="J366" i="24" l="1"/>
  <c r="J72" i="23"/>
  <c r="J77" i="23" s="1"/>
  <c r="J78" i="23" s="1"/>
  <c r="I49" i="20" l="1"/>
  <c r="I33" i="20"/>
  <c r="I78" i="20"/>
  <c r="I32" i="20"/>
  <c r="I54" i="20"/>
  <c r="I83" i="20"/>
  <c r="I21" i="19"/>
  <c r="I34" i="19"/>
  <c r="I19" i="19"/>
  <c r="I14" i="19"/>
  <c r="J24" i="19"/>
  <c r="I35" i="19"/>
  <c r="J22" i="17"/>
  <c r="J31" i="17"/>
  <c r="J42" i="17"/>
  <c r="J48" i="17"/>
  <c r="J61" i="17"/>
  <c r="J54" i="18"/>
  <c r="I54" i="18"/>
  <c r="I63" i="17"/>
  <c r="I61" i="17"/>
  <c r="I31" i="17"/>
  <c r="I22" i="17"/>
  <c r="I24" i="17"/>
  <c r="I41" i="17"/>
  <c r="I30" i="17"/>
  <c r="I59" i="17"/>
  <c r="I38" i="17"/>
  <c r="I40" i="17"/>
  <c r="I34" i="17"/>
  <c r="I25" i="16"/>
  <c r="J24" i="14"/>
  <c r="I39" i="13"/>
  <c r="J20" i="12"/>
  <c r="J33" i="12"/>
  <c r="I63" i="15"/>
  <c r="J61" i="15"/>
  <c r="I61" i="15"/>
  <c r="I48" i="15"/>
  <c r="I56" i="15"/>
  <c r="J56" i="15"/>
  <c r="I20" i="15"/>
  <c r="I33" i="12"/>
  <c r="I30" i="12"/>
  <c r="J30" i="12"/>
  <c r="I22" i="14"/>
  <c r="I24" i="14"/>
  <c r="I39" i="14"/>
  <c r="I44" i="14"/>
  <c r="I50" i="14"/>
  <c r="I47" i="14"/>
  <c r="I19" i="14"/>
  <c r="I18" i="14"/>
  <c r="I21" i="14"/>
  <c r="I14" i="14"/>
  <c r="I14" i="11"/>
  <c r="I23" i="11"/>
  <c r="I22" i="11"/>
  <c r="I24" i="11"/>
  <c r="J39" i="13"/>
  <c r="J45" i="13"/>
  <c r="I42" i="13"/>
  <c r="I38" i="13"/>
  <c r="I19" i="13"/>
  <c r="J25" i="16"/>
  <c r="I31" i="16"/>
  <c r="J29" i="9"/>
  <c r="I53" i="14" l="1"/>
  <c r="J14" i="16" l="1"/>
  <c r="J18" i="16"/>
  <c r="J31" i="9"/>
  <c r="J32" i="9"/>
  <c r="J86" i="24" l="1"/>
  <c r="J10" i="13"/>
  <c r="G190" i="24" l="1"/>
  <c r="H190" i="24" s="1"/>
  <c r="I52" i="19"/>
  <c r="J52" i="19"/>
  <c r="I44" i="19"/>
  <c r="J44" i="19"/>
  <c r="I38" i="19"/>
  <c r="J38" i="19"/>
  <c r="I31" i="19"/>
  <c r="J31" i="19"/>
  <c r="J21" i="19"/>
  <c r="J60" i="19" s="1"/>
  <c r="J64" i="19" s="1"/>
  <c r="J59" i="25"/>
  <c r="J84" i="25"/>
  <c r="J50" i="14"/>
  <c r="J44" i="14"/>
  <c r="J39" i="14"/>
  <c r="I30" i="14"/>
  <c r="J30" i="14"/>
  <c r="J21" i="13"/>
  <c r="I27" i="11"/>
  <c r="I19" i="11"/>
  <c r="J19" i="11"/>
  <c r="I161" i="25"/>
  <c r="J161" i="25"/>
  <c r="I131" i="25"/>
  <c r="J131" i="25"/>
  <c r="I103" i="25"/>
  <c r="J103" i="25"/>
  <c r="I84" i="25"/>
  <c r="I59" i="25"/>
  <c r="J42" i="25"/>
  <c r="J61" i="25" s="1"/>
  <c r="J166" i="25" s="1"/>
  <c r="G66" i="25"/>
  <c r="H66" i="25" s="1"/>
  <c r="C57" i="1" s="1"/>
  <c r="G68" i="25"/>
  <c r="H68" i="25"/>
  <c r="G69" i="25"/>
  <c r="H69" i="25" s="1"/>
  <c r="G70" i="25"/>
  <c r="H70" i="25"/>
  <c r="G71" i="25"/>
  <c r="H71" i="25" s="1"/>
  <c r="G74" i="25"/>
  <c r="H74" i="25"/>
  <c r="C59" i="1" s="1"/>
  <c r="G76" i="25"/>
  <c r="H76" i="25" s="1"/>
  <c r="C60" i="1" s="1"/>
  <c r="G78" i="25"/>
  <c r="H78" i="25"/>
  <c r="C61" i="1" s="1"/>
  <c r="G80" i="25"/>
  <c r="H80" i="25" s="1"/>
  <c r="C62" i="1" s="1"/>
  <c r="G82" i="25"/>
  <c r="H82" i="25"/>
  <c r="C63" i="1" s="1"/>
  <c r="G100" i="25"/>
  <c r="H100" i="25" s="1"/>
  <c r="H26" i="20"/>
  <c r="G290" i="24"/>
  <c r="H290" i="24" s="1"/>
  <c r="G291" i="24"/>
  <c r="H291" i="24"/>
  <c r="G292" i="24"/>
  <c r="H292" i="24" s="1"/>
  <c r="G293" i="24"/>
  <c r="H293" i="24" s="1"/>
  <c r="G294" i="24"/>
  <c r="H294" i="24" s="1"/>
  <c r="G295" i="24"/>
  <c r="H295" i="24"/>
  <c r="G296" i="24"/>
  <c r="H296" i="24" s="1"/>
  <c r="G297" i="24"/>
  <c r="H297" i="24"/>
  <c r="G298" i="24"/>
  <c r="H298" i="24" s="1"/>
  <c r="G299" i="24"/>
  <c r="H299" i="24" s="1"/>
  <c r="G300" i="24"/>
  <c r="H300" i="24" s="1"/>
  <c r="G303" i="24"/>
  <c r="H303" i="24" s="1"/>
  <c r="G304" i="24"/>
  <c r="H304" i="24" s="1"/>
  <c r="G305" i="24"/>
  <c r="H305" i="24" s="1"/>
  <c r="G306" i="24"/>
  <c r="H306" i="24" s="1"/>
  <c r="G307" i="24"/>
  <c r="H307" i="24" s="1"/>
  <c r="G308" i="24"/>
  <c r="H308" i="24" s="1"/>
  <c r="G309" i="24"/>
  <c r="H309" i="24"/>
  <c r="G310" i="24"/>
  <c r="H310" i="24" s="1"/>
  <c r="G311" i="24"/>
  <c r="H311" i="24" s="1"/>
  <c r="G312" i="24"/>
  <c r="H312" i="24" s="1"/>
  <c r="G313" i="24"/>
  <c r="H313" i="24" s="1"/>
  <c r="G316" i="24"/>
  <c r="H316" i="24" s="1"/>
  <c r="G317" i="24"/>
  <c r="H317" i="24" s="1"/>
  <c r="G318" i="24"/>
  <c r="H318" i="24" s="1"/>
  <c r="G319" i="24"/>
  <c r="H319" i="24"/>
  <c r="G320" i="24"/>
  <c r="H320" i="24" s="1"/>
  <c r="G321" i="24"/>
  <c r="H321" i="24" s="1"/>
  <c r="G322" i="24"/>
  <c r="H322" i="24" s="1"/>
  <c r="G323" i="24"/>
  <c r="H323" i="24" s="1"/>
  <c r="G29" i="27"/>
  <c r="G30" i="27"/>
  <c r="H30" i="27" s="1"/>
  <c r="H33" i="27" s="1"/>
  <c r="G31" i="27"/>
  <c r="H31" i="27" s="1"/>
  <c r="H29" i="27"/>
  <c r="G24" i="27"/>
  <c r="H24" i="27" s="1"/>
  <c r="H25" i="27" s="1"/>
  <c r="G14" i="27"/>
  <c r="H14" i="27"/>
  <c r="G15" i="27"/>
  <c r="H15" i="27" s="1"/>
  <c r="G18" i="27"/>
  <c r="H18" i="27"/>
  <c r="H20" i="27"/>
  <c r="H35" i="27" s="1"/>
  <c r="H39" i="27" s="1"/>
  <c r="G16" i="23"/>
  <c r="H16" i="23"/>
  <c r="G17" i="23"/>
  <c r="H17" i="23"/>
  <c r="G39" i="23"/>
  <c r="H39" i="23" s="1"/>
  <c r="G40" i="23"/>
  <c r="H40" i="23" s="1"/>
  <c r="G41" i="23"/>
  <c r="H41" i="23"/>
  <c r="G43" i="23"/>
  <c r="H43" i="23" s="1"/>
  <c r="G44" i="23"/>
  <c r="H44" i="23" s="1"/>
  <c r="G45" i="23"/>
  <c r="H45" i="23" s="1"/>
  <c r="G46" i="23"/>
  <c r="H46" i="23"/>
  <c r="G47" i="23"/>
  <c r="H47" i="23" s="1"/>
  <c r="G48" i="23"/>
  <c r="H48" i="23" s="1"/>
  <c r="G53" i="23"/>
  <c r="H53" i="23"/>
  <c r="G54" i="23"/>
  <c r="H54" i="23"/>
  <c r="G55" i="23"/>
  <c r="H55" i="23"/>
  <c r="G56" i="23"/>
  <c r="H56" i="23"/>
  <c r="G57" i="23"/>
  <c r="H57" i="23"/>
  <c r="G58" i="23"/>
  <c r="H58" i="23"/>
  <c r="G65" i="23"/>
  <c r="H65" i="23"/>
  <c r="G66" i="23"/>
  <c r="H66" i="23" s="1"/>
  <c r="G67" i="23"/>
  <c r="H67" i="23"/>
  <c r="G68" i="23"/>
  <c r="H68" i="23" s="1"/>
  <c r="G69" i="23"/>
  <c r="H69" i="23"/>
  <c r="G14" i="22"/>
  <c r="H14" i="22" s="1"/>
  <c r="G15" i="22"/>
  <c r="H15" i="22" s="1"/>
  <c r="G16" i="22"/>
  <c r="H16" i="22"/>
  <c r="G17" i="22"/>
  <c r="H17" i="22" s="1"/>
  <c r="H18" i="22"/>
  <c r="H21" i="22" s="1"/>
  <c r="H25" i="22" s="1"/>
  <c r="C79" i="1" s="1"/>
  <c r="E27" i="21"/>
  <c r="G27" i="21"/>
  <c r="H27" i="21" s="1"/>
  <c r="H29" i="21" s="1"/>
  <c r="G18" i="21"/>
  <c r="H18" i="21"/>
  <c r="G19" i="21"/>
  <c r="H19" i="21"/>
  <c r="G20" i="21"/>
  <c r="H20" i="21" s="1"/>
  <c r="G21" i="21"/>
  <c r="H21" i="21"/>
  <c r="G22" i="21"/>
  <c r="H22" i="21" s="1"/>
  <c r="G10" i="20"/>
  <c r="H10" i="20"/>
  <c r="H13" i="20" s="1"/>
  <c r="G11" i="20"/>
  <c r="H11" i="20"/>
  <c r="G16" i="20"/>
  <c r="H16" i="20" s="1"/>
  <c r="G17" i="20"/>
  <c r="H17" i="20" s="1"/>
  <c r="G18" i="20"/>
  <c r="H18" i="20" s="1"/>
  <c r="G19" i="20"/>
  <c r="H19" i="20" s="1"/>
  <c r="G20" i="20"/>
  <c r="H20" i="20" s="1"/>
  <c r="G21" i="20"/>
  <c r="H21" i="20"/>
  <c r="G47" i="19"/>
  <c r="H47" i="19" s="1"/>
  <c r="G48" i="19"/>
  <c r="H48" i="19" s="1"/>
  <c r="G49" i="19"/>
  <c r="H49" i="19" s="1"/>
  <c r="G41" i="19"/>
  <c r="H41" i="19"/>
  <c r="G42" i="19"/>
  <c r="H42" i="19" s="1"/>
  <c r="G34" i="19"/>
  <c r="H34" i="19"/>
  <c r="H38" i="19" s="1"/>
  <c r="G35" i="19"/>
  <c r="H35" i="19" s="1"/>
  <c r="G24" i="19"/>
  <c r="H24" i="19" s="1"/>
  <c r="H31" i="19" s="1"/>
  <c r="G25" i="19"/>
  <c r="H25" i="19"/>
  <c r="G26" i="19"/>
  <c r="H26" i="19" s="1"/>
  <c r="G27" i="19"/>
  <c r="H27" i="19"/>
  <c r="G28" i="19"/>
  <c r="H28" i="19" s="1"/>
  <c r="G14" i="19"/>
  <c r="H14" i="19" s="1"/>
  <c r="H15" i="19"/>
  <c r="H16" i="19"/>
  <c r="H17" i="19"/>
  <c r="H18" i="19"/>
  <c r="G54" i="19"/>
  <c r="H54" i="19"/>
  <c r="H58" i="19" s="1"/>
  <c r="G55" i="19"/>
  <c r="H55" i="19"/>
  <c r="H56" i="18"/>
  <c r="G57" i="18"/>
  <c r="H57" i="18" s="1"/>
  <c r="H59" i="18" s="1"/>
  <c r="G58" i="18"/>
  <c r="H58" i="18" s="1"/>
  <c r="G51" i="18"/>
  <c r="H51" i="18" s="1"/>
  <c r="G52" i="18"/>
  <c r="H52" i="18"/>
  <c r="G20" i="15"/>
  <c r="H20" i="15" s="1"/>
  <c r="G21" i="15"/>
  <c r="H21" i="15"/>
  <c r="G23" i="15"/>
  <c r="H23" i="15" s="1"/>
  <c r="G24" i="15"/>
  <c r="H24" i="15"/>
  <c r="H25" i="15"/>
  <c r="G29" i="15"/>
  <c r="H29" i="15"/>
  <c r="G30" i="15"/>
  <c r="H30" i="15"/>
  <c r="G35" i="15"/>
  <c r="H35" i="15" s="1"/>
  <c r="G36" i="15"/>
  <c r="H36" i="15" s="1"/>
  <c r="G37" i="15"/>
  <c r="H37" i="15"/>
  <c r="G38" i="15"/>
  <c r="H38" i="15" s="1"/>
  <c r="G39" i="15"/>
  <c r="H39" i="15"/>
  <c r="G40" i="15"/>
  <c r="H40" i="15" s="1"/>
  <c r="G41" i="15"/>
  <c r="H41" i="15"/>
  <c r="G42" i="15"/>
  <c r="H42" i="15" s="1"/>
  <c r="G43" i="15"/>
  <c r="H43" i="15" s="1"/>
  <c r="G44" i="15"/>
  <c r="H44" i="15" s="1"/>
  <c r="G45" i="15"/>
  <c r="H45" i="15"/>
  <c r="G46" i="15"/>
  <c r="H46" i="15" s="1"/>
  <c r="H51" i="15"/>
  <c r="G52" i="15"/>
  <c r="H52" i="15" s="1"/>
  <c r="H53" i="15"/>
  <c r="H55" i="15"/>
  <c r="H56" i="15"/>
  <c r="G59" i="15"/>
  <c r="H59" i="15"/>
  <c r="H60" i="15"/>
  <c r="H61" i="15"/>
  <c r="G33" i="14"/>
  <c r="H33" i="14" s="1"/>
  <c r="G34" i="14"/>
  <c r="H34" i="14" s="1"/>
  <c r="G35" i="14"/>
  <c r="H35" i="14"/>
  <c r="H39" i="14" s="1"/>
  <c r="G36" i="14"/>
  <c r="H36" i="14" s="1"/>
  <c r="G37" i="14"/>
  <c r="H37" i="14" s="1"/>
  <c r="H27" i="14"/>
  <c r="G28" i="14"/>
  <c r="H28" i="14" s="1"/>
  <c r="H30" i="14"/>
  <c r="G14" i="14"/>
  <c r="H14" i="14"/>
  <c r="G15" i="14"/>
  <c r="H15" i="14"/>
  <c r="G16" i="14"/>
  <c r="H16" i="14" s="1"/>
  <c r="G17" i="14"/>
  <c r="H17" i="14"/>
  <c r="G18" i="14"/>
  <c r="H18" i="14" s="1"/>
  <c r="G19" i="14"/>
  <c r="H19" i="14"/>
  <c r="G20" i="14"/>
  <c r="H20" i="14"/>
  <c r="G21" i="14"/>
  <c r="H21" i="14"/>
  <c r="G30" i="13"/>
  <c r="H30" i="13"/>
  <c r="H39" i="13" s="1"/>
  <c r="G31" i="13"/>
  <c r="H31" i="13" s="1"/>
  <c r="G32" i="13"/>
  <c r="H32" i="13" s="1"/>
  <c r="G33" i="13"/>
  <c r="H33" i="13" s="1"/>
  <c r="G34" i="13"/>
  <c r="H34" i="13" s="1"/>
  <c r="G35" i="13"/>
  <c r="H35" i="13" s="1"/>
  <c r="G36" i="13"/>
  <c r="H36" i="13"/>
  <c r="G37" i="13"/>
  <c r="H37" i="13" s="1"/>
  <c r="G38" i="13"/>
  <c r="H38" i="13"/>
  <c r="G24" i="13"/>
  <c r="H24" i="13"/>
  <c r="G25" i="13"/>
  <c r="H25" i="13"/>
  <c r="H27" i="13" s="1"/>
  <c r="G26" i="13"/>
  <c r="H26" i="13"/>
  <c r="G14" i="12"/>
  <c r="H14" i="12" s="1"/>
  <c r="G15" i="12"/>
  <c r="H15" i="12" s="1"/>
  <c r="G16" i="12"/>
  <c r="H16" i="12" s="1"/>
  <c r="G17" i="12"/>
  <c r="H17" i="12" s="1"/>
  <c r="G18" i="12"/>
  <c r="H18" i="12" s="1"/>
  <c r="G22" i="11"/>
  <c r="H22" i="11"/>
  <c r="G23" i="11"/>
  <c r="H23" i="11"/>
  <c r="G24" i="11"/>
  <c r="H24" i="11"/>
  <c r="E14" i="11"/>
  <c r="G14" i="11"/>
  <c r="H14" i="11"/>
  <c r="G15" i="11"/>
  <c r="H15" i="11"/>
  <c r="G16" i="11"/>
  <c r="H16" i="11"/>
  <c r="G40" i="9"/>
  <c r="H40" i="9"/>
  <c r="G41" i="9"/>
  <c r="H41" i="9"/>
  <c r="G29" i="9"/>
  <c r="H29" i="9" s="1"/>
  <c r="G30" i="9"/>
  <c r="H30" i="9"/>
  <c r="G31" i="9"/>
  <c r="H31" i="9" s="1"/>
  <c r="G32" i="9"/>
  <c r="H32" i="9"/>
  <c r="G33" i="9"/>
  <c r="H33" i="9" s="1"/>
  <c r="H16" i="9"/>
  <c r="G28" i="27"/>
  <c r="H28" i="27" s="1"/>
  <c r="G139" i="25"/>
  <c r="H139" i="25"/>
  <c r="F23" i="9"/>
  <c r="F21" i="9"/>
  <c r="G76" i="20"/>
  <c r="H76" i="20" s="1"/>
  <c r="G69" i="20"/>
  <c r="H69" i="20" s="1"/>
  <c r="F35" i="25"/>
  <c r="G59" i="17"/>
  <c r="H59" i="17" s="1"/>
  <c r="H61" i="17" s="1"/>
  <c r="C29" i="1"/>
  <c r="J66" i="15"/>
  <c r="I66" i="15"/>
  <c r="D28" i="1" s="1"/>
  <c r="I67" i="15"/>
  <c r="G10" i="15"/>
  <c r="H10" i="15"/>
  <c r="G11" i="15"/>
  <c r="H11" i="15" s="1"/>
  <c r="G12" i="15"/>
  <c r="H12" i="15" s="1"/>
  <c r="G13" i="15"/>
  <c r="H13" i="15" s="1"/>
  <c r="H14" i="15"/>
  <c r="H16" i="15" s="1"/>
  <c r="H66" i="15" s="1"/>
  <c r="J48" i="15"/>
  <c r="J63" i="15" s="1"/>
  <c r="J67" i="15" s="1"/>
  <c r="J32" i="15"/>
  <c r="I32" i="15"/>
  <c r="J25" i="15"/>
  <c r="I25" i="15"/>
  <c r="J14" i="15"/>
  <c r="I14" i="15"/>
  <c r="G52" i="17"/>
  <c r="H52" i="17" s="1"/>
  <c r="G53" i="17"/>
  <c r="H53" i="17"/>
  <c r="G54" i="17"/>
  <c r="H54" i="17" s="1"/>
  <c r="G46" i="17"/>
  <c r="H46" i="17"/>
  <c r="G47" i="17"/>
  <c r="H47" i="17" s="1"/>
  <c r="G35" i="17"/>
  <c r="H35" i="17"/>
  <c r="G36" i="17"/>
  <c r="H36" i="17" s="1"/>
  <c r="G37" i="17"/>
  <c r="H37" i="17"/>
  <c r="G38" i="17"/>
  <c r="H38" i="17" s="1"/>
  <c r="G39" i="17"/>
  <c r="H39" i="17"/>
  <c r="H42" i="17" s="1"/>
  <c r="G40" i="17"/>
  <c r="H40" i="17" s="1"/>
  <c r="G41" i="17"/>
  <c r="H41" i="17"/>
  <c r="J56" i="17"/>
  <c r="J12" i="17"/>
  <c r="J14" i="17" s="1"/>
  <c r="J66" i="17" s="1"/>
  <c r="I56" i="17"/>
  <c r="I48" i="17"/>
  <c r="I42" i="17"/>
  <c r="H66" i="17"/>
  <c r="G51" i="17"/>
  <c r="H51" i="17" s="1"/>
  <c r="H56" i="17" s="1"/>
  <c r="G45" i="17"/>
  <c r="H45" i="17"/>
  <c r="G24" i="17"/>
  <c r="H24" i="17"/>
  <c r="G27" i="17"/>
  <c r="H27" i="17" s="1"/>
  <c r="H31" i="17" s="1"/>
  <c r="G28" i="17"/>
  <c r="H28" i="17"/>
  <c r="G29" i="17"/>
  <c r="H29" i="17" s="1"/>
  <c r="G30" i="17"/>
  <c r="H30" i="17"/>
  <c r="G34" i="17"/>
  <c r="H34" i="17" s="1"/>
  <c r="G20" i="17"/>
  <c r="H20" i="17"/>
  <c r="H22" i="17"/>
  <c r="J58" i="19"/>
  <c r="I58" i="19"/>
  <c r="G42" i="14"/>
  <c r="H42" i="14" s="1"/>
  <c r="H44" i="14" s="1"/>
  <c r="G47" i="14"/>
  <c r="H47" i="14" s="1"/>
  <c r="G48" i="14"/>
  <c r="H48" i="14" s="1"/>
  <c r="H50" i="14"/>
  <c r="G72" i="20"/>
  <c r="H72" i="20" s="1"/>
  <c r="J85" i="20"/>
  <c r="I85" i="20"/>
  <c r="G83" i="20"/>
  <c r="H83" i="20" s="1"/>
  <c r="H85" i="20" s="1"/>
  <c r="G84" i="20"/>
  <c r="H84" i="20"/>
  <c r="G75" i="20"/>
  <c r="H75" i="20" s="1"/>
  <c r="G74" i="20"/>
  <c r="H74" i="20" s="1"/>
  <c r="G73" i="20"/>
  <c r="H73" i="20" s="1"/>
  <c r="G71" i="20"/>
  <c r="H71" i="20" s="1"/>
  <c r="G70" i="20"/>
  <c r="H70" i="20" s="1"/>
  <c r="G65" i="20"/>
  <c r="H65" i="20" s="1"/>
  <c r="J22" i="20"/>
  <c r="J26" i="20" s="1"/>
  <c r="I22" i="20"/>
  <c r="I26" i="20"/>
  <c r="G24" i="20"/>
  <c r="H24" i="20" s="1"/>
  <c r="G25" i="20"/>
  <c r="H25" i="20" s="1"/>
  <c r="G108" i="25"/>
  <c r="G111" i="25"/>
  <c r="G112" i="25"/>
  <c r="G113" i="25"/>
  <c r="H113" i="25" s="1"/>
  <c r="C98" i="1" s="1"/>
  <c r="G115" i="25"/>
  <c r="G117" i="25"/>
  <c r="G118" i="25"/>
  <c r="G121" i="25"/>
  <c r="G122" i="25"/>
  <c r="G125" i="25"/>
  <c r="G126" i="25"/>
  <c r="G127" i="25"/>
  <c r="G128" i="25"/>
  <c r="H128" i="25" s="1"/>
  <c r="C102" i="1" s="1"/>
  <c r="G135" i="25"/>
  <c r="G137" i="25"/>
  <c r="G141" i="25"/>
  <c r="G143" i="25"/>
  <c r="G145" i="25"/>
  <c r="G146" i="25"/>
  <c r="G147" i="25"/>
  <c r="H147" i="25" s="1"/>
  <c r="G148" i="25"/>
  <c r="H148" i="25" s="1"/>
  <c r="G150" i="25"/>
  <c r="G152" i="25"/>
  <c r="G154" i="25"/>
  <c r="G156" i="25"/>
  <c r="G158" i="25"/>
  <c r="H158" i="25" s="1"/>
  <c r="G107" i="25"/>
  <c r="G89" i="25"/>
  <c r="G90" i="25"/>
  <c r="G91" i="25"/>
  <c r="G94" i="25"/>
  <c r="G96" i="25"/>
  <c r="G98" i="25"/>
  <c r="G99" i="25"/>
  <c r="G101" i="25"/>
  <c r="G88" i="25"/>
  <c r="G11" i="25"/>
  <c r="G13" i="25"/>
  <c r="H13" i="25" s="1"/>
  <c r="G14" i="25"/>
  <c r="H14" i="25"/>
  <c r="G17" i="25"/>
  <c r="H17" i="25" s="1"/>
  <c r="C12" i="1" s="1"/>
  <c r="G19" i="25"/>
  <c r="H19" i="25" s="1"/>
  <c r="I19" i="25" s="1"/>
  <c r="D13" i="1" s="1"/>
  <c r="D20" i="1" s="1"/>
  <c r="G21" i="25"/>
  <c r="H21" i="25"/>
  <c r="C14" i="1" s="1"/>
  <c r="E23" i="25"/>
  <c r="G23" i="25" s="1"/>
  <c r="H23" i="25" s="1"/>
  <c r="G24" i="25"/>
  <c r="H24" i="25"/>
  <c r="G27" i="25"/>
  <c r="H27" i="25" s="1"/>
  <c r="G28" i="25"/>
  <c r="H28" i="25" s="1"/>
  <c r="G31" i="25"/>
  <c r="H31" i="25" s="1"/>
  <c r="C17" i="1" s="1"/>
  <c r="G35" i="25"/>
  <c r="H35" i="25" s="1"/>
  <c r="C18" i="1" s="1"/>
  <c r="G39" i="25"/>
  <c r="H39" i="25" s="1"/>
  <c r="C19" i="1" s="1"/>
  <c r="C23" i="1"/>
  <c r="H10" i="11"/>
  <c r="H32" i="11"/>
  <c r="C24" i="1"/>
  <c r="C25" i="1"/>
  <c r="G10" i="13"/>
  <c r="H10" i="13"/>
  <c r="G11" i="13"/>
  <c r="H11" i="13"/>
  <c r="C27" i="1"/>
  <c r="C30" i="1"/>
  <c r="C31" i="1"/>
  <c r="C32" i="1"/>
  <c r="G10" i="21"/>
  <c r="H10" i="21" s="1"/>
  <c r="H12" i="21"/>
  <c r="H14" i="21" s="1"/>
  <c r="C34" i="1"/>
  <c r="C35" i="1"/>
  <c r="C36" i="1"/>
  <c r="C37" i="1"/>
  <c r="G102" i="24"/>
  <c r="H102" i="24" s="1"/>
  <c r="G104" i="24"/>
  <c r="H104" i="24" s="1"/>
  <c r="H105" i="24" s="1"/>
  <c r="H24" i="24"/>
  <c r="H18" i="24"/>
  <c r="G27" i="24"/>
  <c r="H27" i="24" s="1"/>
  <c r="H28" i="24" s="1"/>
  <c r="G32" i="24"/>
  <c r="H32" i="24"/>
  <c r="G33" i="24"/>
  <c r="H33" i="24" s="1"/>
  <c r="H42" i="24"/>
  <c r="G45" i="24"/>
  <c r="H45" i="24"/>
  <c r="G46" i="24"/>
  <c r="H46" i="24"/>
  <c r="G47" i="24"/>
  <c r="H47" i="24" s="1"/>
  <c r="G48" i="24"/>
  <c r="H48" i="24" s="1"/>
  <c r="G49" i="24"/>
  <c r="H49" i="24" s="1"/>
  <c r="G50" i="24"/>
  <c r="H50" i="24"/>
  <c r="G51" i="24"/>
  <c r="H51" i="24" s="1"/>
  <c r="G52" i="24"/>
  <c r="H52" i="24"/>
  <c r="G56" i="24"/>
  <c r="H56" i="24"/>
  <c r="H57" i="24" s="1"/>
  <c r="H66" i="24"/>
  <c r="G70" i="24"/>
  <c r="H70" i="24"/>
  <c r="G71" i="24"/>
  <c r="H71" i="24" s="1"/>
  <c r="G72" i="24"/>
  <c r="H72" i="24" s="1"/>
  <c r="G73" i="24"/>
  <c r="H73" i="24" s="1"/>
  <c r="G75" i="24"/>
  <c r="H75" i="24"/>
  <c r="G76" i="24"/>
  <c r="H76" i="24" s="1"/>
  <c r="G77" i="24"/>
  <c r="H77" i="24" s="1"/>
  <c r="G78" i="24"/>
  <c r="H78" i="24" s="1"/>
  <c r="G80" i="24"/>
  <c r="H80" i="24"/>
  <c r="G81" i="24"/>
  <c r="H81" i="24" s="1"/>
  <c r="G82" i="24"/>
  <c r="H82" i="24" s="1"/>
  <c r="G83" i="24"/>
  <c r="H83" i="24" s="1"/>
  <c r="G90" i="24"/>
  <c r="H90" i="24"/>
  <c r="G91" i="24"/>
  <c r="H91" i="24" s="1"/>
  <c r="G92" i="24"/>
  <c r="H92" i="24" s="1"/>
  <c r="G93" i="24"/>
  <c r="H93" i="24" s="1"/>
  <c r="G46" i="25"/>
  <c r="H46" i="25"/>
  <c r="C44" i="1" s="1"/>
  <c r="G48" i="25"/>
  <c r="H48" i="25" s="1"/>
  <c r="C45" i="1" s="1"/>
  <c r="G50" i="25"/>
  <c r="H50" i="25"/>
  <c r="C46" i="1" s="1"/>
  <c r="G52" i="25"/>
  <c r="H52" i="25" s="1"/>
  <c r="C47" i="1" s="1"/>
  <c r="G54" i="25"/>
  <c r="H54" i="25" s="1"/>
  <c r="C48" i="1" s="1"/>
  <c r="G56" i="25"/>
  <c r="H56" i="25"/>
  <c r="G57" i="25"/>
  <c r="H57" i="25" s="1"/>
  <c r="C107" i="1"/>
  <c r="C108" i="1"/>
  <c r="C97" i="1"/>
  <c r="C99" i="1"/>
  <c r="C100" i="1"/>
  <c r="C101" i="1"/>
  <c r="C89" i="1"/>
  <c r="C90" i="1"/>
  <c r="C91" i="1"/>
  <c r="G15" i="9"/>
  <c r="H15" i="9"/>
  <c r="G21" i="9"/>
  <c r="H21" i="9" s="1"/>
  <c r="G22" i="9"/>
  <c r="H22" i="9"/>
  <c r="G23" i="9"/>
  <c r="H23" i="9" s="1"/>
  <c r="G24" i="12"/>
  <c r="H24" i="12"/>
  <c r="H30" i="12" s="1"/>
  <c r="G19" i="13"/>
  <c r="H19" i="13" s="1"/>
  <c r="H21" i="13"/>
  <c r="G42" i="13"/>
  <c r="H42" i="13"/>
  <c r="H43" i="13" s="1"/>
  <c r="G14" i="16"/>
  <c r="H14" i="16"/>
  <c r="H25" i="16" s="1"/>
  <c r="G15" i="16"/>
  <c r="H15" i="16" s="1"/>
  <c r="G16" i="16"/>
  <c r="H16" i="16"/>
  <c r="G17" i="16"/>
  <c r="H17" i="16" s="1"/>
  <c r="G18" i="16"/>
  <c r="H18" i="16"/>
  <c r="G19" i="16"/>
  <c r="H19" i="16" s="1"/>
  <c r="G20" i="16"/>
  <c r="H20" i="16" s="1"/>
  <c r="G21" i="16"/>
  <c r="H21" i="16" s="1"/>
  <c r="G22" i="16"/>
  <c r="H22" i="16"/>
  <c r="G23" i="16"/>
  <c r="H23" i="16" s="1"/>
  <c r="G28" i="16"/>
  <c r="H28" i="16" s="1"/>
  <c r="H33" i="16" s="1"/>
  <c r="G29" i="16"/>
  <c r="H29" i="16" s="1"/>
  <c r="G30" i="16"/>
  <c r="H30" i="16"/>
  <c r="G31" i="16"/>
  <c r="H31" i="16" s="1"/>
  <c r="G36" i="16"/>
  <c r="H36" i="16"/>
  <c r="G37" i="16"/>
  <c r="H37" i="16"/>
  <c r="G38" i="16"/>
  <c r="H38" i="16"/>
  <c r="G39" i="16"/>
  <c r="H39" i="16"/>
  <c r="G40" i="16"/>
  <c r="H40" i="16"/>
  <c r="G41" i="16"/>
  <c r="H41" i="16"/>
  <c r="G42" i="16"/>
  <c r="H42" i="16"/>
  <c r="G43" i="16"/>
  <c r="H43" i="16"/>
  <c r="G44" i="16"/>
  <c r="H44" i="16"/>
  <c r="G45" i="16"/>
  <c r="H45" i="16"/>
  <c r="G50" i="16"/>
  <c r="H50" i="16"/>
  <c r="H53" i="16" s="1"/>
  <c r="G51" i="16"/>
  <c r="H51" i="16"/>
  <c r="G62" i="20"/>
  <c r="H62" i="20" s="1"/>
  <c r="G63" i="20"/>
  <c r="H63" i="20" s="1"/>
  <c r="G64" i="20"/>
  <c r="H64" i="20" s="1"/>
  <c r="G54" i="20"/>
  <c r="H54" i="20" s="1"/>
  <c r="G55" i="20"/>
  <c r="H55" i="20" s="1"/>
  <c r="G56" i="20"/>
  <c r="H56" i="20" s="1"/>
  <c r="G57" i="20"/>
  <c r="H57" i="20" s="1"/>
  <c r="G48" i="20"/>
  <c r="H48" i="20" s="1"/>
  <c r="G49" i="20"/>
  <c r="H49" i="20"/>
  <c r="G40" i="20"/>
  <c r="H40" i="20"/>
  <c r="G41" i="20"/>
  <c r="H41" i="20"/>
  <c r="G42" i="20"/>
  <c r="H42" i="20"/>
  <c r="G32" i="20"/>
  <c r="H32" i="20"/>
  <c r="G33" i="20"/>
  <c r="H33" i="20" s="1"/>
  <c r="G34" i="20"/>
  <c r="H34" i="20" s="1"/>
  <c r="G35" i="20"/>
  <c r="H35" i="20" s="1"/>
  <c r="G328" i="24"/>
  <c r="H328" i="24"/>
  <c r="G329" i="24"/>
  <c r="H329" i="24" s="1"/>
  <c r="G330" i="24"/>
  <c r="H330" i="24"/>
  <c r="G331" i="24"/>
  <c r="H331" i="24" s="1"/>
  <c r="G333" i="24"/>
  <c r="H333" i="24"/>
  <c r="G334" i="24"/>
  <c r="H334" i="24" s="1"/>
  <c r="G335" i="24"/>
  <c r="H335" i="24" s="1"/>
  <c r="H347" i="24" s="1"/>
  <c r="G336" i="24"/>
  <c r="H336" i="24" s="1"/>
  <c r="G337" i="24"/>
  <c r="H337" i="24"/>
  <c r="G339" i="24"/>
  <c r="H339" i="24" s="1"/>
  <c r="G340" i="24"/>
  <c r="H340" i="24"/>
  <c r="G341" i="24"/>
  <c r="H341" i="24" s="1"/>
  <c r="G342" i="24"/>
  <c r="H342" i="24"/>
  <c r="G343" i="24"/>
  <c r="H343" i="24" s="1"/>
  <c r="G345" i="24"/>
  <c r="H345" i="24" s="1"/>
  <c r="G346" i="24"/>
  <c r="H346" i="24" s="1"/>
  <c r="G270" i="24"/>
  <c r="H270" i="24"/>
  <c r="G272" i="24"/>
  <c r="H272" i="24" s="1"/>
  <c r="G274" i="24"/>
  <c r="H274" i="24"/>
  <c r="G275" i="24"/>
  <c r="H275" i="24" s="1"/>
  <c r="G280" i="24"/>
  <c r="H280" i="24"/>
  <c r="G281" i="24"/>
  <c r="H281" i="24" s="1"/>
  <c r="G282" i="24"/>
  <c r="H282" i="24" s="1"/>
  <c r="G283" i="24"/>
  <c r="H283" i="24" s="1"/>
  <c r="G284" i="24"/>
  <c r="H284" i="24"/>
  <c r="G251" i="24"/>
  <c r="H251" i="24" s="1"/>
  <c r="G252" i="24"/>
  <c r="H252" i="24"/>
  <c r="G253" i="24"/>
  <c r="H253" i="24" s="1"/>
  <c r="G254" i="24"/>
  <c r="H254" i="24"/>
  <c r="G255" i="24"/>
  <c r="H255" i="24" s="1"/>
  <c r="G256" i="24"/>
  <c r="H256" i="24" s="1"/>
  <c r="G258" i="24"/>
  <c r="H258" i="24" s="1"/>
  <c r="G259" i="24"/>
  <c r="H259" i="24"/>
  <c r="G261" i="24"/>
  <c r="H261" i="24" s="1"/>
  <c r="G262" i="24"/>
  <c r="H262" i="24"/>
  <c r="G264" i="24"/>
  <c r="H264" i="24" s="1"/>
  <c r="G265" i="24"/>
  <c r="H265" i="24"/>
  <c r="G209" i="24"/>
  <c r="H209" i="24" s="1"/>
  <c r="G210" i="24"/>
  <c r="H210" i="24" s="1"/>
  <c r="G211" i="24"/>
  <c r="H211" i="24" s="1"/>
  <c r="G212" i="24"/>
  <c r="H212" i="24" s="1"/>
  <c r="G214" i="24"/>
  <c r="H214" i="24" s="1"/>
  <c r="G215" i="24"/>
  <c r="H215" i="24" s="1"/>
  <c r="G216" i="24"/>
  <c r="H216" i="24" s="1"/>
  <c r="G218" i="24"/>
  <c r="H218" i="24"/>
  <c r="G219" i="24"/>
  <c r="H219" i="24" s="1"/>
  <c r="G220" i="24"/>
  <c r="H220" i="24" s="1"/>
  <c r="G222" i="24"/>
  <c r="H222" i="24" s="1"/>
  <c r="G223" i="24"/>
  <c r="H223" i="24" s="1"/>
  <c r="G226" i="24"/>
  <c r="H226" i="24" s="1"/>
  <c r="G227" i="24"/>
  <c r="H227" i="24" s="1"/>
  <c r="G228" i="24"/>
  <c r="H228" i="24" s="1"/>
  <c r="G229" i="24"/>
  <c r="H229" i="24" s="1"/>
  <c r="G231" i="24"/>
  <c r="H231" i="24" s="1"/>
  <c r="G234" i="24"/>
  <c r="H234" i="24" s="1"/>
  <c r="G235" i="24"/>
  <c r="H235" i="24" s="1"/>
  <c r="G236" i="24"/>
  <c r="H236" i="24" s="1"/>
  <c r="G237" i="24"/>
  <c r="H237" i="24" s="1"/>
  <c r="G238" i="24"/>
  <c r="H238" i="24" s="1"/>
  <c r="G239" i="24"/>
  <c r="H239" i="24" s="1"/>
  <c r="G241" i="24"/>
  <c r="H241" i="24"/>
  <c r="G242" i="24"/>
  <c r="H242" i="24" s="1"/>
  <c r="G243" i="24"/>
  <c r="H243" i="24" s="1"/>
  <c r="G244" i="24"/>
  <c r="H244" i="24" s="1"/>
  <c r="G245" i="24"/>
  <c r="H245" i="24" s="1"/>
  <c r="G200" i="24"/>
  <c r="H200" i="24" s="1"/>
  <c r="H205" i="24"/>
  <c r="G186" i="24"/>
  <c r="H186" i="24"/>
  <c r="H191" i="24" s="1"/>
  <c r="G174" i="24"/>
  <c r="H174" i="24"/>
  <c r="G175" i="24"/>
  <c r="H175" i="24" s="1"/>
  <c r="G176" i="24"/>
  <c r="H176" i="24" s="1"/>
  <c r="G177" i="24"/>
  <c r="H177" i="24" s="1"/>
  <c r="G178" i="24"/>
  <c r="H178" i="24" s="1"/>
  <c r="G179" i="24"/>
  <c r="H179" i="24" s="1"/>
  <c r="G180" i="24"/>
  <c r="H180" i="24" s="1"/>
  <c r="G181" i="24"/>
  <c r="H181" i="24" s="1"/>
  <c r="G182" i="24"/>
  <c r="H182" i="24" s="1"/>
  <c r="G152" i="24"/>
  <c r="H152" i="24" s="1"/>
  <c r="G153" i="24"/>
  <c r="H153" i="24" s="1"/>
  <c r="G154" i="24"/>
  <c r="H154" i="24" s="1"/>
  <c r="G155" i="24"/>
  <c r="H155" i="24" s="1"/>
  <c r="G156" i="24"/>
  <c r="H156" i="24" s="1"/>
  <c r="G157" i="24"/>
  <c r="H157" i="24" s="1"/>
  <c r="G158" i="24"/>
  <c r="H158" i="24" s="1"/>
  <c r="G159" i="24"/>
  <c r="H159" i="24"/>
  <c r="G160" i="24"/>
  <c r="H160" i="24" s="1"/>
  <c r="G161" i="24"/>
  <c r="H161" i="24" s="1"/>
  <c r="G162" i="24"/>
  <c r="H162" i="24" s="1"/>
  <c r="G163" i="24"/>
  <c r="H163" i="24" s="1"/>
  <c r="G164" i="24"/>
  <c r="H164" i="24" s="1"/>
  <c r="G165" i="24"/>
  <c r="H165" i="24"/>
  <c r="G166" i="24"/>
  <c r="H166" i="24" s="1"/>
  <c r="G167" i="24"/>
  <c r="H167" i="24" s="1"/>
  <c r="G168" i="24"/>
  <c r="H168" i="24" s="1"/>
  <c r="G169" i="24"/>
  <c r="H169" i="24"/>
  <c r="G351" i="24"/>
  <c r="H351" i="24" s="1"/>
  <c r="G352" i="24"/>
  <c r="H352" i="24" s="1"/>
  <c r="G354" i="24"/>
  <c r="H354" i="24" s="1"/>
  <c r="G355" i="24"/>
  <c r="H355" i="24"/>
  <c r="G357" i="24"/>
  <c r="H357" i="24" s="1"/>
  <c r="G358" i="24"/>
  <c r="H358" i="24"/>
  <c r="G359" i="24"/>
  <c r="H359" i="24" s="1"/>
  <c r="G361" i="24"/>
  <c r="H361" i="24"/>
  <c r="G362" i="24"/>
  <c r="H362" i="24" s="1"/>
  <c r="G363" i="24"/>
  <c r="H363" i="24" s="1"/>
  <c r="G112" i="24"/>
  <c r="H112" i="24" s="1"/>
  <c r="G113" i="24"/>
  <c r="H113" i="24"/>
  <c r="G114" i="24"/>
  <c r="H114" i="24" s="1"/>
  <c r="G115" i="24"/>
  <c r="H115" i="24"/>
  <c r="G116" i="24"/>
  <c r="H116" i="24" s="1"/>
  <c r="G117" i="24"/>
  <c r="H117" i="24" s="1"/>
  <c r="G118" i="24"/>
  <c r="H118" i="24" s="1"/>
  <c r="G119" i="24"/>
  <c r="H119" i="24" s="1"/>
  <c r="G120" i="24"/>
  <c r="H120" i="24" s="1"/>
  <c r="G121" i="24"/>
  <c r="H121" i="24"/>
  <c r="G122" i="24"/>
  <c r="H122" i="24" s="1"/>
  <c r="G123" i="24"/>
  <c r="H123" i="24" s="1"/>
  <c r="G124" i="24"/>
  <c r="H124" i="24" s="1"/>
  <c r="G128" i="24"/>
  <c r="H128" i="24" s="1"/>
  <c r="G129" i="24"/>
  <c r="H129" i="24" s="1"/>
  <c r="G130" i="24"/>
  <c r="H130" i="24" s="1"/>
  <c r="G131" i="24"/>
  <c r="H131" i="24" s="1"/>
  <c r="G132" i="24"/>
  <c r="H132" i="24" s="1"/>
  <c r="G133" i="24"/>
  <c r="H133" i="24" s="1"/>
  <c r="G134" i="24"/>
  <c r="H134" i="24" s="1"/>
  <c r="G135" i="24"/>
  <c r="H135" i="24" s="1"/>
  <c r="G137" i="24"/>
  <c r="H137" i="24"/>
  <c r="G138" i="24"/>
  <c r="H138" i="24" s="1"/>
  <c r="G139" i="24"/>
  <c r="H139" i="24" s="1"/>
  <c r="G140" i="24"/>
  <c r="H140" i="24" s="1"/>
  <c r="G142" i="24"/>
  <c r="H142" i="24" s="1"/>
  <c r="G143" i="24"/>
  <c r="H143" i="24" s="1"/>
  <c r="G144" i="24"/>
  <c r="H144" i="24" s="1"/>
  <c r="G145" i="24"/>
  <c r="H145" i="24" s="1"/>
  <c r="G146" i="24"/>
  <c r="H146" i="24"/>
  <c r="G148" i="24"/>
  <c r="H148" i="24" s="1"/>
  <c r="H63" i="19"/>
  <c r="H145" i="25"/>
  <c r="I29" i="21"/>
  <c r="J29" i="21"/>
  <c r="I20" i="12"/>
  <c r="I37" i="12"/>
  <c r="L31" i="12" s="1"/>
  <c r="J13" i="13"/>
  <c r="J15" i="13"/>
  <c r="J48" i="13"/>
  <c r="J58" i="16"/>
  <c r="J34" i="21"/>
  <c r="J49" i="9"/>
  <c r="J10" i="11"/>
  <c r="J32" i="11" s="1"/>
  <c r="J90" i="20"/>
  <c r="J91" i="20"/>
  <c r="J24" i="22"/>
  <c r="J105" i="24"/>
  <c r="J24" i="24"/>
  <c r="J18" i="24"/>
  <c r="J28" i="24"/>
  <c r="J34" i="24"/>
  <c r="J42" i="24"/>
  <c r="J53" i="24"/>
  <c r="J57" i="24"/>
  <c r="J66" i="24"/>
  <c r="J98" i="24"/>
  <c r="F86" i="1"/>
  <c r="F118" i="1"/>
  <c r="F104" i="1"/>
  <c r="F120" i="1" s="1"/>
  <c r="F124" i="1" s="1"/>
  <c r="F94" i="1"/>
  <c r="F64" i="1"/>
  <c r="F41" i="1"/>
  <c r="F20" i="1"/>
  <c r="F51" i="1"/>
  <c r="F53" i="1"/>
  <c r="F123" i="1" s="1"/>
  <c r="J370" i="24"/>
  <c r="G20" i="1"/>
  <c r="G51" i="1"/>
  <c r="G53" i="1"/>
  <c r="G123" i="1" s="1"/>
  <c r="G97" i="24"/>
  <c r="H97" i="24"/>
  <c r="G279" i="24"/>
  <c r="G278" i="24"/>
  <c r="G277" i="24"/>
  <c r="G273" i="24"/>
  <c r="G271" i="24"/>
  <c r="G65" i="24"/>
  <c r="G63" i="24"/>
  <c r="G61" i="24"/>
  <c r="G31" i="24"/>
  <c r="J35" i="27"/>
  <c r="J39" i="27" s="1"/>
  <c r="I35" i="27"/>
  <c r="I39" i="27" s="1"/>
  <c r="J18" i="22"/>
  <c r="J21" i="22" s="1"/>
  <c r="J25" i="22"/>
  <c r="I18" i="22"/>
  <c r="I21" i="22"/>
  <c r="I25" i="22" s="1"/>
  <c r="D79" i="1" s="1"/>
  <c r="I24" i="22"/>
  <c r="I26" i="22"/>
  <c r="J24" i="21"/>
  <c r="I24" i="21"/>
  <c r="J80" i="20"/>
  <c r="I80" i="20"/>
  <c r="J66" i="20"/>
  <c r="I66" i="20"/>
  <c r="J59" i="20"/>
  <c r="I59" i="20"/>
  <c r="J51" i="20"/>
  <c r="I51" i="20"/>
  <c r="J45" i="20"/>
  <c r="I45" i="20"/>
  <c r="J37" i="20"/>
  <c r="I37" i="20"/>
  <c r="J13" i="20"/>
  <c r="I13" i="20"/>
  <c r="J33" i="16"/>
  <c r="J47" i="16"/>
  <c r="J53" i="16"/>
  <c r="I33" i="16"/>
  <c r="I47" i="16"/>
  <c r="I53" i="16"/>
  <c r="I58" i="16"/>
  <c r="H58" i="16"/>
  <c r="J27" i="13"/>
  <c r="J43" i="13"/>
  <c r="I21" i="13"/>
  <c r="I27" i="13"/>
  <c r="I43" i="13"/>
  <c r="I15" i="13"/>
  <c r="D26" i="1" s="1"/>
  <c r="I48" i="13"/>
  <c r="H76" i="23"/>
  <c r="J63" i="19"/>
  <c r="I63" i="19"/>
  <c r="J27" i="11"/>
  <c r="I10" i="11"/>
  <c r="I32" i="11" s="1"/>
  <c r="I12" i="17"/>
  <c r="I14" i="17" s="1"/>
  <c r="I66" i="17" s="1"/>
  <c r="G10" i="17"/>
  <c r="H10" i="17"/>
  <c r="I105" i="24"/>
  <c r="I24" i="24"/>
  <c r="I18" i="24"/>
  <c r="I28" i="24"/>
  <c r="I34" i="24"/>
  <c r="I42" i="24"/>
  <c r="I53" i="24"/>
  <c r="I57" i="24"/>
  <c r="I66" i="24"/>
  <c r="I98" i="24"/>
  <c r="J38" i="27"/>
  <c r="J40" i="27"/>
  <c r="I38" i="27"/>
  <c r="H38" i="27"/>
  <c r="J36" i="12"/>
  <c r="J37" i="12"/>
  <c r="I36" i="12"/>
  <c r="I38" i="12" s="1"/>
  <c r="H36" i="12"/>
  <c r="J64" i="18"/>
  <c r="J59" i="18"/>
  <c r="J61" i="18"/>
  <c r="J65" i="18" s="1"/>
  <c r="J66" i="18" s="1"/>
  <c r="I64" i="18"/>
  <c r="I61" i="18"/>
  <c r="I65" i="18" s="1"/>
  <c r="I66" i="18" s="1"/>
  <c r="I59" i="18"/>
  <c r="H64" i="18"/>
  <c r="H33" i="18"/>
  <c r="G14" i="18"/>
  <c r="H14" i="18"/>
  <c r="G15" i="18"/>
  <c r="H15" i="18" s="1"/>
  <c r="G20" i="18"/>
  <c r="H20" i="18"/>
  <c r="H23" i="18" s="1"/>
  <c r="G21" i="18"/>
  <c r="H21" i="18" s="1"/>
  <c r="G26" i="18"/>
  <c r="H26" i="18"/>
  <c r="H28" i="18"/>
  <c r="G36" i="18"/>
  <c r="H36" i="18"/>
  <c r="G37" i="18"/>
  <c r="H37" i="18"/>
  <c r="G38" i="18"/>
  <c r="H38" i="18"/>
  <c r="G39" i="18"/>
  <c r="H39" i="18"/>
  <c r="I33" i="18"/>
  <c r="I17" i="18"/>
  <c r="I28" i="18"/>
  <c r="I30" i="18"/>
  <c r="I34" i="18" s="1"/>
  <c r="I41" i="18" s="1"/>
  <c r="I43" i="18" s="1"/>
  <c r="I35" i="18"/>
  <c r="J33" i="18"/>
  <c r="J17" i="18"/>
  <c r="J28" i="18"/>
  <c r="J30" i="18"/>
  <c r="J34" i="18" s="1"/>
  <c r="J23" i="18"/>
  <c r="I23" i="18"/>
  <c r="G118" i="1"/>
  <c r="J35" i="21"/>
  <c r="I347" i="24"/>
  <c r="I286" i="24"/>
  <c r="I266" i="24"/>
  <c r="I205" i="24"/>
  <c r="I191" i="24"/>
  <c r="I183" i="24"/>
  <c r="I364" i="24"/>
  <c r="I149" i="24"/>
  <c r="H24" i="22"/>
  <c r="J12" i="21"/>
  <c r="I35" i="21"/>
  <c r="D78" i="1" s="1"/>
  <c r="I34" i="21"/>
  <c r="I36" i="21"/>
  <c r="J36" i="21"/>
  <c r="I12" i="21"/>
  <c r="I91" i="20"/>
  <c r="D77" i="1" s="1"/>
  <c r="I90" i="20"/>
  <c r="J43" i="9"/>
  <c r="J35" i="9"/>
  <c r="J26" i="9"/>
  <c r="J18" i="9"/>
  <c r="H49" i="9"/>
  <c r="I43" i="9"/>
  <c r="I35" i="9"/>
  <c r="I46" i="9" s="1"/>
  <c r="I50" i="9" s="1"/>
  <c r="I26" i="9"/>
  <c r="I18" i="9"/>
  <c r="D118" i="1"/>
  <c r="D64" i="1"/>
  <c r="I49" i="9"/>
  <c r="D51" i="1"/>
  <c r="G104" i="1"/>
  <c r="G120" i="1" s="1"/>
  <c r="G124" i="1" s="1"/>
  <c r="G94" i="1"/>
  <c r="D94" i="1"/>
  <c r="G86" i="1"/>
  <c r="G64" i="1"/>
  <c r="D104" i="1"/>
  <c r="H34" i="21"/>
  <c r="C28" i="1"/>
  <c r="I92" i="20" l="1"/>
  <c r="C16" i="1"/>
  <c r="I42" i="25"/>
  <c r="I107" i="24"/>
  <c r="I369" i="24" s="1"/>
  <c r="H98" i="24"/>
  <c r="H266" i="24"/>
  <c r="H183" i="24"/>
  <c r="H171" i="24"/>
  <c r="H70" i="23"/>
  <c r="H80" i="20"/>
  <c r="H37" i="20"/>
  <c r="H21" i="19"/>
  <c r="I60" i="19"/>
  <c r="I64" i="19" s="1"/>
  <c r="I65" i="19" s="1"/>
  <c r="J29" i="11"/>
  <c r="J68" i="15"/>
  <c r="I68" i="15"/>
  <c r="H20" i="12"/>
  <c r="H33" i="12" s="1"/>
  <c r="C69" i="1" s="1"/>
  <c r="J53" i="14"/>
  <c r="J57" i="14" s="1"/>
  <c r="J58" i="14" s="1"/>
  <c r="I57" i="14"/>
  <c r="I58" i="14" s="1"/>
  <c r="I29" i="11"/>
  <c r="I33" i="11" s="1"/>
  <c r="I34" i="11" s="1"/>
  <c r="I45" i="13"/>
  <c r="I49" i="13" s="1"/>
  <c r="I50" i="13" s="1"/>
  <c r="J49" i="13"/>
  <c r="J50" i="13" s="1"/>
  <c r="J55" i="16"/>
  <c r="J59" i="16" s="1"/>
  <c r="I51" i="9"/>
  <c r="J46" i="9"/>
  <c r="J50" i="9" s="1"/>
  <c r="J51" i="9" s="1"/>
  <c r="H26" i="9"/>
  <c r="H53" i="24"/>
  <c r="H86" i="24"/>
  <c r="J107" i="24"/>
  <c r="J369" i="24" s="1"/>
  <c r="D41" i="1" s="1"/>
  <c r="D53" i="1" s="1"/>
  <c r="D123" i="1" s="1"/>
  <c r="C58" i="1"/>
  <c r="C64" i="1" s="1"/>
  <c r="I61" i="25"/>
  <c r="I166" i="25" s="1"/>
  <c r="J163" i="25"/>
  <c r="J167" i="25" s="1"/>
  <c r="J168" i="25" s="1"/>
  <c r="H11" i="25"/>
  <c r="H42" i="25" s="1"/>
  <c r="I163" i="25"/>
  <c r="I167" i="25" s="1"/>
  <c r="C11" i="1"/>
  <c r="C13" i="1"/>
  <c r="C81" i="1"/>
  <c r="H40" i="27"/>
  <c r="H149" i="24"/>
  <c r="H22" i="20"/>
  <c r="H28" i="20" s="1"/>
  <c r="H286" i="24"/>
  <c r="H45" i="13"/>
  <c r="H26" i="22"/>
  <c r="J35" i="18"/>
  <c r="J41" i="18"/>
  <c r="J43" i="18" s="1"/>
  <c r="F125" i="1"/>
  <c r="H37" i="12"/>
  <c r="H38" i="12" s="1"/>
  <c r="H66" i="18"/>
  <c r="G125" i="1"/>
  <c r="H47" i="16"/>
  <c r="H55" i="16" s="1"/>
  <c r="H59" i="16" s="1"/>
  <c r="J63" i="17"/>
  <c r="J67" i="17" s="1"/>
  <c r="J68" i="17" s="1"/>
  <c r="H24" i="14"/>
  <c r="H53" i="14" s="1"/>
  <c r="H57" i="14" s="1"/>
  <c r="H103" i="25"/>
  <c r="C92" i="1"/>
  <c r="C94" i="1" s="1"/>
  <c r="H17" i="18"/>
  <c r="H30" i="18" s="1"/>
  <c r="H34" i="18" s="1"/>
  <c r="H35" i="18" s="1"/>
  <c r="I40" i="27"/>
  <c r="J26" i="22"/>
  <c r="H364" i="24"/>
  <c r="H247" i="24"/>
  <c r="H45" i="20"/>
  <c r="H59" i="20"/>
  <c r="C49" i="1"/>
  <c r="C51" i="1" s="1"/>
  <c r="H34" i="24"/>
  <c r="C104" i="1"/>
  <c r="H161" i="25"/>
  <c r="C109" i="1"/>
  <c r="C118" i="1" s="1"/>
  <c r="H27" i="11"/>
  <c r="H31" i="21"/>
  <c r="H35" i="21" s="1"/>
  <c r="H324" i="24"/>
  <c r="H131" i="25"/>
  <c r="I67" i="17"/>
  <c r="I68" i="17" s="1"/>
  <c r="J38" i="12"/>
  <c r="J65" i="19"/>
  <c r="J92" i="20"/>
  <c r="H51" i="20"/>
  <c r="C15" i="1"/>
  <c r="H19" i="11"/>
  <c r="H54" i="18"/>
  <c r="H61" i="18" s="1"/>
  <c r="H65" i="18" s="1"/>
  <c r="C75" i="1" s="1"/>
  <c r="H52" i="19"/>
  <c r="H60" i="23"/>
  <c r="H50" i="23"/>
  <c r="I366" i="24"/>
  <c r="I370" i="24" s="1"/>
  <c r="D82" i="1" s="1"/>
  <c r="I55" i="16"/>
  <c r="I59" i="16" s="1"/>
  <c r="I60" i="16" s="1"/>
  <c r="H59" i="25"/>
  <c r="H66" i="20"/>
  <c r="H18" i="9"/>
  <c r="H13" i="13"/>
  <c r="H15" i="13" s="1"/>
  <c r="H48" i="17"/>
  <c r="H63" i="17" s="1"/>
  <c r="H67" i="17" s="1"/>
  <c r="H43" i="9"/>
  <c r="H48" i="15"/>
  <c r="H35" i="9"/>
  <c r="H44" i="19"/>
  <c r="H84" i="25"/>
  <c r="H32" i="15"/>
  <c r="H63" i="15" s="1"/>
  <c r="H67" i="15" s="1"/>
  <c r="H36" i="23"/>
  <c r="H72" i="23" s="1"/>
  <c r="H77" i="23" s="1"/>
  <c r="C80" i="1" s="1"/>
  <c r="I371" i="24" l="1"/>
  <c r="H366" i="24"/>
  <c r="H370" i="24" s="1"/>
  <c r="C82" i="1" s="1"/>
  <c r="H107" i="24"/>
  <c r="C38" i="1" s="1"/>
  <c r="H60" i="19"/>
  <c r="H64" i="19" s="1"/>
  <c r="J33" i="11"/>
  <c r="J34" i="11" s="1"/>
  <c r="I168" i="25"/>
  <c r="J60" i="16"/>
  <c r="J371" i="24"/>
  <c r="D86" i="1" s="1"/>
  <c r="D120" i="1" s="1"/>
  <c r="D124" i="1" s="1"/>
  <c r="D125" i="1" s="1"/>
  <c r="C20" i="1"/>
  <c r="C72" i="1"/>
  <c r="H68" i="15"/>
  <c r="C78" i="1"/>
  <c r="H36" i="21"/>
  <c r="C74" i="1"/>
  <c r="H68" i="17"/>
  <c r="C73" i="1"/>
  <c r="H60" i="16"/>
  <c r="H90" i="20"/>
  <c r="C33" i="1"/>
  <c r="C26" i="1"/>
  <c r="H48" i="13"/>
  <c r="H50" i="13" s="1"/>
  <c r="C71" i="1"/>
  <c r="H58" i="14"/>
  <c r="H163" i="25"/>
  <c r="H167" i="25" s="1"/>
  <c r="H46" i="9"/>
  <c r="H50" i="9" s="1"/>
  <c r="H41" i="18"/>
  <c r="H43" i="18" s="1"/>
  <c r="H29" i="11"/>
  <c r="H78" i="23"/>
  <c r="H87" i="20"/>
  <c r="H91" i="20" s="1"/>
  <c r="C77" i="1" s="1"/>
  <c r="C70" i="1"/>
  <c r="H49" i="13"/>
  <c r="H61" i="25"/>
  <c r="H166" i="25" s="1"/>
  <c r="H369" i="24" l="1"/>
  <c r="H371" i="24" s="1"/>
  <c r="C76" i="1"/>
  <c r="H65" i="19"/>
  <c r="C67" i="1"/>
  <c r="H51" i="9"/>
  <c r="C41" i="1"/>
  <c r="C53" i="1" s="1"/>
  <c r="C123" i="1" s="1"/>
  <c r="H168" i="25"/>
  <c r="C68" i="1"/>
  <c r="H33" i="11"/>
  <c r="H34" i="11" s="1"/>
  <c r="H92" i="20"/>
  <c r="C83" i="1" l="1"/>
  <c r="C86" i="1" s="1"/>
  <c r="C120" i="1" s="1"/>
  <c r="C124" i="1" s="1"/>
  <c r="C125" i="1" s="1"/>
</calcChain>
</file>

<file path=xl/comments1.xml><?xml version="1.0" encoding="utf-8"?>
<comments xmlns="http://schemas.openxmlformats.org/spreadsheetml/2006/main">
  <authors>
    <author>Andrew Crawford</author>
  </authors>
  <commentList>
    <comment ref="D30" authorId="0" shape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Down by $2500 from last year</t>
        </r>
      </text>
    </comment>
    <comment ref="D34" authorId="0" shape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Unsure where Dean's Donation is….</t>
        </r>
      </text>
    </comment>
    <comment ref="D38" authorId="0" shape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Lower than last year significantly due to removal of Eng Rugby as an event. Also Movember and EngWeek down $1000 each</t>
        </r>
      </text>
    </comment>
    <comment ref="D49" authorId="0" shapeId="0">
      <text>
        <r>
          <rPr>
            <b/>
            <sz val="9"/>
            <color indexed="81"/>
            <rFont val="Tahoma"/>
            <family val="2"/>
          </rPr>
          <t xml:space="preserve">Andrew Crawford:
</t>
        </r>
        <r>
          <rPr>
            <sz val="9"/>
            <color indexed="81"/>
            <rFont val="Tahoma"/>
            <family val="2"/>
          </rPr>
          <t>Recovery of Moneris fees is in here, adding significantly</t>
        </r>
      </text>
    </comment>
    <comment ref="D57" authorId="0" shape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Unsure why this is so high, looking into it</t>
        </r>
      </text>
    </comment>
    <comment ref="D58" authorId="0" shape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Printing increased significantly due to advertising of printer. Also use of EngLinks went up</t>
        </r>
      </text>
    </comment>
    <comment ref="D67" authorId="0" shape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Clark Tab down, unsure where Frosh Week shirts are, no idea where rugger expenses are for this and previous year</t>
        </r>
      </text>
    </comment>
    <comment ref="D68" authorId="0" shape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Addition of Long Range Strategy Meeting</t>
        </r>
      </text>
    </comment>
    <comment ref="D69" authorId="0" shape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Actually did things</t>
        </r>
      </text>
    </comment>
    <comment ref="D70" authorId="0" shape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Increased expenses - Englinks is expanding</t>
        </r>
      </text>
    </comment>
    <comment ref="D71" authorId="0" shape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Reduced Expenses from VPSD - Conferences bursaries and subsidies moved to Director of Conferences</t>
        </r>
      </text>
    </comment>
    <comment ref="D72" authorId="0" shape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AutoCAD workshop fees down, but alumni relations was added</t>
        </r>
      </text>
    </comment>
    <comment ref="D73" authorId="0" shape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Takes on Conference bursaries and subsidies, but large increase due to funding OEC and sending students to external conferences</t>
        </r>
      </text>
    </comment>
    <comment ref="D74" authorId="0" shape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FYC entire reason for large increase, specifically dinner</t>
        </r>
      </text>
    </comment>
    <comment ref="D76" authorId="0" shape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Similar expenses were incurred</t>
        </r>
      </text>
    </comment>
    <comment ref="D77" authorId="0" shape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Large increase in Rackspace (Cloud server) cost</t>
        </r>
      </text>
    </comment>
    <comment ref="D79" authorId="0" shape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Only expense was sweaters, all expense last year was capital</t>
        </r>
      </text>
    </comment>
    <comment ref="D80" authorId="0" shape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Large increase in council food cost, increase in elections cost, bought awards display</t>
        </r>
      </text>
    </comment>
    <comment ref="D81" authorId="0" shape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New position</t>
        </r>
      </text>
    </comment>
    <comment ref="D82" authorId="0" shapeId="0">
      <text>
        <r>
          <rPr>
            <b/>
            <sz val="9"/>
            <color indexed="81"/>
            <rFont val="Tahoma"/>
            <family val="2"/>
          </rPr>
          <t xml:space="preserve">Andrew Crawford
</t>
        </r>
        <r>
          <rPr>
            <sz val="9"/>
            <color indexed="81"/>
            <rFont val="Tahoma"/>
            <family val="2"/>
          </rPr>
          <t>Eng Rugby removed, no Buddy or Fungineering, Eng Week down. Movember and Fix N Clean up though</t>
        </r>
      </text>
    </comment>
    <comment ref="D117" authorId="0" shape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Assume we actually spend all of our money</t>
        </r>
      </text>
    </comment>
  </commentList>
</comments>
</file>

<file path=xl/comments2.xml><?xml version="1.0" encoding="utf-8"?>
<comments xmlns="http://schemas.openxmlformats.org/spreadsheetml/2006/main">
  <authors>
    <author>Andrew Crawford</author>
  </authors>
  <commentList>
    <comment ref="J23" authorId="0" shapeId="0">
      <text>
        <r>
          <rPr>
            <b/>
            <sz val="9"/>
            <color indexed="81"/>
            <rFont val="Tahoma"/>
            <charset val="1"/>
          </rPr>
          <t>Andrew Crawford:</t>
        </r>
        <r>
          <rPr>
            <sz val="9"/>
            <color indexed="81"/>
            <rFont val="Tahoma"/>
            <charset val="1"/>
          </rPr>
          <t xml:space="preserve">
2842 students paid fees</t>
        </r>
      </text>
    </comment>
    <comment ref="I158" authorId="0" shapeId="0">
      <text>
        <r>
          <rPr>
            <b/>
            <sz val="9"/>
            <color indexed="81"/>
            <rFont val="Tahoma"/>
            <charset val="1"/>
          </rPr>
          <t xml:space="preserve">Andrew Crawford:
</t>
        </r>
        <r>
          <rPr>
            <sz val="9"/>
            <color indexed="81"/>
            <rFont val="Tahoma"/>
            <family val="2"/>
          </rPr>
          <t>Frosh week clothing and freight included from VPSA Account</t>
        </r>
      </text>
    </comment>
  </commentList>
</comments>
</file>

<file path=xl/comments3.xml><?xml version="1.0" encoding="utf-8"?>
<comments xmlns="http://schemas.openxmlformats.org/spreadsheetml/2006/main">
  <authors>
    <author>Andrew Crawford</author>
  </authors>
  <commentList>
    <comment ref="I54" authorId="0" shape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Estimate of full year cost based on 3/4 year usage</t>
        </r>
      </text>
    </comment>
    <comment ref="C69" authorId="0" shape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Has been placed in Lounge improvements</t>
        </r>
      </text>
    </comment>
  </commentList>
</comments>
</file>

<file path=xl/comments4.xml><?xml version="1.0" encoding="utf-8"?>
<comments xmlns="http://schemas.openxmlformats.org/spreadsheetml/2006/main">
  <authors>
    <author>Andrew Crawford</author>
  </authors>
  <commentList>
    <comment ref="I32" authorId="0" shape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028-030
</t>
        </r>
      </text>
    </comment>
    <comment ref="I64" authorId="0" shape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050-053
</t>
        </r>
      </text>
    </comment>
  </commentList>
</comments>
</file>

<file path=xl/comments5.xml><?xml version="1.0" encoding="utf-8"?>
<comments xmlns="http://schemas.openxmlformats.org/spreadsheetml/2006/main">
  <authors>
    <author>Andrew Crawford</author>
    <author>Elizabeth Hoskin</author>
  </authors>
  <commentList>
    <comment ref="I232" authorId="0" shape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Unsure what event it was for</t>
        </r>
      </text>
    </comment>
    <comment ref="I234" authorId="0" shape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General Supplies, no specific line</t>
        </r>
      </text>
    </comment>
    <comment ref="I242" authorId="0" shape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"Tickets/Coasters/Posters" from Staples/Staples/PCC</t>
        </r>
      </text>
    </comment>
    <comment ref="I251" authorId="0" shapeId="0">
      <text>
        <r>
          <rPr>
            <b/>
            <sz val="9"/>
            <color indexed="81"/>
            <rFont val="Tahoma"/>
            <family val="2"/>
          </rPr>
          <t>Andrew Crawford:</t>
        </r>
        <r>
          <rPr>
            <sz val="9"/>
            <color indexed="81"/>
            <rFont val="Tahoma"/>
            <family val="2"/>
          </rPr>
          <t xml:space="preserve">
"ERC Float and snowfort materials &amp; lunch, Dollarama"</t>
        </r>
      </text>
    </comment>
    <comment ref="C292" authorId="1" shapeId="0">
      <text>
        <r>
          <rPr>
            <b/>
            <sz val="9"/>
            <color indexed="81"/>
            <rFont val="Arial"/>
            <family val="2"/>
          </rPr>
          <t>Elizabeth Hoskin:</t>
        </r>
        <r>
          <rPr>
            <sz val="9"/>
            <color indexed="81"/>
            <rFont val="Arial"/>
            <family val="2"/>
          </rPr>
          <t xml:space="preserve">
* Story in Whig Standard, free advertising on Kijiji webpage and free banner on LimestoneCity.com webpage</t>
        </r>
      </text>
    </comment>
    <comment ref="D292" authorId="1" shapeId="0">
      <text>
        <r>
          <rPr>
            <b/>
            <sz val="9"/>
            <color indexed="81"/>
            <rFont val="Arial"/>
            <family val="2"/>
          </rPr>
          <t>Elizabeth Hoskin:</t>
        </r>
        <r>
          <rPr>
            <sz val="9"/>
            <color indexed="81"/>
            <rFont val="Arial"/>
            <family val="2"/>
          </rPr>
          <t xml:space="preserve">
May not be sponsored 
Engsco cover this ? 
</t>
        </r>
      </text>
    </comment>
    <comment ref="C293" authorId="1" shapeId="0">
      <text>
        <r>
          <rPr>
            <b/>
            <sz val="9"/>
            <color indexed="81"/>
            <rFont val="Arial"/>
            <family val="2"/>
          </rPr>
          <t>Elizabeth Hoskin:</t>
        </r>
        <r>
          <rPr>
            <sz val="9"/>
            <color indexed="81"/>
            <rFont val="Arial"/>
            <family val="2"/>
          </rPr>
          <t xml:space="preserve">
Thank you cards &amp; postage.  Hopefully purchase with giftcards from metro. </t>
        </r>
      </text>
    </comment>
    <comment ref="E294" authorId="1" shapeId="0">
      <text>
        <r>
          <rPr>
            <b/>
            <sz val="9"/>
            <color indexed="81"/>
            <rFont val="Arial"/>
            <family val="2"/>
          </rPr>
          <t>Elizabeth Hoskin:</t>
        </r>
        <r>
          <rPr>
            <sz val="9"/>
            <color indexed="81"/>
            <rFont val="Arial"/>
            <family val="2"/>
          </rPr>
          <t xml:space="preserve">
Per day 
</t>
        </r>
      </text>
    </comment>
    <comment ref="E297" authorId="1" shapeId="0">
      <text>
        <r>
          <rPr>
            <b/>
            <sz val="9"/>
            <color indexed="81"/>
            <rFont val="Arial"/>
            <family val="2"/>
          </rPr>
          <t>Elizabeth Hoskin:</t>
        </r>
        <r>
          <rPr>
            <sz val="9"/>
            <color indexed="81"/>
            <rFont val="Arial"/>
            <family val="2"/>
          </rPr>
          <t xml:space="preserve">
Price Includes Both Days 
</t>
        </r>
      </text>
    </comment>
    <comment ref="F298" authorId="1" shapeId="0">
      <text>
        <r>
          <rPr>
            <b/>
            <sz val="9"/>
            <color indexed="81"/>
            <rFont val="Arial"/>
            <family val="2"/>
          </rPr>
          <t>Elizabeth Hoskin:</t>
        </r>
        <r>
          <rPr>
            <sz val="9"/>
            <color indexed="81"/>
            <rFont val="Arial"/>
            <family val="2"/>
          </rPr>
          <t xml:space="preserve">
Need to put more thought into quantity 
</t>
        </r>
      </text>
    </comment>
    <comment ref="A302" authorId="1" shapeId="0">
      <text>
        <r>
          <rPr>
            <b/>
            <sz val="9"/>
            <color indexed="81"/>
            <rFont val="Arial"/>
            <family val="2"/>
          </rPr>
          <t>Elizabeth Hoskin:</t>
        </r>
        <r>
          <rPr>
            <sz val="9"/>
            <color indexed="81"/>
            <rFont val="Arial"/>
            <family val="2"/>
          </rPr>
          <t xml:space="preserve">
Will Review After Fall Event 
</t>
        </r>
      </text>
    </comment>
    <comment ref="A315" authorId="1" shapeId="0">
      <text>
        <r>
          <rPr>
            <b/>
            <sz val="9"/>
            <color indexed="81"/>
            <rFont val="Arial"/>
            <family val="2"/>
          </rPr>
          <t>Elizabeth Hoskin:</t>
        </r>
        <r>
          <rPr>
            <sz val="9"/>
            <color indexed="81"/>
            <rFont val="Arial"/>
            <family val="2"/>
          </rPr>
          <t xml:space="preserve">
To be determined if this will happen, budget may change
</t>
        </r>
      </text>
    </comment>
  </commentList>
</comments>
</file>

<file path=xl/sharedStrings.xml><?xml version="1.0" encoding="utf-8"?>
<sst xmlns="http://schemas.openxmlformats.org/spreadsheetml/2006/main" count="2350" uniqueCount="1686">
  <si>
    <t>Queen's Engineering Society</t>
  </si>
  <si>
    <t>2014-2015</t>
  </si>
  <si>
    <t>2013-2014</t>
  </si>
  <si>
    <t>BUDGET</t>
  </si>
  <si>
    <t>ACTUAL</t>
  </si>
  <si>
    <t>Revenue ($)</t>
  </si>
  <si>
    <t>SALES REVENUE</t>
  </si>
  <si>
    <t xml:space="preserve">Summer BBQ </t>
  </si>
  <si>
    <t xml:space="preserve">Printing </t>
  </si>
  <si>
    <t xml:space="preserve"> </t>
  </si>
  <si>
    <t>Council Candy</t>
  </si>
  <si>
    <t>QUESSI Management Fees</t>
  </si>
  <si>
    <t>Imaginus Poster Sale</t>
  </si>
  <si>
    <t>Net Student Interest Fees</t>
  </si>
  <si>
    <t>Total Advertising</t>
  </si>
  <si>
    <t>Engenda Sales</t>
  </si>
  <si>
    <t>Chem Note Sales</t>
  </si>
  <si>
    <t>Rollover from 2013-2014</t>
  </si>
  <si>
    <t>Total Sales Revenue</t>
  </si>
  <si>
    <t>POSITION REVENUE</t>
  </si>
  <si>
    <t>President</t>
  </si>
  <si>
    <t>VP Operations</t>
  </si>
  <si>
    <t>VP Student Affairs</t>
  </si>
  <si>
    <t>Director of Academics</t>
  </si>
  <si>
    <t>Director of Design</t>
  </si>
  <si>
    <t>Director of Professional Development</t>
  </si>
  <si>
    <t>Director of Conferences</t>
  </si>
  <si>
    <t>Director of First Year</t>
  </si>
  <si>
    <t>Director of Finance</t>
  </si>
  <si>
    <t>Director of Services</t>
  </si>
  <si>
    <t>Director of Information Technology</t>
  </si>
  <si>
    <t>Director of Events</t>
  </si>
  <si>
    <t>Director of Communications</t>
  </si>
  <si>
    <t>Director of Internal Affairs</t>
  </si>
  <si>
    <t>Director of Human Resources</t>
  </si>
  <si>
    <t>Event Positions</t>
  </si>
  <si>
    <t>Total Position Revenue</t>
  </si>
  <si>
    <t>RECOVERY REVENUE</t>
  </si>
  <si>
    <t>Accounting Recovery</t>
  </si>
  <si>
    <t>Administration Fees Recovery</t>
  </si>
  <si>
    <t>Rent Recovery</t>
  </si>
  <si>
    <t>Telephone &amp; Long Distance Recovery</t>
  </si>
  <si>
    <t>Insurance Recovery</t>
  </si>
  <si>
    <t>Bank Charges Recovery</t>
  </si>
  <si>
    <t>Total Recovery Revenue</t>
  </si>
  <si>
    <t>TOTAL REVENUE</t>
  </si>
  <si>
    <t>Expenses ($)</t>
  </si>
  <si>
    <t>COST OF GOODS SOLD</t>
  </si>
  <si>
    <t>Summer BBQ</t>
  </si>
  <si>
    <t>Total Printing Expenses</t>
  </si>
  <si>
    <t>Imaginus Expenses</t>
  </si>
  <si>
    <t>Yearbook Printing</t>
  </si>
  <si>
    <t>Engenda Printing</t>
  </si>
  <si>
    <t>Chem Notes Printing</t>
  </si>
  <si>
    <t>Total Cost of Goods Sold</t>
  </si>
  <si>
    <t>POSITION EXPENSES</t>
  </si>
  <si>
    <t>Contingency</t>
  </si>
  <si>
    <t>Total Position Expenses</t>
  </si>
  <si>
    <t>PAYROLL EXPENSES</t>
  </si>
  <si>
    <t>Wages &amp; Salaries</t>
  </si>
  <si>
    <t>EI Expense</t>
  </si>
  <si>
    <t>CPP Expense</t>
  </si>
  <si>
    <t>Exec &amp; Honoraria Expenses</t>
  </si>
  <si>
    <t>Total Payroll Expenses</t>
  </si>
  <si>
    <t>ADMINISTRATIVE EXPENSES</t>
  </si>
  <si>
    <t>Accounting &amp; Legal</t>
  </si>
  <si>
    <t>Administation - General Manager Salary</t>
  </si>
  <si>
    <t>Rent</t>
  </si>
  <si>
    <t>Telephone &amp; Long Distance</t>
  </si>
  <si>
    <t xml:space="preserve">Insurance </t>
  </si>
  <si>
    <t>Bank Charges</t>
  </si>
  <si>
    <t>Total Administrative Expenses</t>
  </si>
  <si>
    <t>OPERATING EXPENSES</t>
  </si>
  <si>
    <t>Keys</t>
  </si>
  <si>
    <t>Shredding</t>
  </si>
  <si>
    <t>Lounge Improvements</t>
  </si>
  <si>
    <t>Courier &amp; Postage</t>
  </si>
  <si>
    <t>Office Supplies</t>
  </si>
  <si>
    <t>ESARCK</t>
  </si>
  <si>
    <t>Travel</t>
  </si>
  <si>
    <t>Repair &amp; Maintenance</t>
  </si>
  <si>
    <t>Jacket Bursaries</t>
  </si>
  <si>
    <t>Charitable Donation</t>
  </si>
  <si>
    <t>Summer Expenses</t>
  </si>
  <si>
    <t>Total Operating Expenses</t>
  </si>
  <si>
    <t>TOTAL EXPENSES</t>
  </si>
  <si>
    <t>Summary ($)</t>
  </si>
  <si>
    <t>Total Revenue</t>
  </si>
  <si>
    <t>Total Expenses</t>
  </si>
  <si>
    <t>Net Surplus</t>
  </si>
  <si>
    <t>Society</t>
  </si>
  <si>
    <t>Line #</t>
  </si>
  <si>
    <t>Item</t>
  </si>
  <si>
    <t>Specifics</t>
  </si>
  <si>
    <t>Unit Price</t>
  </si>
  <si>
    <t>Quantity</t>
  </si>
  <si>
    <t>Subtotal</t>
  </si>
  <si>
    <t>Budget</t>
  </si>
  <si>
    <t>Pre-Actual</t>
  </si>
  <si>
    <t>Actual</t>
  </si>
  <si>
    <t>00-001</t>
  </si>
  <si>
    <t>BBQ sales</t>
  </si>
  <si>
    <t>Summer BBQ sales</t>
  </si>
  <si>
    <t>Printing Revenue</t>
  </si>
  <si>
    <t>00-010</t>
  </si>
  <si>
    <t>Black and white printing</t>
  </si>
  <si>
    <t>Affordable printing for students</t>
  </si>
  <si>
    <t>00-011</t>
  </si>
  <si>
    <t>00-020</t>
  </si>
  <si>
    <t>Council candy</t>
  </si>
  <si>
    <t>Donations for jacket bursary</t>
  </si>
  <si>
    <t>00-030</t>
  </si>
  <si>
    <t>QUESSI</t>
  </si>
  <si>
    <t>Payment for managing bookstore Board of Directors</t>
  </si>
  <si>
    <t>00-040</t>
  </si>
  <si>
    <t>Imaginus</t>
  </si>
  <si>
    <t>Payment for organizing poster sales</t>
  </si>
  <si>
    <t>00-050</t>
  </si>
  <si>
    <t>Student Interest Fees</t>
  </si>
  <si>
    <t>Student fees from the AMS</t>
  </si>
  <si>
    <t>00-051</t>
  </si>
  <si>
    <t>Less Reallocated</t>
  </si>
  <si>
    <t>Reallocations to year executives, discipline clubs</t>
  </si>
  <si>
    <t>Total Advertising Revenue</t>
  </si>
  <si>
    <t>00-060</t>
  </si>
  <si>
    <t>Yearbook Advertising</t>
  </si>
  <si>
    <t>CU advertising</t>
  </si>
  <si>
    <t>00-061</t>
  </si>
  <si>
    <t>Engenda Advertising</t>
  </si>
  <si>
    <t>00-070</t>
  </si>
  <si>
    <t>Engenda sales</t>
  </si>
  <si>
    <t>Remaining engendas sold to students</t>
  </si>
  <si>
    <t>00-080</t>
  </si>
  <si>
    <t>Chem Note sales</t>
  </si>
  <si>
    <t>For Fall 2014, Winter 2015, and Fall 2015</t>
  </si>
  <si>
    <t>00-090</t>
  </si>
  <si>
    <t>Rollover from last year</t>
  </si>
  <si>
    <t>half of the money not spend in the previous fiscal year</t>
  </si>
  <si>
    <t>RECVOERY REVENUE</t>
  </si>
  <si>
    <t>00-100</t>
  </si>
  <si>
    <t>Based on specific services bookkeeping usage</t>
  </si>
  <si>
    <t>Collected via EngServe</t>
  </si>
  <si>
    <t>00-110</t>
  </si>
  <si>
    <t>Based on specific services General Manager usage</t>
  </si>
  <si>
    <t>00-120</t>
  </si>
  <si>
    <t>Based on specific services space usage</t>
  </si>
  <si>
    <t>00-130</t>
  </si>
  <si>
    <t>Based on specific services phone usage</t>
  </si>
  <si>
    <t>00-140</t>
  </si>
  <si>
    <t>Based on total insurance</t>
  </si>
  <si>
    <t>00-150</t>
  </si>
  <si>
    <t>Based on G4S usage, debit/credit usage, bank fees</t>
  </si>
  <si>
    <t>00-151</t>
  </si>
  <si>
    <t>Moneris usage</t>
  </si>
  <si>
    <t>Collected based on transactions</t>
  </si>
  <si>
    <t>COSTS OF GOODS SOLD</t>
  </si>
  <si>
    <t>00-160</t>
  </si>
  <si>
    <t>BBQ materials</t>
  </si>
  <si>
    <t>Drinks, hot dogs, hamburgers, buns, condiments</t>
  </si>
  <si>
    <t>00-170</t>
  </si>
  <si>
    <t>Photocopier rental</t>
  </si>
  <si>
    <t>Machine rental from OT group</t>
  </si>
  <si>
    <t>00-171</t>
  </si>
  <si>
    <t>Paper</t>
  </si>
  <si>
    <t>Printer paper from Staples</t>
  </si>
  <si>
    <t>00-172</t>
  </si>
  <si>
    <t>Printing per page</t>
  </si>
  <si>
    <t>00-173</t>
  </si>
  <si>
    <t>00-180</t>
  </si>
  <si>
    <t>Candy</t>
  </si>
  <si>
    <t>Assorted cholocate bars and candy</t>
  </si>
  <si>
    <t>00-190</t>
  </si>
  <si>
    <t>Poster sale</t>
  </si>
  <si>
    <t>Room rental</t>
  </si>
  <si>
    <t>00-200</t>
  </si>
  <si>
    <t>Sci 15 yearbooks</t>
  </si>
  <si>
    <t>Printing through Friesen's</t>
  </si>
  <si>
    <t>00-210</t>
  </si>
  <si>
    <t>Engendas</t>
  </si>
  <si>
    <t>00-220</t>
  </si>
  <si>
    <t>Chem Notes</t>
  </si>
  <si>
    <t>Total Costs of Goods Sold</t>
  </si>
  <si>
    <t>00-230</t>
  </si>
  <si>
    <t>Secretary</t>
  </si>
  <si>
    <t>Coucil secretary for 12 councils, 1 AGM</t>
  </si>
  <si>
    <t>00-231</t>
  </si>
  <si>
    <t>President summer salary</t>
  </si>
  <si>
    <t>Current salary + assuming CPI increase of 1.2%</t>
  </si>
  <si>
    <t>00-232</t>
  </si>
  <si>
    <t>VP Operations summer salary</t>
  </si>
  <si>
    <t>00-233</t>
  </si>
  <si>
    <t>VP Society Affaris summer salary</t>
  </si>
  <si>
    <t>00-240</t>
  </si>
  <si>
    <t>Employment insurance</t>
  </si>
  <si>
    <t>Based off of last year</t>
  </si>
  <si>
    <t>00-250</t>
  </si>
  <si>
    <t>Canada pension plan</t>
  </si>
  <si>
    <t>Exec &amp; Honororia Expenses</t>
  </si>
  <si>
    <t>00-260</t>
  </si>
  <si>
    <t>President's subsidy</t>
  </si>
  <si>
    <t>1 semester's tuition</t>
  </si>
  <si>
    <t>00-261</t>
  </si>
  <si>
    <t>Summer exec honoraria</t>
  </si>
  <si>
    <t>1 week salary per exec</t>
  </si>
  <si>
    <t>00-262</t>
  </si>
  <si>
    <t>VP Ops subsidy</t>
  </si>
  <si>
    <t>00-263</t>
  </si>
  <si>
    <t>VPSA's subsidy</t>
  </si>
  <si>
    <t>00-270</t>
  </si>
  <si>
    <t>Bookkeeping</t>
  </si>
  <si>
    <t>TurnerMoore LLP - Certified General Accountants</t>
  </si>
  <si>
    <t>00-271</t>
  </si>
  <si>
    <t>Financial review</t>
  </si>
  <si>
    <t>Collins Barrow SEO LLP</t>
  </si>
  <si>
    <t>Administration - General Manager</t>
  </si>
  <si>
    <t>00-280</t>
  </si>
  <si>
    <t>Jay Young</t>
  </si>
  <si>
    <t>Wages</t>
  </si>
  <si>
    <t>00-281</t>
  </si>
  <si>
    <t>CPP and EI</t>
  </si>
  <si>
    <t>00-282</t>
  </si>
  <si>
    <t>Parking</t>
  </si>
  <si>
    <t>On-campus parking</t>
  </si>
  <si>
    <t>00-290</t>
  </si>
  <si>
    <t>Clark Hall rent</t>
  </si>
  <si>
    <t>Charged by university for building upkeep</t>
  </si>
  <si>
    <t>00-300</t>
  </si>
  <si>
    <t>ITServices phone bills</t>
  </si>
  <si>
    <t>8 phone lines</t>
  </si>
  <si>
    <t>00-301</t>
  </si>
  <si>
    <t>Average monthly long distance</t>
  </si>
  <si>
    <t>Insurance</t>
  </si>
  <si>
    <t>00-310</t>
  </si>
  <si>
    <t>AMS insurance</t>
  </si>
  <si>
    <t>Overall society insurance</t>
  </si>
  <si>
    <t>00-311</t>
  </si>
  <si>
    <t>ESARCK insurance</t>
  </si>
  <si>
    <t>Liability for ESARCK land</t>
  </si>
  <si>
    <t>00-320</t>
  </si>
  <si>
    <t>Moneris rental</t>
  </si>
  <si>
    <t>Monthly rental, security fees, and service for handheld</t>
  </si>
  <si>
    <t>00-321</t>
  </si>
  <si>
    <t>Transaction fees</t>
  </si>
  <si>
    <t>Credit</t>
  </si>
  <si>
    <t>00-322</t>
  </si>
  <si>
    <t>Debit</t>
  </si>
  <si>
    <t>00-323</t>
  </si>
  <si>
    <t>Credit cards</t>
  </si>
  <si>
    <t>Annual fees for corporate cards</t>
  </si>
  <si>
    <t>00-330</t>
  </si>
  <si>
    <t>Keys for spaces</t>
  </si>
  <si>
    <t>Obtained through PPS</t>
  </si>
  <si>
    <t>00-340</t>
  </si>
  <si>
    <t>Paper shredding</t>
  </si>
  <si>
    <t>Iron Mountain</t>
  </si>
  <si>
    <t>00-350</t>
  </si>
  <si>
    <t>Mailing costs</t>
  </si>
  <si>
    <t>Through the Campus Bookstore</t>
  </si>
  <si>
    <t>00-360</t>
  </si>
  <si>
    <t>Miscellaneous office supplies</t>
  </si>
  <si>
    <t>Folders, shelves, highlighters, etc.</t>
  </si>
  <si>
    <t>00-370</t>
  </si>
  <si>
    <t>Concrete Pad</t>
  </si>
  <si>
    <t>for greasepole site</t>
  </si>
  <si>
    <t>Property taxes</t>
  </si>
  <si>
    <t>Remitted to City of Kingston for greasepole site</t>
  </si>
  <si>
    <t>Survey Fee</t>
  </si>
  <si>
    <t>Property Upgrades</t>
  </si>
  <si>
    <t>00-380</t>
  </si>
  <si>
    <t>Mileage reports</t>
  </si>
  <si>
    <t>Reimbursement for travel expenses for the society</t>
  </si>
  <si>
    <t>00-390</t>
  </si>
  <si>
    <t>Miscellaneous repair</t>
  </si>
  <si>
    <t>Unforseen maintenance to society space</t>
  </si>
  <si>
    <t>00-400</t>
  </si>
  <si>
    <t>Jacket bursaries for GPAs</t>
  </si>
  <si>
    <t>Difference between council candy revenue and expenses</t>
  </si>
  <si>
    <t>00-410</t>
  </si>
  <si>
    <t>Charitable donations</t>
  </si>
  <si>
    <t>Summer Spending</t>
  </si>
  <si>
    <t>00-420</t>
  </si>
  <si>
    <t>Summer projects</t>
  </si>
  <si>
    <t>Breakdown of expenses to be presented to Council</t>
  </si>
  <si>
    <t>President - Carolyn Fisher</t>
  </si>
  <si>
    <t>Rugger Sales</t>
  </si>
  <si>
    <t>Appreciation</t>
  </si>
  <si>
    <t>11-010</t>
  </si>
  <si>
    <t>Clark Tab</t>
  </si>
  <si>
    <t>Appreciation tab night (no tax)</t>
  </si>
  <si>
    <t>11-011</t>
  </si>
  <si>
    <t>Water Team</t>
  </si>
  <si>
    <t>Appreciation dinner</t>
  </si>
  <si>
    <t>Executive Director Expenses</t>
  </si>
  <si>
    <t>Executive Director</t>
  </si>
  <si>
    <t>11-020</t>
  </si>
  <si>
    <t>Frosh week shirts</t>
  </si>
  <si>
    <t>Frosh Week shirts for ED and senators for 2014 and 2015</t>
  </si>
  <si>
    <t>11-021</t>
  </si>
  <si>
    <t>Appreciation winter dinner</t>
  </si>
  <si>
    <t>Dinner for ED after winter break</t>
  </si>
  <si>
    <t>11-022</t>
  </si>
  <si>
    <t>Ruggers</t>
  </si>
  <si>
    <t>Minimum order for custom ruggers for 2014 and 2015</t>
  </si>
  <si>
    <t>John Orr</t>
  </si>
  <si>
    <t>11-030</t>
  </si>
  <si>
    <t>Rooms</t>
  </si>
  <si>
    <t>Rooms for the night of John Orr</t>
  </si>
  <si>
    <t>11-031</t>
  </si>
  <si>
    <t>Rental car</t>
  </si>
  <si>
    <t>Rental van</t>
  </si>
  <si>
    <t>11-032</t>
  </si>
  <si>
    <t>Gas</t>
  </si>
  <si>
    <t>Gas for three vehicles</t>
  </si>
  <si>
    <t>11-033</t>
  </si>
  <si>
    <t>Parking three vehicles</t>
  </si>
  <si>
    <t>11-034</t>
  </si>
  <si>
    <t>Tickets</t>
  </si>
  <si>
    <t>Tickets for the event</t>
  </si>
  <si>
    <t>Transition</t>
  </si>
  <si>
    <t>Executive Dinner</t>
  </si>
  <si>
    <t>Transition dinner for incoming/ outgoing</t>
  </si>
  <si>
    <t>00-041</t>
  </si>
  <si>
    <t>Director Dinner</t>
  </si>
  <si>
    <t>Transition Expenses</t>
  </si>
  <si>
    <t>VP Operations - Peter Davidson</t>
  </si>
  <si>
    <t>Advisory Board</t>
  </si>
  <si>
    <t>12-010</t>
  </si>
  <si>
    <t>Meeting Food</t>
  </si>
  <si>
    <t>$7/member per meeting</t>
  </si>
  <si>
    <t>12-011</t>
  </si>
  <si>
    <t>Transition Dinner</t>
  </si>
  <si>
    <t>Incoming and Outgoing board members</t>
  </si>
  <si>
    <t>12-012</t>
  </si>
  <si>
    <t>Alumni and Faculty Gifts</t>
  </si>
  <si>
    <t>Advisory Board Expenses</t>
  </si>
  <si>
    <t>Board Long Range Strategic Planning Meeting</t>
  </si>
  <si>
    <t>12-020</t>
  </si>
  <si>
    <t>Breakfast</t>
  </si>
  <si>
    <t>12-021</t>
  </si>
  <si>
    <t>Lunch</t>
  </si>
  <si>
    <t>12-022</t>
  </si>
  <si>
    <t>Merchandise</t>
  </si>
  <si>
    <t>Portfolios/Clipboard</t>
  </si>
  <si>
    <t>Board LRSP Meeting Expenses</t>
  </si>
  <si>
    <t>VP Student Affairs - Alexander Savides</t>
  </si>
  <si>
    <t xml:space="preserve">HIRING NIGHT </t>
  </si>
  <si>
    <t>13-010</t>
  </si>
  <si>
    <t>Pizza</t>
  </si>
  <si>
    <t>Pizza Pizza, $2.00/slice</t>
  </si>
  <si>
    <t>13-011</t>
  </si>
  <si>
    <t>Drinks</t>
  </si>
  <si>
    <t>Juice and pop</t>
  </si>
  <si>
    <t>13-012</t>
  </si>
  <si>
    <t xml:space="preserve">Clark </t>
  </si>
  <si>
    <t>Rental fee</t>
  </si>
  <si>
    <t>13-013</t>
  </si>
  <si>
    <t>Posters</t>
  </si>
  <si>
    <t>For Advertisement</t>
  </si>
  <si>
    <t>13-014</t>
  </si>
  <si>
    <t>Prize</t>
  </si>
  <si>
    <t>Tablet</t>
  </si>
  <si>
    <t>Total Hiring Night Expenses</t>
  </si>
  <si>
    <t>OFFICER TRAINING</t>
  </si>
  <si>
    <t>13-020</t>
  </si>
  <si>
    <t>Incentive</t>
  </si>
  <si>
    <t>Food for Officers</t>
  </si>
  <si>
    <t>Total Officer Training Expenses</t>
  </si>
  <si>
    <t>Director of Academics -  Sam Anderson</t>
  </si>
  <si>
    <t>ENGLINKS</t>
  </si>
  <si>
    <t>14-001</t>
  </si>
  <si>
    <t xml:space="preserve">Tutorial Fees </t>
  </si>
  <si>
    <t>Tutorial Student Fees</t>
  </si>
  <si>
    <t>14-002</t>
  </si>
  <si>
    <t>Workbooks</t>
  </si>
  <si>
    <t>Total EngLinks  Revenue</t>
  </si>
  <si>
    <t>ENGLINKS Workshops</t>
  </si>
  <si>
    <t xml:space="preserve">14-010 </t>
  </si>
  <si>
    <t>Tutor Wages</t>
  </si>
  <si>
    <t xml:space="preserve">Tutorial Tutor Wages </t>
  </si>
  <si>
    <t>Total EngLinks Expenses</t>
  </si>
  <si>
    <t>BED Fund</t>
  </si>
  <si>
    <t>14-020</t>
  </si>
  <si>
    <t>Promotion</t>
  </si>
  <si>
    <t>Posters, advertisements, media, etc.</t>
  </si>
  <si>
    <t>14-021</t>
  </si>
  <si>
    <t>Plaques</t>
  </si>
  <si>
    <t>Recognize past purchases</t>
  </si>
  <si>
    <t>14-022</t>
  </si>
  <si>
    <t>BED Fund Jacket Bars</t>
  </si>
  <si>
    <t>Appreciate BED Fund Reps and raise awareness</t>
  </si>
  <si>
    <t>Total BED Fund Expenses</t>
  </si>
  <si>
    <t>EngLinks</t>
  </si>
  <si>
    <t>14-030</t>
  </si>
  <si>
    <t>Retractable Banner Stand</t>
  </si>
  <si>
    <t>www.trtbanners.com, economy retractable banner stand, 39"x80", dye sub fabric, UPS economy shipping</t>
  </si>
  <si>
    <t>14-031</t>
  </si>
  <si>
    <t>Food - Hiring Event</t>
  </si>
  <si>
    <t>pizza pizza, 200 slices of party pizza</t>
  </si>
  <si>
    <t>14-033</t>
  </si>
  <si>
    <t>Website Domain</t>
  </si>
  <si>
    <t>name.com, yearly cost</t>
  </si>
  <si>
    <t>14-034</t>
  </si>
  <si>
    <t>Marketing Media</t>
  </si>
  <si>
    <t>Stock Photos, website templates, and other related expenditures</t>
  </si>
  <si>
    <t>14-035</t>
  </si>
  <si>
    <t>Student Workbooks</t>
  </si>
  <si>
    <t>P&amp;CC Bound, 76-170 sheets</t>
  </si>
  <si>
    <t>14-036</t>
  </si>
  <si>
    <t>11x17</t>
  </si>
  <si>
    <t>14-037</t>
  </si>
  <si>
    <t>Staff Appreciation</t>
  </si>
  <si>
    <t xml:space="preserve">Dinner </t>
  </si>
  <si>
    <t>14-038</t>
  </si>
  <si>
    <t>Management Team Apparel</t>
  </si>
  <si>
    <t>Branded attire used for marketing EngLinks</t>
  </si>
  <si>
    <t>14-039</t>
  </si>
  <si>
    <t>Resource Creation</t>
  </si>
  <si>
    <t>Representation</t>
  </si>
  <si>
    <t>14-040</t>
  </si>
  <si>
    <t>Academic Roundtable Food</t>
  </si>
  <si>
    <t>Total Representation Expenses</t>
  </si>
  <si>
    <t>Director of Design - Alex Shieck</t>
  </si>
  <si>
    <t>DESIGN SPACE 115</t>
  </si>
  <si>
    <t>15-010</t>
  </si>
  <si>
    <t>General Upkeep</t>
  </si>
  <si>
    <t xml:space="preserve">Supplies, Repairs, Cleaning, </t>
  </si>
  <si>
    <t>15-011</t>
  </si>
  <si>
    <t>Dump Run</t>
  </si>
  <si>
    <t>For large Clean of Space</t>
  </si>
  <si>
    <t>15-012</t>
  </si>
  <si>
    <t>Safety boots</t>
  </si>
  <si>
    <t>for temporary work needs</t>
  </si>
  <si>
    <t>15-013</t>
  </si>
  <si>
    <t>Safety Glasses</t>
  </si>
  <si>
    <t>15-015</t>
  </si>
  <si>
    <t>Redesign</t>
  </si>
  <si>
    <t>purchasing: shelving, workbench creation</t>
  </si>
  <si>
    <t>15-016</t>
  </si>
  <si>
    <t>Alternative Storage</t>
  </si>
  <si>
    <t>Storage Locker 10x10</t>
  </si>
  <si>
    <t>Total</t>
  </si>
  <si>
    <t xml:space="preserve">PUBLICITY </t>
  </si>
  <si>
    <t>15-022</t>
  </si>
  <si>
    <t>Homecoming</t>
  </si>
  <si>
    <t>15-023</t>
  </si>
  <si>
    <t>GM Supplies</t>
  </si>
  <si>
    <t>INCENTIVES</t>
  </si>
  <si>
    <t>15-030</t>
  </si>
  <si>
    <t>Start up Incentive</t>
  </si>
  <si>
    <t>For New Teams</t>
  </si>
  <si>
    <t>15-031</t>
  </si>
  <si>
    <t>Polo Subsidies</t>
  </si>
  <si>
    <t>for team Polos</t>
  </si>
  <si>
    <t>15-032</t>
  </si>
  <si>
    <t>Roster Incentive</t>
  </si>
  <si>
    <t>for Advancement</t>
  </si>
  <si>
    <t>15-033</t>
  </si>
  <si>
    <t>Stewartship Award</t>
  </si>
  <si>
    <t>For: co-operative,Good PR, comunicative,</t>
  </si>
  <si>
    <t>15-034</t>
  </si>
  <si>
    <t>Safety Award</t>
  </si>
  <si>
    <t>No issues, or swift corrections</t>
  </si>
  <si>
    <t>TRAINING SESSIONS</t>
  </si>
  <si>
    <t>15-040</t>
  </si>
  <si>
    <t>Training Sessions</t>
  </si>
  <si>
    <t>Safety Sponsorship</t>
  </si>
  <si>
    <t>ROUND TABLE</t>
  </si>
  <si>
    <t>15-050</t>
  </si>
  <si>
    <t>Captains Round Table</t>
  </si>
  <si>
    <t>15-051</t>
  </si>
  <si>
    <t>Clubs Round Table</t>
  </si>
  <si>
    <t>Director of Professional Development - Kristy Tu</t>
  </si>
  <si>
    <t xml:space="preserve">AUTOCAD PARTICIPANT FEES </t>
  </si>
  <si>
    <t>16-001</t>
  </si>
  <si>
    <t>Fall 1 Participant Cost</t>
  </si>
  <si>
    <t>16-002</t>
  </si>
  <si>
    <t>Winter 1 Participant Cost</t>
  </si>
  <si>
    <t>16-003</t>
  </si>
  <si>
    <t>Winter 2 Participant Cost</t>
  </si>
  <si>
    <t>16-004</t>
  </si>
  <si>
    <t>Total AutoCAD Participant Fees Revenue</t>
  </si>
  <si>
    <t>16-020</t>
  </si>
  <si>
    <t>Participant Snacks - Fall</t>
  </si>
  <si>
    <t>16-021</t>
  </si>
  <si>
    <t>Participant Snacks - Winter</t>
  </si>
  <si>
    <t>16-022</t>
  </si>
  <si>
    <t>Dinner for Career Services staff</t>
  </si>
  <si>
    <t>As a thank you, overtime work</t>
  </si>
  <si>
    <t>Total Career Services Events Expenses</t>
  </si>
  <si>
    <t>P&amp;G Mock Interviews</t>
  </si>
  <si>
    <t>16-030</t>
  </si>
  <si>
    <t>Fall Dinner for P&amp;G Employees</t>
  </si>
  <si>
    <t>As a thank you</t>
  </si>
  <si>
    <t>16-031</t>
  </si>
  <si>
    <t>Winter Dinner for P&amp;G Employees</t>
  </si>
  <si>
    <t>Total P &amp; G Mock Interviews Expenses</t>
  </si>
  <si>
    <t>AutoCAD Workshops</t>
  </si>
  <si>
    <t>Fall Participant Fees</t>
  </si>
  <si>
    <t>Fall Instructor Cost</t>
  </si>
  <si>
    <t>Winter 1 Participant Fees</t>
  </si>
  <si>
    <t>Winter 1 Instructor Cost</t>
  </si>
  <si>
    <t>Winter 2 Participant Fees</t>
  </si>
  <si>
    <t>Winter 2 Instructor Cost</t>
  </si>
  <si>
    <t>Winter 3 Participant Fees</t>
  </si>
  <si>
    <t>Winter 3 Instructor Cost</t>
  </si>
  <si>
    <t>Total AutoCAD Expenses</t>
  </si>
  <si>
    <t>Alumni Relations</t>
  </si>
  <si>
    <t>16-050</t>
  </si>
  <si>
    <t>16-051</t>
  </si>
  <si>
    <t>Alumni Newsletter</t>
  </si>
  <si>
    <t>Based on P&amp;CC costs</t>
  </si>
  <si>
    <t>16-052</t>
  </si>
  <si>
    <t>Networking Event</t>
  </si>
  <si>
    <t>16-053</t>
  </si>
  <si>
    <t>Mentorship Event</t>
  </si>
  <si>
    <t>Total Alumni Relations Expenses</t>
  </si>
  <si>
    <t>Communications</t>
  </si>
  <si>
    <t>16-060</t>
  </si>
  <si>
    <t>Bulletin Board</t>
  </si>
  <si>
    <t>for ILC</t>
  </si>
  <si>
    <t>16-061</t>
  </si>
  <si>
    <t>Bulletin Board Materials</t>
  </si>
  <si>
    <t>Paper, thumbtacks</t>
  </si>
  <si>
    <t>Total Communications Expenses</t>
  </si>
  <si>
    <t>Director of  Conferences - Michelle McKay</t>
  </si>
  <si>
    <t xml:space="preserve">Internal Conferences </t>
  </si>
  <si>
    <t>17-010</t>
  </si>
  <si>
    <t xml:space="preserve">Conference Support Fee </t>
  </si>
  <si>
    <t>Eng Soc Support Fee</t>
  </si>
  <si>
    <t>17-011</t>
  </si>
  <si>
    <t xml:space="preserve">Marketing for Internal Conferences </t>
  </si>
  <si>
    <t xml:space="preserve">Posters </t>
  </si>
  <si>
    <t>17-012</t>
  </si>
  <si>
    <t xml:space="preserve">Growth Incentive </t>
  </si>
  <si>
    <t xml:space="preserve">Presented to 1of our 6 Internal Conferences </t>
  </si>
  <si>
    <t>17-013</t>
  </si>
  <si>
    <t>FYC</t>
  </si>
  <si>
    <t>Persoanl Attendence Fee</t>
  </si>
  <si>
    <t>17-014</t>
  </si>
  <si>
    <t>CEEC</t>
  </si>
  <si>
    <t>Personal Attendence Fee</t>
  </si>
  <si>
    <t>17-015</t>
  </si>
  <si>
    <t>CIRQUE</t>
  </si>
  <si>
    <t>17-016</t>
  </si>
  <si>
    <t>QSC</t>
  </si>
  <si>
    <t>17-017</t>
  </si>
  <si>
    <t>QGIC</t>
  </si>
  <si>
    <t>17-018</t>
  </si>
  <si>
    <t>QEC</t>
  </si>
  <si>
    <t>17-019</t>
  </si>
  <si>
    <t xml:space="preserve">Appreciation Dinner </t>
  </si>
  <si>
    <t xml:space="preserve">Appreciation Dinner for Conference Heads </t>
  </si>
  <si>
    <t xml:space="preserve">External Conferences </t>
  </si>
  <si>
    <t>17-020</t>
  </si>
  <si>
    <t>External Conference 1</t>
  </si>
  <si>
    <t>Delegate Fee</t>
  </si>
  <si>
    <t>17-021</t>
  </si>
  <si>
    <t>External Conference 2</t>
  </si>
  <si>
    <t>17-022</t>
  </si>
  <si>
    <t>Ontario Engineering Competition</t>
  </si>
  <si>
    <t>Delegate Fees</t>
  </si>
  <si>
    <t>17-023</t>
  </si>
  <si>
    <t xml:space="preserve">Trasporation Subsidy (based UOIT host) </t>
  </si>
  <si>
    <t xml:space="preserve">Addditional Fees </t>
  </si>
  <si>
    <t>17-031</t>
  </si>
  <si>
    <t xml:space="preserve">Website </t>
  </si>
  <si>
    <t xml:space="preserve">Start Up / Liscencing Fee </t>
  </si>
  <si>
    <t>17-032</t>
  </si>
  <si>
    <t xml:space="preserve">Eng Soc Merchandice </t>
  </si>
  <si>
    <t xml:space="preserve">For trading at External Conferences </t>
  </si>
  <si>
    <t>17-033</t>
  </si>
  <si>
    <t xml:space="preserve">Presentor Appreciation Gift </t>
  </si>
  <si>
    <t>Marketing Expert Presentation Gift</t>
  </si>
  <si>
    <t>17-034</t>
  </si>
  <si>
    <t>Eng Soc Meet and Greet Lunch (FYC)</t>
  </si>
  <si>
    <t>Sponsership of FYC Lunch</t>
  </si>
  <si>
    <t>17-035</t>
  </si>
  <si>
    <t xml:space="preserve">Conference Bursery </t>
  </si>
  <si>
    <t>17-036</t>
  </si>
  <si>
    <t>17-037</t>
  </si>
  <si>
    <t>17-038</t>
  </si>
  <si>
    <t>17-039</t>
  </si>
  <si>
    <t>17-040</t>
  </si>
  <si>
    <t xml:space="preserve">External Conference Travel Fees </t>
  </si>
  <si>
    <t>17-051</t>
  </si>
  <si>
    <t>Car rental</t>
  </si>
  <si>
    <t>Bus/Train Fee</t>
  </si>
  <si>
    <t>Total Title 5 Expenses</t>
  </si>
  <si>
    <t>Director of First Year - Ryan Cattrysse</t>
  </si>
  <si>
    <t xml:space="preserve">FIRST YEAR CONFERENCE </t>
  </si>
  <si>
    <t>18-001</t>
  </si>
  <si>
    <t>Ticket</t>
  </si>
  <si>
    <t>Ticket price to attend</t>
  </si>
  <si>
    <t>Total Conference Revenue</t>
  </si>
  <si>
    <t xml:space="preserve">18-010 </t>
  </si>
  <si>
    <t>Pass Crest</t>
  </si>
  <si>
    <t>Apprection for underage</t>
  </si>
  <si>
    <t>Total Appreciation Expenses</t>
  </si>
  <si>
    <t>Physics Cookies</t>
  </si>
  <si>
    <t>Subway Cookies</t>
  </si>
  <si>
    <t>111 Midterm 1, 112 Midterm 1</t>
  </si>
  <si>
    <t>Frosh Group Games Night</t>
  </si>
  <si>
    <t>Venue</t>
  </si>
  <si>
    <t>Clark</t>
  </si>
  <si>
    <t>Food</t>
  </si>
  <si>
    <t>Snackables</t>
  </si>
  <si>
    <t>Beverage</t>
  </si>
  <si>
    <t>Mocktails</t>
  </si>
  <si>
    <t>Prizes</t>
  </si>
  <si>
    <t>Bars</t>
  </si>
  <si>
    <t>Delegate Package</t>
  </si>
  <si>
    <t>Printing, name tags, etc.</t>
  </si>
  <si>
    <t>JDUC</t>
  </si>
  <si>
    <t>Thank You Gifts</t>
  </si>
  <si>
    <t>Small gifts for speakers</t>
  </si>
  <si>
    <t>TBD</t>
  </si>
  <si>
    <t>Morning coffee</t>
  </si>
  <si>
    <t>Large cambros</t>
  </si>
  <si>
    <t>Dinner</t>
  </si>
  <si>
    <t>Conference Swag</t>
  </si>
  <si>
    <t>Total First Year Conference Expenses</t>
  </si>
  <si>
    <t>CLARK rentals for games night</t>
  </si>
  <si>
    <t>Clark rental for meet and greet</t>
  </si>
  <si>
    <t>18-031</t>
  </si>
  <si>
    <t xml:space="preserve">Baked Goods </t>
  </si>
  <si>
    <t>Tea Room catering</t>
  </si>
  <si>
    <t xml:space="preserve">Muffins </t>
  </si>
  <si>
    <t>Total ED Meet n Greet Expenses</t>
  </si>
  <si>
    <t>Mod 3 STRESS SESSION</t>
  </si>
  <si>
    <t>Muffins</t>
  </si>
  <si>
    <t>18-041</t>
  </si>
  <si>
    <t>Baked Goods</t>
  </si>
  <si>
    <t>18-042</t>
  </si>
  <si>
    <t>Fruit Tray</t>
  </si>
  <si>
    <t>18-043</t>
  </si>
  <si>
    <t>Vegetable Tray</t>
  </si>
  <si>
    <t>Total Exam Stress Sessions Expenses</t>
  </si>
  <si>
    <t>Director of Finance - Erin Murphy</t>
  </si>
  <si>
    <t>Financial Training</t>
  </si>
  <si>
    <t>2 Sessions - TR Catering</t>
  </si>
  <si>
    <t>Total Financial Training Expenses</t>
  </si>
  <si>
    <t>Printing</t>
  </si>
  <si>
    <t>Cheque Requisition Forms</t>
  </si>
  <si>
    <t>2 per page in black and white</t>
  </si>
  <si>
    <t>Deposit Forms</t>
  </si>
  <si>
    <t>Total Cash Box Desposit System Expenses</t>
  </si>
  <si>
    <t>Cash Box Deposit System</t>
  </si>
  <si>
    <t>Depository Safe</t>
  </si>
  <si>
    <t>Safe &amp; Vault Store</t>
  </si>
  <si>
    <t>Total Title 3 Revenue</t>
  </si>
  <si>
    <t>2 Sessions (2 food trays) - TR Catering</t>
  </si>
  <si>
    <t>19-010</t>
  </si>
  <si>
    <t>Director of Services - Michael Bodley</t>
  </si>
  <si>
    <t>Service Night</t>
  </si>
  <si>
    <t>20-010</t>
  </si>
  <si>
    <t>Service Night Invitations</t>
  </si>
  <si>
    <t>P&amp;CC Card Stock, Quarter Page DS</t>
  </si>
  <si>
    <t>20-011</t>
  </si>
  <si>
    <t>Manager Name Tags</t>
  </si>
  <si>
    <t>P&amp;CC Card Stock, 6 per page</t>
  </si>
  <si>
    <t>20-012</t>
  </si>
  <si>
    <t>Tips for clark</t>
  </si>
  <si>
    <t>Everyone has drink tickets</t>
  </si>
  <si>
    <t>20-013</t>
  </si>
  <si>
    <t>Grand Prize</t>
  </si>
  <si>
    <t>20-014</t>
  </si>
  <si>
    <t>Additional Drinks</t>
  </si>
  <si>
    <t>Free drinks</t>
  </si>
  <si>
    <t>Manager Appreciation Fall</t>
  </si>
  <si>
    <t>20-020</t>
  </si>
  <si>
    <t>Hamburger</t>
  </si>
  <si>
    <t>Costco 16 pack</t>
  </si>
  <si>
    <t>20-021</t>
  </si>
  <si>
    <t>Vegitarian Burgers</t>
  </si>
  <si>
    <t>Costco Pack</t>
  </si>
  <si>
    <t>20-022</t>
  </si>
  <si>
    <t>Chips</t>
  </si>
  <si>
    <t>20-023</t>
  </si>
  <si>
    <t>Pop</t>
  </si>
  <si>
    <t>0.5 per person</t>
  </si>
  <si>
    <t>20-024</t>
  </si>
  <si>
    <t>Buns</t>
  </si>
  <si>
    <t>Costco 24</t>
  </si>
  <si>
    <t xml:space="preserve">Manager Appreciation Winter </t>
  </si>
  <si>
    <t>20-030</t>
  </si>
  <si>
    <t>Manager Dinner</t>
  </si>
  <si>
    <t>$40.00 per person</t>
  </si>
  <si>
    <t>20-031</t>
  </si>
  <si>
    <t>iCon BBQ</t>
  </si>
  <si>
    <t>$10 per person</t>
  </si>
  <si>
    <t>Manager and Staff Advertisement</t>
  </si>
  <si>
    <t>20-040</t>
  </si>
  <si>
    <t xml:space="preserve">The journal Advertisement </t>
  </si>
  <si>
    <t xml:space="preserve">Halk Page Advertisement </t>
  </si>
  <si>
    <t>20-041</t>
  </si>
  <si>
    <t>Poster</t>
  </si>
  <si>
    <t>P&amp;CC 11x17</t>
  </si>
  <si>
    <t>Manager Training</t>
  </si>
  <si>
    <t>20-050</t>
  </si>
  <si>
    <t>Tea Room Meat Sandwiches</t>
  </si>
  <si>
    <t>20-051</t>
  </si>
  <si>
    <t>Tea Room Veggie Sandwiches</t>
  </si>
  <si>
    <t>20-052</t>
  </si>
  <si>
    <t>Tea Room Coffee</t>
  </si>
  <si>
    <t>Director of Information Technology - Eric McElroy</t>
  </si>
  <si>
    <t>WEBSITES</t>
  </si>
  <si>
    <t>21-001</t>
  </si>
  <si>
    <t xml:space="preserve">Domain Management Fee </t>
  </si>
  <si>
    <t>Domain name fee recovery - Expiry</t>
  </si>
  <si>
    <t>21-002</t>
  </si>
  <si>
    <t>Domain name fee recovery - Name.com</t>
  </si>
  <si>
    <t>Total Website Revenue</t>
  </si>
  <si>
    <t>HARDWARE SALES</t>
  </si>
  <si>
    <t>21-010</t>
  </si>
  <si>
    <t>Server Cabinet</t>
  </si>
  <si>
    <t>IBM Server Cabinet + Accessories</t>
  </si>
  <si>
    <t>21-011</t>
  </si>
  <si>
    <t>Server</t>
  </si>
  <si>
    <t>Delorean</t>
  </si>
  <si>
    <t>21-012</t>
  </si>
  <si>
    <t>Mustang</t>
  </si>
  <si>
    <t>21-013</t>
  </si>
  <si>
    <t>Monitors</t>
  </si>
  <si>
    <t>Selling old 4:3 monitors</t>
  </si>
  <si>
    <t>Total Hardware Sales Revenue</t>
  </si>
  <si>
    <t>EMAIL/NETWORK</t>
  </si>
  <si>
    <t>21-020</t>
  </si>
  <si>
    <t>Licensing Fee</t>
  </si>
  <si>
    <t>AMS/For Microsoft</t>
  </si>
  <si>
    <t>Firewalls</t>
  </si>
  <si>
    <t>ILC and Clark Hall</t>
  </si>
  <si>
    <t>CISCO Smartnet</t>
  </si>
  <si>
    <t>SSL Certificates</t>
  </si>
  <si>
    <t>New\ website</t>
  </si>
  <si>
    <t>Total Email/Network Expenses</t>
  </si>
  <si>
    <t>21-030</t>
  </si>
  <si>
    <t>Domain Management</t>
  </si>
  <si>
    <t>Clubs, services, groups - Expiry.com</t>
  </si>
  <si>
    <t>21-031</t>
  </si>
  <si>
    <t>Clubs, services, groups - Name.com</t>
  </si>
  <si>
    <t>21-032</t>
  </si>
  <si>
    <t xml:space="preserve">Akismet </t>
  </si>
  <si>
    <t>Total Websites Expenses</t>
  </si>
  <si>
    <t>IT TEAM -INCENTIVIZATION</t>
  </si>
  <si>
    <t>21-040</t>
  </si>
  <si>
    <t>Jacket Bars</t>
  </si>
  <si>
    <t>21-041</t>
  </si>
  <si>
    <t>Food for meetings, 10 Meetings @ $4/person</t>
  </si>
  <si>
    <t>Total IT Team Expenses</t>
  </si>
  <si>
    <t>SERVERS</t>
  </si>
  <si>
    <t>21-050</t>
  </si>
  <si>
    <t>Rackspace</t>
  </si>
  <si>
    <t>1 GB Linux Server - Monthly - 2 instances</t>
  </si>
  <si>
    <t>21-051</t>
  </si>
  <si>
    <t>2 GB Linux Server - Monthly</t>
  </si>
  <si>
    <t>Cloud Backups</t>
  </si>
  <si>
    <t>New Physical Server</t>
  </si>
  <si>
    <t>System76 16GB Linux Box - Mail Server</t>
  </si>
  <si>
    <t>Total Server Expenses</t>
  </si>
  <si>
    <t>SOFTWARE</t>
  </si>
  <si>
    <t>21-060</t>
  </si>
  <si>
    <t>L-SOFT LISTSERV</t>
  </si>
  <si>
    <t>New Listserv software initial setup cost</t>
  </si>
  <si>
    <t>21-061</t>
  </si>
  <si>
    <t>Annual Maintenance/Updates Cost</t>
  </si>
  <si>
    <t>21-062</t>
  </si>
  <si>
    <t>Remote Installation Fee</t>
  </si>
  <si>
    <t>Total Software Expenses</t>
  </si>
  <si>
    <t>HARDWARE</t>
  </si>
  <si>
    <t>21-070</t>
  </si>
  <si>
    <t>Cabling, accessories</t>
  </si>
  <si>
    <t>HDMI Cable for Lounge TV</t>
  </si>
  <si>
    <t>21-071</t>
  </si>
  <si>
    <t>Ethernet Cables for Lounge Computers</t>
  </si>
  <si>
    <t>Total Hardware Expenses</t>
  </si>
  <si>
    <t>Director of Events - Mike Wetton</t>
  </si>
  <si>
    <t>Dean's Wine &amp; Cheese</t>
  </si>
  <si>
    <t>22-001</t>
  </si>
  <si>
    <t>Dean's Donation</t>
  </si>
  <si>
    <t>Total Tital 1 Revenue</t>
  </si>
  <si>
    <t>22-010</t>
  </si>
  <si>
    <t>Wine</t>
  </si>
  <si>
    <t>22-011</t>
  </si>
  <si>
    <t>22-012</t>
  </si>
  <si>
    <t>Juice &amp; Other Drinks</t>
  </si>
  <si>
    <t>22-014</t>
  </si>
  <si>
    <t>Ice</t>
  </si>
  <si>
    <t>22-015</t>
  </si>
  <si>
    <t>Invitations</t>
  </si>
  <si>
    <t>Position Expenses</t>
  </si>
  <si>
    <t>22-020</t>
  </si>
  <si>
    <t>Hoodies</t>
  </si>
  <si>
    <t>For coordinators &amp; chairs</t>
  </si>
  <si>
    <t>Director of Communications - Stephen Penstone</t>
  </si>
  <si>
    <t>Comm Team</t>
  </si>
  <si>
    <t>23-011</t>
  </si>
  <si>
    <t>Clothing for Comm Team</t>
  </si>
  <si>
    <t>To make us look like a team/establish an identity</t>
  </si>
  <si>
    <t>23-012</t>
  </si>
  <si>
    <t>P&amp;CC poster</t>
  </si>
  <si>
    <t>$1/square foot</t>
  </si>
  <si>
    <t>23-013</t>
  </si>
  <si>
    <t>Miscellaneous supplies</t>
  </si>
  <si>
    <t>chalk, markers, britol board etc.</t>
  </si>
  <si>
    <t>Viral advertising</t>
  </si>
  <si>
    <t>Facebook advertising</t>
  </si>
  <si>
    <t>Total Comm Team Expenses</t>
  </si>
  <si>
    <t>Director of Internal Affairs - Eleanor McAuley</t>
  </si>
  <si>
    <t>COUNCIL</t>
  </si>
  <si>
    <t>24-011</t>
  </si>
  <si>
    <t>Placcards</t>
  </si>
  <si>
    <t>New council members</t>
  </si>
  <si>
    <t>24-012</t>
  </si>
  <si>
    <t>Laminating</t>
  </si>
  <si>
    <t>For voting cards and placards</t>
  </si>
  <si>
    <t>24-013</t>
  </si>
  <si>
    <t>New Folders</t>
  </si>
  <si>
    <t>For folders and labels</t>
  </si>
  <si>
    <t xml:space="preserve">Food </t>
  </si>
  <si>
    <t>24-014</t>
  </si>
  <si>
    <t>Sept 25th</t>
  </si>
  <si>
    <t>Refreshments for council</t>
  </si>
  <si>
    <t>24-015</t>
  </si>
  <si>
    <t xml:space="preserve">Oct 9th </t>
  </si>
  <si>
    <t>24-016</t>
  </si>
  <si>
    <t xml:space="preserve">Oct 23th </t>
  </si>
  <si>
    <t>24-017</t>
  </si>
  <si>
    <t xml:space="preserve">Nov 6th </t>
  </si>
  <si>
    <t>24-018</t>
  </si>
  <si>
    <t>Nov 20th</t>
  </si>
  <si>
    <t>24-019</t>
  </si>
  <si>
    <t>Jan 8th 2015</t>
  </si>
  <si>
    <t>24-020</t>
  </si>
  <si>
    <t>Jan 22nd 2015</t>
  </si>
  <si>
    <t>24-021</t>
  </si>
  <si>
    <t>Feb 5th 2015</t>
  </si>
  <si>
    <t>24-022</t>
  </si>
  <si>
    <t>Feb 19th 2015</t>
  </si>
  <si>
    <t>24-023</t>
  </si>
  <si>
    <t>March 12th 2015</t>
  </si>
  <si>
    <t>24-024</t>
  </si>
  <si>
    <t>March 26th 2015</t>
  </si>
  <si>
    <t>24-025</t>
  </si>
  <si>
    <t>AGM</t>
  </si>
  <si>
    <t>24-026</t>
  </si>
  <si>
    <t>HDMI Cable</t>
  </si>
  <si>
    <t>to make presentations easier</t>
  </si>
  <si>
    <t>24-027</t>
  </si>
  <si>
    <t>Clickers</t>
  </si>
  <si>
    <t>for use in council</t>
  </si>
  <si>
    <t>24-028</t>
  </si>
  <si>
    <t>Clicker reciver</t>
  </si>
  <si>
    <t>for use in Council</t>
  </si>
  <si>
    <t>24-029</t>
  </si>
  <si>
    <t>Clikcer storage case</t>
  </si>
  <si>
    <t>to store Clickers</t>
  </si>
  <si>
    <t>Total Council Expenses</t>
  </si>
  <si>
    <t>ELECTIONS</t>
  </si>
  <si>
    <t>Exec</t>
  </si>
  <si>
    <t>24-030</t>
  </si>
  <si>
    <t>Candidate Refunds</t>
  </si>
  <si>
    <t>VPs and Senators</t>
  </si>
  <si>
    <t>Advertising</t>
  </si>
  <si>
    <t>Posters, voting, nominations</t>
  </si>
  <si>
    <t xml:space="preserve">Debates </t>
  </si>
  <si>
    <t>Equipment Rentals</t>
  </si>
  <si>
    <t>for debates</t>
  </si>
  <si>
    <t>Year Exec</t>
  </si>
  <si>
    <t>Posters, cards</t>
  </si>
  <si>
    <t>for Sci'18 elections- Septemeber</t>
  </si>
  <si>
    <t>Voting Software</t>
  </si>
  <si>
    <t>from AMS</t>
  </si>
  <si>
    <t>Total Election Expenses</t>
  </si>
  <si>
    <t>Awards</t>
  </si>
  <si>
    <t>24-040</t>
  </si>
  <si>
    <t>Engraving</t>
  </si>
  <si>
    <t>24-041</t>
  </si>
  <si>
    <t>Teaching specific</t>
  </si>
  <si>
    <t>24-042</t>
  </si>
  <si>
    <t>Awards Committee</t>
  </si>
  <si>
    <t>24-043</t>
  </si>
  <si>
    <t>24-044</t>
  </si>
  <si>
    <t>Sword</t>
  </si>
  <si>
    <t>Total Award Expenses</t>
  </si>
  <si>
    <t>BANQUET</t>
  </si>
  <si>
    <t>24-050</t>
  </si>
  <si>
    <t>Capacity: 150-200</t>
  </si>
  <si>
    <t>24-051</t>
  </si>
  <si>
    <t>for banquet</t>
  </si>
  <si>
    <t>24-052</t>
  </si>
  <si>
    <t>Per bottle</t>
  </si>
  <si>
    <t>24-053</t>
  </si>
  <si>
    <t>Gratuities</t>
  </si>
  <si>
    <t>24-054</t>
  </si>
  <si>
    <t>Busing</t>
  </si>
  <si>
    <t>To Clark after awards</t>
  </si>
  <si>
    <t>24-055</t>
  </si>
  <si>
    <t xml:space="preserve">Programs </t>
  </si>
  <si>
    <t>To be given out at banquet</t>
  </si>
  <si>
    <t>Total Banquet Expenses</t>
  </si>
  <si>
    <t>Director of Human Resources - Alex Wood</t>
  </si>
  <si>
    <t>25-010</t>
  </si>
  <si>
    <t>In House Printing (11x17 Colour)</t>
  </si>
  <si>
    <t>25-011</t>
  </si>
  <si>
    <t>Tea Room Catering</t>
  </si>
  <si>
    <t>Assorted Baked Goods</t>
  </si>
  <si>
    <t>25-012</t>
  </si>
  <si>
    <t>25-013</t>
  </si>
  <si>
    <t>Coffee</t>
  </si>
  <si>
    <t>25-014</t>
  </si>
  <si>
    <t>Hot Chocolate</t>
  </si>
  <si>
    <t>25-020</t>
  </si>
  <si>
    <t xml:space="preserve">Survey Software </t>
  </si>
  <si>
    <t>1 Yr Survey Monkey Gold Subscrition</t>
  </si>
  <si>
    <t>25-030</t>
  </si>
  <si>
    <t>Pizza Pizza, $2.00/slice (for Town Hall)</t>
  </si>
  <si>
    <t>25-031</t>
  </si>
  <si>
    <t>Juice and Pop (for Town Hall)</t>
  </si>
  <si>
    <t>25-032</t>
  </si>
  <si>
    <t>Auditorium Rental</t>
  </si>
  <si>
    <t>Town Hall</t>
  </si>
  <si>
    <t>25-033</t>
  </si>
  <si>
    <t>BUDDY PROGRAM</t>
  </si>
  <si>
    <t>26-001</t>
  </si>
  <si>
    <t>Opening BBQ</t>
  </si>
  <si>
    <t>26-002</t>
  </si>
  <si>
    <t xml:space="preserve">November Smoker </t>
  </si>
  <si>
    <t>Tickets sold at BBQ and before event</t>
  </si>
  <si>
    <t>26-003</t>
  </si>
  <si>
    <t>November Smoker</t>
  </si>
  <si>
    <t>Tickets sold at door</t>
  </si>
  <si>
    <t>26-004</t>
  </si>
  <si>
    <t>Boat Cruise</t>
  </si>
  <si>
    <t>26-005</t>
  </si>
  <si>
    <t xml:space="preserve">Damages Refund </t>
  </si>
  <si>
    <t>26-006</t>
  </si>
  <si>
    <t>March Karaoke Smoker</t>
  </si>
  <si>
    <t>Tickets sold before</t>
  </si>
  <si>
    <t>26-007</t>
  </si>
  <si>
    <t>26-008</t>
  </si>
  <si>
    <t>Upper Year Training</t>
  </si>
  <si>
    <t>Total Buddy Program Revenue</t>
  </si>
  <si>
    <t>CAROL SERVICE</t>
  </si>
  <si>
    <t>26-010</t>
  </si>
  <si>
    <t>Sponsorship</t>
  </si>
  <si>
    <t>Total Carol Service Revenue</t>
  </si>
  <si>
    <t>DECEMBER 6TH</t>
  </si>
  <si>
    <t>26-020</t>
  </si>
  <si>
    <t>Total December 6th Revenue</t>
  </si>
  <si>
    <t>TERRY FOX RUN</t>
  </si>
  <si>
    <t>26-030</t>
  </si>
  <si>
    <t>Terry Fox T-Shirts</t>
  </si>
  <si>
    <t>Bought for $20 each, sold for $30 each</t>
  </si>
  <si>
    <t>26-031</t>
  </si>
  <si>
    <t>Registraion Fee</t>
  </si>
  <si>
    <t>$5/participant for food, "ticket" in</t>
  </si>
  <si>
    <t>26-032</t>
  </si>
  <si>
    <t>Pledge donations</t>
  </si>
  <si>
    <t>Estimate</t>
  </si>
  <si>
    <t>Total Terry Fox Run Revenue</t>
  </si>
  <si>
    <t>ENG RUGBY</t>
  </si>
  <si>
    <t>26-040</t>
  </si>
  <si>
    <t xml:space="preserve">Player fees </t>
  </si>
  <si>
    <t>collects bulk revenue for club</t>
  </si>
  <si>
    <t>26-041</t>
  </si>
  <si>
    <t>Mouthguard Sales (tax free)</t>
  </si>
  <si>
    <t>26-042</t>
  </si>
  <si>
    <t>Apparel Sales</t>
  </si>
  <si>
    <t>26-043</t>
  </si>
  <si>
    <t>covers additional club costs</t>
  </si>
  <si>
    <t>n/a</t>
  </si>
  <si>
    <t>Total Eng Rugby Revenue</t>
  </si>
  <si>
    <t>ENG WEEK</t>
  </si>
  <si>
    <t>26-050</t>
  </si>
  <si>
    <t>Curling</t>
  </si>
  <si>
    <t>26-051</t>
  </si>
  <si>
    <t>T-sledz</t>
  </si>
  <si>
    <t>26-052</t>
  </si>
  <si>
    <t>Pub Trivia</t>
  </si>
  <si>
    <t>26-053</t>
  </si>
  <si>
    <t>All-Ages (Pre-Sold)</t>
  </si>
  <si>
    <t>26-054</t>
  </si>
  <si>
    <t>All-Ages (At the door)</t>
  </si>
  <si>
    <t>26-055</t>
  </si>
  <si>
    <t>Pub Crawl</t>
  </si>
  <si>
    <t>26-056</t>
  </si>
  <si>
    <t>Karaoke</t>
  </si>
  <si>
    <t>26-057</t>
  </si>
  <si>
    <t>BOTB</t>
  </si>
  <si>
    <t>Total Eng Week Revenue</t>
  </si>
  <si>
    <t>EXTERNAL RELATIONS COMMITTEE</t>
  </si>
  <si>
    <t>Total External Relations Committee Revenue</t>
  </si>
  <si>
    <t>FUNGINEERING</t>
  </si>
  <si>
    <t>DodgeBall</t>
  </si>
  <si>
    <t>26-060</t>
  </si>
  <si>
    <t>Team Entry</t>
  </si>
  <si>
    <t>10 - 12 Players</t>
  </si>
  <si>
    <t>PaintBall</t>
  </si>
  <si>
    <t>26-061</t>
  </si>
  <si>
    <t>Individual Ticket</t>
  </si>
  <si>
    <t>Quidditch</t>
  </si>
  <si>
    <t>26-062</t>
  </si>
  <si>
    <t>Indiviual Sign Up</t>
  </si>
  <si>
    <t>Total Fungineering Revenue</t>
  </si>
  <si>
    <t>FIX N CLEAN</t>
  </si>
  <si>
    <t>Fall Sponsers</t>
  </si>
  <si>
    <t>26-070</t>
  </si>
  <si>
    <t>Ali Baba Kabab</t>
  </si>
  <si>
    <t>Lunch Sponsor</t>
  </si>
  <si>
    <t>26-071</t>
  </si>
  <si>
    <t xml:space="preserve">Tim Hortons </t>
  </si>
  <si>
    <t xml:space="preserve">Timbits </t>
  </si>
  <si>
    <t>26-072</t>
  </si>
  <si>
    <t xml:space="preserve">Canadian Tire </t>
  </si>
  <si>
    <t>Gas Cards for Volunteers</t>
  </si>
  <si>
    <t>Walmart/Grocery Checkout</t>
  </si>
  <si>
    <t xml:space="preserve">Bottled Water, Juice, Granola Bars </t>
  </si>
  <si>
    <t>Winter Sponsors</t>
  </si>
  <si>
    <t>26-073</t>
  </si>
  <si>
    <t xml:space="preserve">Lunch Sponsor </t>
  </si>
  <si>
    <t xml:space="preserve">Lunch Sponsor  </t>
  </si>
  <si>
    <t>26-074</t>
  </si>
  <si>
    <t xml:space="preserve">Snack Sponsor </t>
  </si>
  <si>
    <t>snacks</t>
  </si>
  <si>
    <t>26-075</t>
  </si>
  <si>
    <t xml:space="preserve">Grocery Sponsor </t>
  </si>
  <si>
    <t xml:space="preserve">Year Round </t>
  </si>
  <si>
    <t>26-076</t>
  </si>
  <si>
    <t>26-077</t>
  </si>
  <si>
    <t>26-078</t>
  </si>
  <si>
    <t>26-079</t>
  </si>
  <si>
    <t>Total Fix n Clean Revenue</t>
  </si>
  <si>
    <t>MOVEMBER</t>
  </si>
  <si>
    <t>26-080</t>
  </si>
  <si>
    <t>Old Hats</t>
  </si>
  <si>
    <t>Sold @ Sidewalk Sale</t>
  </si>
  <si>
    <t>26-081</t>
  </si>
  <si>
    <t>Old Shirts</t>
  </si>
  <si>
    <t>26-082</t>
  </si>
  <si>
    <t>New Hats</t>
  </si>
  <si>
    <t>Sold @ residence and events</t>
  </si>
  <si>
    <t>26-083</t>
  </si>
  <si>
    <t>New Shirts</t>
  </si>
  <si>
    <t>26-084</t>
  </si>
  <si>
    <t xml:space="preserve">Hamburgers </t>
  </si>
  <si>
    <t>Sold @ Weekly Ritual BBQ</t>
  </si>
  <si>
    <t>Events</t>
  </si>
  <si>
    <t>26-085</t>
  </si>
  <si>
    <t>Raffle Ticket Sales</t>
  </si>
  <si>
    <t>Total Movember Revenue</t>
  </si>
  <si>
    <t>Mental Health</t>
  </si>
  <si>
    <t>Yoga</t>
  </si>
  <si>
    <t>26-090</t>
  </si>
  <si>
    <t>Admission</t>
  </si>
  <si>
    <t xml:space="preserve">Participant Fee </t>
  </si>
  <si>
    <t>40 Hr Mental Health Awareness Campaign</t>
  </si>
  <si>
    <t>26-091</t>
  </si>
  <si>
    <t>Participant Fee</t>
  </si>
  <si>
    <t>Total Mental Health Revenue</t>
  </si>
  <si>
    <t>BBQ</t>
  </si>
  <si>
    <t>26-100</t>
  </si>
  <si>
    <t>Hot Dogs</t>
  </si>
  <si>
    <t>M&amp;M's (boxes of 36)</t>
  </si>
  <si>
    <t>26-101</t>
  </si>
  <si>
    <t>Hamburgers - Large pack</t>
  </si>
  <si>
    <t>M&amp;M's (boxes of 150)</t>
  </si>
  <si>
    <t>26-102</t>
  </si>
  <si>
    <t>Veggie Burgers</t>
  </si>
  <si>
    <t>M&amp;M's (boxes of 8)</t>
  </si>
  <si>
    <t>26-103</t>
  </si>
  <si>
    <t>Hamburgers - Small pack</t>
  </si>
  <si>
    <t>M&amp;M's (boxes of 16)</t>
  </si>
  <si>
    <t>26-104</t>
  </si>
  <si>
    <t>Burger Buns</t>
  </si>
  <si>
    <t>Costco (packs of 24)</t>
  </si>
  <si>
    <t>26-105</t>
  </si>
  <si>
    <t>Hot Dog Buns</t>
  </si>
  <si>
    <t>Costco (pack of 24)</t>
  </si>
  <si>
    <t>26-106</t>
  </si>
  <si>
    <t>Mustard</t>
  </si>
  <si>
    <t>Costco</t>
  </si>
  <si>
    <t>26-107</t>
  </si>
  <si>
    <t>Ketchup</t>
  </si>
  <si>
    <t>26-108</t>
  </si>
  <si>
    <t>Napkins</t>
  </si>
  <si>
    <t>Costco (pack of 1200 napkins)</t>
  </si>
  <si>
    <t>26-109</t>
  </si>
  <si>
    <t>Propane Tank</t>
  </si>
  <si>
    <t>Refill after Friday Patio Ritual</t>
  </si>
  <si>
    <t>26-110</t>
  </si>
  <si>
    <t>Soft Drinks</t>
  </si>
  <si>
    <t>Costco (box of 32 cans)</t>
  </si>
  <si>
    <t>26-111</t>
  </si>
  <si>
    <t>Water</t>
  </si>
  <si>
    <t>Costco (box of 35 bottles)</t>
  </si>
  <si>
    <t>26-112</t>
  </si>
  <si>
    <t>26-113</t>
  </si>
  <si>
    <t>for ticket printing</t>
  </si>
  <si>
    <t>26-114</t>
  </si>
  <si>
    <t>EngSoc Printer B/W</t>
  </si>
  <si>
    <t>26-115</t>
  </si>
  <si>
    <t>1 Cruise</t>
  </si>
  <si>
    <t>26-116</t>
  </si>
  <si>
    <t>Responsibility Deposit</t>
  </si>
  <si>
    <t>Refundable</t>
  </si>
  <si>
    <t>26-117</t>
  </si>
  <si>
    <t>DJ</t>
  </si>
  <si>
    <t>26-118</t>
  </si>
  <si>
    <t>SOCAN Fees</t>
  </si>
  <si>
    <t>26-119</t>
  </si>
  <si>
    <t>Buses</t>
  </si>
  <si>
    <t>James Reid-2 Trips</t>
  </si>
  <si>
    <t>26-120</t>
  </si>
  <si>
    <t>Damage Deposit</t>
  </si>
  <si>
    <t>Refundable damage deposit</t>
  </si>
  <si>
    <t>26-121</t>
  </si>
  <si>
    <t>StuCons</t>
  </si>
  <si>
    <t>4 hours, 7 StuCons (if no alcohol)</t>
  </si>
  <si>
    <t>For tickets Staples (500 sheets)</t>
  </si>
  <si>
    <t>26-122</t>
  </si>
  <si>
    <t xml:space="preserve">Comedy Club </t>
  </si>
  <si>
    <t>26-123</t>
  </si>
  <si>
    <t>Wristbands</t>
  </si>
  <si>
    <t>From dollarstore</t>
  </si>
  <si>
    <t>26-124</t>
  </si>
  <si>
    <t>26-125</t>
  </si>
  <si>
    <t xml:space="preserve">DJ </t>
  </si>
  <si>
    <t>26-126</t>
  </si>
  <si>
    <t>26-127</t>
  </si>
  <si>
    <t>26-128</t>
  </si>
  <si>
    <t>26-129</t>
  </si>
  <si>
    <t>26-130</t>
  </si>
  <si>
    <t>Karaoke Equipment  Rental</t>
  </si>
  <si>
    <t>26-131</t>
  </si>
  <si>
    <t>Room Booking</t>
  </si>
  <si>
    <t>ILC</t>
  </si>
  <si>
    <t>Total Buddy Program Expenses</t>
  </si>
  <si>
    <t>26-140</t>
  </si>
  <si>
    <t>Grant Hall Rental</t>
  </si>
  <si>
    <t>26-141</t>
  </si>
  <si>
    <t>Reception room rental</t>
  </si>
  <si>
    <t>Red room- ASUS</t>
  </si>
  <si>
    <t>26-142</t>
  </si>
  <si>
    <t>Fruit &amp; Veggie platters</t>
  </si>
  <si>
    <t>metro</t>
  </si>
  <si>
    <t>26-143</t>
  </si>
  <si>
    <t xml:space="preserve">Baked goods platter </t>
  </si>
  <si>
    <t>26-144</t>
  </si>
  <si>
    <t>napkins</t>
  </si>
  <si>
    <t>dollarama (estimate)</t>
  </si>
  <si>
    <t>26-145</t>
  </si>
  <si>
    <t>utensils</t>
  </si>
  <si>
    <t>26-146</t>
  </si>
  <si>
    <t>Coffee and hot chocolate</t>
  </si>
  <si>
    <t>Tea Room (Based on last year's actuals)</t>
  </si>
  <si>
    <t>26-147</t>
  </si>
  <si>
    <t>Invitations and Thank Yous</t>
  </si>
  <si>
    <t xml:space="preserve"> Box of holiday cards</t>
  </si>
  <si>
    <t>26-148</t>
  </si>
  <si>
    <t>postage</t>
  </si>
  <si>
    <t>26-149</t>
  </si>
  <si>
    <t>Journal online Ads</t>
  </si>
  <si>
    <t>26-150</t>
  </si>
  <si>
    <t>Cfrc Ads</t>
  </si>
  <si>
    <t xml:space="preserve">potential for sponsorship </t>
  </si>
  <si>
    <t>26-151</t>
  </si>
  <si>
    <t>church/senior centre programs</t>
  </si>
  <si>
    <t>ask around for free advertising in these areas</t>
  </si>
  <si>
    <t>26-152</t>
  </si>
  <si>
    <t>posters</t>
  </si>
  <si>
    <t>based on Staples Prices</t>
  </si>
  <si>
    <t>26-153</t>
  </si>
  <si>
    <t>Projector &amp; screens</t>
  </si>
  <si>
    <t>potential deal, may be free/less</t>
  </si>
  <si>
    <t>26-154</t>
  </si>
  <si>
    <t>microphones &amp; extra</t>
  </si>
  <si>
    <t>misc.</t>
  </si>
  <si>
    <t>26-155</t>
  </si>
  <si>
    <t>Christmas tree</t>
  </si>
  <si>
    <t>Unless one is available</t>
  </si>
  <si>
    <t>26-156</t>
  </si>
  <si>
    <t>Piano Tuning</t>
  </si>
  <si>
    <t>26-157</t>
  </si>
  <si>
    <t>organist</t>
  </si>
  <si>
    <t>paid by chaplain</t>
  </si>
  <si>
    <t>26-158</t>
  </si>
  <si>
    <t>Total Carol Service Expenses</t>
  </si>
  <si>
    <t xml:space="preserve">DECEMBER 6TH </t>
  </si>
  <si>
    <t>26-160</t>
  </si>
  <si>
    <t>Roses</t>
  </si>
  <si>
    <t>Red or deep violet</t>
  </si>
  <si>
    <t>26-161</t>
  </si>
  <si>
    <t>Ribbon</t>
  </si>
  <si>
    <t>white</t>
  </si>
  <si>
    <t>26-162</t>
  </si>
  <si>
    <t>Safety Pins</t>
  </si>
  <si>
    <t>for ribbons</t>
  </si>
  <si>
    <t>26-163</t>
  </si>
  <si>
    <t>Eng Soc, 5¢/page, no tax</t>
  </si>
  <si>
    <t>26-164</t>
  </si>
  <si>
    <t>A/V Equipment</t>
  </si>
  <si>
    <t>Soundsystem, projection screen</t>
  </si>
  <si>
    <t>26-165</t>
  </si>
  <si>
    <t>Tearoom, w/ cups, cream, sugar</t>
  </si>
  <si>
    <t>26-166</t>
  </si>
  <si>
    <t>Fabric</t>
  </si>
  <si>
    <t>Black, to drape balconies and tables</t>
  </si>
  <si>
    <t>26-167</t>
  </si>
  <si>
    <t>4 platters from Metro</t>
  </si>
  <si>
    <t>26-168</t>
  </si>
  <si>
    <t>K factor</t>
  </si>
  <si>
    <t>because my budget has to exactly equal revenue or bad things happen</t>
  </si>
  <si>
    <t>Total December 6th Expenses</t>
  </si>
  <si>
    <t>26-170</t>
  </si>
  <si>
    <t>26-171</t>
  </si>
  <si>
    <t>Sidewalk Sale Booth</t>
  </si>
  <si>
    <t>Split with Fix N' Clean</t>
  </si>
  <si>
    <t>26-172</t>
  </si>
  <si>
    <t>Audio Equipment</t>
  </si>
  <si>
    <t>Speakers &amp; Mic from the AMS</t>
  </si>
  <si>
    <t>26-173</t>
  </si>
  <si>
    <t>PEC gym</t>
  </si>
  <si>
    <t>Booked as venue for BBQ in case of rain</t>
  </si>
  <si>
    <t>Total Terry Fox Run Expenses</t>
  </si>
  <si>
    <t>26-180</t>
  </si>
  <si>
    <t>Field Rentals</t>
  </si>
  <si>
    <t>provides additional game space</t>
  </si>
  <si>
    <t>26-181</t>
  </si>
  <si>
    <t>Referees</t>
  </si>
  <si>
    <t>protects players</t>
  </si>
  <si>
    <t>26-182</t>
  </si>
  <si>
    <t>First Aid Kit materials</t>
  </si>
  <si>
    <t>injury treatment</t>
  </si>
  <si>
    <t>26-183</t>
  </si>
  <si>
    <t>Mouthguards</t>
  </si>
  <si>
    <t>required for play</t>
  </si>
  <si>
    <t>26-184</t>
  </si>
  <si>
    <t>Sidewalk Sale</t>
  </si>
  <si>
    <t>Promotes the club (no tax)</t>
  </si>
  <si>
    <t>26-185</t>
  </si>
  <si>
    <t>Equipment</t>
  </si>
  <si>
    <t>balls, kicking tees, tackling pads</t>
  </si>
  <si>
    <t>26-186</t>
  </si>
  <si>
    <t>Buses for tournaments</t>
  </si>
  <si>
    <t>for &lt;48 travelers</t>
  </si>
  <si>
    <t>26-187</t>
  </si>
  <si>
    <t>Apparel Purchase</t>
  </si>
  <si>
    <t>Team shirt</t>
  </si>
  <si>
    <t>26-188</t>
  </si>
  <si>
    <t xml:space="preserve">Laundry </t>
  </si>
  <si>
    <t>Clean team jerseys</t>
  </si>
  <si>
    <t>26-189</t>
  </si>
  <si>
    <t>Promotional Material</t>
  </si>
  <si>
    <t>Posters/flyers/stationary</t>
  </si>
  <si>
    <t>26-190</t>
  </si>
  <si>
    <t>Incidentals</t>
  </si>
  <si>
    <t>Total Eng Rugby Expenses</t>
  </si>
  <si>
    <t>26-200</t>
  </si>
  <si>
    <t>Curling Club Deposit</t>
  </si>
  <si>
    <t>4 sheets</t>
  </si>
  <si>
    <t>26-201</t>
  </si>
  <si>
    <t>Bussing</t>
  </si>
  <si>
    <t>Base Fee and Cleaning</t>
  </si>
  <si>
    <t>26-202</t>
  </si>
  <si>
    <t>Stu Cons</t>
  </si>
  <si>
    <t>Assuming no increase in salary</t>
  </si>
  <si>
    <t>26-203</t>
  </si>
  <si>
    <t>Duct Tape</t>
  </si>
  <si>
    <t>Assuming more in storage</t>
  </si>
  <si>
    <t>All Ages</t>
  </si>
  <si>
    <t>26-210</t>
  </si>
  <si>
    <t>26-211</t>
  </si>
  <si>
    <t>26-212</t>
  </si>
  <si>
    <t>Decorations</t>
  </si>
  <si>
    <t>26-213</t>
  </si>
  <si>
    <t>Clark Hall</t>
  </si>
  <si>
    <t>In case drink target not met</t>
  </si>
  <si>
    <t>26-214</t>
  </si>
  <si>
    <t>TVs/Game consoles/Games</t>
  </si>
  <si>
    <t>Anyone who volunteers will get free admission and 1 free drink</t>
  </si>
  <si>
    <t>26-215</t>
  </si>
  <si>
    <t>Prizes for winners of tournaments</t>
  </si>
  <si>
    <t>26-216</t>
  </si>
  <si>
    <t>Assuming we'll meet drink targets</t>
  </si>
  <si>
    <t>26-217</t>
  </si>
  <si>
    <t>Trivia</t>
  </si>
  <si>
    <t>26-218</t>
  </si>
  <si>
    <t>Food Colouring</t>
  </si>
  <si>
    <t>Purple Turbo</t>
  </si>
  <si>
    <t>26-219</t>
  </si>
  <si>
    <t>26-220</t>
  </si>
  <si>
    <t>26-221</t>
  </si>
  <si>
    <t>Pencils</t>
  </si>
  <si>
    <t>26-222</t>
  </si>
  <si>
    <t>T-Shirts</t>
  </si>
  <si>
    <t>ThunderSledz</t>
  </si>
  <si>
    <t>26-223</t>
  </si>
  <si>
    <t>Canadian Tire</t>
  </si>
  <si>
    <t>26-224</t>
  </si>
  <si>
    <t>Garbage Removal</t>
  </si>
  <si>
    <t>26-225</t>
  </si>
  <si>
    <t>Rope</t>
  </si>
  <si>
    <t>26-226</t>
  </si>
  <si>
    <t>26-227</t>
  </si>
  <si>
    <t>26-228</t>
  </si>
  <si>
    <t>Extra Costs If No Snow Present</t>
  </si>
  <si>
    <t>Marketing</t>
  </si>
  <si>
    <t>26-229</t>
  </si>
  <si>
    <t>EngWeek Sweaters</t>
  </si>
  <si>
    <t>26-230</t>
  </si>
  <si>
    <t>Posters 8.5x11</t>
  </si>
  <si>
    <t>Engsoc - Colour Printing</t>
  </si>
  <si>
    <t>26-231</t>
  </si>
  <si>
    <t>Posters 11x17</t>
  </si>
  <si>
    <t>26-232</t>
  </si>
  <si>
    <t>Tent Cards</t>
  </si>
  <si>
    <t>Staples - Box of 100</t>
  </si>
  <si>
    <t>26-233</t>
  </si>
  <si>
    <t xml:space="preserve">Tickets </t>
  </si>
  <si>
    <t>Total Eng Week Expenses</t>
  </si>
  <si>
    <t xml:space="preserve">Santa Claus Parade </t>
  </si>
  <si>
    <t>26-240</t>
  </si>
  <si>
    <t>Entrance fee</t>
  </si>
  <si>
    <t>26-241</t>
  </si>
  <si>
    <t>Flatbed rental</t>
  </si>
  <si>
    <t>Sided with flatbed</t>
  </si>
  <si>
    <t>26-242</t>
  </si>
  <si>
    <t>Truck Driver</t>
  </si>
  <si>
    <t>Previously volunteered</t>
  </si>
  <si>
    <t>26-243</t>
  </si>
  <si>
    <t>Generator</t>
  </si>
  <si>
    <t>Previously donated</t>
  </si>
  <si>
    <t>26-244</t>
  </si>
  <si>
    <t>Gasoline</t>
  </si>
  <si>
    <t>26-245</t>
  </si>
  <si>
    <t>Materials</t>
  </si>
  <si>
    <t>Some are donated/re-used</t>
  </si>
  <si>
    <t>Snowfort Building Contest</t>
  </si>
  <si>
    <t>*weather permitting*</t>
  </si>
  <si>
    <t>26-250</t>
  </si>
  <si>
    <t xml:space="preserve"> Previously been donated by Rona</t>
  </si>
  <si>
    <t>26-251</t>
  </si>
  <si>
    <t>Scaffolding</t>
  </si>
  <si>
    <t>United Rentals donation</t>
  </si>
  <si>
    <t>Class Visits</t>
  </si>
  <si>
    <t>26-252</t>
  </si>
  <si>
    <t>For the activities</t>
  </si>
  <si>
    <t>26-253</t>
  </si>
  <si>
    <t>Chalk Math</t>
  </si>
  <si>
    <t>26-254</t>
  </si>
  <si>
    <t>Chalk</t>
  </si>
  <si>
    <t>In packs</t>
  </si>
  <si>
    <t>26-255</t>
  </si>
  <si>
    <t>Queen's covers (per hour)</t>
  </si>
  <si>
    <t>Total External Relations Committee Expenses</t>
  </si>
  <si>
    <t>26-260</t>
  </si>
  <si>
    <t>Ball Rental</t>
  </si>
  <si>
    <t>26-261</t>
  </si>
  <si>
    <t>26-262</t>
  </si>
  <si>
    <t>Tape, Whistles, Etc.</t>
  </si>
  <si>
    <t>26-263</t>
  </si>
  <si>
    <t>PEC Rental</t>
  </si>
  <si>
    <t>26-264</t>
  </si>
  <si>
    <t>26-265</t>
  </si>
  <si>
    <t>26-266</t>
  </si>
  <si>
    <t>Bus Rental</t>
  </si>
  <si>
    <t>26-267</t>
  </si>
  <si>
    <t>Admission Cost</t>
  </si>
  <si>
    <t>26-268</t>
  </si>
  <si>
    <t xml:space="preserve">Prizes </t>
  </si>
  <si>
    <t>First Place</t>
  </si>
  <si>
    <t>26-269</t>
  </si>
  <si>
    <t>Runner Ups</t>
  </si>
  <si>
    <t>26-270</t>
  </si>
  <si>
    <t>26-271</t>
  </si>
  <si>
    <t>26-272</t>
  </si>
  <si>
    <t>Total Fungineering Expenses</t>
  </si>
  <si>
    <t xml:space="preserve">Fall Event </t>
  </si>
  <si>
    <t>Cleaning supplies</t>
  </si>
  <si>
    <t>Adding to existing supplies in ILC locker if neccesary</t>
  </si>
  <si>
    <t xml:space="preserve">Fill up Rental </t>
  </si>
  <si>
    <t>Printing of posters, sidewalk sale, etc.</t>
  </si>
  <si>
    <t>26-273</t>
  </si>
  <si>
    <t>Sponsor Appreciation</t>
  </si>
  <si>
    <t xml:space="preserve">thank you cards and postage </t>
  </si>
  <si>
    <t>26-274</t>
  </si>
  <si>
    <t xml:space="preserve">Tea &amp; Coffee </t>
  </si>
  <si>
    <t xml:space="preserve">tims hopefuly, maybe starbucks </t>
  </si>
  <si>
    <t>26-275</t>
  </si>
  <si>
    <t xml:space="preserve">pack of 50, 2 per day </t>
  </si>
  <si>
    <t>26-276</t>
  </si>
  <si>
    <t xml:space="preserve">Lunch for volunteers </t>
  </si>
  <si>
    <t xml:space="preserve">pizza, barbeque, healthy options? Research based on sponsors. </t>
  </si>
  <si>
    <t>26-277</t>
  </si>
  <si>
    <t>Snacks to Take With Them</t>
  </si>
  <si>
    <t>26-278</t>
  </si>
  <si>
    <t xml:space="preserve">T-Shirts </t>
  </si>
  <si>
    <t xml:space="preserve">Book Store (they sponsored last year) </t>
  </si>
  <si>
    <t>26-279</t>
  </si>
  <si>
    <t>Failed Sponsorship</t>
  </si>
  <si>
    <t xml:space="preserve"> (accounting for if sponsorship fails)</t>
  </si>
  <si>
    <t>26-280</t>
  </si>
  <si>
    <t xml:space="preserve">Vehicle rental </t>
  </si>
  <si>
    <t>dixon car rental (wekeend)</t>
  </si>
  <si>
    <t xml:space="preserve">Spring Event </t>
  </si>
  <si>
    <t>26-281</t>
  </si>
  <si>
    <t>26-282</t>
  </si>
  <si>
    <t>Payback for volunteers</t>
  </si>
  <si>
    <t>26-283</t>
  </si>
  <si>
    <t>Printing of posters, whig standard, etc.</t>
  </si>
  <si>
    <t>26-284</t>
  </si>
  <si>
    <t>26-285</t>
  </si>
  <si>
    <t>26-286</t>
  </si>
  <si>
    <t>26-287</t>
  </si>
  <si>
    <t>26-288</t>
  </si>
  <si>
    <t>26-289</t>
  </si>
  <si>
    <t>26-290</t>
  </si>
  <si>
    <t xml:space="preserve">(accounting for if sponsorship fails) </t>
  </si>
  <si>
    <t>26-291</t>
  </si>
  <si>
    <t>Year Round</t>
  </si>
  <si>
    <t>26-292</t>
  </si>
  <si>
    <t xml:space="preserve">Gas </t>
  </si>
  <si>
    <t>26-293</t>
  </si>
  <si>
    <t>26-294</t>
  </si>
  <si>
    <t>26-295</t>
  </si>
  <si>
    <t>Tea/Coffee</t>
  </si>
  <si>
    <t>26-296</t>
  </si>
  <si>
    <t xml:space="preserve">Sponsor Appreciation </t>
  </si>
  <si>
    <t>26-297</t>
  </si>
  <si>
    <t xml:space="preserve">Advertising </t>
  </si>
  <si>
    <t>26-298</t>
  </si>
  <si>
    <t>26-299</t>
  </si>
  <si>
    <t xml:space="preserve">Rental Vehicle </t>
  </si>
  <si>
    <t>rental car (midsized) dixon car rental</t>
  </si>
  <si>
    <t>Total Fix n Clean Expenses</t>
  </si>
  <si>
    <t>26-300</t>
  </si>
  <si>
    <t>Hats</t>
  </si>
  <si>
    <t>26-301</t>
  </si>
  <si>
    <t>Shirts</t>
  </si>
  <si>
    <t>(40 each of S, M, L sizes)</t>
  </si>
  <si>
    <t>26-302</t>
  </si>
  <si>
    <t>Raffle Prize</t>
  </si>
  <si>
    <t>LASER TAG and some Pizza</t>
  </si>
  <si>
    <t>26-303</t>
  </si>
  <si>
    <t>Jacket Bars for Raffle</t>
  </si>
  <si>
    <t>26-304</t>
  </si>
  <si>
    <t>Cooked Hamburger Patties</t>
  </si>
  <si>
    <t>Purchased @ Giant Tiger (packs of 14)</t>
  </si>
  <si>
    <t>26-305</t>
  </si>
  <si>
    <t>packs of 12</t>
  </si>
  <si>
    <t>26-306</t>
  </si>
  <si>
    <t>Condiments</t>
  </si>
  <si>
    <t>26-307</t>
  </si>
  <si>
    <t>26-308</t>
  </si>
  <si>
    <t>Propane</t>
  </si>
  <si>
    <t>Expense if we run out</t>
  </si>
  <si>
    <t>Advertisements</t>
  </si>
  <si>
    <t>26-309</t>
  </si>
  <si>
    <t>Print @ Dunning Hall</t>
  </si>
  <si>
    <t>26-310</t>
  </si>
  <si>
    <t>26-311</t>
  </si>
  <si>
    <t>Order from Bookstore</t>
  </si>
  <si>
    <t>26-312</t>
  </si>
  <si>
    <t>Posterboard</t>
  </si>
  <si>
    <t>Bristol board + other props</t>
  </si>
  <si>
    <t>26-313</t>
  </si>
  <si>
    <t>Photo booth background</t>
  </si>
  <si>
    <t>26-314</t>
  </si>
  <si>
    <t>Sidewalk Sale Registration</t>
  </si>
  <si>
    <t>26-315</t>
  </si>
  <si>
    <t>Sidewalk Sale Damage Deposit</t>
  </si>
  <si>
    <t>This will be returned</t>
  </si>
  <si>
    <t>Total Movember Expenses</t>
  </si>
  <si>
    <t>26-320</t>
  </si>
  <si>
    <t xml:space="preserve">Instructor </t>
  </si>
  <si>
    <t>Instructor Booking</t>
  </si>
  <si>
    <t>26-321</t>
  </si>
  <si>
    <t xml:space="preserve">ILC Classroom </t>
  </si>
  <si>
    <t xml:space="preserve">Music Jam Session (in collab with Fungineering) </t>
  </si>
  <si>
    <t>26-322</t>
  </si>
  <si>
    <t>Tea Room Booking</t>
  </si>
  <si>
    <t>26-323</t>
  </si>
  <si>
    <t xml:space="preserve">iPads for lyrics (can use mine) </t>
  </si>
  <si>
    <t>Viral Video Stream</t>
  </si>
  <si>
    <t>26-324</t>
  </si>
  <si>
    <t xml:space="preserve">Laptop - can use mine </t>
  </si>
  <si>
    <t>26-325</t>
  </si>
  <si>
    <t xml:space="preserve">Equipment </t>
  </si>
  <si>
    <t xml:space="preserve">Projector  - borrowed </t>
  </si>
  <si>
    <t>26-326</t>
  </si>
  <si>
    <t>Screen - can use a white sheet</t>
  </si>
  <si>
    <t>26-327</t>
  </si>
  <si>
    <t>ILC Room Booking</t>
  </si>
  <si>
    <t>26-328</t>
  </si>
  <si>
    <t>26-329</t>
  </si>
  <si>
    <t>Sandwiches</t>
  </si>
  <si>
    <t>Total Mental Health Expenses</t>
  </si>
  <si>
    <t>ITS Jack Installation</t>
  </si>
  <si>
    <t>TV/ILC Lounge</t>
  </si>
  <si>
    <t>Dell E2414H</t>
  </si>
  <si>
    <t>Podium Kiosk</t>
  </si>
  <si>
    <t>Podium Kiosk-1 Stand and Head Mount - ILC Lounge</t>
  </si>
  <si>
    <t>Power Bars</t>
  </si>
  <si>
    <t>3 for lounge + computers</t>
  </si>
  <si>
    <t>Cabling for Podium Kiosk</t>
  </si>
  <si>
    <t>PPS/ITS work rate</t>
  </si>
  <si>
    <t>21-073</t>
  </si>
  <si>
    <t>Civic</t>
  </si>
  <si>
    <t>SOFTWARE REIMBURSEMENT</t>
  </si>
  <si>
    <t>Google Play Store Activation</t>
  </si>
  <si>
    <t>Faculty reimbursement for app hosting</t>
  </si>
  <si>
    <t>Total Software Reimbursement Revenue</t>
  </si>
  <si>
    <t>Pizza/Food</t>
  </si>
  <si>
    <t xml:space="preserve">Faculty-Requested App Hosting </t>
  </si>
  <si>
    <t>21-063</t>
  </si>
  <si>
    <t>Replacement Lounge Computer</t>
  </si>
  <si>
    <t>Dell Optiplex 3020M</t>
  </si>
  <si>
    <t>WEB TRAINING</t>
  </si>
  <si>
    <t>Food for training sessions (2) - ~20 people @ $4</t>
  </si>
  <si>
    <t>Total Web Training Expenses</t>
  </si>
  <si>
    <t>15-017</t>
  </si>
  <si>
    <t>Identification</t>
  </si>
  <si>
    <t>property of, date purchased,ect.. Stickers and Patches</t>
  </si>
  <si>
    <t>15-018</t>
  </si>
  <si>
    <t>Queens Engsoc Flag</t>
  </si>
  <si>
    <t>Flags for Competitions</t>
  </si>
  <si>
    <t>Food, drinks, refreshments,</t>
  </si>
  <si>
    <t>consumable materials i.e. nails, sandpaper, tool replacement…</t>
  </si>
  <si>
    <t>food, drink, meeting materials.</t>
  </si>
  <si>
    <t>Award Plaque</t>
  </si>
  <si>
    <t>to display all awards on one display</t>
  </si>
  <si>
    <t>24-045</t>
  </si>
  <si>
    <t>policy documents (40 a council at 4 pages each)</t>
  </si>
  <si>
    <t>for agendas (40 a council at 10 pages each)</t>
  </si>
  <si>
    <t>iCon Supplies</t>
  </si>
  <si>
    <t>Blackberry Charger</t>
  </si>
  <si>
    <t>Iphone Charger</t>
  </si>
  <si>
    <t>FYPCO Conference fund</t>
  </si>
  <si>
    <t>Fall 2 Participant Cost</t>
  </si>
  <si>
    <t xml:space="preserve">CAREER EVENTS </t>
  </si>
  <si>
    <t>$50/session</t>
  </si>
  <si>
    <t>Career Tip Booklets</t>
  </si>
  <si>
    <t>FYPCO project</t>
  </si>
  <si>
    <t>Printouts</t>
  </si>
  <si>
    <t>Printouts for workshops/lounge</t>
  </si>
  <si>
    <t>Fall Tea Room Catering</t>
  </si>
  <si>
    <t>16-054</t>
  </si>
  <si>
    <t>16-055</t>
  </si>
  <si>
    <t>Winter 1 Tea Room Catering</t>
  </si>
  <si>
    <t>16-056</t>
  </si>
  <si>
    <t>16-057</t>
  </si>
  <si>
    <t>16-058</t>
  </si>
  <si>
    <t>Winter 2 Tea Room Catering</t>
  </si>
  <si>
    <t>16-059</t>
  </si>
  <si>
    <t>Winter 3 Tea Room Catering</t>
  </si>
  <si>
    <t>Event Attire</t>
  </si>
  <si>
    <t>Homecoming Meet &amp; Greet</t>
  </si>
  <si>
    <t>Booth &amp; Materials</t>
  </si>
  <si>
    <t>25-021</t>
  </si>
  <si>
    <t>ERB Business Cards</t>
  </si>
  <si>
    <t>18-050</t>
  </si>
  <si>
    <t>Money for FYPCOs to attend one conference</t>
  </si>
  <si>
    <t>Instalation Cost</t>
  </si>
  <si>
    <t>PPS - per hour of labour</t>
  </si>
  <si>
    <t>Dell Optiplex 9020</t>
  </si>
  <si>
    <t>21-014</t>
  </si>
  <si>
    <t>21-015</t>
  </si>
  <si>
    <t>Old Computers</t>
  </si>
  <si>
    <t>Old Lounge Computers</t>
  </si>
  <si>
    <t>Replacement Lounge Computer - Comm</t>
  </si>
  <si>
    <t>19-011</t>
  </si>
  <si>
    <t>Shipping Costs</t>
  </si>
  <si>
    <t xml:space="preserve">Table for Lounge </t>
  </si>
  <si>
    <t>00-381</t>
  </si>
  <si>
    <t>00-382</t>
  </si>
  <si>
    <t>00-383</t>
  </si>
  <si>
    <t>00-430</t>
  </si>
  <si>
    <t>Colour printing</t>
  </si>
  <si>
    <t>Appreciation Expenses</t>
  </si>
  <si>
    <t>John OrrExpenses</t>
  </si>
  <si>
    <t>16-023</t>
  </si>
  <si>
    <t>16-024</t>
  </si>
  <si>
    <t>16-070</t>
  </si>
  <si>
    <t>16-071</t>
  </si>
  <si>
    <t>16-072</t>
  </si>
  <si>
    <t>16-073</t>
  </si>
  <si>
    <t>16-074</t>
  </si>
  <si>
    <t>16-080</t>
  </si>
  <si>
    <t>16-081</t>
  </si>
  <si>
    <t>Internal Conferences Expenses</t>
  </si>
  <si>
    <t>External Conferences Expenses</t>
  </si>
  <si>
    <t>Additional Fees Expenses</t>
  </si>
  <si>
    <t>17-050</t>
  </si>
  <si>
    <t>External Conference Travel Fees Expenses</t>
  </si>
  <si>
    <t>18-020</t>
  </si>
  <si>
    <t>Total Frosh Group Games Night Expenses</t>
  </si>
  <si>
    <t>First Year Conference</t>
  </si>
  <si>
    <t>18-030</t>
  </si>
  <si>
    <t>18-032</t>
  </si>
  <si>
    <t>18-033</t>
  </si>
  <si>
    <t xml:space="preserve">18-040 </t>
  </si>
  <si>
    <t>18-044</t>
  </si>
  <si>
    <t>18-045</t>
  </si>
  <si>
    <t>18-046</t>
  </si>
  <si>
    <t>18-047</t>
  </si>
  <si>
    <t>18-051</t>
  </si>
  <si>
    <t>18-052</t>
  </si>
  <si>
    <t>18-060</t>
  </si>
  <si>
    <t>18-061</t>
  </si>
  <si>
    <t>18-062</t>
  </si>
  <si>
    <t>18-063</t>
  </si>
  <si>
    <t>18-070</t>
  </si>
  <si>
    <t>19-020</t>
  </si>
  <si>
    <t>19-021</t>
  </si>
  <si>
    <t>19-022</t>
  </si>
  <si>
    <t>Service Night Expenses</t>
  </si>
  <si>
    <t>Manager Appreciation Fall Expenses</t>
  </si>
  <si>
    <t>Manager Appreciation Winter Expenses</t>
  </si>
  <si>
    <t>Manager and Staff Advertisement Expenses</t>
  </si>
  <si>
    <t>Manager Training Expenses</t>
  </si>
  <si>
    <t>20-060</t>
  </si>
  <si>
    <t>20-061</t>
  </si>
  <si>
    <t>21-033</t>
  </si>
  <si>
    <t>21-034</t>
  </si>
  <si>
    <t>21-042</t>
  </si>
  <si>
    <t>21-072</t>
  </si>
  <si>
    <t>21-080</t>
  </si>
  <si>
    <t>21-081</t>
  </si>
  <si>
    <t>21-082</t>
  </si>
  <si>
    <t>21-083</t>
  </si>
  <si>
    <t>21-084</t>
  </si>
  <si>
    <t>21-085</t>
  </si>
  <si>
    <t>21-086</t>
  </si>
  <si>
    <t>21-087</t>
  </si>
  <si>
    <t>21-090</t>
  </si>
  <si>
    <t>23-010</t>
  </si>
  <si>
    <t>24-010</t>
  </si>
  <si>
    <t>24-046</t>
  </si>
  <si>
    <t>24-047</t>
  </si>
  <si>
    <t>24-048</t>
  </si>
  <si>
    <t>24-060</t>
  </si>
  <si>
    <t>24-061</t>
  </si>
  <si>
    <t>24-062</t>
  </si>
  <si>
    <t>24-063</t>
  </si>
  <si>
    <t>24-064</t>
  </si>
  <si>
    <t>24-065</t>
  </si>
  <si>
    <t>Involvement Fairs (Fall and Winter) Expenses</t>
  </si>
  <si>
    <t>Involvement Fairs (Fall and Winter)</t>
  </si>
  <si>
    <t>Staff Chats and Hiring Expenses</t>
  </si>
  <si>
    <t>Town Hall Expenses</t>
  </si>
  <si>
    <t>26-174</t>
  </si>
  <si>
    <t>For Barbeque</t>
  </si>
  <si>
    <t>ED Meet n Greet</t>
  </si>
  <si>
    <t>Unidentified Revenue</t>
  </si>
  <si>
    <t>Unidentified Deposits</t>
  </si>
  <si>
    <t>Jacket Bar Revenue</t>
  </si>
  <si>
    <t>Fall</t>
  </si>
  <si>
    <t>winter</t>
  </si>
  <si>
    <t>Colour Printing</t>
  </si>
  <si>
    <t>Black and White Printing</t>
  </si>
  <si>
    <t>Christmas Wreath</t>
  </si>
  <si>
    <t>Unplanned</t>
  </si>
  <si>
    <t>Unknown</t>
  </si>
  <si>
    <t>Games for Lounge</t>
  </si>
  <si>
    <t>Unbudgeted</t>
  </si>
  <si>
    <t>WiiU for Lounge</t>
  </si>
  <si>
    <t>Photoshop License?</t>
  </si>
  <si>
    <t>FYPCO Bars</t>
  </si>
  <si>
    <t>Booklet Bindings</t>
  </si>
  <si>
    <t>Cash Box Signout</t>
  </si>
  <si>
    <t>Hiring Night Expenses</t>
  </si>
  <si>
    <t>In Atrium, no Clark</t>
  </si>
  <si>
    <t>Safety Vests for Slam</t>
  </si>
  <si>
    <t>Harddrive</t>
  </si>
  <si>
    <t>EngSoc Website Template</t>
  </si>
  <si>
    <t>VGA Cable and Splitter</t>
  </si>
  <si>
    <t>Elections Meet and greet</t>
  </si>
  <si>
    <t>Elections Team Dinner</t>
  </si>
  <si>
    <t>Sharpies</t>
  </si>
  <si>
    <t>Empty Pitcher</t>
  </si>
  <si>
    <t>Buttons</t>
  </si>
  <si>
    <t>Spring Bar order</t>
  </si>
  <si>
    <t>Fall Bar order</t>
  </si>
  <si>
    <t>ATM Revenue</t>
  </si>
  <si>
    <t>From ATM in Clark</t>
  </si>
  <si>
    <t>PRE 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</si>
</sst>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  <numFmt numFmtId="166" formatCode="&quot;$&quot;#,##0.000"/>
    <numFmt numFmtId="167" formatCode="0.000%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2"/>
      <name val="Segoe UI"/>
      <family val="2"/>
    </font>
    <font>
      <b/>
      <sz val="26"/>
      <color rgb="FF7030A0"/>
      <name val="Segoe UI"/>
      <family val="2"/>
    </font>
    <font>
      <b/>
      <sz val="12"/>
      <name val="Segoe UI"/>
      <family val="2"/>
    </font>
    <font>
      <b/>
      <sz val="12"/>
      <color theme="0"/>
      <name val="Segoe UI"/>
      <family val="2"/>
    </font>
    <font>
      <sz val="12"/>
      <color rgb="FF000000"/>
      <name val="Segoe UI"/>
      <family val="2"/>
    </font>
    <font>
      <sz val="10"/>
      <name val="Segoe UI"/>
      <family val="2"/>
    </font>
    <font>
      <b/>
      <sz val="13"/>
      <name val="Segoe UI"/>
      <family val="2"/>
    </font>
    <font>
      <i/>
      <sz val="12"/>
      <name val="Segoe UI"/>
      <family val="2"/>
    </font>
    <font>
      <sz val="13"/>
      <name val="Segoe UI"/>
      <family val="2"/>
    </font>
    <font>
      <b/>
      <sz val="14"/>
      <name val="Segoe UI"/>
      <family val="2"/>
    </font>
    <font>
      <sz val="14"/>
      <name val="Segoe UI"/>
      <family val="2"/>
    </font>
    <font>
      <b/>
      <sz val="26"/>
      <color rgb="FF660099"/>
      <name val="Segoe UI Light"/>
      <family val="2"/>
    </font>
    <font>
      <b/>
      <sz val="26"/>
      <color rgb="FF7030A0"/>
      <name val="Segoe UI Light"/>
      <family val="2"/>
    </font>
    <font>
      <b/>
      <i/>
      <sz val="12"/>
      <name val="Segoe UI"/>
      <family val="2"/>
    </font>
    <font>
      <sz val="12"/>
      <color theme="0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sz val="11"/>
      <name val="Segoe UI"/>
      <family val="2"/>
    </font>
    <font>
      <i/>
      <sz val="11"/>
      <name val="Segoe U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rgb="FF000000"/>
      <name val="Calibri"/>
      <family val="2"/>
    </font>
    <font>
      <b/>
      <sz val="9"/>
      <color indexed="81"/>
      <name val="Arial"/>
      <family val="2"/>
    </font>
    <font>
      <sz val="9"/>
      <color indexed="81"/>
      <name val="Arial"/>
      <family val="2"/>
    </font>
    <font>
      <sz val="26"/>
      <color rgb="FF7030A0"/>
      <name val="Segoe UI"/>
      <family val="2"/>
    </font>
    <font>
      <sz val="12"/>
      <color rgb="FF000000"/>
      <name val="Calibri"/>
      <family val="2"/>
    </font>
    <font>
      <sz val="12"/>
      <name val="Arial"/>
      <family val="2"/>
    </font>
    <font>
      <sz val="12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0099"/>
        <bgColor indexed="64"/>
      </patternFill>
    </fill>
    <fill>
      <patternFill patternType="solid">
        <fgColor rgb="FFFECB00"/>
        <bgColor indexed="64"/>
      </patternFill>
    </fill>
    <fill>
      <patternFill patternType="solid">
        <fgColor rgb="FFFECB00"/>
        <bgColor rgb="FF000000"/>
      </patternFill>
    </fill>
    <fill>
      <patternFill patternType="solid">
        <fgColor rgb="FF6600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2">
    <xf numFmtId="0" fontId="0" fillId="0" borderId="0"/>
    <xf numFmtId="44" fontId="5" fillId="0" borderId="0" applyFont="0" applyFill="0" applyBorder="0" applyAlignment="0" applyProtection="0"/>
    <xf numFmtId="0" fontId="4" fillId="0" borderId="0"/>
    <xf numFmtId="0" fontId="6" fillId="0" borderId="0"/>
    <xf numFmtId="0" fontId="5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596">
    <xf numFmtId="0" fontId="0" fillId="0" borderId="0" xfId="0"/>
    <xf numFmtId="3" fontId="7" fillId="5" borderId="0" xfId="0" applyNumberFormat="1" applyFont="1" applyFill="1" applyBorder="1"/>
    <xf numFmtId="49" fontId="7" fillId="2" borderId="0" xfId="0" applyNumberFormat="1" applyFont="1" applyFill="1" applyBorder="1"/>
    <xf numFmtId="49" fontId="8" fillId="2" borderId="2" xfId="0" applyNumberFormat="1" applyFont="1" applyFill="1" applyBorder="1" applyAlignment="1">
      <alignment vertical="center"/>
    </xf>
    <xf numFmtId="49" fontId="8" fillId="2" borderId="4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49" fontId="8" fillId="2" borderId="7" xfId="0" applyNumberFormat="1" applyFont="1" applyFill="1" applyBorder="1" applyAlignment="1">
      <alignment vertical="center"/>
    </xf>
    <xf numFmtId="49" fontId="9" fillId="2" borderId="0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/>
    </xf>
    <xf numFmtId="165" fontId="9" fillId="4" borderId="3" xfId="0" applyNumberFormat="1" applyFont="1" applyFill="1" applyBorder="1" applyAlignment="1">
      <alignment horizontal="center"/>
    </xf>
    <xf numFmtId="165" fontId="9" fillId="7" borderId="7" xfId="0" applyNumberFormat="1" applyFont="1" applyFill="1" applyBorder="1" applyAlignment="1">
      <alignment horizontal="center"/>
    </xf>
    <xf numFmtId="165" fontId="9" fillId="7" borderId="8" xfId="0" applyNumberFormat="1" applyFont="1" applyFill="1" applyBorder="1" applyAlignment="1">
      <alignment horizontal="center"/>
    </xf>
    <xf numFmtId="0" fontId="9" fillId="2" borderId="4" xfId="0" applyFont="1" applyFill="1" applyBorder="1"/>
    <xf numFmtId="0" fontId="7" fillId="2" borderId="0" xfId="0" applyFont="1" applyFill="1" applyBorder="1"/>
    <xf numFmtId="165" fontId="7" fillId="2" borderId="0" xfId="0" applyNumberFormat="1" applyFont="1" applyFill="1" applyBorder="1"/>
    <xf numFmtId="165" fontId="7" fillId="2" borderId="5" xfId="0" applyNumberFormat="1" applyFont="1" applyFill="1" applyBorder="1"/>
    <xf numFmtId="0" fontId="7" fillId="5" borderId="0" xfId="0" applyFont="1" applyFill="1" applyBorder="1"/>
    <xf numFmtId="0" fontId="7" fillId="2" borderId="4" xfId="0" applyFont="1" applyFill="1" applyBorder="1"/>
    <xf numFmtId="3" fontId="7" fillId="2" borderId="0" xfId="0" applyNumberFormat="1" applyFont="1" applyFill="1" applyBorder="1"/>
    <xf numFmtId="4" fontId="7" fillId="2" borderId="0" xfId="0" applyNumberFormat="1" applyFont="1" applyFill="1" applyBorder="1"/>
    <xf numFmtId="0" fontId="12" fillId="0" borderId="0" xfId="0" applyFont="1"/>
    <xf numFmtId="0" fontId="9" fillId="2" borderId="9" xfId="0" applyFont="1" applyFill="1" applyBorder="1"/>
    <xf numFmtId="9" fontId="9" fillId="2" borderId="0" xfId="0" applyNumberFormat="1" applyFont="1" applyFill="1" applyBorder="1"/>
    <xf numFmtId="0" fontId="9" fillId="2" borderId="0" xfId="0" applyFont="1" applyFill="1" applyBorder="1"/>
    <xf numFmtId="4" fontId="9" fillId="2" borderId="0" xfId="0" applyNumberFormat="1" applyFont="1" applyFill="1" applyBorder="1"/>
    <xf numFmtId="9" fontId="7" fillId="2" borderId="0" xfId="0" applyNumberFormat="1" applyFont="1" applyFill="1" applyBorder="1"/>
    <xf numFmtId="0" fontId="13" fillId="2" borderId="4" xfId="0" applyFont="1" applyFill="1" applyBorder="1"/>
    <xf numFmtId="0" fontId="13" fillId="2" borderId="0" xfId="0" applyFont="1" applyFill="1" applyBorder="1"/>
    <xf numFmtId="3" fontId="13" fillId="2" borderId="0" xfId="0" applyNumberFormat="1" applyFont="1" applyFill="1" applyBorder="1"/>
    <xf numFmtId="9" fontId="13" fillId="2" borderId="0" xfId="0" applyNumberFormat="1" applyFont="1" applyFill="1" applyBorder="1"/>
    <xf numFmtId="4" fontId="13" fillId="2" borderId="0" xfId="0" applyNumberFormat="1" applyFont="1" applyFill="1" applyBorder="1"/>
    <xf numFmtId="165" fontId="9" fillId="8" borderId="7" xfId="0" applyNumberFormat="1" applyFont="1" applyFill="1" applyBorder="1" applyAlignment="1">
      <alignment horizontal="center"/>
    </xf>
    <xf numFmtId="165" fontId="9" fillId="8" borderId="8" xfId="0" applyNumberFormat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4" fillId="2" borderId="4" xfId="0" applyFont="1" applyFill="1" applyBorder="1"/>
    <xf numFmtId="0" fontId="15" fillId="2" borderId="4" xfId="0" applyFont="1" applyFill="1" applyBorder="1"/>
    <xf numFmtId="3" fontId="15" fillId="2" borderId="0" xfId="0" applyNumberFormat="1" applyFont="1" applyFill="1" applyBorder="1"/>
    <xf numFmtId="9" fontId="15" fillId="2" borderId="0" xfId="0" applyNumberFormat="1" applyFont="1" applyFill="1" applyBorder="1"/>
    <xf numFmtId="4" fontId="15" fillId="2" borderId="0" xfId="0" applyNumberFormat="1" applyFont="1" applyFill="1" applyBorder="1"/>
    <xf numFmtId="0" fontId="15" fillId="2" borderId="0" xfId="0" applyFont="1" applyFill="1" applyBorder="1"/>
    <xf numFmtId="165" fontId="16" fillId="7" borderId="7" xfId="0" applyNumberFormat="1" applyFont="1" applyFill="1" applyBorder="1" applyAlignment="1">
      <alignment horizontal="center"/>
    </xf>
    <xf numFmtId="165" fontId="16" fillId="7" borderId="8" xfId="0" applyNumberFormat="1" applyFont="1" applyFill="1" applyBorder="1" applyAlignment="1">
      <alignment horizontal="center"/>
    </xf>
    <xf numFmtId="0" fontId="17" fillId="0" borderId="4" xfId="0" applyFont="1" applyFill="1" applyBorder="1"/>
    <xf numFmtId="0" fontId="16" fillId="5" borderId="0" xfId="0" applyFont="1" applyFill="1" applyBorder="1"/>
    <xf numFmtId="0" fontId="17" fillId="2" borderId="0" xfId="0" applyFont="1" applyFill="1" applyBorder="1"/>
    <xf numFmtId="0" fontId="17" fillId="2" borderId="4" xfId="0" applyFont="1" applyFill="1" applyBorder="1"/>
    <xf numFmtId="0" fontId="16" fillId="2" borderId="0" xfId="0" applyFont="1" applyFill="1" applyBorder="1"/>
    <xf numFmtId="0" fontId="17" fillId="0" borderId="6" xfId="0" applyFont="1" applyFill="1" applyBorder="1"/>
    <xf numFmtId="0" fontId="16" fillId="5" borderId="7" xfId="0" applyFont="1" applyFill="1" applyBorder="1"/>
    <xf numFmtId="0" fontId="7" fillId="2" borderId="0" xfId="0" applyFont="1" applyFill="1"/>
    <xf numFmtId="0" fontId="9" fillId="2" borderId="0" xfId="0" applyFont="1" applyFill="1"/>
    <xf numFmtId="165" fontId="7" fillId="2" borderId="0" xfId="0" applyNumberFormat="1" applyFont="1" applyFill="1"/>
    <xf numFmtId="49" fontId="10" fillId="6" borderId="12" xfId="0" applyNumberFormat="1" applyFont="1" applyFill="1" applyBorder="1" applyAlignment="1">
      <alignment horizontal="center"/>
    </xf>
    <xf numFmtId="49" fontId="10" fillId="9" borderId="12" xfId="0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/>
    </xf>
    <xf numFmtId="49" fontId="10" fillId="9" borderId="6" xfId="0" applyNumberFormat="1" applyFont="1" applyFill="1" applyBorder="1" applyAlignment="1"/>
    <xf numFmtId="49" fontId="10" fillId="6" borderId="9" xfId="0" applyNumberFormat="1" applyFont="1" applyFill="1" applyBorder="1" applyAlignment="1">
      <alignment horizontal="center"/>
    </xf>
    <xf numFmtId="49" fontId="10" fillId="9" borderId="10" xfId="0" applyNumberFormat="1" applyFont="1" applyFill="1" applyBorder="1" applyAlignment="1">
      <alignment horizontal="center"/>
    </xf>
    <xf numFmtId="0" fontId="16" fillId="2" borderId="4" xfId="0" applyFont="1" applyFill="1" applyBorder="1"/>
    <xf numFmtId="49" fontId="10" fillId="2" borderId="0" xfId="0" applyNumberFormat="1" applyFont="1" applyFill="1" applyBorder="1" applyAlignment="1">
      <alignment horizontal="center"/>
    </xf>
    <xf numFmtId="49" fontId="21" fillId="2" borderId="0" xfId="0" applyNumberFormat="1" applyFont="1" applyFill="1" applyBorder="1"/>
    <xf numFmtId="0" fontId="9" fillId="3" borderId="0" xfId="0" applyFont="1" applyFill="1" applyBorder="1" applyAlignment="1">
      <alignment horizontal="center"/>
    </xf>
    <xf numFmtId="0" fontId="9" fillId="2" borderId="10" xfId="0" applyFont="1" applyFill="1" applyBorder="1"/>
    <xf numFmtId="0" fontId="9" fillId="5" borderId="0" xfId="0" applyFont="1" applyFill="1" applyBorder="1"/>
    <xf numFmtId="165" fontId="9" fillId="2" borderId="10" xfId="0" applyNumberFormat="1" applyFont="1" applyFill="1" applyBorder="1" applyAlignment="1">
      <alignment horizontal="center"/>
    </xf>
    <xf numFmtId="165" fontId="9" fillId="2" borderId="11" xfId="0" applyNumberFormat="1" applyFont="1" applyFill="1" applyBorder="1" applyAlignment="1">
      <alignment horizontal="center"/>
    </xf>
    <xf numFmtId="49" fontId="10" fillId="9" borderId="8" xfId="0" applyNumberFormat="1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/>
    </xf>
    <xf numFmtId="49" fontId="10" fillId="9" borderId="7" xfId="0" applyNumberFormat="1" applyFont="1" applyFill="1" applyBorder="1" applyAlignment="1">
      <alignment horizontal="center"/>
    </xf>
    <xf numFmtId="1" fontId="9" fillId="2" borderId="10" xfId="0" applyNumberFormat="1" applyFont="1" applyFill="1" applyBorder="1" applyAlignment="1">
      <alignment horizontal="center"/>
    </xf>
    <xf numFmtId="1" fontId="10" fillId="9" borderId="10" xfId="0" applyNumberFormat="1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center"/>
    </xf>
    <xf numFmtId="1" fontId="9" fillId="7" borderId="7" xfId="0" applyNumberFormat="1" applyFont="1" applyFill="1" applyBorder="1" applyAlignment="1">
      <alignment horizontal="center"/>
    </xf>
    <xf numFmtId="1" fontId="7" fillId="2" borderId="0" xfId="0" applyNumberFormat="1" applyFont="1" applyFill="1" applyBorder="1"/>
    <xf numFmtId="1" fontId="9" fillId="8" borderId="7" xfId="0" applyNumberFormat="1" applyFont="1" applyFill="1" applyBorder="1" applyAlignment="1">
      <alignment horizontal="center"/>
    </xf>
    <xf numFmtId="1" fontId="16" fillId="7" borderId="7" xfId="0" applyNumberFormat="1" applyFont="1" applyFill="1" applyBorder="1" applyAlignment="1">
      <alignment horizontal="center"/>
    </xf>
    <xf numFmtId="165" fontId="7" fillId="5" borderId="0" xfId="0" applyNumberFormat="1" applyFont="1" applyFill="1" applyBorder="1" applyAlignment="1">
      <alignment horizontal="center"/>
    </xf>
    <xf numFmtId="1" fontId="7" fillId="5" borderId="0" xfId="0" applyNumberFormat="1" applyFont="1" applyFill="1" applyBorder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165" fontId="9" fillId="2" borderId="3" xfId="0" applyNumberFormat="1" applyFont="1" applyFill="1" applyBorder="1" applyAlignment="1">
      <alignment horizontal="center"/>
    </xf>
    <xf numFmtId="165" fontId="9" fillId="2" borderId="0" xfId="0" applyNumberFormat="1" applyFont="1" applyFill="1" applyBorder="1" applyAlignment="1">
      <alignment horizontal="center"/>
    </xf>
    <xf numFmtId="165" fontId="9" fillId="2" borderId="5" xfId="0" applyNumberFormat="1" applyFont="1" applyFill="1" applyBorder="1" applyAlignment="1">
      <alignment horizontal="center"/>
    </xf>
    <xf numFmtId="165" fontId="10" fillId="9" borderId="10" xfId="0" applyNumberFormat="1" applyFont="1" applyFill="1" applyBorder="1" applyAlignment="1">
      <alignment horizontal="center"/>
    </xf>
    <xf numFmtId="165" fontId="10" fillId="6" borderId="11" xfId="0" applyNumberFormat="1" applyFont="1" applyFill="1" applyBorder="1" applyAlignment="1">
      <alignment horizontal="center"/>
    </xf>
    <xf numFmtId="3" fontId="7" fillId="5" borderId="0" xfId="0" applyNumberFormat="1" applyFont="1" applyFill="1" applyBorder="1" applyAlignment="1">
      <alignment horizontal="center"/>
    </xf>
    <xf numFmtId="165" fontId="7" fillId="5" borderId="5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3" fontId="7" fillId="2" borderId="0" xfId="0" applyNumberFormat="1" applyFont="1" applyFill="1" applyBorder="1" applyAlignment="1">
      <alignment horizontal="center"/>
    </xf>
    <xf numFmtId="165" fontId="7" fillId="2" borderId="5" xfId="0" applyNumberFormat="1" applyFont="1" applyFill="1" applyBorder="1" applyAlignment="1">
      <alignment horizontal="center"/>
    </xf>
    <xf numFmtId="1" fontId="9" fillId="2" borderId="0" xfId="0" applyNumberFormat="1" applyFont="1" applyFill="1" applyBorder="1" applyAlignment="1">
      <alignment horizontal="center"/>
    </xf>
    <xf numFmtId="165" fontId="7" fillId="5" borderId="5" xfId="1" applyNumberFormat="1" applyFont="1" applyFill="1" applyBorder="1" applyAlignment="1">
      <alignment horizontal="center"/>
    </xf>
    <xf numFmtId="165" fontId="13" fillId="2" borderId="0" xfId="0" applyNumberFormat="1" applyFont="1" applyFill="1" applyBorder="1" applyAlignment="1">
      <alignment horizontal="center"/>
    </xf>
    <xf numFmtId="1" fontId="13" fillId="2" borderId="0" xfId="0" applyNumberFormat="1" applyFont="1" applyFill="1" applyBorder="1" applyAlignment="1">
      <alignment horizontal="center"/>
    </xf>
    <xf numFmtId="165" fontId="13" fillId="2" borderId="5" xfId="0" applyNumberFormat="1" applyFont="1" applyFill="1" applyBorder="1" applyAlignment="1">
      <alignment horizontal="center"/>
    </xf>
    <xf numFmtId="165" fontId="17" fillId="5" borderId="0" xfId="0" applyNumberFormat="1" applyFont="1" applyFill="1" applyBorder="1" applyAlignment="1">
      <alignment horizontal="center"/>
    </xf>
    <xf numFmtId="165" fontId="17" fillId="2" borderId="0" xfId="0" applyNumberFormat="1" applyFont="1" applyFill="1" applyBorder="1" applyAlignment="1">
      <alignment horizontal="center"/>
    </xf>
    <xf numFmtId="165" fontId="17" fillId="2" borderId="5" xfId="0" applyNumberFormat="1" applyFont="1" applyFill="1" applyBorder="1" applyAlignment="1">
      <alignment horizontal="center"/>
    </xf>
    <xf numFmtId="165" fontId="17" fillId="5" borderId="7" xfId="0" applyNumberFormat="1" applyFont="1" applyFill="1" applyBorder="1" applyAlignment="1">
      <alignment horizontal="center"/>
    </xf>
    <xf numFmtId="165" fontId="17" fillId="5" borderId="8" xfId="0" applyNumberFormat="1" applyFont="1" applyFill="1" applyBorder="1" applyAlignment="1">
      <alignment horizontal="center"/>
    </xf>
    <xf numFmtId="165" fontId="16" fillId="5" borderId="0" xfId="0" applyNumberFormat="1" applyFont="1" applyFill="1" applyBorder="1" applyAlignment="1">
      <alignment horizontal="center"/>
    </xf>
    <xf numFmtId="165" fontId="16" fillId="5" borderId="3" xfId="0" applyNumberFormat="1" applyFont="1" applyFill="1" applyBorder="1" applyAlignment="1">
      <alignment horizontal="center"/>
    </xf>
    <xf numFmtId="165" fontId="16" fillId="2" borderId="0" xfId="0" applyNumberFormat="1" applyFont="1" applyFill="1" applyBorder="1" applyAlignment="1">
      <alignment horizontal="center"/>
    </xf>
    <xf numFmtId="165" fontId="16" fillId="2" borderId="5" xfId="0" applyNumberFormat="1" applyFont="1" applyFill="1" applyBorder="1" applyAlignment="1">
      <alignment horizontal="center"/>
    </xf>
    <xf numFmtId="0" fontId="16" fillId="2" borderId="6" xfId="0" applyFont="1" applyFill="1" applyBorder="1"/>
    <xf numFmtId="165" fontId="16" fillId="5" borderId="7" xfId="0" applyNumberFormat="1" applyFont="1" applyFill="1" applyBorder="1" applyAlignment="1">
      <alignment horizontal="center"/>
    </xf>
    <xf numFmtId="165" fontId="16" fillId="5" borderId="8" xfId="0" applyNumberFormat="1" applyFont="1" applyFill="1" applyBorder="1" applyAlignment="1">
      <alignment horizontal="center"/>
    </xf>
    <xf numFmtId="165" fontId="11" fillId="5" borderId="5" xfId="0" applyNumberFormat="1" applyFont="1" applyFill="1" applyBorder="1" applyAlignment="1">
      <alignment horizontal="center"/>
    </xf>
    <xf numFmtId="165" fontId="11" fillId="2" borderId="5" xfId="0" applyNumberFormat="1" applyFont="1" applyFill="1" applyBorder="1" applyAlignment="1">
      <alignment horizontal="center"/>
    </xf>
    <xf numFmtId="165" fontId="7" fillId="5" borderId="0" xfId="1" applyNumberFormat="1" applyFont="1" applyFill="1" applyBorder="1" applyAlignment="1">
      <alignment horizontal="center"/>
    </xf>
    <xf numFmtId="165" fontId="17" fillId="5" borderId="5" xfId="0" applyNumberFormat="1" applyFont="1" applyFill="1" applyBorder="1" applyAlignment="1">
      <alignment horizontal="center"/>
    </xf>
    <xf numFmtId="3" fontId="7" fillId="2" borderId="10" xfId="0" applyNumberFormat="1" applyFont="1" applyFill="1" applyBorder="1"/>
    <xf numFmtId="165" fontId="7" fillId="2" borderId="10" xfId="0" applyNumberFormat="1" applyFont="1" applyFill="1" applyBorder="1" applyAlignment="1">
      <alignment horizontal="center"/>
    </xf>
    <xf numFmtId="1" fontId="7" fillId="2" borderId="10" xfId="0" applyNumberFormat="1" applyFont="1" applyFill="1" applyBorder="1" applyAlignment="1">
      <alignment horizontal="center"/>
    </xf>
    <xf numFmtId="3" fontId="9" fillId="2" borderId="10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49" fontId="8" fillId="2" borderId="2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/>
    <xf numFmtId="3" fontId="7" fillId="2" borderId="10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3" fontId="9" fillId="2" borderId="10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7" fillId="2" borderId="0" xfId="0" applyNumberFormat="1" applyFont="1" applyFill="1" applyAlignment="1">
      <alignment horizontal="center"/>
    </xf>
    <xf numFmtId="0" fontId="7" fillId="2" borderId="0" xfId="0" applyFont="1" applyFill="1" applyBorder="1" applyAlignment="1">
      <alignment horizontal="left"/>
    </xf>
    <xf numFmtId="49" fontId="22" fillId="9" borderId="6" xfId="0" applyNumberFormat="1" applyFont="1" applyFill="1" applyBorder="1" applyAlignment="1"/>
    <xf numFmtId="49" fontId="22" fillId="9" borderId="7" xfId="0" applyNumberFormat="1" applyFont="1" applyFill="1" applyBorder="1" applyAlignment="1">
      <alignment horizontal="center"/>
    </xf>
    <xf numFmtId="49" fontId="22" fillId="9" borderId="8" xfId="0" applyNumberFormat="1" applyFont="1" applyFill="1" applyBorder="1" applyAlignment="1">
      <alignment horizontal="center"/>
    </xf>
    <xf numFmtId="49" fontId="22" fillId="6" borderId="9" xfId="0" applyNumberFormat="1" applyFont="1" applyFill="1" applyBorder="1" applyAlignment="1">
      <alignment horizontal="center"/>
    </xf>
    <xf numFmtId="49" fontId="22" fillId="9" borderId="10" xfId="0" applyNumberFormat="1" applyFont="1" applyFill="1" applyBorder="1" applyAlignment="1">
      <alignment horizontal="center"/>
    </xf>
    <xf numFmtId="1" fontId="22" fillId="9" borderId="10" xfId="0" applyNumberFormat="1" applyFont="1" applyFill="1" applyBorder="1" applyAlignment="1">
      <alignment horizontal="center"/>
    </xf>
    <xf numFmtId="165" fontId="22" fillId="9" borderId="10" xfId="0" applyNumberFormat="1" applyFont="1" applyFill="1" applyBorder="1" applyAlignment="1">
      <alignment horizontal="center"/>
    </xf>
    <xf numFmtId="165" fontId="22" fillId="6" borderId="11" xfId="0" applyNumberFormat="1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/>
    </xf>
    <xf numFmtId="0" fontId="23" fillId="3" borderId="0" xfId="0" applyFont="1" applyFill="1" applyBorder="1" applyAlignment="1">
      <alignment horizontal="center"/>
    </xf>
    <xf numFmtId="0" fontId="23" fillId="4" borderId="0" xfId="0" applyFont="1" applyFill="1" applyBorder="1" applyAlignment="1">
      <alignment horizontal="center"/>
    </xf>
    <xf numFmtId="165" fontId="23" fillId="2" borderId="2" xfId="0" applyNumberFormat="1" applyFont="1" applyFill="1" applyBorder="1" applyAlignment="1">
      <alignment horizontal="center"/>
    </xf>
    <xf numFmtId="165" fontId="23" fillId="4" borderId="2" xfId="0" applyNumberFormat="1" applyFont="1" applyFill="1" applyBorder="1" applyAlignment="1">
      <alignment horizontal="center"/>
    </xf>
    <xf numFmtId="1" fontId="23" fillId="4" borderId="2" xfId="0" applyNumberFormat="1" applyFont="1" applyFill="1" applyBorder="1" applyAlignment="1">
      <alignment horizontal="center"/>
    </xf>
    <xf numFmtId="165" fontId="23" fillId="2" borderId="3" xfId="0" applyNumberFormat="1" applyFont="1" applyFill="1" applyBorder="1" applyAlignment="1">
      <alignment horizontal="center"/>
    </xf>
    <xf numFmtId="165" fontId="23" fillId="7" borderId="7" xfId="0" applyNumberFormat="1" applyFont="1" applyFill="1" applyBorder="1" applyAlignment="1">
      <alignment horizontal="center"/>
    </xf>
    <xf numFmtId="1" fontId="23" fillId="7" borderId="7" xfId="0" applyNumberFormat="1" applyFont="1" applyFill="1" applyBorder="1" applyAlignment="1">
      <alignment horizontal="center"/>
    </xf>
    <xf numFmtId="165" fontId="23" fillId="7" borderId="8" xfId="0" applyNumberFormat="1" applyFont="1" applyFill="1" applyBorder="1" applyAlignment="1">
      <alignment horizontal="center"/>
    </xf>
    <xf numFmtId="0" fontId="23" fillId="2" borderId="4" xfId="0" applyFont="1" applyFill="1" applyBorder="1"/>
    <xf numFmtId="0" fontId="23" fillId="2" borderId="0" xfId="0" applyFont="1" applyFill="1" applyBorder="1"/>
    <xf numFmtId="165" fontId="23" fillId="2" borderId="0" xfId="0" applyNumberFormat="1" applyFont="1" applyFill="1" applyBorder="1" applyAlignment="1">
      <alignment horizontal="center"/>
    </xf>
    <xf numFmtId="1" fontId="23" fillId="2" borderId="0" xfId="0" applyNumberFormat="1" applyFont="1" applyFill="1" applyBorder="1" applyAlignment="1">
      <alignment horizontal="center"/>
    </xf>
    <xf numFmtId="165" fontId="23" fillId="2" borderId="5" xfId="0" applyNumberFormat="1" applyFont="1" applyFill="1" applyBorder="1" applyAlignment="1">
      <alignment horizontal="center"/>
    </xf>
    <xf numFmtId="165" fontId="23" fillId="8" borderId="7" xfId="0" applyNumberFormat="1" applyFont="1" applyFill="1" applyBorder="1" applyAlignment="1">
      <alignment horizontal="center"/>
    </xf>
    <xf numFmtId="1" fontId="23" fillId="8" borderId="7" xfId="0" applyNumberFormat="1" applyFont="1" applyFill="1" applyBorder="1" applyAlignment="1">
      <alignment horizontal="center"/>
    </xf>
    <xf numFmtId="0" fontId="24" fillId="2" borderId="0" xfId="0" applyFont="1" applyFill="1" applyBorder="1"/>
    <xf numFmtId="165" fontId="24" fillId="2" borderId="0" xfId="0" applyNumberFormat="1" applyFont="1" applyFill="1" applyBorder="1" applyAlignment="1">
      <alignment horizontal="center"/>
    </xf>
    <xf numFmtId="1" fontId="24" fillId="2" borderId="0" xfId="0" applyNumberFormat="1" applyFont="1" applyFill="1" applyBorder="1" applyAlignment="1">
      <alignment horizontal="center"/>
    </xf>
    <xf numFmtId="165" fontId="24" fillId="2" borderId="5" xfId="0" applyNumberFormat="1" applyFont="1" applyFill="1" applyBorder="1" applyAlignment="1">
      <alignment horizontal="center"/>
    </xf>
    <xf numFmtId="0" fontId="24" fillId="2" borderId="4" xfId="0" applyFont="1" applyFill="1" applyBorder="1"/>
    <xf numFmtId="0" fontId="24" fillId="5" borderId="0" xfId="0" applyFont="1" applyFill="1" applyBorder="1"/>
    <xf numFmtId="3" fontId="24" fillId="5" borderId="0" xfId="0" applyNumberFormat="1" applyFont="1" applyFill="1" applyBorder="1"/>
    <xf numFmtId="165" fontId="24" fillId="5" borderId="0" xfId="0" applyNumberFormat="1" applyFont="1" applyFill="1" applyBorder="1" applyAlignment="1">
      <alignment horizontal="center"/>
    </xf>
    <xf numFmtId="1" fontId="24" fillId="5" borderId="0" xfId="0" applyNumberFormat="1" applyFont="1" applyFill="1" applyBorder="1" applyAlignment="1">
      <alignment horizontal="center"/>
    </xf>
    <xf numFmtId="165" fontId="24" fillId="5" borderId="5" xfId="0" applyNumberFormat="1" applyFont="1" applyFill="1" applyBorder="1" applyAlignment="1">
      <alignment horizontal="center"/>
    </xf>
    <xf numFmtId="3" fontId="24" fillId="2" borderId="0" xfId="0" applyNumberFormat="1" applyFont="1" applyFill="1" applyBorder="1"/>
    <xf numFmtId="0" fontId="23" fillId="2" borderId="9" xfId="0" applyFont="1" applyFill="1" applyBorder="1"/>
    <xf numFmtId="3" fontId="23" fillId="2" borderId="10" xfId="0" applyNumberFormat="1" applyFont="1" applyFill="1" applyBorder="1"/>
    <xf numFmtId="165" fontId="23" fillId="2" borderId="10" xfId="0" applyNumberFormat="1" applyFont="1" applyFill="1" applyBorder="1" applyAlignment="1">
      <alignment horizontal="center"/>
    </xf>
    <xf numFmtId="1" fontId="23" fillId="2" borderId="10" xfId="0" applyNumberFormat="1" applyFont="1" applyFill="1" applyBorder="1" applyAlignment="1">
      <alignment horizontal="center"/>
    </xf>
    <xf numFmtId="165" fontId="23" fillId="2" borderId="11" xfId="0" applyNumberFormat="1" applyFont="1" applyFill="1" applyBorder="1" applyAlignment="1">
      <alignment horizontal="center"/>
    </xf>
    <xf numFmtId="0" fontId="25" fillId="2" borderId="4" xfId="0" applyFont="1" applyFill="1" applyBorder="1"/>
    <xf numFmtId="0" fontId="23" fillId="2" borderId="10" xfId="0" applyFont="1" applyFill="1" applyBorder="1"/>
    <xf numFmtId="0" fontId="23" fillId="5" borderId="0" xfId="0" applyFont="1" applyFill="1" applyBorder="1"/>
    <xf numFmtId="165" fontId="23" fillId="5" borderId="0" xfId="0" applyNumberFormat="1" applyFont="1" applyFill="1" applyBorder="1" applyAlignment="1">
      <alignment horizontal="center"/>
    </xf>
    <xf numFmtId="165" fontId="23" fillId="5" borderId="3" xfId="0" applyNumberFormat="1" applyFont="1" applyFill="1" applyBorder="1" applyAlignment="1">
      <alignment horizontal="center"/>
    </xf>
    <xf numFmtId="0" fontId="23" fillId="2" borderId="6" xfId="0" applyFont="1" applyFill="1" applyBorder="1"/>
    <xf numFmtId="0" fontId="23" fillId="5" borderId="7" xfId="0" applyFont="1" applyFill="1" applyBorder="1"/>
    <xf numFmtId="165" fontId="23" fillId="5" borderId="7" xfId="0" applyNumberFormat="1" applyFont="1" applyFill="1" applyBorder="1" applyAlignment="1">
      <alignment horizontal="center"/>
    </xf>
    <xf numFmtId="165" fontId="23" fillId="5" borderId="8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16" fillId="5" borderId="7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165" fontId="9" fillId="3" borderId="2" xfId="0" applyNumberFormat="1" applyFont="1" applyFill="1" applyBorder="1" applyAlignment="1">
      <alignment horizontal="center"/>
    </xf>
    <xf numFmtId="1" fontId="9" fillId="3" borderId="2" xfId="0" applyNumberFormat="1" applyFont="1" applyFill="1" applyBorder="1" applyAlignment="1">
      <alignment horizontal="center"/>
    </xf>
    <xf numFmtId="0" fontId="9" fillId="3" borderId="0" xfId="0" applyFont="1" applyFill="1"/>
    <xf numFmtId="0" fontId="9" fillId="3" borderId="4" xfId="0" applyFont="1" applyFill="1" applyBorder="1"/>
    <xf numFmtId="0" fontId="7" fillId="3" borderId="0" xfId="0" applyFont="1" applyFill="1" applyAlignment="1">
      <alignment horizontal="center"/>
    </xf>
    <xf numFmtId="165" fontId="7" fillId="3" borderId="0" xfId="0" applyNumberFormat="1" applyFont="1" applyFill="1" applyAlignment="1">
      <alignment horizontal="center"/>
    </xf>
    <xf numFmtId="1" fontId="7" fillId="3" borderId="0" xfId="0" applyNumberFormat="1" applyFont="1" applyFill="1" applyAlignment="1">
      <alignment horizontal="center"/>
    </xf>
    <xf numFmtId="165" fontId="7" fillId="3" borderId="5" xfId="0" applyNumberFormat="1" applyFont="1" applyFill="1" applyBorder="1" applyAlignment="1">
      <alignment horizontal="center"/>
    </xf>
    <xf numFmtId="0" fontId="7" fillId="10" borderId="0" xfId="0" applyFont="1" applyFill="1" applyAlignment="1">
      <alignment horizontal="center"/>
    </xf>
    <xf numFmtId="165" fontId="7" fillId="10" borderId="0" xfId="0" applyNumberFormat="1" applyFont="1" applyFill="1" applyAlignment="1">
      <alignment horizontal="center"/>
    </xf>
    <xf numFmtId="1" fontId="7" fillId="10" borderId="0" xfId="0" applyNumberFormat="1" applyFont="1" applyFill="1" applyAlignment="1">
      <alignment horizontal="center"/>
    </xf>
    <xf numFmtId="165" fontId="7" fillId="10" borderId="5" xfId="0" applyNumberFormat="1" applyFont="1" applyFill="1" applyBorder="1" applyAlignment="1">
      <alignment horizontal="center"/>
    </xf>
    <xf numFmtId="3" fontId="7" fillId="3" borderId="0" xfId="0" applyNumberFormat="1" applyFont="1" applyFill="1" applyAlignment="1">
      <alignment horizontal="center"/>
    </xf>
    <xf numFmtId="3" fontId="7" fillId="10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9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left"/>
    </xf>
    <xf numFmtId="165" fontId="7" fillId="3" borderId="10" xfId="0" applyNumberFormat="1" applyFont="1" applyFill="1" applyBorder="1" applyAlignment="1">
      <alignment horizontal="center"/>
    </xf>
    <xf numFmtId="1" fontId="7" fillId="3" borderId="10" xfId="0" applyNumberFormat="1" applyFont="1" applyFill="1" applyBorder="1" applyAlignment="1">
      <alignment horizontal="center"/>
    </xf>
    <xf numFmtId="165" fontId="9" fillId="3" borderId="10" xfId="0" applyNumberFormat="1" applyFont="1" applyFill="1" applyBorder="1" applyAlignment="1">
      <alignment horizontal="center"/>
    </xf>
    <xf numFmtId="165" fontId="9" fillId="3" borderId="11" xfId="0" applyNumberFormat="1" applyFont="1" applyFill="1" applyBorder="1" applyAlignment="1">
      <alignment horizontal="center"/>
    </xf>
    <xf numFmtId="165" fontId="9" fillId="3" borderId="0" xfId="0" applyNumberFormat="1" applyFont="1" applyFill="1" applyAlignment="1">
      <alignment horizontal="center"/>
    </xf>
    <xf numFmtId="1" fontId="9" fillId="3" borderId="0" xfId="0" applyNumberFormat="1" applyFont="1" applyFill="1" applyAlignment="1">
      <alignment horizontal="center"/>
    </xf>
    <xf numFmtId="165" fontId="9" fillId="3" borderId="5" xfId="0" applyNumberFormat="1" applyFont="1" applyFill="1" applyBorder="1" applyAlignment="1">
      <alignment horizontal="center"/>
    </xf>
    <xf numFmtId="1" fontId="9" fillId="3" borderId="10" xfId="0" applyNumberFormat="1" applyFont="1" applyFill="1" applyBorder="1" applyAlignment="1">
      <alignment horizontal="center"/>
    </xf>
    <xf numFmtId="0" fontId="13" fillId="3" borderId="4" xfId="0" applyFont="1" applyFill="1" applyBorder="1"/>
    <xf numFmtId="0" fontId="13" fillId="3" borderId="0" xfId="0" applyFont="1" applyFill="1" applyAlignment="1">
      <alignment horizontal="center"/>
    </xf>
    <xf numFmtId="165" fontId="13" fillId="3" borderId="0" xfId="0" applyNumberFormat="1" applyFont="1" applyFill="1" applyAlignment="1">
      <alignment horizontal="center"/>
    </xf>
    <xf numFmtId="1" fontId="13" fillId="3" borderId="0" xfId="0" applyNumberFormat="1" applyFont="1" applyFill="1" applyAlignment="1">
      <alignment horizontal="center"/>
    </xf>
    <xf numFmtId="165" fontId="13" fillId="3" borderId="5" xfId="0" applyNumberFormat="1" applyFont="1" applyFill="1" applyBorder="1" applyAlignment="1">
      <alignment horizontal="center"/>
    </xf>
    <xf numFmtId="0" fontId="20" fillId="3" borderId="4" xfId="0" applyFont="1" applyFill="1" applyBorder="1"/>
    <xf numFmtId="167" fontId="7" fillId="10" borderId="0" xfId="0" applyNumberFormat="1" applyFont="1" applyFill="1" applyAlignment="1">
      <alignment horizontal="center"/>
    </xf>
    <xf numFmtId="166" fontId="7" fillId="3" borderId="0" xfId="0" applyNumberFormat="1" applyFont="1" applyFill="1" applyAlignment="1">
      <alignment horizontal="center"/>
    </xf>
    <xf numFmtId="0" fontId="9" fillId="3" borderId="4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13" fillId="3" borderId="4" xfId="0" applyFont="1" applyFill="1" applyBorder="1" applyAlignment="1">
      <alignment horizontal="left"/>
    </xf>
    <xf numFmtId="0" fontId="15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165" fontId="16" fillId="8" borderId="7" xfId="0" applyNumberFormat="1" applyFont="1" applyFill="1" applyBorder="1" applyAlignment="1">
      <alignment horizontal="center"/>
    </xf>
    <xf numFmtId="1" fontId="16" fillId="8" borderId="7" xfId="0" applyNumberFormat="1" applyFont="1" applyFill="1" applyBorder="1" applyAlignment="1">
      <alignment horizontal="center"/>
    </xf>
    <xf numFmtId="165" fontId="16" fillId="8" borderId="8" xfId="0" applyNumberFormat="1" applyFont="1" applyFill="1" applyBorder="1" applyAlignment="1">
      <alignment horizontal="center"/>
    </xf>
    <xf numFmtId="0" fontId="16" fillId="3" borderId="4" xfId="0" applyFont="1" applyFill="1" applyBorder="1" applyAlignment="1">
      <alignment horizontal="left"/>
    </xf>
    <xf numFmtId="0" fontId="16" fillId="10" borderId="0" xfId="0" applyFont="1" applyFill="1" applyAlignment="1">
      <alignment horizontal="left"/>
    </xf>
    <xf numFmtId="165" fontId="16" fillId="10" borderId="0" xfId="0" applyNumberFormat="1" applyFont="1" applyFill="1" applyAlignment="1">
      <alignment horizontal="center"/>
    </xf>
    <xf numFmtId="165" fontId="16" fillId="10" borderId="5" xfId="0" applyNumberFormat="1" applyFont="1" applyFill="1" applyBorder="1" applyAlignment="1">
      <alignment horizontal="center"/>
    </xf>
    <xf numFmtId="0" fontId="16" fillId="3" borderId="0" xfId="0" applyFont="1" applyFill="1" applyAlignment="1">
      <alignment horizontal="left"/>
    </xf>
    <xf numFmtId="165" fontId="16" fillId="3" borderId="0" xfId="0" applyNumberFormat="1" applyFont="1" applyFill="1" applyAlignment="1">
      <alignment horizontal="center"/>
    </xf>
    <xf numFmtId="165" fontId="16" fillId="3" borderId="5" xfId="0" applyNumberFormat="1" applyFont="1" applyFill="1" applyBorder="1" applyAlignment="1">
      <alignment horizontal="center"/>
    </xf>
    <xf numFmtId="0" fontId="16" fillId="3" borderId="6" xfId="0" applyFont="1" applyFill="1" applyBorder="1" applyAlignment="1">
      <alignment horizontal="left"/>
    </xf>
    <xf numFmtId="0" fontId="16" fillId="10" borderId="7" xfId="0" applyFont="1" applyFill="1" applyBorder="1" applyAlignment="1">
      <alignment horizontal="left"/>
    </xf>
    <xf numFmtId="165" fontId="16" fillId="10" borderId="7" xfId="0" applyNumberFormat="1" applyFont="1" applyFill="1" applyBorder="1" applyAlignment="1">
      <alignment horizontal="center"/>
    </xf>
    <xf numFmtId="165" fontId="16" fillId="10" borderId="8" xfId="0" applyNumberFormat="1" applyFont="1" applyFill="1" applyBorder="1" applyAlignment="1">
      <alignment horizontal="center"/>
    </xf>
    <xf numFmtId="0" fontId="7" fillId="11" borderId="0" xfId="0" applyFont="1" applyFill="1" applyAlignment="1">
      <alignment horizontal="center"/>
    </xf>
    <xf numFmtId="165" fontId="7" fillId="11" borderId="0" xfId="0" applyNumberFormat="1" applyFont="1" applyFill="1" applyAlignment="1">
      <alignment horizontal="center"/>
    </xf>
    <xf numFmtId="1" fontId="7" fillId="11" borderId="0" xfId="0" applyNumberFormat="1" applyFont="1" applyFill="1" applyAlignment="1">
      <alignment horizontal="center"/>
    </xf>
    <xf numFmtId="165" fontId="7" fillId="11" borderId="5" xfId="0" applyNumberFormat="1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165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65" fontId="7" fillId="4" borderId="5" xfId="0" applyNumberFormat="1" applyFont="1" applyFill="1" applyBorder="1" applyAlignment="1">
      <alignment horizontal="center"/>
    </xf>
    <xf numFmtId="0" fontId="7" fillId="2" borderId="5" xfId="0" applyFont="1" applyFill="1" applyBorder="1"/>
    <xf numFmtId="3" fontId="9" fillId="2" borderId="0" xfId="0" applyNumberFormat="1" applyFont="1" applyFill="1" applyBorder="1" applyAlignment="1">
      <alignment horizontal="center"/>
    </xf>
    <xf numFmtId="0" fontId="23" fillId="3" borderId="0" xfId="0" applyFont="1" applyFill="1" applyAlignment="1">
      <alignment horizontal="center"/>
    </xf>
    <xf numFmtId="165" fontId="23" fillId="3" borderId="2" xfId="0" applyNumberFormat="1" applyFont="1" applyFill="1" applyBorder="1" applyAlignment="1">
      <alignment horizontal="center"/>
    </xf>
    <xf numFmtId="1" fontId="23" fillId="3" borderId="2" xfId="0" applyNumberFormat="1" applyFont="1" applyFill="1" applyBorder="1" applyAlignment="1">
      <alignment horizontal="center"/>
    </xf>
    <xf numFmtId="165" fontId="23" fillId="3" borderId="3" xfId="0" applyNumberFormat="1" applyFont="1" applyFill="1" applyBorder="1" applyAlignment="1">
      <alignment horizontal="center"/>
    </xf>
    <xf numFmtId="165" fontId="23" fillId="8" borderId="8" xfId="0" applyNumberFormat="1" applyFont="1" applyFill="1" applyBorder="1" applyAlignment="1">
      <alignment horizontal="center"/>
    </xf>
    <xf numFmtId="0" fontId="28" fillId="2" borderId="0" xfId="0" applyFont="1" applyFill="1"/>
    <xf numFmtId="3" fontId="7" fillId="2" borderId="0" xfId="0" applyNumberFormat="1" applyFont="1" applyFill="1"/>
    <xf numFmtId="0" fontId="7" fillId="3" borderId="0" xfId="0" applyFont="1" applyFill="1" applyBorder="1" applyAlignment="1">
      <alignment horizontal="center"/>
    </xf>
    <xf numFmtId="0" fontId="14" fillId="3" borderId="4" xfId="0" applyFont="1" applyFill="1" applyBorder="1"/>
    <xf numFmtId="0" fontId="7" fillId="3" borderId="4" xfId="0" applyFont="1" applyFill="1" applyBorder="1"/>
    <xf numFmtId="0" fontId="9" fillId="3" borderId="9" xfId="0" applyFont="1" applyFill="1" applyBorder="1"/>
    <xf numFmtId="0" fontId="7" fillId="3" borderId="0" xfId="0" applyFont="1" applyFill="1"/>
    <xf numFmtId="0" fontId="9" fillId="3" borderId="10" xfId="0" applyFont="1" applyFill="1" applyBorder="1"/>
    <xf numFmtId="0" fontId="15" fillId="3" borderId="0" xfId="0" applyFont="1" applyFill="1"/>
    <xf numFmtId="0" fontId="16" fillId="8" borderId="7" xfId="0" applyFont="1" applyFill="1" applyBorder="1" applyAlignment="1">
      <alignment horizontal="center"/>
    </xf>
    <xf numFmtId="0" fontId="16" fillId="3" borderId="4" xfId="0" applyFont="1" applyFill="1" applyBorder="1"/>
    <xf numFmtId="0" fontId="16" fillId="10" borderId="0" xfId="0" applyFont="1" applyFill="1"/>
    <xf numFmtId="0" fontId="16" fillId="3" borderId="0" xfId="0" applyFont="1" applyFill="1"/>
    <xf numFmtId="0" fontId="16" fillId="3" borderId="6" xfId="0" applyFont="1" applyFill="1" applyBorder="1"/>
    <xf numFmtId="0" fontId="16" fillId="10" borderId="7" xfId="0" applyFont="1" applyFill="1" applyBorder="1"/>
    <xf numFmtId="3" fontId="7" fillId="11" borderId="0" xfId="0" applyNumberFormat="1" applyFont="1" applyFill="1" applyAlignment="1">
      <alignment horizontal="center"/>
    </xf>
    <xf numFmtId="0" fontId="7" fillId="4" borderId="0" xfId="0" applyFont="1" applyFill="1"/>
    <xf numFmtId="3" fontId="7" fillId="4" borderId="0" xfId="0" applyNumberFormat="1" applyFont="1" applyFill="1" applyAlignment="1">
      <alignment horizontal="center"/>
    </xf>
    <xf numFmtId="0" fontId="7" fillId="4" borderId="4" xfId="0" applyFont="1" applyFill="1" applyBorder="1"/>
    <xf numFmtId="0" fontId="14" fillId="4" borderId="4" xfId="0" applyFont="1" applyFill="1" applyBorder="1"/>
    <xf numFmtId="165" fontId="7" fillId="5" borderId="0" xfId="0" applyNumberFormat="1" applyFont="1" applyFill="1" applyBorder="1"/>
    <xf numFmtId="3" fontId="7" fillId="2" borderId="7" xfId="0" applyNumberFormat="1" applyFont="1" applyFill="1" applyBorder="1" applyAlignment="1">
      <alignment horizontal="center"/>
    </xf>
    <xf numFmtId="165" fontId="7" fillId="2" borderId="7" xfId="0" applyNumberFormat="1" applyFont="1" applyFill="1" applyBorder="1" applyAlignment="1">
      <alignment horizontal="center"/>
    </xf>
    <xf numFmtId="1" fontId="7" fillId="2" borderId="7" xfId="0" applyNumberFormat="1" applyFont="1" applyFill="1" applyBorder="1" applyAlignment="1">
      <alignment horizontal="center"/>
    </xf>
    <xf numFmtId="165" fontId="9" fillId="2" borderId="7" xfId="0" applyNumberFormat="1" applyFont="1" applyFill="1" applyBorder="1" applyAlignment="1">
      <alignment horizontal="center"/>
    </xf>
    <xf numFmtId="165" fontId="9" fillId="2" borderId="8" xfId="0" applyNumberFormat="1" applyFont="1" applyFill="1" applyBorder="1" applyAlignment="1">
      <alignment horizontal="center"/>
    </xf>
    <xf numFmtId="0" fontId="7" fillId="10" borderId="0" xfId="0" applyFont="1" applyFill="1"/>
    <xf numFmtId="3" fontId="7" fillId="10" borderId="0" xfId="0" applyNumberFormat="1" applyFont="1" applyFill="1"/>
    <xf numFmtId="3" fontId="7" fillId="3" borderId="0" xfId="0" applyNumberFormat="1" applyFont="1" applyFill="1"/>
    <xf numFmtId="165" fontId="7" fillId="10" borderId="0" xfId="0" applyNumberFormat="1" applyFont="1" applyFill="1" applyAlignment="1">
      <alignment horizontal="left"/>
    </xf>
    <xf numFmtId="165" fontId="7" fillId="5" borderId="0" xfId="0" applyNumberFormat="1" applyFont="1" applyFill="1" applyBorder="1" applyAlignment="1">
      <alignment horizontal="left"/>
    </xf>
    <xf numFmtId="165" fontId="7" fillId="2" borderId="0" xfId="0" applyNumberFormat="1" applyFont="1" applyFill="1" applyBorder="1" applyAlignment="1">
      <alignment horizontal="left"/>
    </xf>
    <xf numFmtId="49" fontId="9" fillId="2" borderId="0" xfId="0" applyNumberFormat="1" applyFont="1" applyFill="1" applyBorder="1"/>
    <xf numFmtId="49" fontId="7" fillId="5" borderId="0" xfId="0" applyNumberFormat="1" applyFont="1" applyFill="1" applyBorder="1" applyAlignment="1">
      <alignment horizontal="center"/>
    </xf>
    <xf numFmtId="49" fontId="9" fillId="2" borderId="9" xfId="0" applyNumberFormat="1" applyFont="1" applyFill="1" applyBorder="1"/>
    <xf numFmtId="0" fontId="9" fillId="2" borderId="4" xfId="11" applyFont="1" applyFill="1" applyBorder="1"/>
    <xf numFmtId="49" fontId="9" fillId="2" borderId="0" xfId="11" applyNumberFormat="1" applyFont="1" applyFill="1" applyBorder="1"/>
    <xf numFmtId="0" fontId="7" fillId="2" borderId="0" xfId="11" applyFont="1" applyFill="1" applyBorder="1" applyAlignment="1">
      <alignment horizontal="center"/>
    </xf>
    <xf numFmtId="165" fontId="7" fillId="2" borderId="0" xfId="11" applyNumberFormat="1" applyFont="1" applyFill="1" applyBorder="1" applyAlignment="1">
      <alignment horizontal="center"/>
    </xf>
    <xf numFmtId="1" fontId="7" fillId="2" borderId="0" xfId="11" applyNumberFormat="1" applyFont="1" applyFill="1" applyBorder="1" applyAlignment="1">
      <alignment horizontal="center"/>
    </xf>
    <xf numFmtId="165" fontId="7" fillId="2" borderId="5" xfId="11" applyNumberFormat="1" applyFont="1" applyFill="1" applyBorder="1" applyAlignment="1">
      <alignment horizontal="center"/>
    </xf>
    <xf numFmtId="0" fontId="7" fillId="2" borderId="4" xfId="11" applyFont="1" applyFill="1" applyBorder="1"/>
    <xf numFmtId="49" fontId="7" fillId="5" borderId="0" xfId="11" applyNumberFormat="1" applyFont="1" applyFill="1" applyBorder="1" applyAlignment="1">
      <alignment horizontal="center"/>
    </xf>
    <xf numFmtId="3" fontId="7" fillId="5" borderId="0" xfId="11" applyNumberFormat="1" applyFont="1" applyFill="1" applyBorder="1" applyAlignment="1">
      <alignment horizontal="center"/>
    </xf>
    <xf numFmtId="165" fontId="7" fillId="5" borderId="0" xfId="11" applyNumberFormat="1" applyFont="1" applyFill="1" applyBorder="1" applyAlignment="1">
      <alignment horizontal="center"/>
    </xf>
    <xf numFmtId="1" fontId="7" fillId="5" borderId="0" xfId="11" applyNumberFormat="1" applyFont="1" applyFill="1" applyBorder="1" applyAlignment="1">
      <alignment horizontal="center"/>
    </xf>
    <xf numFmtId="165" fontId="7" fillId="5" borderId="5" xfId="11" applyNumberFormat="1" applyFont="1" applyFill="1" applyBorder="1" applyAlignment="1">
      <alignment horizontal="center"/>
    </xf>
    <xf numFmtId="49" fontId="7" fillId="2" borderId="0" xfId="11" applyNumberFormat="1" applyFont="1" applyFill="1" applyBorder="1" applyAlignment="1">
      <alignment horizontal="center"/>
    </xf>
    <xf numFmtId="3" fontId="7" fillId="2" borderId="0" xfId="1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49" fontId="7" fillId="5" borderId="0" xfId="0" applyNumberFormat="1" applyFont="1" applyFill="1" applyBorder="1"/>
    <xf numFmtId="0" fontId="24" fillId="5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12" fillId="2" borderId="0" xfId="0" applyFont="1" applyFill="1"/>
    <xf numFmtId="3" fontId="24" fillId="5" borderId="0" xfId="0" applyNumberFormat="1" applyFont="1" applyFill="1" applyBorder="1" applyAlignment="1">
      <alignment horizontal="center"/>
    </xf>
    <xf numFmtId="3" fontId="24" fillId="2" borderId="0" xfId="0" applyNumberFormat="1" applyFont="1" applyFill="1" applyBorder="1" applyAlignment="1">
      <alignment horizontal="center"/>
    </xf>
    <xf numFmtId="165" fontId="24" fillId="5" borderId="5" xfId="1" applyNumberFormat="1" applyFont="1" applyFill="1" applyBorder="1" applyAlignment="1">
      <alignment horizontal="center"/>
    </xf>
    <xf numFmtId="165" fontId="24" fillId="2" borderId="10" xfId="0" applyNumberFormat="1" applyFont="1" applyFill="1" applyBorder="1" applyAlignment="1">
      <alignment horizontal="center"/>
    </xf>
    <xf numFmtId="1" fontId="24" fillId="2" borderId="10" xfId="0" applyNumberFormat="1" applyFont="1" applyFill="1" applyBorder="1" applyAlignment="1">
      <alignment horizontal="center"/>
    </xf>
    <xf numFmtId="3" fontId="7" fillId="4" borderId="0" xfId="0" applyNumberFormat="1" applyFont="1" applyFill="1"/>
    <xf numFmtId="165" fontId="9" fillId="5" borderId="0" xfId="0" applyNumberFormat="1" applyFont="1" applyFill="1" applyBorder="1" applyAlignment="1">
      <alignment horizontal="center"/>
    </xf>
    <xf numFmtId="165" fontId="9" fillId="5" borderId="3" xfId="0" applyNumberFormat="1" applyFont="1" applyFill="1" applyBorder="1" applyAlignment="1">
      <alignment horizontal="center"/>
    </xf>
    <xf numFmtId="0" fontId="9" fillId="5" borderId="7" xfId="0" applyFont="1" applyFill="1" applyBorder="1"/>
    <xf numFmtId="165" fontId="9" fillId="5" borderId="7" xfId="0" applyNumberFormat="1" applyFont="1" applyFill="1" applyBorder="1" applyAlignment="1">
      <alignment horizontal="center"/>
    </xf>
    <xf numFmtId="165" fontId="9" fillId="5" borderId="8" xfId="0" applyNumberFormat="1" applyFont="1" applyFill="1" applyBorder="1" applyAlignment="1">
      <alignment horizontal="center"/>
    </xf>
    <xf numFmtId="0" fontId="9" fillId="2" borderId="6" xfId="0" applyFont="1" applyFill="1" applyBorder="1"/>
    <xf numFmtId="0" fontId="23" fillId="2" borderId="0" xfId="0" applyFont="1" applyFill="1" applyBorder="1" applyAlignment="1">
      <alignment horizontal="center"/>
    </xf>
    <xf numFmtId="49" fontId="21" fillId="9" borderId="7" xfId="0" applyNumberFormat="1" applyFont="1" applyFill="1" applyBorder="1" applyAlignment="1">
      <alignment horizontal="center"/>
    </xf>
    <xf numFmtId="0" fontId="9" fillId="2" borderId="0" xfId="0" applyNumberFormat="1" applyFont="1" applyFill="1" applyBorder="1"/>
    <xf numFmtId="0" fontId="9" fillId="3" borderId="9" xfId="0" applyFont="1" applyFill="1" applyBorder="1" applyAlignment="1">
      <alignment horizontal="right"/>
    </xf>
    <xf numFmtId="3" fontId="9" fillId="3" borderId="10" xfId="0" applyNumberFormat="1" applyFont="1" applyFill="1" applyBorder="1"/>
    <xf numFmtId="0" fontId="32" fillId="2" borderId="0" xfId="0" applyFont="1" applyFill="1"/>
    <xf numFmtId="165" fontId="7" fillId="4" borderId="0" xfId="0" applyNumberFormat="1" applyFont="1" applyFill="1" applyAlignment="1">
      <alignment horizontal="left"/>
    </xf>
    <xf numFmtId="3" fontId="7" fillId="11" borderId="0" xfId="0" applyNumberFormat="1" applyFont="1" applyFill="1"/>
    <xf numFmtId="0" fontId="32" fillId="5" borderId="0" xfId="0" applyFont="1" applyFill="1"/>
    <xf numFmtId="0" fontId="9" fillId="10" borderId="0" xfId="0" applyFont="1" applyFill="1"/>
    <xf numFmtId="165" fontId="9" fillId="10" borderId="0" xfId="0" applyNumberFormat="1" applyFont="1" applyFill="1" applyAlignment="1">
      <alignment horizontal="center"/>
    </xf>
    <xf numFmtId="165" fontId="9" fillId="10" borderId="5" xfId="0" applyNumberFormat="1" applyFont="1" applyFill="1" applyBorder="1" applyAlignment="1">
      <alignment horizontal="center"/>
    </xf>
    <xf numFmtId="0" fontId="9" fillId="3" borderId="6" xfId="0" applyFont="1" applyFill="1" applyBorder="1"/>
    <xf numFmtId="0" fontId="9" fillId="10" borderId="7" xfId="0" applyFont="1" applyFill="1" applyBorder="1"/>
    <xf numFmtId="165" fontId="9" fillId="10" borderId="7" xfId="0" applyNumberFormat="1" applyFont="1" applyFill="1" applyBorder="1" applyAlignment="1">
      <alignment horizontal="center"/>
    </xf>
    <xf numFmtId="165" fontId="9" fillId="10" borderId="8" xfId="0" applyNumberFormat="1" applyFont="1" applyFill="1" applyBorder="1" applyAlignment="1">
      <alignment horizontal="center"/>
    </xf>
    <xf numFmtId="0" fontId="9" fillId="2" borderId="4" xfId="0" applyFont="1" applyFill="1" applyBorder="1" applyAlignment="1">
      <alignment vertical="center"/>
    </xf>
    <xf numFmtId="49" fontId="7" fillId="5" borderId="0" xfId="0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165" fontId="7" fillId="5" borderId="0" xfId="0" applyNumberFormat="1" applyFont="1" applyFill="1" applyBorder="1" applyAlignment="1">
      <alignment horizontal="center" vertical="center"/>
    </xf>
    <xf numFmtId="1" fontId="7" fillId="5" borderId="0" xfId="0" applyNumberFormat="1" applyFont="1" applyFill="1" applyBorder="1" applyAlignment="1">
      <alignment horizontal="center" vertical="center"/>
    </xf>
    <xf numFmtId="165" fontId="7" fillId="5" borderId="5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/>
    </xf>
    <xf numFmtId="1" fontId="7" fillId="2" borderId="0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vertical="center"/>
    </xf>
    <xf numFmtId="49" fontId="9" fillId="2" borderId="9" xfId="0" applyNumberFormat="1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165" fontId="9" fillId="2" borderId="10" xfId="0" applyNumberFormat="1" applyFont="1" applyFill="1" applyBorder="1" applyAlignment="1">
      <alignment horizontal="center" vertical="center"/>
    </xf>
    <xf numFmtId="1" fontId="9" fillId="2" borderId="10" xfId="0" applyNumberFormat="1" applyFont="1" applyFill="1" applyBorder="1" applyAlignment="1">
      <alignment horizontal="center" vertical="center"/>
    </xf>
    <xf numFmtId="165" fontId="9" fillId="2" borderId="11" xfId="0" applyNumberFormat="1" applyFont="1" applyFill="1" applyBorder="1" applyAlignment="1">
      <alignment horizontal="center" vertical="center"/>
    </xf>
    <xf numFmtId="49" fontId="7" fillId="5" borderId="0" xfId="11" applyNumberFormat="1" applyFont="1" applyFill="1" applyBorder="1" applyAlignment="1">
      <alignment horizontal="center" vertical="center"/>
    </xf>
    <xf numFmtId="3" fontId="7" fillId="5" borderId="0" xfId="11" applyNumberFormat="1" applyFont="1" applyFill="1" applyBorder="1" applyAlignment="1">
      <alignment horizontal="center" vertical="center"/>
    </xf>
    <xf numFmtId="165" fontId="7" fillId="5" borderId="0" xfId="11" applyNumberFormat="1" applyFont="1" applyFill="1" applyBorder="1" applyAlignment="1">
      <alignment horizontal="center" vertical="center"/>
    </xf>
    <xf numFmtId="1" fontId="7" fillId="5" borderId="0" xfId="11" applyNumberFormat="1" applyFont="1" applyFill="1" applyBorder="1" applyAlignment="1">
      <alignment horizontal="center" vertical="center"/>
    </xf>
    <xf numFmtId="165" fontId="7" fillId="5" borderId="5" xfId="11" applyNumberFormat="1" applyFont="1" applyFill="1" applyBorder="1" applyAlignment="1">
      <alignment horizontal="center" vertical="center"/>
    </xf>
    <xf numFmtId="49" fontId="9" fillId="2" borderId="9" xfId="11" applyNumberFormat="1" applyFont="1" applyFill="1" applyBorder="1" applyAlignment="1">
      <alignment vertical="center"/>
    </xf>
    <xf numFmtId="0" fontId="9" fillId="2" borderId="10" xfId="11" applyFont="1" applyFill="1" applyBorder="1" applyAlignment="1">
      <alignment horizontal="center" vertical="center"/>
    </xf>
    <xf numFmtId="165" fontId="9" fillId="2" borderId="10" xfId="11" applyNumberFormat="1" applyFont="1" applyFill="1" applyBorder="1" applyAlignment="1">
      <alignment horizontal="center" vertical="center"/>
    </xf>
    <xf numFmtId="1" fontId="9" fillId="2" borderId="10" xfId="11" applyNumberFormat="1" applyFont="1" applyFill="1" applyBorder="1" applyAlignment="1">
      <alignment horizontal="center" vertical="center"/>
    </xf>
    <xf numFmtId="165" fontId="9" fillId="2" borderId="11" xfId="11" applyNumberFormat="1" applyFont="1" applyFill="1" applyBorder="1" applyAlignment="1">
      <alignment horizontal="center" vertical="center"/>
    </xf>
    <xf numFmtId="49" fontId="7" fillId="2" borderId="0" xfId="11" applyNumberFormat="1" applyFont="1" applyFill="1" applyBorder="1" applyAlignment="1">
      <alignment horizontal="center" vertical="center"/>
    </xf>
    <xf numFmtId="3" fontId="7" fillId="2" borderId="0" xfId="11" applyNumberFormat="1" applyFont="1" applyFill="1" applyBorder="1" applyAlignment="1">
      <alignment horizontal="center" vertical="center"/>
    </xf>
    <xf numFmtId="165" fontId="7" fillId="2" borderId="0" xfId="11" applyNumberFormat="1" applyFont="1" applyFill="1" applyBorder="1" applyAlignment="1">
      <alignment horizontal="center" vertical="center"/>
    </xf>
    <xf numFmtId="1" fontId="7" fillId="2" borderId="0" xfId="11" applyNumberFormat="1" applyFont="1" applyFill="1" applyBorder="1" applyAlignment="1">
      <alignment horizontal="center" vertical="center"/>
    </xf>
    <xf numFmtId="165" fontId="7" fillId="2" borderId="5" xfId="11" applyNumberFormat="1" applyFont="1" applyFill="1" applyBorder="1" applyAlignment="1">
      <alignment horizontal="center" vertical="center"/>
    </xf>
    <xf numFmtId="49" fontId="14" fillId="2" borderId="0" xfId="0" applyNumberFormat="1" applyFont="1" applyFill="1" applyBorder="1"/>
    <xf numFmtId="49" fontId="14" fillId="2" borderId="0" xfId="0" applyNumberFormat="1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0" fillId="2" borderId="0" xfId="0" applyFill="1"/>
    <xf numFmtId="0" fontId="7" fillId="3" borderId="4" xfId="46" applyFont="1" applyFill="1" applyBorder="1"/>
    <xf numFmtId="3" fontId="7" fillId="5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49" fontId="10" fillId="9" borderId="7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center" vertical="center"/>
    </xf>
    <xf numFmtId="0" fontId="16" fillId="5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9" fontId="10" fillId="9" borderId="8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3" fontId="7" fillId="2" borderId="10" xfId="0" applyNumberFormat="1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3" fontId="9" fillId="2" borderId="10" xfId="0" applyNumberFormat="1" applyFont="1" applyFill="1" applyBorder="1" applyAlignment="1">
      <alignment horizontal="center" vertical="center"/>
    </xf>
    <xf numFmtId="3" fontId="9" fillId="2" borderId="0" xfId="0" applyNumberFormat="1" applyFont="1" applyFill="1" applyBorder="1" applyAlignment="1">
      <alignment horizontal="center" vertical="center"/>
    </xf>
    <xf numFmtId="3" fontId="7" fillId="5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3" fontId="7" fillId="10" borderId="0" xfId="0" applyNumberFormat="1" applyFont="1" applyFill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/>
    </xf>
    <xf numFmtId="3" fontId="7" fillId="11" borderId="0" xfId="0" applyNumberFormat="1" applyFont="1" applyFill="1" applyAlignment="1">
      <alignment horizontal="center" vertical="center"/>
    </xf>
    <xf numFmtId="3" fontId="7" fillId="4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10" fillId="6" borderId="9" xfId="0" applyNumberFormat="1" applyFont="1" applyFill="1" applyBorder="1" applyAlignment="1">
      <alignment horizontal="center" vertical="center"/>
    </xf>
    <xf numFmtId="49" fontId="10" fillId="9" borderId="10" xfId="0" applyNumberFormat="1" applyFont="1" applyFill="1" applyBorder="1" applyAlignment="1">
      <alignment horizontal="center" vertical="center"/>
    </xf>
    <xf numFmtId="1" fontId="10" fillId="9" borderId="10" xfId="0" applyNumberFormat="1" applyFont="1" applyFill="1" applyBorder="1" applyAlignment="1">
      <alignment horizontal="center" vertical="center"/>
    </xf>
    <xf numFmtId="165" fontId="10" fillId="9" borderId="10" xfId="0" applyNumberFormat="1" applyFont="1" applyFill="1" applyBorder="1" applyAlignment="1">
      <alignment horizontal="center" vertical="center"/>
    </xf>
    <xf numFmtId="165" fontId="10" fillId="6" borderId="11" xfId="0" applyNumberFormat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165" fontId="9" fillId="4" borderId="2" xfId="0" applyNumberFormat="1" applyFont="1" applyFill="1" applyBorder="1" applyAlignment="1">
      <alignment horizontal="center" vertical="center"/>
    </xf>
    <xf numFmtId="1" fontId="9" fillId="4" borderId="2" xfId="0" applyNumberFormat="1" applyFont="1" applyFill="1" applyBorder="1" applyAlignment="1">
      <alignment horizontal="center" vertical="center"/>
    </xf>
    <xf numFmtId="165" fontId="9" fillId="2" borderId="3" xfId="0" applyNumberFormat="1" applyFont="1" applyFill="1" applyBorder="1" applyAlignment="1">
      <alignment horizontal="center" vertical="center"/>
    </xf>
    <xf numFmtId="165" fontId="9" fillId="7" borderId="7" xfId="0" applyNumberFormat="1" applyFont="1" applyFill="1" applyBorder="1" applyAlignment="1">
      <alignment horizontal="center" vertical="center"/>
    </xf>
    <xf numFmtId="1" fontId="9" fillId="7" borderId="7" xfId="0" applyNumberFormat="1" applyFont="1" applyFill="1" applyBorder="1" applyAlignment="1">
      <alignment horizontal="center" vertical="center"/>
    </xf>
    <xf numFmtId="165" fontId="9" fillId="7" borderId="8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>
      <alignment horizontal="center" vertical="center"/>
    </xf>
    <xf numFmtId="165" fontId="9" fillId="2" borderId="0" xfId="0" applyNumberFormat="1" applyFont="1" applyFill="1" applyBorder="1" applyAlignment="1">
      <alignment horizontal="center" vertical="center"/>
    </xf>
    <xf numFmtId="1" fontId="9" fillId="2" borderId="0" xfId="0" applyNumberFormat="1" applyFont="1" applyFill="1" applyBorder="1" applyAlignment="1">
      <alignment horizontal="center" vertical="center"/>
    </xf>
    <xf numFmtId="165" fontId="9" fillId="2" borderId="5" xfId="0" applyNumberFormat="1" applyFont="1" applyFill="1" applyBorder="1" applyAlignment="1">
      <alignment horizontal="center" vertical="center"/>
    </xf>
    <xf numFmtId="165" fontId="7" fillId="5" borderId="0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/>
    </xf>
    <xf numFmtId="0" fontId="7" fillId="5" borderId="0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65" fontId="7" fillId="5" borderId="10" xfId="0" applyNumberFormat="1" applyFont="1" applyFill="1" applyBorder="1" applyAlignment="1">
      <alignment horizontal="center" vertical="center"/>
    </xf>
    <xf numFmtId="165" fontId="9" fillId="5" borderId="10" xfId="0" applyNumberFormat="1" applyFont="1" applyFill="1" applyBorder="1" applyAlignment="1">
      <alignment horizontal="center" vertical="center"/>
    </xf>
    <xf numFmtId="165" fontId="9" fillId="8" borderId="7" xfId="0" applyNumberFormat="1" applyFont="1" applyFill="1" applyBorder="1" applyAlignment="1">
      <alignment horizontal="center" vertical="center"/>
    </xf>
    <xf numFmtId="1" fontId="9" fillId="8" borderId="7" xfId="0" applyNumberFormat="1" applyFont="1" applyFill="1" applyBorder="1" applyAlignment="1">
      <alignment horizontal="center" vertical="center"/>
    </xf>
    <xf numFmtId="165" fontId="7" fillId="11" borderId="0" xfId="0" applyNumberFormat="1" applyFont="1" applyFill="1" applyAlignment="1">
      <alignment horizontal="center" vertical="center"/>
    </xf>
    <xf numFmtId="165" fontId="7" fillId="4" borderId="0" xfId="0" applyNumberFormat="1" applyFont="1" applyFill="1" applyAlignment="1">
      <alignment horizontal="center" vertical="center"/>
    </xf>
    <xf numFmtId="165" fontId="7" fillId="5" borderId="5" xfId="1" applyNumberFormat="1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7" fillId="2" borderId="5" xfId="1" applyNumberFormat="1" applyFont="1" applyFill="1" applyBorder="1" applyAlignment="1">
      <alignment horizontal="center" vertical="center"/>
    </xf>
    <xf numFmtId="165" fontId="7" fillId="4" borderId="0" xfId="0" applyNumberFormat="1" applyFont="1" applyFill="1" applyAlignment="1">
      <alignment horizontal="center" vertical="center" wrapText="1"/>
    </xf>
    <xf numFmtId="1" fontId="7" fillId="4" borderId="0" xfId="0" applyNumberFormat="1" applyFont="1" applyFill="1" applyAlignment="1">
      <alignment horizontal="center" vertical="center"/>
    </xf>
    <xf numFmtId="165" fontId="7" fillId="5" borderId="0" xfId="0" applyNumberFormat="1" applyFont="1" applyFill="1" applyAlignment="1">
      <alignment horizontal="center" vertical="center" wrapText="1"/>
    </xf>
    <xf numFmtId="165" fontId="7" fillId="5" borderId="0" xfId="0" applyNumberFormat="1" applyFont="1" applyFill="1" applyAlignment="1">
      <alignment horizontal="center" vertical="center"/>
    </xf>
    <xf numFmtId="1" fontId="7" fillId="5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 wrapText="1"/>
    </xf>
    <xf numFmtId="1" fontId="7" fillId="2" borderId="0" xfId="0" applyNumberFormat="1" applyFont="1" applyFill="1" applyAlignment="1">
      <alignment horizontal="center" vertical="center"/>
    </xf>
    <xf numFmtId="165" fontId="7" fillId="11" borderId="0" xfId="0" applyNumberFormat="1" applyFont="1" applyFill="1" applyAlignment="1">
      <alignment horizontal="center" vertical="center" wrapText="1"/>
    </xf>
    <xf numFmtId="1" fontId="7" fillId="11" borderId="0" xfId="0" applyNumberFormat="1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/>
    </xf>
    <xf numFmtId="165" fontId="7" fillId="10" borderId="0" xfId="0" applyNumberFormat="1" applyFont="1" applyFill="1" applyAlignment="1">
      <alignment horizontal="center" vertical="center"/>
    </xf>
    <xf numFmtId="1" fontId="7" fillId="10" borderId="0" xfId="0" applyNumberFormat="1" applyFont="1" applyFill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 wrapText="1"/>
    </xf>
    <xf numFmtId="165" fontId="7" fillId="11" borderId="0" xfId="0" applyNumberFormat="1" applyFont="1" applyFill="1" applyAlignment="1">
      <alignment horizontal="center" vertical="center" shrinkToFit="1"/>
    </xf>
    <xf numFmtId="165" fontId="16" fillId="7" borderId="7" xfId="0" applyNumberFormat="1" applyFont="1" applyFill="1" applyBorder="1" applyAlignment="1">
      <alignment horizontal="center" vertical="center"/>
    </xf>
    <xf numFmtId="1" fontId="16" fillId="7" borderId="7" xfId="0" applyNumberFormat="1" applyFont="1" applyFill="1" applyBorder="1" applyAlignment="1">
      <alignment horizontal="center" vertical="center"/>
    </xf>
    <xf numFmtId="165" fontId="16" fillId="7" borderId="8" xfId="0" applyNumberFormat="1" applyFont="1" applyFill="1" applyBorder="1" applyAlignment="1">
      <alignment horizontal="center" vertical="center"/>
    </xf>
    <xf numFmtId="165" fontId="16" fillId="5" borderId="0" xfId="0" applyNumberFormat="1" applyFont="1" applyFill="1" applyBorder="1" applyAlignment="1">
      <alignment horizontal="center" vertical="center"/>
    </xf>
    <xf numFmtId="165" fontId="16" fillId="5" borderId="3" xfId="0" applyNumberFormat="1" applyFont="1" applyFill="1" applyBorder="1" applyAlignment="1">
      <alignment horizontal="center" vertical="center"/>
    </xf>
    <xf numFmtId="165" fontId="16" fillId="2" borderId="0" xfId="0" applyNumberFormat="1" applyFont="1" applyFill="1" applyBorder="1" applyAlignment="1">
      <alignment horizontal="center" vertical="center"/>
    </xf>
    <xf numFmtId="165" fontId="16" fillId="2" borderId="5" xfId="0" applyNumberFormat="1" applyFont="1" applyFill="1" applyBorder="1" applyAlignment="1">
      <alignment horizontal="center" vertical="center"/>
    </xf>
    <xf numFmtId="165" fontId="16" fillId="5" borderId="7" xfId="0" applyNumberFormat="1" applyFont="1" applyFill="1" applyBorder="1" applyAlignment="1">
      <alignment horizontal="center" vertical="center"/>
    </xf>
    <xf numFmtId="165" fontId="16" fillId="5" borderId="8" xfId="0" applyNumberFormat="1" applyFont="1" applyFill="1" applyBorder="1" applyAlignment="1">
      <alignment horizontal="center" vertical="center"/>
    </xf>
    <xf numFmtId="0" fontId="7" fillId="10" borderId="0" xfId="0" applyFont="1" applyFill="1" applyAlignment="1">
      <alignment horizontal="center" vertical="center"/>
    </xf>
    <xf numFmtId="0" fontId="7" fillId="0" borderId="0" xfId="0" applyFont="1"/>
    <xf numFmtId="165" fontId="7" fillId="3" borderId="5" xfId="0" applyNumberFormat="1" applyFont="1" applyFill="1" applyBorder="1" applyAlignment="1">
      <alignment horizontal="center" vertical="center"/>
    </xf>
    <xf numFmtId="165" fontId="7" fillId="10" borderId="5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center" wrapText="1"/>
    </xf>
    <xf numFmtId="1" fontId="7" fillId="5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" fontId="7" fillId="2" borderId="0" xfId="0" applyNumberFormat="1" applyFont="1" applyFill="1" applyBorder="1" applyAlignment="1">
      <alignment horizontal="center" vertical="center" wrapText="1"/>
    </xf>
    <xf numFmtId="0" fontId="33" fillId="5" borderId="0" xfId="0" applyFont="1" applyFill="1" applyBorder="1" applyAlignment="1">
      <alignment horizontal="center" vertical="center"/>
    </xf>
    <xf numFmtId="0" fontId="33" fillId="5" borderId="5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3" fontId="7" fillId="5" borderId="7" xfId="0" applyNumberFormat="1" applyFont="1" applyFill="1" applyBorder="1" applyAlignment="1">
      <alignment horizontal="center" vertical="center"/>
    </xf>
    <xf numFmtId="0" fontId="33" fillId="5" borderId="7" xfId="0" applyFont="1" applyFill="1" applyBorder="1" applyAlignment="1">
      <alignment horizontal="center" vertical="center"/>
    </xf>
    <xf numFmtId="165" fontId="7" fillId="5" borderId="7" xfId="0" applyNumberFormat="1" applyFont="1" applyFill="1" applyBorder="1" applyAlignment="1">
      <alignment horizontal="center" vertical="center"/>
    </xf>
    <xf numFmtId="0" fontId="33" fillId="5" borderId="8" xfId="0" applyFont="1" applyFill="1" applyBorder="1" applyAlignment="1">
      <alignment horizontal="center" vertical="center"/>
    </xf>
    <xf numFmtId="0" fontId="2" fillId="2" borderId="0" xfId="0" applyFont="1" applyFill="1"/>
    <xf numFmtId="0" fontId="7" fillId="4" borderId="4" xfId="46" applyFont="1" applyFill="1" applyBorder="1"/>
    <xf numFmtId="3" fontId="7" fillId="4" borderId="0" xfId="46" applyNumberFormat="1" applyFont="1" applyFill="1" applyBorder="1" applyAlignment="1">
      <alignment horizontal="center"/>
    </xf>
    <xf numFmtId="165" fontId="7" fillId="4" borderId="0" xfId="46" applyNumberFormat="1" applyFont="1" applyFill="1" applyBorder="1" applyAlignment="1">
      <alignment horizontal="center"/>
    </xf>
    <xf numFmtId="1" fontId="7" fillId="4" borderId="0" xfId="46" applyNumberFormat="1" applyFont="1" applyFill="1" applyBorder="1" applyAlignment="1">
      <alignment horizontal="center"/>
    </xf>
    <xf numFmtId="165" fontId="7" fillId="4" borderId="5" xfId="46" applyNumberFormat="1" applyFont="1" applyFill="1" applyBorder="1" applyAlignment="1">
      <alignment horizontal="center"/>
    </xf>
    <xf numFmtId="3" fontId="24" fillId="2" borderId="10" xfId="0" applyNumberFormat="1" applyFont="1" applyFill="1" applyBorder="1" applyAlignment="1">
      <alignment horizontal="center"/>
    </xf>
    <xf numFmtId="0" fontId="23" fillId="2" borderId="10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10" borderId="0" xfId="0" applyFont="1" applyFill="1" applyAlignment="1">
      <alignment horizontal="center"/>
    </xf>
    <xf numFmtId="0" fontId="9" fillId="10" borderId="7" xfId="0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3" fontId="15" fillId="2" borderId="0" xfId="0" applyNumberFormat="1" applyFont="1" applyFill="1" applyBorder="1" applyAlignment="1">
      <alignment horizontal="center"/>
    </xf>
    <xf numFmtId="4" fontId="15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9" fontId="7" fillId="2" borderId="0" xfId="0" applyNumberFormat="1" applyFont="1" applyFill="1" applyBorder="1" applyAlignment="1">
      <alignment horizontal="center"/>
    </xf>
    <xf numFmtId="9" fontId="15" fillId="2" borderId="0" xfId="0" applyNumberFormat="1" applyFont="1" applyFill="1" applyBorder="1" applyAlignment="1">
      <alignment horizontal="center"/>
    </xf>
    <xf numFmtId="0" fontId="9" fillId="4" borderId="4" xfId="0" applyFont="1" applyFill="1" applyBorder="1"/>
    <xf numFmtId="0" fontId="9" fillId="4" borderId="0" xfId="0" applyFont="1" applyFill="1"/>
    <xf numFmtId="49" fontId="9" fillId="2" borderId="12" xfId="0" applyNumberFormat="1" applyFont="1" applyFill="1" applyBorder="1" applyAlignment="1">
      <alignment horizontal="center"/>
    </xf>
    <xf numFmtId="0" fontId="16" fillId="8" borderId="6" xfId="0" applyFont="1" applyFill="1" applyBorder="1" applyAlignment="1">
      <alignment horizontal="left"/>
    </xf>
    <xf numFmtId="0" fontId="16" fillId="8" borderId="7" xfId="0" applyFont="1" applyFill="1" applyBorder="1" applyAlignment="1">
      <alignment horizontal="left"/>
    </xf>
    <xf numFmtId="0" fontId="23" fillId="7" borderId="6" xfId="0" applyFont="1" applyFill="1" applyBorder="1" applyAlignment="1">
      <alignment horizontal="left"/>
    </xf>
    <xf numFmtId="0" fontId="23" fillId="7" borderId="7" xfId="0" applyFont="1" applyFill="1" applyBorder="1" applyAlignment="1">
      <alignment horizontal="left"/>
    </xf>
    <xf numFmtId="49" fontId="7" fillId="2" borderId="2" xfId="0" applyNumberFormat="1" applyFont="1" applyFill="1" applyBorder="1" applyAlignment="1">
      <alignment horizontal="center"/>
    </xf>
    <xf numFmtId="165" fontId="7" fillId="4" borderId="10" xfId="0" applyNumberFormat="1" applyFont="1" applyFill="1" applyBorder="1" applyAlignment="1">
      <alignment horizontal="center"/>
    </xf>
    <xf numFmtId="0" fontId="3" fillId="2" borderId="0" xfId="0" applyFont="1" applyFill="1"/>
    <xf numFmtId="165" fontId="7" fillId="5" borderId="8" xfId="0" applyNumberFormat="1" applyFont="1" applyFill="1" applyBorder="1" applyAlignment="1">
      <alignment horizontal="center"/>
    </xf>
    <xf numFmtId="165" fontId="7" fillId="11" borderId="0" xfId="0" applyNumberFormat="1" applyFont="1" applyFill="1" applyAlignment="1">
      <alignment horizontal="left"/>
    </xf>
    <xf numFmtId="0" fontId="7" fillId="11" borderId="0" xfId="0" applyFont="1" applyFill="1"/>
    <xf numFmtId="49" fontId="7" fillId="2" borderId="0" xfId="0" applyNumberFormat="1" applyFont="1" applyFill="1" applyBorder="1" applyAlignment="1">
      <alignment horizontal="center"/>
    </xf>
    <xf numFmtId="3" fontId="7" fillId="11" borderId="0" xfId="0" applyNumberFormat="1" applyFont="1" applyFill="1" applyBorder="1" applyAlignment="1">
      <alignment horizontal="center"/>
    </xf>
    <xf numFmtId="165" fontId="7" fillId="11" borderId="0" xfId="0" applyNumberFormat="1" applyFont="1" applyFill="1" applyBorder="1" applyAlignment="1">
      <alignment horizontal="center"/>
    </xf>
    <xf numFmtId="1" fontId="7" fillId="11" borderId="0" xfId="0" applyNumberFormat="1" applyFont="1" applyFill="1" applyBorder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7" fillId="5" borderId="5" xfId="0" applyFont="1" applyFill="1" applyBorder="1"/>
    <xf numFmtId="165" fontId="7" fillId="5" borderId="5" xfId="0" applyNumberFormat="1" applyFont="1" applyFill="1" applyBorder="1" applyAlignment="1">
      <alignment horizontal="center"/>
    </xf>
    <xf numFmtId="165" fontId="7" fillId="2" borderId="5" xfId="0" applyNumberFormat="1" applyFont="1" applyFill="1" applyBorder="1" applyAlignment="1">
      <alignment horizontal="center"/>
    </xf>
    <xf numFmtId="165" fontId="7" fillId="5" borderId="5" xfId="0" applyNumberFormat="1" applyFont="1" applyFill="1" applyBorder="1" applyAlignment="1">
      <alignment horizontal="center"/>
    </xf>
    <xf numFmtId="165" fontId="7" fillId="2" borderId="5" xfId="0" applyNumberFormat="1" applyFont="1" applyFill="1" applyBorder="1" applyAlignment="1">
      <alignment horizontal="center"/>
    </xf>
    <xf numFmtId="165" fontId="7" fillId="5" borderId="5" xfId="0" applyNumberFormat="1" applyFont="1" applyFill="1" applyBorder="1" applyAlignment="1">
      <alignment horizontal="center"/>
    </xf>
    <xf numFmtId="165" fontId="7" fillId="2" borderId="5" xfId="0" applyNumberFormat="1" applyFont="1" applyFill="1" applyBorder="1" applyAlignment="1">
      <alignment horizontal="center"/>
    </xf>
    <xf numFmtId="165" fontId="7" fillId="5" borderId="5" xfId="0" applyNumberFormat="1" applyFont="1" applyFill="1" applyBorder="1" applyAlignment="1">
      <alignment horizontal="center"/>
    </xf>
    <xf numFmtId="165" fontId="7" fillId="2" borderId="5" xfId="0" applyNumberFormat="1" applyFont="1" applyFill="1" applyBorder="1" applyAlignment="1">
      <alignment horizontal="center"/>
    </xf>
    <xf numFmtId="165" fontId="7" fillId="5" borderId="5" xfId="0" applyNumberFormat="1" applyFont="1" applyFill="1" applyBorder="1" applyAlignment="1">
      <alignment horizontal="center"/>
    </xf>
    <xf numFmtId="165" fontId="7" fillId="2" borderId="5" xfId="0" applyNumberFormat="1" applyFont="1" applyFill="1" applyBorder="1" applyAlignment="1">
      <alignment horizontal="center"/>
    </xf>
    <xf numFmtId="0" fontId="34" fillId="5" borderId="0" xfId="0" applyFont="1" applyFill="1"/>
    <xf numFmtId="0" fontId="34" fillId="5" borderId="5" xfId="0" applyFont="1" applyFill="1" applyBorder="1"/>
    <xf numFmtId="0" fontId="34" fillId="2" borderId="0" xfId="0" applyFont="1" applyFill="1"/>
    <xf numFmtId="0" fontId="34" fillId="2" borderId="5" xfId="0" applyFont="1" applyFill="1" applyBorder="1"/>
    <xf numFmtId="3" fontId="26" fillId="5" borderId="0" xfId="58" applyNumberFormat="1" applyFill="1" applyBorder="1"/>
    <xf numFmtId="3" fontId="26" fillId="2" borderId="0" xfId="58" applyNumberFormat="1" applyFill="1" applyBorder="1"/>
    <xf numFmtId="49" fontId="7" fillId="2" borderId="2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49" fontId="31" fillId="2" borderId="0" xfId="0" applyNumberFormat="1" applyFont="1" applyFill="1" applyBorder="1" applyAlignment="1">
      <alignment horizontal="center" vertical="center"/>
    </xf>
    <xf numFmtId="49" fontId="31" fillId="2" borderId="7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left"/>
    </xf>
    <xf numFmtId="0" fontId="23" fillId="5" borderId="0" xfId="0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3" fontId="7" fillId="5" borderId="7" xfId="0" applyNumberFormat="1" applyFont="1" applyFill="1" applyBorder="1" applyAlignment="1">
      <alignment horizontal="center"/>
    </xf>
    <xf numFmtId="165" fontId="7" fillId="5" borderId="7" xfId="0" applyNumberFormat="1" applyFont="1" applyFill="1" applyBorder="1" applyAlignment="1">
      <alignment horizontal="center"/>
    </xf>
    <xf numFmtId="1" fontId="7" fillId="5" borderId="7" xfId="0" applyNumberFormat="1" applyFont="1" applyFill="1" applyBorder="1" applyAlignment="1">
      <alignment horizontal="center"/>
    </xf>
    <xf numFmtId="165" fontId="7" fillId="4" borderId="0" xfId="0" applyNumberFormat="1" applyFont="1" applyFill="1" applyBorder="1" applyAlignment="1">
      <alignment horizontal="center"/>
    </xf>
    <xf numFmtId="165" fontId="16" fillId="8" borderId="5" xfId="0" applyNumberFormat="1" applyFont="1" applyFill="1" applyBorder="1" applyAlignment="1">
      <alignment horizontal="center"/>
    </xf>
    <xf numFmtId="165" fontId="16" fillId="10" borderId="3" xfId="0" applyNumberFormat="1" applyFont="1" applyFill="1" applyBorder="1" applyAlignment="1">
      <alignment horizontal="center"/>
    </xf>
    <xf numFmtId="0" fontId="7" fillId="5" borderId="0" xfId="11" applyFont="1" applyFill="1" applyBorder="1" applyAlignment="1">
      <alignment horizontal="center"/>
    </xf>
    <xf numFmtId="0" fontId="23" fillId="2" borderId="9" xfId="0" applyFont="1" applyFill="1" applyBorder="1" applyAlignment="1">
      <alignment horizontal="left"/>
    </xf>
    <xf numFmtId="3" fontId="7" fillId="11" borderId="0" xfId="46" applyNumberFormat="1" applyFont="1" applyFill="1" applyBorder="1" applyAlignment="1">
      <alignment horizontal="center"/>
    </xf>
    <xf numFmtId="165" fontId="7" fillId="11" borderId="0" xfId="46" applyNumberFormat="1" applyFont="1" applyFill="1" applyBorder="1" applyAlignment="1">
      <alignment horizontal="center"/>
    </xf>
    <xf numFmtId="1" fontId="7" fillId="11" borderId="0" xfId="46" applyNumberFormat="1" applyFont="1" applyFill="1" applyBorder="1" applyAlignment="1">
      <alignment horizontal="center"/>
    </xf>
    <xf numFmtId="165" fontId="7" fillId="11" borderId="5" xfId="46" applyNumberFormat="1" applyFont="1" applyFill="1" applyBorder="1" applyAlignment="1">
      <alignment horizontal="center"/>
    </xf>
    <xf numFmtId="3" fontId="7" fillId="4" borderId="0" xfId="0" applyNumberFormat="1" applyFont="1" applyFill="1" applyBorder="1" applyAlignment="1">
      <alignment horizontal="center"/>
    </xf>
    <xf numFmtId="1" fontId="7" fillId="4" borderId="0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9" fillId="3" borderId="0" xfId="0" applyFont="1" applyFill="1" applyBorder="1"/>
    <xf numFmtId="49" fontId="9" fillId="5" borderId="0" xfId="0" applyNumberFormat="1" applyFont="1" applyFill="1" applyBorder="1" applyAlignment="1">
      <alignment vertical="center"/>
    </xf>
    <xf numFmtId="49" fontId="9" fillId="9" borderId="6" xfId="0" applyNumberFormat="1" applyFont="1" applyFill="1" applyBorder="1" applyAlignment="1">
      <alignment horizontal="center"/>
    </xf>
    <xf numFmtId="49" fontId="9" fillId="9" borderId="8" xfId="0" applyNumberFormat="1" applyFont="1" applyFill="1" applyBorder="1" applyAlignment="1">
      <alignment horizontal="center"/>
    </xf>
    <xf numFmtId="0" fontId="9" fillId="7" borderId="6" xfId="0" applyFont="1" applyFill="1" applyBorder="1" applyAlignment="1">
      <alignment horizontal="left"/>
    </xf>
    <xf numFmtId="0" fontId="9" fillId="7" borderId="7" xfId="0" applyFont="1" applyFill="1" applyBorder="1" applyAlignment="1">
      <alignment horizontal="left"/>
    </xf>
    <xf numFmtId="0" fontId="16" fillId="7" borderId="6" xfId="0" applyFont="1" applyFill="1" applyBorder="1" applyAlignment="1">
      <alignment horizontal="left"/>
    </xf>
    <xf numFmtId="0" fontId="16" fillId="7" borderId="7" xfId="0" applyFont="1" applyFill="1" applyBorder="1" applyAlignment="1">
      <alignment horizontal="left"/>
    </xf>
    <xf numFmtId="49" fontId="18" fillId="2" borderId="1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0" xfId="0" applyNumberFormat="1" applyFont="1" applyFill="1" applyBorder="1" applyAlignment="1">
      <alignment horizontal="center" vertical="center"/>
    </xf>
    <xf numFmtId="49" fontId="19" fillId="2" borderId="5" xfId="0" applyNumberFormat="1" applyFont="1" applyFill="1" applyBorder="1" applyAlignment="1">
      <alignment horizontal="center" vertical="center"/>
    </xf>
    <xf numFmtId="49" fontId="19" fillId="2" borderId="6" xfId="0" applyNumberFormat="1" applyFont="1" applyFill="1" applyBorder="1" applyAlignment="1">
      <alignment horizontal="center" vertical="center"/>
    </xf>
    <xf numFmtId="49" fontId="19" fillId="2" borderId="7" xfId="0" applyNumberFormat="1" applyFont="1" applyFill="1" applyBorder="1" applyAlignment="1">
      <alignment horizontal="center" vertical="center"/>
    </xf>
    <xf numFmtId="49" fontId="19" fillId="2" borderId="8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/>
    </xf>
    <xf numFmtId="49" fontId="9" fillId="2" borderId="3" xfId="0" applyNumberFormat="1" applyFont="1" applyFill="1" applyBorder="1" applyAlignment="1">
      <alignment horizontal="center"/>
    </xf>
    <xf numFmtId="49" fontId="9" fillId="2" borderId="12" xfId="0" applyNumberFormat="1" applyFont="1" applyFill="1" applyBorder="1" applyAlignment="1">
      <alignment horizontal="center"/>
    </xf>
    <xf numFmtId="0" fontId="16" fillId="8" borderId="6" xfId="0" applyFont="1" applyFill="1" applyBorder="1" applyAlignment="1">
      <alignment horizontal="left"/>
    </xf>
    <xf numFmtId="0" fontId="16" fillId="8" borderId="7" xfId="0" applyFont="1" applyFill="1" applyBorder="1" applyAlignment="1">
      <alignment horizontal="left"/>
    </xf>
    <xf numFmtId="49" fontId="9" fillId="2" borderId="2" xfId="0" applyNumberFormat="1" applyFont="1" applyFill="1" applyBorder="1" applyAlignment="1">
      <alignment horizontal="center"/>
    </xf>
    <xf numFmtId="49" fontId="9" fillId="2" borderId="9" xfId="0" applyNumberFormat="1" applyFont="1" applyFill="1" applyBorder="1" applyAlignment="1">
      <alignment horizontal="center"/>
    </xf>
    <xf numFmtId="49" fontId="9" fillId="2" borderId="10" xfId="0" applyNumberFormat="1" applyFont="1" applyFill="1" applyBorder="1" applyAlignment="1">
      <alignment horizontal="center"/>
    </xf>
    <xf numFmtId="0" fontId="9" fillId="8" borderId="6" xfId="0" applyFont="1" applyFill="1" applyBorder="1" applyAlignment="1">
      <alignment horizontal="left"/>
    </xf>
    <xf numFmtId="0" fontId="9" fillId="8" borderId="7" xfId="0" applyFont="1" applyFill="1" applyBorder="1" applyAlignment="1">
      <alignment horizontal="left"/>
    </xf>
    <xf numFmtId="0" fontId="23" fillId="7" borderId="6" xfId="0" applyFont="1" applyFill="1" applyBorder="1" applyAlignment="1">
      <alignment horizontal="left"/>
    </xf>
    <xf numFmtId="0" fontId="23" fillId="7" borderId="7" xfId="0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/>
    </xf>
    <xf numFmtId="49" fontId="7" fillId="2" borderId="0" xfId="0" applyNumberFormat="1" applyFont="1" applyFill="1" applyBorder="1" applyAlignment="1">
      <alignment horizontal="center"/>
    </xf>
    <xf numFmtId="49" fontId="7" fillId="2" borderId="5" xfId="0" applyNumberFormat="1" applyFont="1" applyFill="1" applyBorder="1" applyAlignment="1">
      <alignment horizontal="center"/>
    </xf>
    <xf numFmtId="49" fontId="7" fillId="2" borderId="6" xfId="0" applyNumberFormat="1" applyFont="1" applyFill="1" applyBorder="1" applyAlignment="1">
      <alignment horizontal="center"/>
    </xf>
    <xf numFmtId="49" fontId="7" fillId="2" borderId="7" xfId="0" applyNumberFormat="1" applyFont="1" applyFill="1" applyBorder="1" applyAlignment="1">
      <alignment horizontal="center"/>
    </xf>
    <xf numFmtId="49" fontId="7" fillId="2" borderId="8" xfId="0" applyNumberFormat="1" applyFont="1" applyFill="1" applyBorder="1" applyAlignment="1">
      <alignment horizontal="center"/>
    </xf>
    <xf numFmtId="49" fontId="9" fillId="2" borderId="9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/>
    </xf>
  </cellXfs>
  <cellStyles count="62">
    <cellStyle name="Currency" xfId="1" builtinId="4"/>
    <cellStyle name="Currency 2" xfId="47"/>
    <cellStyle name="Currency 2 2" xfId="56"/>
    <cellStyle name="Followed Hyperlink" xfId="29" builtinId="9" hidden="1"/>
    <cellStyle name="Followed Hyperlink" xfId="31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3" builtinId="9" hidden="1"/>
    <cellStyle name="Followed Hyperlink" xfId="45" builtinId="9" hidden="1"/>
    <cellStyle name="Followed Hyperlink" xfId="41" builtinId="9" hidden="1"/>
    <cellStyle name="Followed Hyperlink" xfId="33" builtinId="9" hidden="1"/>
    <cellStyle name="Followed Hyperlink" xfId="15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17" builtinId="9" hidden="1"/>
    <cellStyle name="Followed Hyperlink" xfId="10" builtinId="9" hidden="1"/>
    <cellStyle name="Followed Hyperlink" xfId="13" builtinId="9" hidden="1"/>
    <cellStyle name="Followed Hyperlink" xfId="8" builtinId="9" hidden="1"/>
    <cellStyle name="Followed Hyperlink" xfId="6" builtinId="9" hidden="1"/>
    <cellStyle name="Followed Hyperlink" xfId="49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Hyperlink" xfId="44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30" builtinId="8" hidden="1"/>
    <cellStyle name="Hyperlink" xfId="12" builtinId="8" hidden="1"/>
    <cellStyle name="Hyperlink" xfId="16" builtinId="8" hidden="1"/>
    <cellStyle name="Hyperlink" xfId="18" builtinId="8" hidden="1"/>
    <cellStyle name="Hyperlink" xfId="20" builtinId="8" hidden="1"/>
    <cellStyle name="Hyperlink" xfId="14" builtinId="8" hidden="1"/>
    <cellStyle name="Hyperlink" xfId="7" builtinId="8" hidden="1"/>
    <cellStyle name="Hyperlink" xfId="9" builtinId="8" hidden="1"/>
    <cellStyle name="Hyperlink" xfId="5" builtinId="8" hidden="1"/>
    <cellStyle name="Hyperlink" xfId="48" builtinId="8" hidden="1"/>
    <cellStyle name="Hyperlink" xfId="58" builtinId="8"/>
    <cellStyle name="Normal" xfId="0" builtinId="0"/>
    <cellStyle name="Normal 2" xfId="2"/>
    <cellStyle name="Normal 2 2" xfId="51"/>
    <cellStyle name="Normal 2 3" xfId="52"/>
    <cellStyle name="Normal 2 4" xfId="53"/>
    <cellStyle name="Normal 2 5" xfId="54"/>
    <cellStyle name="Normal 2 6" xfId="57"/>
    <cellStyle name="Normal 2 7" xfId="50"/>
    <cellStyle name="Normal 3" xfId="3"/>
    <cellStyle name="Normal 4" xfId="4"/>
    <cellStyle name="Normal 5" xfId="46"/>
    <cellStyle name="Normal 5 2" xfId="55"/>
    <cellStyle name="Normal 6" xfId="11"/>
  </cellStyles>
  <dxfs count="0"/>
  <tableStyles count="0" defaultTableStyle="TableStyleMedium2" defaultPivotStyle="PivotStyleLight16"/>
  <colors>
    <mruColors>
      <color rgb="FF660099"/>
      <color rgb="FFFECB00"/>
      <color rgb="FFDB9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409575</xdr:colOff>
      <xdr:row>0</xdr:row>
      <xdr:rowOff>114300</xdr:rowOff>
    </xdr:from>
    <xdr:to>
      <xdr:col>1</xdr:col>
      <xdr:colOff>1752600</xdr:colOff>
      <xdr:row>3</xdr:row>
      <xdr:rowOff>352425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8508" y="114316"/>
          <a:ext cx="1344386" cy="17154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114300</xdr:rowOff>
    </xdr:from>
    <xdr:to>
      <xdr:col>2</xdr:col>
      <xdr:colOff>1752600</xdr:colOff>
      <xdr:row>3</xdr:row>
      <xdr:rowOff>361950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8787" y="114316"/>
          <a:ext cx="1344386" cy="1709429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304800</xdr:colOff>
      <xdr:row>48</xdr:row>
      <xdr:rowOff>91167</xdr:rowOff>
    </xdr:to>
    <xdr:sp macro="" textlink="">
      <xdr:nvSpPr>
        <xdr:cNvPr id="3" name="AutoShape 9" descr="https://photos-3.dropbox.com/t/0/AADMrnH-RjBgs5wb396P7uMWoKN7ZcE4nOcqBX_dCfHSiQ/12/26808571/png/32x32/3/_/1/2/EngSoc%20Crest%20Text%20Palatino%20White.png/Z0K5sCEpWSMsAxJ9_B4SGh3fJQF6PBDcHkEySNm972s?size=1280x960"/>
        <xdr:cNvSpPr>
          <a:spLocks noChangeAspect="1" noChangeArrowheads="1"/>
        </xdr:cNvSpPr>
      </xdr:nvSpPr>
      <xdr:spPr bwMode="auto">
        <a:xfrm>
          <a:off x="2108200" y="9550400"/>
          <a:ext cx="304800" cy="2943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304800</xdr:colOff>
      <xdr:row>33</xdr:row>
      <xdr:rowOff>91167</xdr:rowOff>
    </xdr:to>
    <xdr:sp macro="" textlink="">
      <xdr:nvSpPr>
        <xdr:cNvPr id="4" name="AutoShape 9" descr="https://photos-3.dropbox.com/t/0/AADMrnH-RjBgs5wb396P7uMWoKN7ZcE4nOcqBX_dCfHSiQ/12/26808571/png/32x32/3/_/1/2/EngSoc%20Crest%20Text%20Palatino%20White.png/Z0K5sCEpWSMsAxJ9_B4SGh3fJQF6PBDcHkEySNm972s?size=1280x960"/>
        <xdr:cNvSpPr>
          <a:spLocks noChangeAspect="1" noChangeArrowheads="1"/>
        </xdr:cNvSpPr>
      </xdr:nvSpPr>
      <xdr:spPr bwMode="auto">
        <a:xfrm>
          <a:off x="5372100" y="6477000"/>
          <a:ext cx="304800" cy="2943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114300</xdr:rowOff>
    </xdr:from>
    <xdr:to>
      <xdr:col>2</xdr:col>
      <xdr:colOff>1752600</xdr:colOff>
      <xdr:row>3</xdr:row>
      <xdr:rowOff>361950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8787" y="114316"/>
          <a:ext cx="1344386" cy="170942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114300</xdr:rowOff>
    </xdr:from>
    <xdr:to>
      <xdr:col>2</xdr:col>
      <xdr:colOff>1752600</xdr:colOff>
      <xdr:row>3</xdr:row>
      <xdr:rowOff>361950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8787" y="114316"/>
          <a:ext cx="1344386" cy="170942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114300</xdr:rowOff>
    </xdr:from>
    <xdr:to>
      <xdr:col>2</xdr:col>
      <xdr:colOff>1752600</xdr:colOff>
      <xdr:row>3</xdr:row>
      <xdr:rowOff>361950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8787" y="114316"/>
          <a:ext cx="1344386" cy="170942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114300</xdr:rowOff>
    </xdr:from>
    <xdr:to>
      <xdr:col>2</xdr:col>
      <xdr:colOff>1752600</xdr:colOff>
      <xdr:row>3</xdr:row>
      <xdr:rowOff>361950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8787" y="114316"/>
          <a:ext cx="1344386" cy="170942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114300</xdr:rowOff>
    </xdr:from>
    <xdr:to>
      <xdr:col>2</xdr:col>
      <xdr:colOff>1752600</xdr:colOff>
      <xdr:row>3</xdr:row>
      <xdr:rowOff>361950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8787" y="114316"/>
          <a:ext cx="1344386" cy="170942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114300</xdr:rowOff>
    </xdr:from>
    <xdr:to>
      <xdr:col>2</xdr:col>
      <xdr:colOff>1752600</xdr:colOff>
      <xdr:row>3</xdr:row>
      <xdr:rowOff>361950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8787" y="114316"/>
          <a:ext cx="1344386" cy="170942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114300</xdr:rowOff>
    </xdr:from>
    <xdr:to>
      <xdr:col>2</xdr:col>
      <xdr:colOff>1752600</xdr:colOff>
      <xdr:row>3</xdr:row>
      <xdr:rowOff>361950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19137" y="114316"/>
          <a:ext cx="1344386" cy="169990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114300</xdr:rowOff>
    </xdr:from>
    <xdr:to>
      <xdr:col>2</xdr:col>
      <xdr:colOff>1752600</xdr:colOff>
      <xdr:row>3</xdr:row>
      <xdr:rowOff>361950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8787" y="114316"/>
          <a:ext cx="1344386" cy="1709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114300</xdr:rowOff>
    </xdr:from>
    <xdr:to>
      <xdr:col>2</xdr:col>
      <xdr:colOff>1752600</xdr:colOff>
      <xdr:row>3</xdr:row>
      <xdr:rowOff>361950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8787" y="114316"/>
          <a:ext cx="1344386" cy="17094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114300</xdr:rowOff>
    </xdr:from>
    <xdr:to>
      <xdr:col>2</xdr:col>
      <xdr:colOff>1752600</xdr:colOff>
      <xdr:row>3</xdr:row>
      <xdr:rowOff>361950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8787" y="114316"/>
          <a:ext cx="1344386" cy="1709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114300</xdr:rowOff>
    </xdr:from>
    <xdr:to>
      <xdr:col>2</xdr:col>
      <xdr:colOff>1752600</xdr:colOff>
      <xdr:row>3</xdr:row>
      <xdr:rowOff>361950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8787" y="114316"/>
          <a:ext cx="1344386" cy="17094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114300</xdr:rowOff>
    </xdr:from>
    <xdr:to>
      <xdr:col>2</xdr:col>
      <xdr:colOff>1752600</xdr:colOff>
      <xdr:row>3</xdr:row>
      <xdr:rowOff>361950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8787" y="114316"/>
          <a:ext cx="1344386" cy="17094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114300</xdr:rowOff>
    </xdr:from>
    <xdr:to>
      <xdr:col>2</xdr:col>
      <xdr:colOff>1752600</xdr:colOff>
      <xdr:row>3</xdr:row>
      <xdr:rowOff>361950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8787" y="114316"/>
          <a:ext cx="1344386" cy="17094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114300</xdr:rowOff>
    </xdr:from>
    <xdr:to>
      <xdr:col>2</xdr:col>
      <xdr:colOff>1752600</xdr:colOff>
      <xdr:row>3</xdr:row>
      <xdr:rowOff>361950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8787" y="114316"/>
          <a:ext cx="1344386" cy="17094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114300</xdr:rowOff>
    </xdr:from>
    <xdr:to>
      <xdr:col>2</xdr:col>
      <xdr:colOff>1752600</xdr:colOff>
      <xdr:row>3</xdr:row>
      <xdr:rowOff>361950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8787" y="114316"/>
          <a:ext cx="1344386" cy="1709429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304800</xdr:colOff>
      <xdr:row>13</xdr:row>
      <xdr:rowOff>87084</xdr:rowOff>
    </xdr:to>
    <xdr:sp macro="" textlink="">
      <xdr:nvSpPr>
        <xdr:cNvPr id="3" name="AutoShape 7" descr="https://photos-3.dropbox.com/t/0/AADMrnH-RjBgs5wb396P7uMWoKN7ZcE4nOcqBX_dCfHSiQ/12/26808571/png/32x32/3/_/1/2/EngSoc%20Crest%20Text%20Palatino%20White.png/Z0K5sCEpWSMsAxJ9_B4SGh3fJQF6PBDcHkEySNm972s?size=1280x960"/>
        <xdr:cNvSpPr>
          <a:spLocks noChangeAspect="1" noChangeArrowheads="1"/>
        </xdr:cNvSpPr>
      </xdr:nvSpPr>
      <xdr:spPr bwMode="auto">
        <a:xfrm>
          <a:off x="17932400" y="3403600"/>
          <a:ext cx="304800" cy="2902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12</xdr:row>
      <xdr:rowOff>0</xdr:rowOff>
    </xdr:from>
    <xdr:to>
      <xdr:col>11</xdr:col>
      <xdr:colOff>304800</xdr:colOff>
      <xdr:row>13</xdr:row>
      <xdr:rowOff>87084</xdr:rowOff>
    </xdr:to>
    <xdr:sp macro="" textlink="">
      <xdr:nvSpPr>
        <xdr:cNvPr id="4" name="AutoShape 8" descr="https://photos-3.dropbox.com/t/0/AADMrnH-RjBgs5wb396P7uMWoKN7ZcE4nOcqBX_dCfHSiQ/12/26808571/png/32x32/3/_/1/2/EngSoc%20Crest%20Text%20Palatino%20White.png/Z0K5sCEpWSMsAxJ9_B4SGh3fJQF6PBDcHkEySNm972s?size=1280x960"/>
        <xdr:cNvSpPr>
          <a:spLocks noChangeAspect="1" noChangeArrowheads="1"/>
        </xdr:cNvSpPr>
      </xdr:nvSpPr>
      <xdr:spPr bwMode="auto">
        <a:xfrm>
          <a:off x="17932400" y="3403600"/>
          <a:ext cx="304800" cy="290284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18</xdr:row>
      <xdr:rowOff>0</xdr:rowOff>
    </xdr:from>
    <xdr:to>
      <xdr:col>13</xdr:col>
      <xdr:colOff>304800</xdr:colOff>
      <xdr:row>19</xdr:row>
      <xdr:rowOff>91167</xdr:rowOff>
    </xdr:to>
    <xdr:sp macro="" textlink="">
      <xdr:nvSpPr>
        <xdr:cNvPr id="6" name="AutoShape 9" descr="https://photos-3.dropbox.com/t/0/AADMrnH-RjBgs5wb396P7uMWoKN7ZcE4nOcqBX_dCfHSiQ/12/26808571/png/32x32/3/_/1/2/EngSoc%20Crest%20Text%20Palatino%20White.png/Z0K5sCEpWSMsAxJ9_B4SGh3fJQF6PBDcHkEySNm972s?size=1280x960"/>
        <xdr:cNvSpPr>
          <a:spLocks noChangeAspect="1" noChangeArrowheads="1"/>
        </xdr:cNvSpPr>
      </xdr:nvSpPr>
      <xdr:spPr bwMode="auto">
        <a:xfrm>
          <a:off x="19469100" y="4648200"/>
          <a:ext cx="304800" cy="29436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14</xdr:row>
      <xdr:rowOff>0</xdr:rowOff>
    </xdr:from>
    <xdr:to>
      <xdr:col>13</xdr:col>
      <xdr:colOff>304800</xdr:colOff>
      <xdr:row>15</xdr:row>
      <xdr:rowOff>91168</xdr:rowOff>
    </xdr:to>
    <xdr:sp macro="" textlink="">
      <xdr:nvSpPr>
        <xdr:cNvPr id="7" name="AutoShape 9" descr="https://photos-3.dropbox.com/t/0/AADMrnH-RjBgs5wb396P7uMWoKN7ZcE4nOcqBX_dCfHSiQ/12/26808571/png/32x32/3/_/1/2/EngSoc%20Crest%20Text%20Palatino%20White.png/Z0K5sCEpWSMsAxJ9_B4SGh3fJQF6PBDcHkEySNm972s?size=1280x960"/>
        <xdr:cNvSpPr>
          <a:spLocks noChangeAspect="1" noChangeArrowheads="1"/>
        </xdr:cNvSpPr>
      </xdr:nvSpPr>
      <xdr:spPr bwMode="auto">
        <a:xfrm>
          <a:off x="19469100" y="3810000"/>
          <a:ext cx="304800" cy="2943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0</xdr:row>
      <xdr:rowOff>114300</xdr:rowOff>
    </xdr:from>
    <xdr:to>
      <xdr:col>2</xdr:col>
      <xdr:colOff>1752600</xdr:colOff>
      <xdr:row>3</xdr:row>
      <xdr:rowOff>361950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8787" y="114316"/>
          <a:ext cx="1344386" cy="1709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26"/>
  <sheetViews>
    <sheetView tabSelected="1" zoomScale="75" zoomScaleNormal="75" workbookViewId="0">
      <pane xSplit="2" ySplit="6" topLeftCell="C85" activePane="bottomRight" state="frozen"/>
      <selection pane="topRight" activeCell="C1" sqref="C1"/>
      <selection pane="bottomLeft" activeCell="A4" sqref="A4"/>
      <selection pane="bottomRight" activeCell="E105" sqref="E105"/>
    </sheetView>
  </sheetViews>
  <sheetFormatPr defaultColWidth="8.85546875" defaultRowHeight="17.25" x14ac:dyDescent="0.3"/>
  <cols>
    <col min="1" max="1" width="10.42578125" style="53" customWidth="1"/>
    <col min="2" max="2" width="44.42578125" style="53" bestFit="1" customWidth="1"/>
    <col min="3" max="3" width="28.140625" style="55" customWidth="1"/>
    <col min="4" max="4" width="28.140625" style="18" customWidth="1"/>
    <col min="5" max="5" width="15.28515625" style="18" customWidth="1"/>
    <col min="6" max="7" width="28.140625" style="18" customWidth="1"/>
    <col min="8" max="8" width="12" style="17" customWidth="1"/>
    <col min="9" max="9" width="11.28515625" style="17" customWidth="1"/>
    <col min="10" max="10" width="8.85546875" style="53"/>
    <col min="11" max="11" width="10.140625" style="53" bestFit="1" customWidth="1"/>
    <col min="12" max="12" width="14.28515625" style="53" customWidth="1"/>
    <col min="13" max="16384" width="8.85546875" style="53"/>
  </cols>
  <sheetData>
    <row r="1" spans="1:11" s="2" customFormat="1" ht="38.25" x14ac:dyDescent="0.3">
      <c r="B1" s="3"/>
      <c r="C1" s="564" t="s">
        <v>0</v>
      </c>
      <c r="D1" s="565"/>
      <c r="E1" s="565"/>
      <c r="F1" s="565"/>
      <c r="G1" s="566"/>
    </row>
    <row r="2" spans="1:11" s="2" customFormat="1" ht="38.25" x14ac:dyDescent="0.3">
      <c r="A2" s="4"/>
      <c r="B2" s="5"/>
      <c r="C2" s="567"/>
      <c r="D2" s="568"/>
      <c r="E2" s="568"/>
      <c r="F2" s="568"/>
      <c r="G2" s="569"/>
    </row>
    <row r="3" spans="1:11" s="2" customFormat="1" ht="38.25" x14ac:dyDescent="0.3">
      <c r="A3" s="4"/>
      <c r="B3" s="5"/>
      <c r="C3" s="567"/>
      <c r="D3" s="568"/>
      <c r="E3" s="568"/>
      <c r="F3" s="568"/>
      <c r="G3" s="569"/>
    </row>
    <row r="4" spans="1:11" s="2" customFormat="1" ht="38.25" x14ac:dyDescent="0.3">
      <c r="A4" s="6"/>
      <c r="B4" s="7"/>
      <c r="C4" s="570"/>
      <c r="D4" s="571"/>
      <c r="E4" s="571"/>
      <c r="F4" s="571"/>
      <c r="G4" s="572"/>
    </row>
    <row r="5" spans="1:11" s="2" customFormat="1" x14ac:dyDescent="0.3">
      <c r="A5" s="573"/>
      <c r="B5" s="574"/>
      <c r="C5" s="575" t="s">
        <v>1</v>
      </c>
      <c r="D5" s="575"/>
      <c r="E5" s="497"/>
      <c r="F5" s="575" t="s">
        <v>2</v>
      </c>
      <c r="G5" s="575"/>
      <c r="H5" s="8"/>
      <c r="I5" s="8"/>
    </row>
    <row r="6" spans="1:11" s="2" customFormat="1" x14ac:dyDescent="0.3">
      <c r="A6" s="558"/>
      <c r="B6" s="559"/>
      <c r="C6" s="56" t="s">
        <v>3</v>
      </c>
      <c r="D6" s="57" t="s">
        <v>1685</v>
      </c>
      <c r="E6" s="57"/>
      <c r="F6" s="56" t="s">
        <v>3</v>
      </c>
      <c r="G6" s="57" t="s">
        <v>4</v>
      </c>
      <c r="H6" s="8"/>
      <c r="I6" s="8"/>
    </row>
    <row r="7" spans="1:11" s="2" customFormat="1" x14ac:dyDescent="0.3">
      <c r="A7" s="9"/>
      <c r="B7" s="10"/>
      <c r="C7" s="11"/>
      <c r="D7" s="12"/>
      <c r="E7" s="12"/>
      <c r="F7" s="11"/>
      <c r="G7" s="13"/>
      <c r="H7" s="8"/>
      <c r="I7" s="8"/>
    </row>
    <row r="8" spans="1:11" s="2" customFormat="1" x14ac:dyDescent="0.3">
      <c r="A8" s="560" t="s">
        <v>5</v>
      </c>
      <c r="B8" s="561"/>
      <c r="C8" s="14"/>
      <c r="D8" s="14"/>
      <c r="E8" s="14"/>
      <c r="F8" s="14"/>
      <c r="G8" s="15"/>
      <c r="H8" s="8"/>
      <c r="I8" s="8"/>
    </row>
    <row r="9" spans="1:11" s="17" customFormat="1" x14ac:dyDescent="0.3">
      <c r="A9" s="16" t="s">
        <v>6</v>
      </c>
      <c r="C9" s="18"/>
      <c r="D9" s="18"/>
      <c r="E9" s="18"/>
      <c r="F9" s="18"/>
      <c r="G9" s="19"/>
    </row>
    <row r="10" spans="1:11" s="17" customFormat="1" x14ac:dyDescent="0.3">
      <c r="A10" s="16"/>
      <c r="B10" s="20" t="s">
        <v>7</v>
      </c>
      <c r="C10" s="80">
        <f>General!H11</f>
        <v>2700</v>
      </c>
      <c r="D10" s="80">
        <f>General!I11</f>
        <v>850</v>
      </c>
      <c r="E10" s="80"/>
      <c r="F10" s="80">
        <v>2700</v>
      </c>
      <c r="G10" s="111">
        <v>0</v>
      </c>
    </row>
    <row r="11" spans="1:11" s="17" customFormat="1" x14ac:dyDescent="0.3">
      <c r="A11" s="21"/>
      <c r="B11" s="22" t="s">
        <v>8</v>
      </c>
      <c r="C11" s="82">
        <f>SUM(General!H13:H14)</f>
        <v>1250</v>
      </c>
      <c r="D11" s="82">
        <f>SUM(General!I13:I14)</f>
        <v>5233.2</v>
      </c>
      <c r="E11" s="82" t="s">
        <v>9</v>
      </c>
      <c r="F11" s="82">
        <v>750</v>
      </c>
      <c r="G11" s="93">
        <v>1835.7799999999995</v>
      </c>
      <c r="K11" s="23"/>
    </row>
    <row r="12" spans="1:11" s="17" customFormat="1" x14ac:dyDescent="0.3">
      <c r="A12" s="21"/>
      <c r="B12" s="1" t="s">
        <v>10</v>
      </c>
      <c r="C12" s="80">
        <f>General!H17</f>
        <v>300</v>
      </c>
      <c r="D12" s="80">
        <f>General!I17</f>
        <v>382.45</v>
      </c>
      <c r="E12" s="80"/>
      <c r="F12" s="80">
        <v>240</v>
      </c>
      <c r="G12" s="111">
        <v>270.7</v>
      </c>
      <c r="K12" s="23"/>
    </row>
    <row r="13" spans="1:11" s="17" customFormat="1" x14ac:dyDescent="0.3">
      <c r="A13" s="21"/>
      <c r="B13" s="22" t="s">
        <v>11</v>
      </c>
      <c r="C13" s="82">
        <f>General!H19</f>
        <v>37322.159999999996</v>
      </c>
      <c r="D13" s="82">
        <f>General!I19</f>
        <v>37322.159999999996</v>
      </c>
      <c r="E13" s="82"/>
      <c r="F13" s="82">
        <v>36941.64</v>
      </c>
      <c r="G13" s="112">
        <v>21549.289999999997</v>
      </c>
      <c r="I13" s="24"/>
      <c r="K13" s="23"/>
    </row>
    <row r="14" spans="1:11" s="17" customFormat="1" x14ac:dyDescent="0.3">
      <c r="A14" s="21"/>
      <c r="B14" s="1" t="s">
        <v>12</v>
      </c>
      <c r="C14" s="80">
        <f>General!H21</f>
        <v>9040</v>
      </c>
      <c r="D14" s="80">
        <f>General!I21</f>
        <v>9040</v>
      </c>
      <c r="E14" s="80"/>
      <c r="F14" s="80">
        <v>9040</v>
      </c>
      <c r="G14" s="90">
        <v>9040</v>
      </c>
      <c r="K14" s="23"/>
    </row>
    <row r="15" spans="1:11" s="17" customFormat="1" x14ac:dyDescent="0.3">
      <c r="A15" s="21"/>
      <c r="B15" s="22" t="s">
        <v>13</v>
      </c>
      <c r="C15" s="82">
        <f>SUM(General!H23:H24)</f>
        <v>168782.06999999998</v>
      </c>
      <c r="D15" s="82">
        <f>SUM(General!I23:I24)</f>
        <v>161252.32</v>
      </c>
      <c r="E15" s="82"/>
      <c r="F15" s="82">
        <v>159461.14000000001</v>
      </c>
      <c r="G15" s="93">
        <v>136568.31</v>
      </c>
      <c r="K15" s="23"/>
    </row>
    <row r="16" spans="1:11" s="17" customFormat="1" x14ac:dyDescent="0.3">
      <c r="A16" s="21"/>
      <c r="B16" s="1" t="s">
        <v>14</v>
      </c>
      <c r="C16" s="80">
        <f>SUM(General!H27:H28)</f>
        <v>26000</v>
      </c>
      <c r="D16" s="80">
        <f>SUM(General!I27:I28)</f>
        <v>26403.3</v>
      </c>
      <c r="E16" s="80"/>
      <c r="F16" s="80">
        <v>26000</v>
      </c>
      <c r="G16" s="90">
        <v>10722.5</v>
      </c>
      <c r="K16" s="23"/>
    </row>
    <row r="17" spans="1:12" s="17" customFormat="1" x14ac:dyDescent="0.3">
      <c r="A17" s="21"/>
      <c r="B17" s="22" t="s">
        <v>15</v>
      </c>
      <c r="C17" s="82">
        <f>General!H31</f>
        <v>50</v>
      </c>
      <c r="D17" s="82">
        <f>General!I31</f>
        <v>65</v>
      </c>
      <c r="E17" s="82"/>
      <c r="F17" s="82">
        <v>500</v>
      </c>
      <c r="G17" s="93">
        <v>305</v>
      </c>
      <c r="K17" s="23"/>
    </row>
    <row r="18" spans="1:12" s="17" customFormat="1" x14ac:dyDescent="0.3">
      <c r="A18" s="21"/>
      <c r="B18" s="1" t="s">
        <v>16</v>
      </c>
      <c r="C18" s="80">
        <f>General!H35</f>
        <v>24750</v>
      </c>
      <c r="D18" s="80">
        <f>General!I35</f>
        <v>13010.25</v>
      </c>
      <c r="E18" s="80"/>
      <c r="F18" s="80">
        <v>6930</v>
      </c>
      <c r="G18" s="90">
        <v>13724.05</v>
      </c>
      <c r="K18" s="23"/>
    </row>
    <row r="19" spans="1:12" s="17" customFormat="1" x14ac:dyDescent="0.3">
      <c r="A19" s="21"/>
      <c r="B19" s="1" t="s">
        <v>17</v>
      </c>
      <c r="C19" s="80">
        <f>General!H39</f>
        <v>22193.195</v>
      </c>
      <c r="D19" s="80">
        <f>General!I39</f>
        <v>0</v>
      </c>
      <c r="E19" s="80"/>
      <c r="F19" s="80"/>
      <c r="G19" s="90"/>
      <c r="K19" s="23"/>
    </row>
    <row r="20" spans="1:12" s="27" customFormat="1" x14ac:dyDescent="0.3">
      <c r="A20" s="16"/>
      <c r="B20" s="25" t="s">
        <v>18</v>
      </c>
      <c r="C20" s="68">
        <f>SUM(C10:C19)</f>
        <v>292387.42499999999</v>
      </c>
      <c r="D20" s="68">
        <f>SUM(D10:D18)</f>
        <v>253558.68</v>
      </c>
      <c r="E20" s="68"/>
      <c r="F20" s="68">
        <f>SUM(F10:F18)</f>
        <v>242562.78000000003</v>
      </c>
      <c r="G20" s="69">
        <f>SUM(G10:G18)</f>
        <v>194015.62999999998</v>
      </c>
      <c r="H20" s="17"/>
      <c r="I20" s="26"/>
      <c r="K20" s="28"/>
      <c r="L20" s="28"/>
    </row>
    <row r="21" spans="1:12" s="27" customFormat="1" x14ac:dyDescent="0.3">
      <c r="A21" s="16"/>
      <c r="C21" s="85"/>
      <c r="D21" s="85"/>
      <c r="E21" s="85"/>
      <c r="F21" s="85"/>
      <c r="G21" s="86"/>
      <c r="H21" s="22"/>
      <c r="I21" s="26"/>
      <c r="K21" s="28"/>
      <c r="L21" s="28"/>
    </row>
    <row r="22" spans="1:12" s="27" customFormat="1" x14ac:dyDescent="0.3">
      <c r="A22" s="16" t="s">
        <v>19</v>
      </c>
      <c r="B22" s="17"/>
      <c r="C22" s="82"/>
      <c r="D22" s="82"/>
      <c r="E22" s="82"/>
      <c r="F22" s="82"/>
      <c r="G22" s="93"/>
      <c r="H22" s="22"/>
      <c r="I22" s="26"/>
      <c r="K22" s="28"/>
      <c r="L22" s="28"/>
    </row>
    <row r="23" spans="1:12" s="17" customFormat="1" x14ac:dyDescent="0.3">
      <c r="A23" s="21"/>
      <c r="B23" s="529" t="s">
        <v>20</v>
      </c>
      <c r="C23" s="80">
        <f>'11-PRES'!H11</f>
        <v>0</v>
      </c>
      <c r="D23" s="80">
        <f>'11-PRES'!I11</f>
        <v>0</v>
      </c>
      <c r="E23" s="80"/>
      <c r="F23" s="80">
        <v>0</v>
      </c>
      <c r="G23" s="515">
        <v>0</v>
      </c>
      <c r="K23" s="23"/>
    </row>
    <row r="24" spans="1:12" s="17" customFormat="1" x14ac:dyDescent="0.3">
      <c r="A24" s="21"/>
      <c r="B24" s="530" t="s">
        <v>21</v>
      </c>
      <c r="C24" s="82">
        <f>'12-VPOPS'!H32</f>
        <v>0</v>
      </c>
      <c r="D24" s="82">
        <f>'12-VPOPS'!I32</f>
        <v>0</v>
      </c>
      <c r="E24" s="82"/>
      <c r="F24" s="82">
        <v>0</v>
      </c>
      <c r="G24" s="516">
        <v>0</v>
      </c>
      <c r="K24" s="23"/>
    </row>
    <row r="25" spans="1:12" s="17" customFormat="1" x14ac:dyDescent="0.3">
      <c r="A25" s="21"/>
      <c r="B25" s="529" t="s">
        <v>22</v>
      </c>
      <c r="C25" s="80">
        <f>'13-VPSA'!H10</f>
        <v>0</v>
      </c>
      <c r="D25" s="80">
        <f>'13-VPSA'!I10</f>
        <v>0</v>
      </c>
      <c r="E25" s="80"/>
      <c r="F25" s="80">
        <v>0</v>
      </c>
      <c r="G25" s="515">
        <v>0</v>
      </c>
      <c r="K25" s="23"/>
    </row>
    <row r="26" spans="1:12" s="17" customFormat="1" x14ac:dyDescent="0.3">
      <c r="A26" s="21"/>
      <c r="B26" s="530" t="s">
        <v>23</v>
      </c>
      <c r="C26" s="82">
        <f>'14 - Academics'!H15</f>
        <v>11950</v>
      </c>
      <c r="D26" s="82">
        <f>'14 - Academics'!I15</f>
        <v>4608.4500000000007</v>
      </c>
      <c r="E26" s="82"/>
      <c r="F26" s="82">
        <v>8000</v>
      </c>
      <c r="G26" s="516">
        <v>3635.7</v>
      </c>
      <c r="K26" s="23"/>
    </row>
    <row r="27" spans="1:12" s="17" customFormat="1" x14ac:dyDescent="0.3">
      <c r="A27" s="21"/>
      <c r="B27" s="529" t="s">
        <v>24</v>
      </c>
      <c r="C27" s="80">
        <f>'15-Design'!H10</f>
        <v>0</v>
      </c>
      <c r="D27" s="80">
        <f>'15-Design'!I10</f>
        <v>0</v>
      </c>
      <c r="E27" s="80"/>
      <c r="F27" s="80">
        <v>490</v>
      </c>
      <c r="G27" s="515">
        <v>0</v>
      </c>
      <c r="K27" s="23"/>
    </row>
    <row r="28" spans="1:12" s="17" customFormat="1" x14ac:dyDescent="0.3">
      <c r="A28" s="21"/>
      <c r="B28" s="530" t="s">
        <v>25</v>
      </c>
      <c r="C28" s="82">
        <f>'16-PD'!H66</f>
        <v>9600</v>
      </c>
      <c r="D28" s="82">
        <f>'16-PD'!I66</f>
        <v>6960</v>
      </c>
      <c r="E28" s="82"/>
      <c r="F28" s="82">
        <v>8900</v>
      </c>
      <c r="G28" s="516">
        <v>7245</v>
      </c>
      <c r="K28" s="23"/>
    </row>
    <row r="29" spans="1:12" s="17" customFormat="1" x14ac:dyDescent="0.3">
      <c r="A29" s="21"/>
      <c r="B29" s="529" t="s">
        <v>26</v>
      </c>
      <c r="C29" s="80">
        <f>'17-CONFS'!H10</f>
        <v>0</v>
      </c>
      <c r="D29" s="80">
        <f>'17-CONFS'!I10</f>
        <v>0</v>
      </c>
      <c r="E29" s="80"/>
      <c r="F29" s="80">
        <v>900</v>
      </c>
      <c r="G29" s="515">
        <v>0</v>
      </c>
      <c r="K29" s="23"/>
    </row>
    <row r="30" spans="1:12" s="17" customFormat="1" x14ac:dyDescent="0.3">
      <c r="A30" s="21"/>
      <c r="B30" s="530" t="s">
        <v>27</v>
      </c>
      <c r="C30" s="82">
        <f>'18-FY'!H14</f>
        <v>4000</v>
      </c>
      <c r="D30" s="82">
        <f>'18-FY'!I14</f>
        <v>3158.25</v>
      </c>
      <c r="E30" s="82"/>
      <c r="F30" s="82">
        <v>3389.9999999999995</v>
      </c>
      <c r="G30" s="516">
        <v>4957.25</v>
      </c>
      <c r="K30" s="23"/>
    </row>
    <row r="31" spans="1:12" s="17" customFormat="1" x14ac:dyDescent="0.3">
      <c r="A31" s="21"/>
      <c r="B31" s="529" t="s">
        <v>28</v>
      </c>
      <c r="C31" s="80">
        <f>'19-FINANCE'!H47</f>
        <v>0</v>
      </c>
      <c r="D31" s="80">
        <f>'19-FINANCE'!I47</f>
        <v>0</v>
      </c>
      <c r="E31" s="80"/>
      <c r="F31" s="80">
        <v>0</v>
      </c>
      <c r="G31" s="515">
        <v>0</v>
      </c>
      <c r="K31" s="23"/>
    </row>
    <row r="32" spans="1:12" s="17" customFormat="1" x14ac:dyDescent="0.3">
      <c r="A32" s="21"/>
      <c r="B32" s="530" t="s">
        <v>29</v>
      </c>
      <c r="C32" s="82">
        <f>'20-SERVICES'!H10</f>
        <v>0</v>
      </c>
      <c r="D32" s="82">
        <f>'20-SERVICES'!I10</f>
        <v>0</v>
      </c>
      <c r="E32" s="82"/>
      <c r="F32" s="82">
        <v>0</v>
      </c>
      <c r="G32" s="516">
        <v>0</v>
      </c>
      <c r="K32" s="23"/>
    </row>
    <row r="33" spans="1:12" s="17" customFormat="1" x14ac:dyDescent="0.3">
      <c r="A33" s="21"/>
      <c r="B33" s="529" t="s">
        <v>30</v>
      </c>
      <c r="C33" s="80">
        <f>'21-IT'!H28</f>
        <v>2209.15</v>
      </c>
      <c r="D33" s="80">
        <f>'21-IT'!I28</f>
        <v>0</v>
      </c>
      <c r="E33" s="80"/>
      <c r="F33" s="80">
        <v>225</v>
      </c>
      <c r="G33" s="515">
        <v>0</v>
      </c>
      <c r="K33" s="23"/>
    </row>
    <row r="34" spans="1:12" s="17" customFormat="1" x14ac:dyDescent="0.3">
      <c r="A34" s="21"/>
      <c r="B34" s="530" t="s">
        <v>31</v>
      </c>
      <c r="C34" s="82">
        <f>'22-EVENTS'!H14</f>
        <v>1250</v>
      </c>
      <c r="D34" s="82">
        <f>'22-EVENTS'!I14</f>
        <v>0</v>
      </c>
      <c r="E34" s="82"/>
      <c r="F34" s="82">
        <v>1000</v>
      </c>
      <c r="G34" s="516">
        <v>0</v>
      </c>
      <c r="K34" s="23"/>
    </row>
    <row r="35" spans="1:12" s="17" customFormat="1" x14ac:dyDescent="0.3">
      <c r="A35" s="21"/>
      <c r="B35" s="529" t="s">
        <v>32</v>
      </c>
      <c r="C35" s="80">
        <f>'23-COMM'!H10</f>
        <v>0</v>
      </c>
      <c r="D35" s="80">
        <f>'23-COMM'!I10</f>
        <v>0</v>
      </c>
      <c r="E35" s="80"/>
      <c r="F35" s="80">
        <v>0</v>
      </c>
      <c r="G35" s="515">
        <v>0</v>
      </c>
      <c r="K35" s="23"/>
    </row>
    <row r="36" spans="1:12" s="17" customFormat="1" x14ac:dyDescent="0.3">
      <c r="A36" s="21"/>
      <c r="B36" s="530" t="s">
        <v>33</v>
      </c>
      <c r="C36" s="82">
        <f>'24-IA'!H10</f>
        <v>0</v>
      </c>
      <c r="D36" s="82">
        <f>'24-IA'!I10</f>
        <v>0</v>
      </c>
      <c r="E36" s="82"/>
      <c r="F36" s="82">
        <v>1700</v>
      </c>
      <c r="G36" s="516">
        <v>0</v>
      </c>
      <c r="K36" s="23"/>
    </row>
    <row r="37" spans="1:12" s="17" customFormat="1" x14ac:dyDescent="0.3">
      <c r="A37" s="21"/>
      <c r="B37" s="529" t="s">
        <v>34</v>
      </c>
      <c r="C37" s="80">
        <f>'25-HR'!H10</f>
        <v>0</v>
      </c>
      <c r="D37" s="80">
        <f>'25-HR'!I10</f>
        <v>0</v>
      </c>
      <c r="E37" s="80"/>
      <c r="F37" s="80"/>
      <c r="G37" s="515"/>
      <c r="K37" s="23"/>
    </row>
    <row r="38" spans="1:12" s="17" customFormat="1" x14ac:dyDescent="0.3">
      <c r="A38" s="21"/>
      <c r="B38" s="530" t="s">
        <v>35</v>
      </c>
      <c r="C38" s="82">
        <f>'26-EVPOS'!H107</f>
        <v>30255.674800000001</v>
      </c>
      <c r="D38" s="82">
        <f>'26-EVPOS'!I107</f>
        <v>7044.54</v>
      </c>
      <c r="E38" s="82"/>
      <c r="F38" s="82">
        <v>49487.418299999998</v>
      </c>
      <c r="G38" s="93">
        <v>14638.34</v>
      </c>
      <c r="K38" s="23"/>
    </row>
    <row r="39" spans="1:12" s="17" customFormat="1" x14ac:dyDescent="0.3">
      <c r="A39" s="21"/>
      <c r="B39" s="1"/>
      <c r="C39" s="80"/>
      <c r="D39" s="80"/>
      <c r="E39" s="80"/>
      <c r="F39" s="80"/>
      <c r="G39" s="90"/>
      <c r="K39" s="23"/>
    </row>
    <row r="40" spans="1:12" s="17" customFormat="1" x14ac:dyDescent="0.3">
      <c r="A40" s="21"/>
      <c r="B40" s="22"/>
      <c r="C40" s="82"/>
      <c r="D40" s="82"/>
      <c r="E40" s="82"/>
      <c r="F40" s="82"/>
      <c r="G40" s="93"/>
      <c r="K40" s="23"/>
    </row>
    <row r="41" spans="1:12" s="17" customFormat="1" x14ac:dyDescent="0.3">
      <c r="A41" s="16"/>
      <c r="B41" s="25" t="s">
        <v>36</v>
      </c>
      <c r="C41" s="68">
        <f>SUM(C23:C40)</f>
        <v>59264.824800000002</v>
      </c>
      <c r="D41" s="68">
        <f>SUM(D23:D40)</f>
        <v>21771.24</v>
      </c>
      <c r="E41" s="68"/>
      <c r="F41" s="68">
        <f>SUM(F23:F38)</f>
        <v>74092.41829999999</v>
      </c>
      <c r="G41" s="69"/>
      <c r="H41" s="22"/>
      <c r="I41" s="29"/>
      <c r="J41" s="22"/>
      <c r="K41" s="22"/>
      <c r="L41" s="23"/>
    </row>
    <row r="42" spans="1:12" s="17" customFormat="1" x14ac:dyDescent="0.3">
      <c r="A42" s="16"/>
      <c r="B42" s="27"/>
      <c r="C42" s="85"/>
      <c r="D42" s="85"/>
      <c r="E42" s="85"/>
      <c r="F42" s="85"/>
      <c r="G42" s="86"/>
      <c r="H42" s="22"/>
      <c r="I42" s="29"/>
      <c r="J42" s="22"/>
      <c r="K42" s="22"/>
      <c r="L42" s="23"/>
    </row>
    <row r="43" spans="1:12" s="27" customFormat="1" x14ac:dyDescent="0.3">
      <c r="A43" s="16" t="s">
        <v>37</v>
      </c>
      <c r="B43" s="17"/>
      <c r="C43" s="82"/>
      <c r="D43" s="82"/>
      <c r="E43" s="82"/>
      <c r="F43" s="82"/>
      <c r="G43" s="93"/>
      <c r="H43" s="22"/>
      <c r="I43" s="26"/>
      <c r="K43" s="24"/>
      <c r="L43" s="28"/>
    </row>
    <row r="44" spans="1:12" s="17" customFormat="1" x14ac:dyDescent="0.3">
      <c r="A44" s="21"/>
      <c r="B44" s="1" t="s">
        <v>38</v>
      </c>
      <c r="C44" s="80">
        <f>General!H46</f>
        <v>9011.2800000000007</v>
      </c>
      <c r="D44" s="80">
        <f>General!I46</f>
        <v>9011.2800000000007</v>
      </c>
      <c r="E44" s="80"/>
      <c r="F44" s="80">
        <v>7623</v>
      </c>
      <c r="G44" s="111">
        <v>4446.68</v>
      </c>
      <c r="I44" s="29"/>
      <c r="K44" s="23"/>
    </row>
    <row r="45" spans="1:12" s="17" customFormat="1" x14ac:dyDescent="0.3">
      <c r="A45" s="21"/>
      <c r="B45" s="22" t="s">
        <v>39</v>
      </c>
      <c r="C45" s="82">
        <f>General!H48</f>
        <v>42803.76</v>
      </c>
      <c r="D45" s="82">
        <f>General!I48</f>
        <v>42803.76</v>
      </c>
      <c r="E45" s="82"/>
      <c r="F45" s="82">
        <v>39960.959999999999</v>
      </c>
      <c r="G45" s="93">
        <v>23310.49</v>
      </c>
      <c r="I45" s="29"/>
      <c r="K45" s="23"/>
    </row>
    <row r="46" spans="1:12" s="17" customFormat="1" x14ac:dyDescent="0.3">
      <c r="A46" s="21"/>
      <c r="B46" s="1" t="s">
        <v>40</v>
      </c>
      <c r="C46" s="80">
        <f>General!H50</f>
        <v>16601.64</v>
      </c>
      <c r="D46" s="80">
        <f>General!I50</f>
        <v>16601.64</v>
      </c>
      <c r="E46" s="80"/>
      <c r="F46" s="80">
        <v>16404.84</v>
      </c>
      <c r="G46" s="111">
        <v>9360.4500000000007</v>
      </c>
      <c r="I46" s="29"/>
      <c r="K46" s="23"/>
    </row>
    <row r="47" spans="1:12" s="17" customFormat="1" x14ac:dyDescent="0.3">
      <c r="A47" s="21"/>
      <c r="B47" s="22" t="s">
        <v>41</v>
      </c>
      <c r="C47" s="82">
        <f>General!H52</f>
        <v>3544.56</v>
      </c>
      <c r="D47" s="82">
        <f>General!I52</f>
        <v>3544.56</v>
      </c>
      <c r="E47" s="82"/>
      <c r="F47" s="82">
        <v>3384.96</v>
      </c>
      <c r="G47" s="112">
        <v>1878.86</v>
      </c>
      <c r="I47" s="29"/>
      <c r="K47" s="23" t="s">
        <v>9</v>
      </c>
    </row>
    <row r="48" spans="1:12" s="17" customFormat="1" x14ac:dyDescent="0.3">
      <c r="A48" s="21"/>
      <c r="B48" s="1" t="s">
        <v>42</v>
      </c>
      <c r="C48" s="80">
        <f>General!H54</f>
        <v>3200.04</v>
      </c>
      <c r="D48" s="80">
        <f>General!I54</f>
        <v>3200.04</v>
      </c>
      <c r="E48" s="80"/>
      <c r="F48" s="113">
        <v>3264</v>
      </c>
      <c r="G48" s="111">
        <v>1802</v>
      </c>
      <c r="I48" s="29"/>
      <c r="K48" s="23"/>
    </row>
    <row r="49" spans="1:12" s="17" customFormat="1" x14ac:dyDescent="0.3">
      <c r="A49" s="21"/>
      <c r="B49" s="22" t="s">
        <v>43</v>
      </c>
      <c r="C49" s="82">
        <f>SUM(General!H56:H57)</f>
        <v>2499.96</v>
      </c>
      <c r="D49" s="82">
        <f>SUM(General!I56:I57)</f>
        <v>4731.1866666666665</v>
      </c>
      <c r="E49" s="82"/>
      <c r="F49" s="82">
        <v>2860.56</v>
      </c>
      <c r="G49" s="112">
        <v>1922.36</v>
      </c>
      <c r="I49" s="29"/>
      <c r="K49" s="23"/>
    </row>
    <row r="50" spans="1:12" s="17" customFormat="1" x14ac:dyDescent="0.3">
      <c r="A50" s="21"/>
      <c r="B50" s="1"/>
      <c r="C50" s="80"/>
      <c r="D50" s="80"/>
      <c r="E50" s="80"/>
      <c r="F50" s="80"/>
      <c r="G50" s="90"/>
      <c r="I50" s="29"/>
      <c r="K50" s="23"/>
    </row>
    <row r="51" spans="1:12" s="17" customFormat="1" x14ac:dyDescent="0.3">
      <c r="A51" s="16"/>
      <c r="B51" s="25" t="s">
        <v>44</v>
      </c>
      <c r="C51" s="68">
        <f>SUM(C44:C49)</f>
        <v>77661.239999999991</v>
      </c>
      <c r="D51" s="68">
        <f>SUM(D44:D49)</f>
        <v>79892.466666666645</v>
      </c>
      <c r="E51" s="68"/>
      <c r="F51" s="68">
        <f>SUM(F44:F49)</f>
        <v>73498.320000000007</v>
      </c>
      <c r="G51" s="69">
        <f>SUM(G44:G49)</f>
        <v>42720.840000000004</v>
      </c>
      <c r="H51" s="22"/>
      <c r="I51" s="29"/>
      <c r="K51" s="23"/>
      <c r="L51" s="23"/>
    </row>
    <row r="52" spans="1:12" s="17" customFormat="1" x14ac:dyDescent="0.3">
      <c r="A52" s="16"/>
      <c r="B52" s="27"/>
      <c r="C52" s="85"/>
      <c r="D52" s="85"/>
      <c r="E52" s="85"/>
      <c r="F52" s="85"/>
      <c r="G52" s="86"/>
      <c r="H52" s="22"/>
      <c r="I52" s="29"/>
      <c r="J52" s="22"/>
      <c r="K52" s="22"/>
      <c r="L52" s="23"/>
    </row>
    <row r="53" spans="1:12" s="31" customFormat="1" ht="18.75" x14ac:dyDescent="0.35">
      <c r="A53" s="30"/>
      <c r="B53" s="31" t="s">
        <v>45</v>
      </c>
      <c r="C53" s="85">
        <f>SUM(C41+C20+C51)</f>
        <v>429313.48979999998</v>
      </c>
      <c r="D53" s="85">
        <f>SUM(D41+D20+D51)</f>
        <v>355222.3866666666</v>
      </c>
      <c r="E53" s="85"/>
      <c r="F53" s="85">
        <f>SUM(F41+F20+F51)</f>
        <v>390153.51830000005</v>
      </c>
      <c r="G53" s="86">
        <f>SUM(G41+G20+G51)</f>
        <v>236736.46999999997</v>
      </c>
      <c r="H53" s="32"/>
      <c r="I53" s="33"/>
      <c r="J53" s="32"/>
      <c r="K53" s="32"/>
      <c r="L53" s="34"/>
    </row>
    <row r="54" spans="1:12" s="31" customFormat="1" ht="18.75" x14ac:dyDescent="0.35">
      <c r="A54" s="30"/>
      <c r="C54" s="85"/>
      <c r="D54" s="85"/>
      <c r="E54" s="85"/>
      <c r="F54" s="85"/>
      <c r="G54" s="86"/>
      <c r="H54" s="32"/>
      <c r="I54" s="33"/>
      <c r="J54" s="32"/>
      <c r="K54" s="32"/>
      <c r="L54" s="34"/>
    </row>
    <row r="55" spans="1:12" s="17" customFormat="1" x14ac:dyDescent="0.3">
      <c r="A55" s="560" t="s">
        <v>46</v>
      </c>
      <c r="B55" s="561"/>
      <c r="C55" s="14"/>
      <c r="D55" s="35"/>
      <c r="E55" s="35"/>
      <c r="F55" s="14"/>
      <c r="G55" s="36"/>
      <c r="H55" s="37"/>
      <c r="I55" s="37"/>
    </row>
    <row r="56" spans="1:12" s="27" customFormat="1" x14ac:dyDescent="0.3">
      <c r="A56" s="16" t="s">
        <v>47</v>
      </c>
      <c r="B56" s="17"/>
      <c r="C56" s="82"/>
      <c r="D56" s="82"/>
      <c r="E56" s="82"/>
      <c r="F56" s="82"/>
      <c r="G56" s="93"/>
      <c r="H56" s="22"/>
      <c r="I56" s="26"/>
      <c r="K56" s="24"/>
      <c r="L56" s="28"/>
    </row>
    <row r="57" spans="1:12" s="17" customFormat="1" x14ac:dyDescent="0.3">
      <c r="A57" s="21"/>
      <c r="B57" s="1" t="s">
        <v>48</v>
      </c>
      <c r="C57" s="80">
        <f>General!H66</f>
        <v>2847.6</v>
      </c>
      <c r="D57" s="80">
        <f>General!I66</f>
        <v>1831.6</v>
      </c>
      <c r="E57" s="80"/>
      <c r="F57" s="80">
        <v>2520</v>
      </c>
      <c r="G57" s="111">
        <v>0</v>
      </c>
      <c r="I57" s="29"/>
      <c r="K57" s="23"/>
    </row>
    <row r="58" spans="1:12" s="17" customFormat="1" x14ac:dyDescent="0.3">
      <c r="A58" s="21"/>
      <c r="B58" s="22" t="s">
        <v>49</v>
      </c>
      <c r="C58" s="82">
        <f>SUM(General!H68:H71)</f>
        <v>7166.46</v>
      </c>
      <c r="D58" s="82">
        <f>SUM(General!I68:I71)</f>
        <v>7310.1200000000008</v>
      </c>
      <c r="E58" s="82"/>
      <c r="F58" s="82">
        <v>5313.48</v>
      </c>
      <c r="G58" s="93">
        <v>1791.3200000000002</v>
      </c>
      <c r="I58" s="29"/>
      <c r="K58" s="23"/>
    </row>
    <row r="59" spans="1:12" s="17" customFormat="1" x14ac:dyDescent="0.3">
      <c r="A59" s="21"/>
      <c r="B59" s="1" t="s">
        <v>10</v>
      </c>
      <c r="C59" s="80">
        <f>General!H74</f>
        <v>120</v>
      </c>
      <c r="D59" s="80">
        <f>General!I74</f>
        <v>110.85</v>
      </c>
      <c r="E59" s="80"/>
      <c r="F59" s="80">
        <v>135.6</v>
      </c>
      <c r="G59" s="111">
        <v>0</v>
      </c>
      <c r="I59" s="29"/>
      <c r="K59" s="23"/>
    </row>
    <row r="60" spans="1:12" s="17" customFormat="1" x14ac:dyDescent="0.3">
      <c r="A60" s="21"/>
      <c r="B60" s="22" t="s">
        <v>50</v>
      </c>
      <c r="C60" s="82">
        <f>General!H76</f>
        <v>1915.35</v>
      </c>
      <c r="D60" s="82">
        <f>General!I76</f>
        <v>0</v>
      </c>
      <c r="E60" s="82"/>
      <c r="F60" s="82">
        <v>1695</v>
      </c>
      <c r="G60" s="112">
        <v>0</v>
      </c>
      <c r="I60" s="29"/>
      <c r="K60" s="23"/>
    </row>
    <row r="61" spans="1:12" s="17" customFormat="1" x14ac:dyDescent="0.3">
      <c r="A61" s="21"/>
      <c r="B61" s="1" t="s">
        <v>51</v>
      </c>
      <c r="C61" s="80">
        <f>General!H78</f>
        <v>12429.999999999998</v>
      </c>
      <c r="D61" s="80">
        <f>General!I78</f>
        <v>12719.01</v>
      </c>
      <c r="E61" s="80"/>
      <c r="F61" s="113">
        <v>12429.999999999998</v>
      </c>
      <c r="G61" s="111">
        <v>0</v>
      </c>
      <c r="I61" s="29"/>
      <c r="K61" s="23"/>
    </row>
    <row r="62" spans="1:12" s="17" customFormat="1" x14ac:dyDescent="0.3">
      <c r="A62" s="21"/>
      <c r="B62" s="22" t="s">
        <v>52</v>
      </c>
      <c r="C62" s="82">
        <f>General!H80</f>
        <v>9432.6749999999993</v>
      </c>
      <c r="D62" s="82">
        <f>General!I80</f>
        <v>9432.6749999999993</v>
      </c>
      <c r="E62" s="82"/>
      <c r="F62" s="82">
        <v>9195.375</v>
      </c>
      <c r="G62" s="112">
        <v>18.75</v>
      </c>
      <c r="I62" s="29"/>
      <c r="K62" s="23"/>
    </row>
    <row r="63" spans="1:12" s="17" customFormat="1" x14ac:dyDescent="0.3">
      <c r="A63" s="21"/>
      <c r="B63" s="1" t="s">
        <v>53</v>
      </c>
      <c r="C63" s="80">
        <f>General!H82</f>
        <v>26748</v>
      </c>
      <c r="D63" s="80">
        <f>General!I82</f>
        <v>12448.09</v>
      </c>
      <c r="E63" s="80"/>
      <c r="F63" s="80">
        <v>5196.87</v>
      </c>
      <c r="G63" s="111">
        <v>5445.16</v>
      </c>
      <c r="I63" s="29"/>
      <c r="K63" s="23"/>
    </row>
    <row r="64" spans="1:12" s="17" customFormat="1" x14ac:dyDescent="0.3">
      <c r="A64" s="16"/>
      <c r="B64" s="25" t="s">
        <v>54</v>
      </c>
      <c r="C64" s="68">
        <f>SUM(C57:C63)</f>
        <v>60660.084999999992</v>
      </c>
      <c r="D64" s="68">
        <f>SUM(D57:D63)</f>
        <v>43852.345000000001</v>
      </c>
      <c r="E64" s="68"/>
      <c r="F64" s="68">
        <f>SUM(F57:F63)</f>
        <v>36486.324999999997</v>
      </c>
      <c r="G64" s="69">
        <f>SUM(G57:G63)</f>
        <v>7255.23</v>
      </c>
      <c r="H64" s="22"/>
      <c r="I64" s="29"/>
      <c r="K64" s="23"/>
      <c r="L64" s="23"/>
    </row>
    <row r="65" spans="1:12" s="17" customFormat="1" x14ac:dyDescent="0.3">
      <c r="A65" s="16"/>
      <c r="B65" s="27"/>
      <c r="C65" s="85"/>
      <c r="D65" s="85"/>
      <c r="E65" s="85"/>
      <c r="F65" s="85"/>
      <c r="G65" s="86"/>
      <c r="H65" s="22"/>
      <c r="I65" s="29"/>
      <c r="K65" s="23"/>
      <c r="L65" s="23"/>
    </row>
    <row r="66" spans="1:12" s="17" customFormat="1" x14ac:dyDescent="0.3">
      <c r="A66" s="16" t="s">
        <v>55</v>
      </c>
      <c r="C66" s="82"/>
      <c r="D66" s="82"/>
      <c r="E66" s="82"/>
      <c r="F66" s="82"/>
      <c r="G66" s="518"/>
      <c r="H66" s="22"/>
      <c r="I66" s="29"/>
      <c r="K66" s="23"/>
      <c r="L66" s="23"/>
    </row>
    <row r="67" spans="1:12" s="17" customFormat="1" x14ac:dyDescent="0.3">
      <c r="A67" s="38"/>
      <c r="B67" s="529" t="s">
        <v>20</v>
      </c>
      <c r="C67" s="80">
        <f>'11-PRES'!H50</f>
        <v>13533.05</v>
      </c>
      <c r="D67" s="80">
        <f>'11-PRES'!I50</f>
        <v>9139.58</v>
      </c>
      <c r="E67" s="80"/>
      <c r="F67" s="80">
        <v>10187.76</v>
      </c>
      <c r="G67" s="517">
        <v>8260.25</v>
      </c>
      <c r="H67" s="22"/>
      <c r="I67" s="29"/>
      <c r="K67" s="23"/>
      <c r="L67" s="23"/>
    </row>
    <row r="68" spans="1:12" s="17" customFormat="1" x14ac:dyDescent="0.3">
      <c r="A68" s="38"/>
      <c r="B68" s="530" t="s">
        <v>21</v>
      </c>
      <c r="C68" s="82">
        <f>'12-VPOPS'!H29</f>
        <v>2606.0060000000003</v>
      </c>
      <c r="D68" s="82">
        <f>'12-VPOPS'!I29</f>
        <v>1981.84</v>
      </c>
      <c r="E68" s="82"/>
      <c r="F68" s="82">
        <v>2352.66</v>
      </c>
      <c r="G68" s="518">
        <v>119.05000000000001</v>
      </c>
      <c r="H68" s="22"/>
      <c r="I68" s="29"/>
      <c r="K68" s="23"/>
      <c r="L68" s="23"/>
    </row>
    <row r="69" spans="1:12" s="17" customFormat="1" x14ac:dyDescent="0.3">
      <c r="A69" s="38"/>
      <c r="B69" s="529" t="s">
        <v>22</v>
      </c>
      <c r="C69" s="80">
        <f>'13-VPSA'!H33</f>
        <v>1395.55</v>
      </c>
      <c r="D69" s="80">
        <f>'13-VPSA'!I33</f>
        <v>1912.1</v>
      </c>
      <c r="E69" s="80"/>
      <c r="F69" s="80">
        <v>1101.7499999999998</v>
      </c>
      <c r="G69" s="517">
        <v>40.49</v>
      </c>
      <c r="H69" s="22"/>
      <c r="I69" s="29"/>
      <c r="K69" s="23"/>
      <c r="L69" s="23"/>
    </row>
    <row r="70" spans="1:12" s="17" customFormat="1" x14ac:dyDescent="0.3">
      <c r="A70" s="38"/>
      <c r="B70" s="530" t="s">
        <v>23</v>
      </c>
      <c r="C70" s="82">
        <f>'14 - Academics'!H45</f>
        <v>17808.8452</v>
      </c>
      <c r="D70" s="82">
        <f>'14 - Academics'!I45</f>
        <v>7557.6799999999994</v>
      </c>
      <c r="E70" s="82"/>
      <c r="F70" s="82">
        <v>9166.7250000000004</v>
      </c>
      <c r="G70" s="518">
        <v>2312.88</v>
      </c>
      <c r="H70" s="22"/>
      <c r="I70" s="29"/>
      <c r="K70" s="23"/>
      <c r="L70" s="23"/>
    </row>
    <row r="71" spans="1:12" s="17" customFormat="1" x14ac:dyDescent="0.3">
      <c r="A71" s="38"/>
      <c r="B71" s="529" t="s">
        <v>24</v>
      </c>
      <c r="C71" s="80">
        <f>'15-Design'!H57</f>
        <v>7655.5</v>
      </c>
      <c r="D71" s="80">
        <f>'15-Design'!I57</f>
        <v>1337.76</v>
      </c>
      <c r="E71" s="80"/>
      <c r="F71" s="80">
        <v>13353.7</v>
      </c>
      <c r="G71" s="517">
        <v>2569.0099999999998</v>
      </c>
      <c r="H71" s="22"/>
      <c r="I71" s="29"/>
      <c r="K71" s="23"/>
      <c r="L71" s="23"/>
    </row>
    <row r="72" spans="1:12" s="17" customFormat="1" x14ac:dyDescent="0.3">
      <c r="A72" s="38"/>
      <c r="B72" s="530" t="s">
        <v>25</v>
      </c>
      <c r="C72" s="82">
        <f>'16-PD'!H67</f>
        <v>12218.199999999999</v>
      </c>
      <c r="D72" s="82">
        <f>'16-PD'!I67</f>
        <v>8471.89</v>
      </c>
      <c r="E72" s="82"/>
      <c r="F72" s="82">
        <v>9595.0999999999985</v>
      </c>
      <c r="G72" s="518">
        <v>7781.4599999999991</v>
      </c>
      <c r="H72" s="22"/>
      <c r="I72" s="29"/>
      <c r="K72" s="23"/>
      <c r="L72" s="23"/>
    </row>
    <row r="73" spans="1:12" s="17" customFormat="1" x14ac:dyDescent="0.3">
      <c r="A73" s="38"/>
      <c r="B73" s="529" t="s">
        <v>26</v>
      </c>
      <c r="C73" s="80">
        <f>'17-CONFS'!H59</f>
        <v>15237.199999999999</v>
      </c>
      <c r="D73" s="80">
        <f>'17-CONFS'!I59</f>
        <v>8719.9399999999987</v>
      </c>
      <c r="E73" s="80"/>
      <c r="F73" s="80">
        <v>13537.555799999998</v>
      </c>
      <c r="G73" s="517">
        <v>6512.8499999999995</v>
      </c>
      <c r="H73" s="22"/>
      <c r="I73" s="29"/>
      <c r="K73" s="23"/>
      <c r="L73" s="23"/>
    </row>
    <row r="74" spans="1:12" s="17" customFormat="1" x14ac:dyDescent="0.3">
      <c r="A74" s="38"/>
      <c r="B74" s="530" t="s">
        <v>27</v>
      </c>
      <c r="C74" s="82">
        <f>'18-FY'!H67</f>
        <v>13064.079999999998</v>
      </c>
      <c r="D74" s="82">
        <f>'18-FY'!I67</f>
        <v>11566.33</v>
      </c>
      <c r="E74" s="82"/>
      <c r="F74" s="82">
        <v>4918.8899999999994</v>
      </c>
      <c r="G74" s="518">
        <v>6174.44</v>
      </c>
      <c r="H74" s="22"/>
      <c r="I74" s="29"/>
      <c r="K74" s="23"/>
      <c r="L74" s="23"/>
    </row>
    <row r="75" spans="1:12" s="17" customFormat="1" x14ac:dyDescent="0.3">
      <c r="A75" s="38"/>
      <c r="B75" s="529" t="s">
        <v>28</v>
      </c>
      <c r="C75" s="80">
        <f>'19-FINANCE'!H65</f>
        <v>628.28</v>
      </c>
      <c r="D75" s="80">
        <f>'19-FINANCE'!I65</f>
        <v>95.65</v>
      </c>
      <c r="E75" s="80"/>
      <c r="F75" s="80">
        <v>267.81</v>
      </c>
      <c r="G75" s="517">
        <v>291.89</v>
      </c>
      <c r="H75" s="22"/>
      <c r="I75" s="29"/>
      <c r="K75" s="23"/>
      <c r="L75" s="23"/>
    </row>
    <row r="76" spans="1:12" s="17" customFormat="1" x14ac:dyDescent="0.3">
      <c r="A76" s="38"/>
      <c r="B76" s="530" t="s">
        <v>29</v>
      </c>
      <c r="C76" s="82">
        <f>'20-SERVICES'!H64</f>
        <v>3243.4897999999998</v>
      </c>
      <c r="D76" s="82">
        <f>'20-SERVICES'!I64</f>
        <v>2120.9</v>
      </c>
      <c r="E76" s="82"/>
      <c r="F76" s="82">
        <v>2714.1329000000001</v>
      </c>
      <c r="G76" s="518">
        <v>1830.21</v>
      </c>
      <c r="H76" s="22"/>
      <c r="I76" s="29"/>
      <c r="K76" s="23"/>
      <c r="L76" s="23"/>
    </row>
    <row r="77" spans="1:12" s="17" customFormat="1" x14ac:dyDescent="0.3">
      <c r="A77" s="38"/>
      <c r="B77" s="529" t="s">
        <v>30</v>
      </c>
      <c r="C77" s="80">
        <f>'21-IT'!H91</f>
        <v>19683.8655</v>
      </c>
      <c r="D77" s="80">
        <f>'21-IT'!I91</f>
        <v>3990.3733333333334</v>
      </c>
      <c r="E77" s="80"/>
      <c r="F77" s="80">
        <v>5234.9395999999997</v>
      </c>
      <c r="G77" s="517">
        <v>722.53</v>
      </c>
      <c r="H77" s="22"/>
      <c r="I77" s="29"/>
      <c r="K77" s="23"/>
      <c r="L77" s="23"/>
    </row>
    <row r="78" spans="1:12" s="17" customFormat="1" x14ac:dyDescent="0.3">
      <c r="A78" s="38"/>
      <c r="B78" s="530" t="s">
        <v>31</v>
      </c>
      <c r="C78" s="82">
        <f>'22-EVENTS'!H35</f>
        <v>3287.45</v>
      </c>
      <c r="D78" s="82">
        <f>'22-EVENTS'!I35</f>
        <v>3085.26</v>
      </c>
      <c r="E78" s="82"/>
      <c r="F78" s="82">
        <v>5518.07</v>
      </c>
      <c r="G78" s="518">
        <v>3685.74</v>
      </c>
      <c r="H78" s="22"/>
      <c r="I78" s="29"/>
      <c r="K78" s="23"/>
      <c r="L78" s="23"/>
    </row>
    <row r="79" spans="1:12" s="17" customFormat="1" x14ac:dyDescent="0.3">
      <c r="A79" s="38"/>
      <c r="B79" s="529" t="s">
        <v>32</v>
      </c>
      <c r="C79" s="80">
        <f>'23-COMM'!H25</f>
        <v>1186.4999999999998</v>
      </c>
      <c r="D79" s="80">
        <f>'23-COMM'!I25</f>
        <v>193.51</v>
      </c>
      <c r="E79" s="80"/>
      <c r="F79" s="80">
        <v>3839.74</v>
      </c>
      <c r="G79" s="517">
        <v>0</v>
      </c>
      <c r="H79" s="22"/>
      <c r="I79" s="29"/>
      <c r="K79" s="23"/>
      <c r="L79" s="23"/>
    </row>
    <row r="80" spans="1:12" s="17" customFormat="1" x14ac:dyDescent="0.3">
      <c r="A80" s="38"/>
      <c r="B80" s="530" t="s">
        <v>33</v>
      </c>
      <c r="C80" s="82">
        <f>'24-IA'!H77</f>
        <v>22778.37</v>
      </c>
      <c r="D80" s="82">
        <f>'24-IA'!I77</f>
        <v>20977.07</v>
      </c>
      <c r="E80" s="82"/>
      <c r="F80" s="82">
        <v>15387.774999999996</v>
      </c>
      <c r="G80" s="518">
        <v>10741.99</v>
      </c>
      <c r="H80" s="22"/>
      <c r="I80" s="29"/>
      <c r="K80" s="23"/>
      <c r="L80" s="23"/>
    </row>
    <row r="81" spans="1:12" s="17" customFormat="1" x14ac:dyDescent="0.3">
      <c r="A81" s="38"/>
      <c r="B81" s="529" t="s">
        <v>34</v>
      </c>
      <c r="C81" s="80">
        <f>'25-HR'!H39</f>
        <v>962.59270564999997</v>
      </c>
      <c r="D81" s="80">
        <f>'25-HR'!I39</f>
        <v>604.51</v>
      </c>
      <c r="E81" s="80"/>
      <c r="F81" s="80"/>
      <c r="G81" s="514"/>
      <c r="H81" s="22"/>
      <c r="I81" s="29"/>
      <c r="K81" s="23"/>
      <c r="L81" s="23"/>
    </row>
    <row r="82" spans="1:12" s="17" customFormat="1" x14ac:dyDescent="0.3">
      <c r="A82" s="21"/>
      <c r="B82" s="530" t="s">
        <v>35</v>
      </c>
      <c r="C82" s="82">
        <f>'26-EVPOS'!H370</f>
        <v>29461.647499999999</v>
      </c>
      <c r="D82" s="82">
        <f>'26-EVPOS'!I370</f>
        <v>8217.36</v>
      </c>
      <c r="E82" s="82"/>
      <c r="F82" s="82">
        <v>50054.532299999992</v>
      </c>
      <c r="G82" s="518">
        <v>11603.77</v>
      </c>
      <c r="H82" s="22"/>
    </row>
    <row r="83" spans="1:12" s="17" customFormat="1" x14ac:dyDescent="0.3">
      <c r="A83" s="21"/>
      <c r="B83" s="20" t="s">
        <v>56</v>
      </c>
      <c r="C83" s="80">
        <f>0.1*SUM(C67:C82)</f>
        <v>16475.062670564999</v>
      </c>
      <c r="D83" s="80"/>
      <c r="E83" s="80"/>
      <c r="F83" s="80">
        <v>14723.11406</v>
      </c>
      <c r="G83" s="517"/>
      <c r="H83" s="22"/>
    </row>
    <row r="84" spans="1:12" s="17" customFormat="1" x14ac:dyDescent="0.3">
      <c r="A84" s="21"/>
      <c r="C84" s="82"/>
      <c r="D84" s="82"/>
      <c r="E84" s="82"/>
      <c r="F84" s="82"/>
      <c r="G84" s="112"/>
      <c r="H84" s="22"/>
    </row>
    <row r="85" spans="1:12" s="17" customFormat="1" x14ac:dyDescent="0.3">
      <c r="A85" s="21"/>
      <c r="B85" s="20"/>
      <c r="C85" s="80"/>
      <c r="D85" s="80"/>
      <c r="E85" s="80"/>
      <c r="F85" s="80"/>
      <c r="G85" s="90"/>
      <c r="H85" s="22"/>
    </row>
    <row r="86" spans="1:12" s="17" customFormat="1" x14ac:dyDescent="0.3">
      <c r="A86" s="21"/>
      <c r="B86" s="25" t="s">
        <v>57</v>
      </c>
      <c r="C86" s="68">
        <f>SUM(C67:C84)</f>
        <v>181225.68937621498</v>
      </c>
      <c r="D86" s="68">
        <f>SUM(D67:D84)</f>
        <v>89971.753333333327</v>
      </c>
      <c r="E86" s="68"/>
      <c r="F86" s="68">
        <f>SUM(F67:F84)</f>
        <v>161954.25465999998</v>
      </c>
      <c r="G86" s="69">
        <f>SUM(G67:G84)</f>
        <v>62646.559999999998</v>
      </c>
      <c r="H86" s="22"/>
    </row>
    <row r="87" spans="1:12" s="17" customFormat="1" x14ac:dyDescent="0.3">
      <c r="A87" s="21"/>
      <c r="C87" s="82"/>
      <c r="D87" s="82"/>
      <c r="E87" s="82"/>
      <c r="F87" s="82"/>
      <c r="G87" s="93"/>
      <c r="H87" s="22"/>
      <c r="I87" s="29"/>
      <c r="K87" s="23"/>
      <c r="L87" s="23"/>
    </row>
    <row r="88" spans="1:12" s="17" customFormat="1" x14ac:dyDescent="0.3">
      <c r="A88" s="16" t="s">
        <v>58</v>
      </c>
      <c r="C88" s="82"/>
      <c r="D88" s="82"/>
      <c r="E88" s="82"/>
      <c r="F88" s="82"/>
      <c r="G88" s="93"/>
      <c r="H88" s="22"/>
      <c r="I88" s="29"/>
      <c r="K88" s="23"/>
      <c r="L88" s="23"/>
    </row>
    <row r="89" spans="1:12" s="17" customFormat="1" x14ac:dyDescent="0.3">
      <c r="A89" s="21"/>
      <c r="B89" s="1" t="s">
        <v>59</v>
      </c>
      <c r="C89" s="80">
        <f>SUM(General!H88:H93)</f>
        <v>29379.57</v>
      </c>
      <c r="D89" s="80">
        <f>SUM(General!I88:I93)</f>
        <v>29479.57</v>
      </c>
      <c r="E89" s="80"/>
      <c r="F89" s="80">
        <v>29042</v>
      </c>
      <c r="G89" s="519">
        <v>5625.78</v>
      </c>
      <c r="H89" s="22"/>
      <c r="I89" s="29"/>
      <c r="K89" s="23"/>
      <c r="L89" s="23"/>
    </row>
    <row r="90" spans="1:12" s="17" customFormat="1" x14ac:dyDescent="0.3">
      <c r="A90" s="21"/>
      <c r="B90" s="17" t="s">
        <v>60</v>
      </c>
      <c r="C90" s="82">
        <f>General!H94</f>
        <v>797.33</v>
      </c>
      <c r="D90" s="82">
        <f>General!I94</f>
        <v>797.33</v>
      </c>
      <c r="E90" s="82"/>
      <c r="F90" s="82">
        <v>797.32799999999997</v>
      </c>
      <c r="G90" s="520">
        <v>149.41999999999999</v>
      </c>
      <c r="H90" s="22"/>
      <c r="I90" s="29"/>
      <c r="K90" s="23"/>
      <c r="L90" s="23"/>
    </row>
    <row r="91" spans="1:12" s="17" customFormat="1" x14ac:dyDescent="0.3">
      <c r="A91" s="21"/>
      <c r="B91" s="20" t="s">
        <v>61</v>
      </c>
      <c r="C91" s="80">
        <f>General!H96</f>
        <v>1203.1199999999999</v>
      </c>
      <c r="D91" s="80">
        <f>General!I96</f>
        <v>1203.1199999999999</v>
      </c>
      <c r="E91" s="80"/>
      <c r="F91" s="80">
        <v>1203.1199999999999</v>
      </c>
      <c r="G91" s="519">
        <v>226.93</v>
      </c>
      <c r="H91" s="22"/>
      <c r="I91" s="29"/>
      <c r="K91" s="23"/>
      <c r="L91" s="23"/>
    </row>
    <row r="92" spans="1:12" s="17" customFormat="1" x14ac:dyDescent="0.3">
      <c r="A92" s="38"/>
      <c r="B92" s="17" t="s">
        <v>62</v>
      </c>
      <c r="C92" s="82">
        <f>SUM(General!H98:H101)</f>
        <v>8774.5</v>
      </c>
      <c r="D92" s="82">
        <f>SUM(General!I98:I101)</f>
        <v>9015.36</v>
      </c>
      <c r="E92" s="82"/>
      <c r="F92" s="82">
        <v>6762.9</v>
      </c>
      <c r="G92" s="520">
        <v>5494.47</v>
      </c>
      <c r="H92" s="22"/>
      <c r="I92" s="29"/>
      <c r="K92" s="23"/>
      <c r="L92" s="23"/>
    </row>
    <row r="93" spans="1:12" s="17" customFormat="1" x14ac:dyDescent="0.3">
      <c r="A93" s="21"/>
      <c r="B93" s="20"/>
      <c r="C93" s="80"/>
      <c r="D93" s="80"/>
      <c r="E93" s="80"/>
      <c r="F93" s="80"/>
      <c r="G93" s="505"/>
      <c r="H93" s="22"/>
    </row>
    <row r="94" spans="1:12" s="17" customFormat="1" x14ac:dyDescent="0.3">
      <c r="A94" s="21"/>
      <c r="B94" s="25" t="s">
        <v>63</v>
      </c>
      <c r="C94" s="68">
        <f>SUM(C89:C92)</f>
        <v>40154.520000000004</v>
      </c>
      <c r="D94" s="68">
        <f>SUM(D89:D92)</f>
        <v>40495.380000000005</v>
      </c>
      <c r="E94" s="68"/>
      <c r="F94" s="68">
        <f>SUM(F89:F92)</f>
        <v>37805.347999999998</v>
      </c>
      <c r="G94" s="69">
        <f>SUM(G89:G92)</f>
        <v>11496.6</v>
      </c>
      <c r="H94" s="22"/>
      <c r="I94" s="29"/>
      <c r="K94" s="23"/>
      <c r="L94" s="23"/>
    </row>
    <row r="95" spans="1:12" s="17" customFormat="1" x14ac:dyDescent="0.3">
      <c r="A95" s="21"/>
      <c r="C95" s="82"/>
      <c r="D95" s="82"/>
      <c r="E95" s="82"/>
      <c r="F95" s="82"/>
      <c r="G95" s="93"/>
      <c r="H95" s="22"/>
      <c r="I95" s="29"/>
      <c r="K95" s="23"/>
      <c r="L95" s="23"/>
    </row>
    <row r="96" spans="1:12" s="17" customFormat="1" x14ac:dyDescent="0.3">
      <c r="A96" s="16" t="s">
        <v>64</v>
      </c>
      <c r="C96" s="82"/>
      <c r="D96" s="82"/>
      <c r="E96" s="82"/>
      <c r="F96" s="82"/>
      <c r="G96" s="93"/>
      <c r="H96" s="22"/>
      <c r="I96" s="29"/>
      <c r="K96" s="23"/>
      <c r="L96" s="23"/>
    </row>
    <row r="97" spans="1:12" s="17" customFormat="1" x14ac:dyDescent="0.3">
      <c r="A97" s="21"/>
      <c r="B97" s="1" t="s">
        <v>65</v>
      </c>
      <c r="C97" s="80">
        <f>SUM(General!H107:H108)</f>
        <v>20735.5</v>
      </c>
      <c r="D97" s="80">
        <f>SUM(General!I107:I108)</f>
        <v>14512.986666666668</v>
      </c>
      <c r="E97" s="80"/>
      <c r="F97" s="80">
        <v>20735.5</v>
      </c>
      <c r="G97" s="521">
        <v>18435.96</v>
      </c>
      <c r="H97" s="22"/>
    </row>
    <row r="98" spans="1:12" s="17" customFormat="1" x14ac:dyDescent="0.3">
      <c r="A98" s="21" t="s">
        <v>9</v>
      </c>
      <c r="B98" s="17" t="s">
        <v>66</v>
      </c>
      <c r="C98" s="82">
        <f>SUM(General!H111:H113)</f>
        <v>67441.7</v>
      </c>
      <c r="D98" s="82">
        <f>SUM(General!I111:I113)</f>
        <v>68673.7</v>
      </c>
      <c r="E98" s="82"/>
      <c r="F98" s="82">
        <v>67391.8</v>
      </c>
      <c r="G98" s="522">
        <v>68145.279999999999</v>
      </c>
      <c r="H98" s="22"/>
      <c r="I98" s="29"/>
      <c r="K98" s="23"/>
      <c r="L98" s="23"/>
    </row>
    <row r="99" spans="1:12" s="17" customFormat="1" x14ac:dyDescent="0.3">
      <c r="A99" s="21"/>
      <c r="B99" s="20" t="s">
        <v>67</v>
      </c>
      <c r="C99" s="80">
        <f>General!H115</f>
        <v>20280</v>
      </c>
      <c r="D99" s="80">
        <f>General!I115</f>
        <v>20280</v>
      </c>
      <c r="E99" s="80"/>
      <c r="F99" s="80">
        <v>20280</v>
      </c>
      <c r="G99" s="521">
        <v>0</v>
      </c>
      <c r="H99" s="22"/>
      <c r="I99" s="29"/>
      <c r="K99" s="23"/>
      <c r="L99" s="23"/>
    </row>
    <row r="100" spans="1:12" s="17" customFormat="1" x14ac:dyDescent="0.3">
      <c r="A100" s="21"/>
      <c r="B100" s="17" t="s">
        <v>68</v>
      </c>
      <c r="C100" s="82">
        <f>SUM(General!H117:H118)</f>
        <v>5280</v>
      </c>
      <c r="D100" s="82">
        <f>SUM(General!I117:I118)</f>
        <v>5977.2</v>
      </c>
      <c r="E100" s="82"/>
      <c r="F100" s="82">
        <v>5280</v>
      </c>
      <c r="G100" s="522">
        <v>2343.19</v>
      </c>
      <c r="H100" s="22"/>
      <c r="I100" s="29"/>
      <c r="K100" s="23"/>
      <c r="L100" s="23"/>
    </row>
    <row r="101" spans="1:12" s="17" customFormat="1" x14ac:dyDescent="0.3">
      <c r="A101" s="16"/>
      <c r="B101" s="20" t="s">
        <v>69</v>
      </c>
      <c r="C101" s="80">
        <f>SUM(General!H121:H122)</f>
        <v>5135.3999999999996</v>
      </c>
      <c r="D101" s="80">
        <f>SUM(General!I121:I122)</f>
        <v>5279.8</v>
      </c>
      <c r="E101" s="80"/>
      <c r="F101" s="80">
        <v>5135.4000000000005</v>
      </c>
      <c r="G101" s="521">
        <v>0</v>
      </c>
      <c r="H101" s="22"/>
    </row>
    <row r="102" spans="1:12" s="17" customFormat="1" x14ac:dyDescent="0.3">
      <c r="A102" s="16"/>
      <c r="B102" s="17" t="s">
        <v>70</v>
      </c>
      <c r="C102" s="82">
        <f>SUM(General!H125:H128)</f>
        <v>3503.53</v>
      </c>
      <c r="D102" s="82">
        <f>SUM(General!I125:I128)</f>
        <v>4875.7733333333335</v>
      </c>
      <c r="E102" s="82"/>
      <c r="F102" s="82">
        <v>3710.4838199999995</v>
      </c>
      <c r="G102" s="522">
        <v>2094.27</v>
      </c>
      <c r="H102" s="22"/>
    </row>
    <row r="103" spans="1:12" s="17" customFormat="1" x14ac:dyDescent="0.3">
      <c r="A103" s="21"/>
      <c r="B103" s="20"/>
      <c r="C103" s="80"/>
      <c r="D103" s="80"/>
      <c r="E103" s="80"/>
      <c r="F103" s="80"/>
      <c r="G103" s="90"/>
      <c r="H103" s="22"/>
      <c r="I103" s="29"/>
      <c r="K103" s="23"/>
      <c r="L103" s="23"/>
    </row>
    <row r="104" spans="1:12" s="17" customFormat="1" x14ac:dyDescent="0.3">
      <c r="A104" s="21"/>
      <c r="B104" s="25" t="s">
        <v>71</v>
      </c>
      <c r="C104" s="68">
        <f>SUM(C97:C102)</f>
        <v>122376.12999999999</v>
      </c>
      <c r="D104" s="68">
        <f>SUM(D97:D102)</f>
        <v>119599.45999999999</v>
      </c>
      <c r="E104" s="68"/>
      <c r="F104" s="68">
        <f>SUM(F97:F102)</f>
        <v>122533.18381999999</v>
      </c>
      <c r="G104" s="69">
        <f>SUM(G97:G102)</f>
        <v>91018.7</v>
      </c>
      <c r="H104" s="22"/>
      <c r="I104" s="29"/>
      <c r="K104" s="23"/>
      <c r="L104" s="23"/>
    </row>
    <row r="105" spans="1:12" s="17" customFormat="1" x14ac:dyDescent="0.3">
      <c r="A105" s="21"/>
      <c r="B105" s="27"/>
      <c r="C105" s="85"/>
      <c r="D105" s="85"/>
      <c r="E105" s="85"/>
      <c r="F105" s="85"/>
      <c r="G105" s="86"/>
      <c r="H105" s="22"/>
      <c r="I105" s="29"/>
      <c r="K105" s="23"/>
      <c r="L105" s="23"/>
    </row>
    <row r="106" spans="1:12" s="17" customFormat="1" x14ac:dyDescent="0.3">
      <c r="A106" s="16" t="s">
        <v>72</v>
      </c>
      <c r="C106" s="82"/>
      <c r="D106" s="82"/>
      <c r="E106" s="82"/>
      <c r="F106" s="82"/>
      <c r="G106" s="93"/>
      <c r="H106" s="22"/>
    </row>
    <row r="107" spans="1:12" s="17" customFormat="1" x14ac:dyDescent="0.3">
      <c r="A107" s="16"/>
      <c r="B107" s="20" t="s">
        <v>73</v>
      </c>
      <c r="C107" s="80">
        <f>General!H135</f>
        <v>30</v>
      </c>
      <c r="D107" s="80">
        <f>General!I135</f>
        <v>13.53</v>
      </c>
      <c r="E107" s="80"/>
      <c r="F107" s="80">
        <v>930</v>
      </c>
      <c r="G107" s="523">
        <v>663.2</v>
      </c>
      <c r="H107" s="22"/>
    </row>
    <row r="108" spans="1:12" s="17" customFormat="1" x14ac:dyDescent="0.3">
      <c r="A108" s="16"/>
      <c r="B108" s="17" t="s">
        <v>74</v>
      </c>
      <c r="C108" s="82">
        <f>General!H137</f>
        <v>523.69000000000005</v>
      </c>
      <c r="D108" s="82">
        <f>General!I137</f>
        <v>113.61</v>
      </c>
      <c r="E108" s="82"/>
      <c r="F108" s="82">
        <v>523.68719999999985</v>
      </c>
      <c r="G108" s="524">
        <v>256.40999999999997</v>
      </c>
      <c r="H108" s="22"/>
    </row>
    <row r="109" spans="1:12" s="17" customFormat="1" x14ac:dyDescent="0.3">
      <c r="A109" s="16"/>
      <c r="B109" s="20" t="s">
        <v>75</v>
      </c>
      <c r="C109" s="80">
        <f>General!H139</f>
        <v>565</v>
      </c>
      <c r="D109" s="80">
        <f>General!I139</f>
        <v>3615.7</v>
      </c>
      <c r="E109" s="80"/>
      <c r="F109" s="80">
        <v>9556.2900000000009</v>
      </c>
      <c r="G109" s="523">
        <v>12392.9</v>
      </c>
      <c r="H109" s="22"/>
    </row>
    <row r="110" spans="1:12" s="17" customFormat="1" x14ac:dyDescent="0.3">
      <c r="A110" s="16"/>
      <c r="B110" s="17" t="s">
        <v>76</v>
      </c>
      <c r="C110" s="82">
        <v>542.4</v>
      </c>
      <c r="D110" s="82">
        <v>542.4</v>
      </c>
      <c r="E110" s="82"/>
      <c r="F110" s="82">
        <v>822</v>
      </c>
      <c r="G110" s="524">
        <v>477.13000000000011</v>
      </c>
      <c r="H110" s="22"/>
    </row>
    <row r="111" spans="1:12" s="17" customFormat="1" x14ac:dyDescent="0.3">
      <c r="A111" s="16"/>
      <c r="B111" s="20" t="s">
        <v>77</v>
      </c>
      <c r="C111" s="80">
        <v>542.4</v>
      </c>
      <c r="D111" s="80">
        <v>542.4</v>
      </c>
      <c r="E111" s="80"/>
      <c r="F111" s="80">
        <v>542.4</v>
      </c>
      <c r="G111" s="523">
        <v>125.48</v>
      </c>
      <c r="H111" s="22"/>
    </row>
    <row r="112" spans="1:12" s="17" customFormat="1" x14ac:dyDescent="0.3">
      <c r="A112" s="16"/>
      <c r="B112" s="17" t="s">
        <v>78</v>
      </c>
      <c r="C112" s="82">
        <v>4937.8099999999995</v>
      </c>
      <c r="D112" s="82">
        <v>4937.8099999999995</v>
      </c>
      <c r="E112" s="82"/>
      <c r="F112" s="82">
        <v>957.81</v>
      </c>
      <c r="G112" s="524">
        <v>474.14</v>
      </c>
      <c r="H112" s="22"/>
    </row>
    <row r="113" spans="1:12" s="17" customFormat="1" x14ac:dyDescent="0.3">
      <c r="A113" s="16"/>
      <c r="B113" s="20" t="s">
        <v>79</v>
      </c>
      <c r="C113" s="80">
        <v>1000</v>
      </c>
      <c r="D113" s="80">
        <v>1000</v>
      </c>
      <c r="E113" s="80"/>
      <c r="F113" s="80">
        <v>900</v>
      </c>
      <c r="G113" s="523">
        <v>147.5</v>
      </c>
      <c r="H113" s="22"/>
    </row>
    <row r="114" spans="1:12" s="17" customFormat="1" x14ac:dyDescent="0.3">
      <c r="A114" s="16"/>
      <c r="B114" s="17" t="s">
        <v>80</v>
      </c>
      <c r="C114" s="82">
        <v>536.75</v>
      </c>
      <c r="D114" s="82">
        <v>536.75</v>
      </c>
      <c r="E114" s="82"/>
      <c r="F114" s="82">
        <v>536.75</v>
      </c>
      <c r="G114" s="524">
        <v>462.48</v>
      </c>
      <c r="H114" s="22"/>
    </row>
    <row r="115" spans="1:12" s="17" customFormat="1" x14ac:dyDescent="0.3">
      <c r="A115" s="16"/>
      <c r="B115" s="20" t="s">
        <v>81</v>
      </c>
      <c r="C115" s="80">
        <v>164.4</v>
      </c>
      <c r="D115" s="80">
        <v>164.4</v>
      </c>
      <c r="E115" s="80"/>
      <c r="F115" s="80">
        <v>104.4</v>
      </c>
      <c r="G115" s="523">
        <v>0</v>
      </c>
      <c r="H115" s="22"/>
    </row>
    <row r="116" spans="1:12" s="17" customFormat="1" x14ac:dyDescent="0.3">
      <c r="A116" s="16"/>
      <c r="B116" s="17" t="s">
        <v>82</v>
      </c>
      <c r="C116" s="82">
        <v>0</v>
      </c>
      <c r="D116" s="82">
        <v>0</v>
      </c>
      <c r="E116" s="82"/>
      <c r="F116" s="82">
        <v>0</v>
      </c>
      <c r="G116" s="524">
        <v>0</v>
      </c>
      <c r="H116" s="22"/>
    </row>
    <row r="117" spans="1:12" s="17" customFormat="1" x14ac:dyDescent="0.3">
      <c r="A117" s="16"/>
      <c r="B117" s="20" t="s">
        <v>83</v>
      </c>
      <c r="C117" s="80">
        <v>15000</v>
      </c>
      <c r="D117" s="80">
        <v>10000</v>
      </c>
      <c r="E117" s="80"/>
      <c r="F117" s="80">
        <v>15000</v>
      </c>
      <c r="G117" s="505">
        <v>40.49</v>
      </c>
      <c r="H117" s="22"/>
    </row>
    <row r="118" spans="1:12" s="17" customFormat="1" x14ac:dyDescent="0.3">
      <c r="A118" s="21"/>
      <c r="B118" s="25" t="s">
        <v>84</v>
      </c>
      <c r="C118" s="68">
        <f>SUM(C107:C117)</f>
        <v>23842.449999999997</v>
      </c>
      <c r="D118" s="68">
        <f>SUM(D107:D117)</f>
        <v>21466.6</v>
      </c>
      <c r="E118" s="68"/>
      <c r="F118" s="68">
        <f>SUM(F107:F117)</f>
        <v>29873.337200000002</v>
      </c>
      <c r="G118" s="69">
        <f>SUM(G107:G117)</f>
        <v>15039.729999999998</v>
      </c>
      <c r="H118" s="22"/>
      <c r="I118" s="29"/>
      <c r="K118" s="23"/>
      <c r="L118" s="23"/>
    </row>
    <row r="119" spans="1:12" s="17" customFormat="1" x14ac:dyDescent="0.3">
      <c r="A119" s="21"/>
      <c r="B119" s="22"/>
      <c r="C119" s="82"/>
      <c r="D119" s="82"/>
      <c r="E119" s="82"/>
      <c r="F119" s="82"/>
      <c r="G119" s="93"/>
      <c r="H119" s="22"/>
      <c r="I119" s="29"/>
      <c r="K119" s="23"/>
      <c r="L119" s="23"/>
    </row>
    <row r="120" spans="1:12" s="43" customFormat="1" ht="18.75" x14ac:dyDescent="0.35">
      <c r="A120" s="39"/>
      <c r="B120" s="31" t="s">
        <v>85</v>
      </c>
      <c r="C120" s="96">
        <f>C118+C104+C94+C86+C64</f>
        <v>428258.87437621492</v>
      </c>
      <c r="D120" s="96">
        <f>D118+D104+D94+D86+D64</f>
        <v>315385.53833333333</v>
      </c>
      <c r="E120" s="96"/>
      <c r="F120" s="96">
        <f>F118+F104+F94+F86+F64</f>
        <v>388652.44867999997</v>
      </c>
      <c r="G120" s="98">
        <f>G118+G104+G94+G86+G64</f>
        <v>187456.82</v>
      </c>
      <c r="H120" s="40"/>
      <c r="I120" s="41"/>
      <c r="J120" s="40"/>
      <c r="K120" s="40"/>
      <c r="L120" s="42"/>
    </row>
    <row r="121" spans="1:12" s="43" customFormat="1" ht="18.75" x14ac:dyDescent="0.35">
      <c r="A121" s="39"/>
      <c r="B121" s="31"/>
      <c r="C121" s="96"/>
      <c r="D121" s="96"/>
      <c r="E121" s="96"/>
      <c r="F121" s="96"/>
      <c r="G121" s="98"/>
      <c r="H121" s="40"/>
      <c r="I121" s="41"/>
      <c r="J121" s="40"/>
      <c r="K121" s="40"/>
      <c r="L121" s="42"/>
    </row>
    <row r="122" spans="1:12" s="48" customFormat="1" ht="20.25" x14ac:dyDescent="0.35">
      <c r="A122" s="562" t="s">
        <v>86</v>
      </c>
      <c r="B122" s="563"/>
      <c r="C122" s="44"/>
      <c r="D122" s="44"/>
      <c r="E122" s="44"/>
      <c r="F122" s="44"/>
      <c r="G122" s="45"/>
      <c r="H122" s="58"/>
      <c r="I122" s="58"/>
    </row>
    <row r="123" spans="1:12" s="48" customFormat="1" ht="20.25" x14ac:dyDescent="0.35">
      <c r="A123" s="46"/>
      <c r="B123" s="47" t="s">
        <v>87</v>
      </c>
      <c r="C123" s="99">
        <f>C53</f>
        <v>429313.48979999998</v>
      </c>
      <c r="D123" s="99">
        <f>D53</f>
        <v>355222.3866666666</v>
      </c>
      <c r="E123" s="99"/>
      <c r="F123" s="99">
        <f>F53</f>
        <v>390153.51830000005</v>
      </c>
      <c r="G123" s="114">
        <f>G53</f>
        <v>236736.46999999997</v>
      </c>
    </row>
    <row r="124" spans="1:12" s="48" customFormat="1" ht="20.25" x14ac:dyDescent="0.35">
      <c r="A124" s="49"/>
      <c r="B124" s="50" t="s">
        <v>88</v>
      </c>
      <c r="C124" s="100">
        <f>C120</f>
        <v>428258.87437621492</v>
      </c>
      <c r="D124" s="100">
        <f>D120</f>
        <v>315385.53833333333</v>
      </c>
      <c r="E124" s="100"/>
      <c r="F124" s="100">
        <f t="shared" ref="D124:G124" si="0">F120</f>
        <v>388652.44867999997</v>
      </c>
      <c r="G124" s="101">
        <f t="shared" si="0"/>
        <v>187456.82</v>
      </c>
    </row>
    <row r="125" spans="1:12" s="48" customFormat="1" ht="20.25" x14ac:dyDescent="0.35">
      <c r="A125" s="51"/>
      <c r="B125" s="52" t="s">
        <v>89</v>
      </c>
      <c r="C125" s="102">
        <f>C123-C124</f>
        <v>1054.6154237850569</v>
      </c>
      <c r="D125" s="102">
        <f t="shared" ref="D125:G125" si="1">D123-D124</f>
        <v>39836.84833333327</v>
      </c>
      <c r="E125" s="102"/>
      <c r="F125" s="102">
        <f>F123-F124</f>
        <v>1501.0696200000821</v>
      </c>
      <c r="G125" s="103">
        <f t="shared" si="1"/>
        <v>49279.649999999965</v>
      </c>
    </row>
    <row r="126" spans="1:12" s="17" customFormat="1" x14ac:dyDescent="0.3">
      <c r="A126" s="53"/>
      <c r="B126" s="54"/>
      <c r="C126" s="55"/>
      <c r="D126" s="18"/>
      <c r="E126" s="18"/>
      <c r="F126" s="18"/>
      <c r="G126" s="18"/>
    </row>
  </sheetData>
  <mergeCells count="8">
    <mergeCell ref="A6:B6"/>
    <mergeCell ref="A8:B8"/>
    <mergeCell ref="A55:B55"/>
    <mergeCell ref="A122:B122"/>
    <mergeCell ref="C1:G4"/>
    <mergeCell ref="A5:B5"/>
    <mergeCell ref="C5:D5"/>
    <mergeCell ref="F5:G5"/>
  </mergeCells>
  <hyperlinks>
    <hyperlink ref="B23" location="'11-PRES'!A1" display="President"/>
    <hyperlink ref="B24" location="'12-VPOPS'!A1" display="VP Operations"/>
    <hyperlink ref="B25" location="'13-VPSA'!A1" display="VP Student Affairs"/>
    <hyperlink ref="B26" location="'14 - Academics'!A1" display="Director of Academics"/>
    <hyperlink ref="B27" location="'15-Design'!A1" display="Director of Design"/>
    <hyperlink ref="B28" location="'16-PD'!A1" display="Director of Professional Development"/>
    <hyperlink ref="B29" location="'17-CONFS'!A1" display="Director of Conferences"/>
    <hyperlink ref="B30" location="'18-FY'!A1" display="Director of First Year"/>
    <hyperlink ref="B31" location="'19-FINANCE'!A1" display="Director of Finance"/>
    <hyperlink ref="B32" location="'20-SERVICES'!A1" display="Director of Services"/>
    <hyperlink ref="B33" location="'21-IT'!A1" display="Director of Information Technology"/>
    <hyperlink ref="B34" location="'22-EVENTS'!A1" display="Director of Events"/>
    <hyperlink ref="B35" location="'23-COMM'!A1" display="Director of Communications"/>
    <hyperlink ref="B36" location="'24-IA'!A1" display="Director of Internal Affairs"/>
    <hyperlink ref="B37" location="'25-HR'!A1" display="Director of Human Resources"/>
    <hyperlink ref="B38" location="'26-EVPOS'!A1" display="Event Positions"/>
    <hyperlink ref="B67" location="'11-PRES'!A1" display="President"/>
    <hyperlink ref="B68" location="'12-VPOPS'!A1" display="VP Operations"/>
    <hyperlink ref="B69" location="'13-VPSA'!A1" display="VP Student Affairs"/>
    <hyperlink ref="B70" location="'14 - Academics'!A1" display="Director of Academics"/>
    <hyperlink ref="B71" location="'15-Design'!A1" display="Director of Design"/>
    <hyperlink ref="B72" location="'16-PD'!A1" display="Director of Professional Development"/>
    <hyperlink ref="B73" location="'17-CONFS'!A1" display="Director of Conferences"/>
    <hyperlink ref="B74" location="'18-FY'!A1" display="Director of First Year"/>
    <hyperlink ref="B75" location="'19-FINANCE'!A1" display="Director of Finance"/>
    <hyperlink ref="B76" location="'20-SERVICES'!A1" display="Director of Services"/>
    <hyperlink ref="B77" location="'21-IT'!A1" display="Director of Information Technology"/>
    <hyperlink ref="B78" location="'22-EVENTS'!A1" display="Director of Events"/>
    <hyperlink ref="B79" location="'23-COMM'!A1" display="Director of Communications"/>
    <hyperlink ref="B80" location="'24-IA'!A1" display="Director of Internal Affairs"/>
    <hyperlink ref="B81" location="'25-HR'!A1" display="Director of Human Resources"/>
    <hyperlink ref="B82" location="'26-EVPOS'!A1" display="Event Positions"/>
  </hyperlinks>
  <pageMargins left="0" right="0" top="0" bottom="0" header="0" footer="0"/>
  <pageSetup orientation="portrait" horizontalDpi="4294967292" verticalDpi="4294967292"/>
  <headerFooter alignWithMargins="0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6"/>
  <sheetViews>
    <sheetView zoomScale="75" zoomScaleNormal="75" workbookViewId="0">
      <pane xSplit="3" ySplit="6" topLeftCell="G28" activePane="bottomRight" state="frozen"/>
      <selection pane="topRight" activeCell="C1" sqref="C1"/>
      <selection pane="bottomLeft" activeCell="A4" sqref="A4"/>
      <selection pane="bottomRight" activeCell="I46" sqref="I46"/>
    </sheetView>
  </sheetViews>
  <sheetFormatPr defaultColWidth="8.85546875" defaultRowHeight="17.25" x14ac:dyDescent="0.3"/>
  <cols>
    <col min="1" max="2" width="13.85546875" style="53" customWidth="1"/>
    <col min="3" max="3" width="42.85546875" style="53" bestFit="1" customWidth="1"/>
    <col min="4" max="4" width="28.140625" style="55" customWidth="1"/>
    <col min="5" max="5" width="28.140625" style="18" customWidth="1"/>
    <col min="6" max="6" width="15.28515625" style="77" customWidth="1"/>
    <col min="7" max="7" width="17.42578125" style="18" customWidth="1"/>
    <col min="8" max="8" width="18.140625" style="18" customWidth="1"/>
    <col min="9" max="9" width="22.42578125" style="18" customWidth="1"/>
    <col min="10" max="10" width="23" style="18" customWidth="1"/>
    <col min="11" max="11" width="12" style="17" customWidth="1"/>
    <col min="12" max="12" width="11.28515625" style="17" customWidth="1"/>
    <col min="13" max="13" width="8.85546875" style="53"/>
    <col min="14" max="14" width="10.140625" style="53" bestFit="1" customWidth="1"/>
    <col min="15" max="15" width="14.28515625" style="53" customWidth="1"/>
    <col min="16" max="16384" width="8.85546875" style="53"/>
  </cols>
  <sheetData>
    <row r="1" spans="1:12" s="2" customFormat="1" ht="38.25" x14ac:dyDescent="0.3">
      <c r="A1" s="119"/>
      <c r="B1" s="120"/>
      <c r="C1" s="3"/>
      <c r="D1" s="564" t="s">
        <v>588</v>
      </c>
      <c r="E1" s="565"/>
      <c r="F1" s="565"/>
      <c r="G1" s="565"/>
      <c r="H1" s="565"/>
      <c r="I1" s="565"/>
      <c r="J1" s="566"/>
    </row>
    <row r="2" spans="1:12" s="2" customFormat="1" ht="38.25" x14ac:dyDescent="0.3">
      <c r="A2" s="4"/>
      <c r="B2" s="5"/>
      <c r="C2" s="5"/>
      <c r="D2" s="567"/>
      <c r="E2" s="568"/>
      <c r="F2" s="568"/>
      <c r="G2" s="568"/>
      <c r="H2" s="568"/>
      <c r="I2" s="568"/>
      <c r="J2" s="569"/>
    </row>
    <row r="3" spans="1:12" s="2" customFormat="1" ht="38.25" x14ac:dyDescent="0.3">
      <c r="A3" s="4"/>
      <c r="B3" s="5"/>
      <c r="C3" s="5"/>
      <c r="D3" s="567"/>
      <c r="E3" s="568"/>
      <c r="F3" s="568"/>
      <c r="G3" s="568"/>
      <c r="H3" s="568"/>
      <c r="I3" s="568"/>
      <c r="J3" s="569"/>
    </row>
    <row r="4" spans="1:12" s="2" customFormat="1" ht="38.25" x14ac:dyDescent="0.3">
      <c r="A4" s="6"/>
      <c r="B4" s="7"/>
      <c r="C4" s="7"/>
      <c r="D4" s="570"/>
      <c r="E4" s="571"/>
      <c r="F4" s="571"/>
      <c r="G4" s="571"/>
      <c r="H4" s="571"/>
      <c r="I4" s="571"/>
      <c r="J4" s="572"/>
    </row>
    <row r="5" spans="1:12" s="2" customFormat="1" x14ac:dyDescent="0.3">
      <c r="A5" s="573"/>
      <c r="B5" s="578"/>
      <c r="C5" s="574"/>
      <c r="D5" s="579"/>
      <c r="E5" s="580"/>
      <c r="F5" s="73"/>
      <c r="G5" s="68"/>
      <c r="H5" s="68"/>
      <c r="I5" s="68"/>
      <c r="J5" s="69"/>
      <c r="K5" s="8"/>
      <c r="L5" s="8"/>
    </row>
    <row r="6" spans="1:12" s="64" customFormat="1" x14ac:dyDescent="0.3">
      <c r="A6" s="59"/>
      <c r="B6" s="72" t="s">
        <v>91</v>
      </c>
      <c r="C6" s="70" t="s">
        <v>92</v>
      </c>
      <c r="D6" s="60" t="s">
        <v>93</v>
      </c>
      <c r="E6" s="61" t="s">
        <v>94</v>
      </c>
      <c r="F6" s="74" t="s">
        <v>95</v>
      </c>
      <c r="G6" s="87" t="s">
        <v>96</v>
      </c>
      <c r="H6" s="87" t="s">
        <v>97</v>
      </c>
      <c r="I6" s="87" t="s">
        <v>98</v>
      </c>
      <c r="J6" s="88" t="s">
        <v>99</v>
      </c>
      <c r="K6" s="63"/>
      <c r="L6" s="63"/>
    </row>
    <row r="7" spans="1:12" s="2" customFormat="1" x14ac:dyDescent="0.3">
      <c r="A7" s="9"/>
      <c r="B7" s="65"/>
      <c r="C7" s="10"/>
      <c r="D7" s="11"/>
      <c r="E7" s="12"/>
      <c r="F7" s="75"/>
      <c r="G7" s="12"/>
      <c r="H7" s="12"/>
      <c r="I7" s="12"/>
      <c r="J7" s="84"/>
    </row>
    <row r="8" spans="1:12" s="2" customFormat="1" x14ac:dyDescent="0.3">
      <c r="A8" s="560" t="s">
        <v>5</v>
      </c>
      <c r="B8" s="561"/>
      <c r="C8" s="561"/>
      <c r="D8" s="14"/>
      <c r="E8" s="14"/>
      <c r="F8" s="76"/>
      <c r="G8" s="14"/>
      <c r="H8" s="14"/>
      <c r="I8" s="14"/>
      <c r="J8" s="15"/>
    </row>
    <row r="9" spans="1:12" s="17" customFormat="1" x14ac:dyDescent="0.3">
      <c r="A9" s="16" t="s">
        <v>589</v>
      </c>
      <c r="B9" s="27"/>
      <c r="C9" s="91"/>
      <c r="D9" s="18"/>
      <c r="E9" s="18"/>
      <c r="F9" s="77"/>
      <c r="G9" s="18"/>
      <c r="H9" s="18"/>
      <c r="I9" s="18"/>
      <c r="J9" s="19"/>
    </row>
    <row r="10" spans="1:12" s="17" customFormat="1" x14ac:dyDescent="0.3">
      <c r="A10" s="16"/>
      <c r="B10" s="71" t="s">
        <v>590</v>
      </c>
      <c r="C10" s="71" t="s">
        <v>591</v>
      </c>
      <c r="D10" s="80" t="s">
        <v>592</v>
      </c>
      <c r="E10" s="80">
        <v>20</v>
      </c>
      <c r="F10" s="81">
        <v>200</v>
      </c>
      <c r="G10" s="80">
        <f>E10*F10</f>
        <v>4000</v>
      </c>
      <c r="H10" s="80">
        <f>G10</f>
        <v>4000</v>
      </c>
      <c r="I10" s="80">
        <v>3158.25</v>
      </c>
      <c r="J10" s="90">
        <v>3158.25</v>
      </c>
    </row>
    <row r="11" spans="1:12" s="17" customFormat="1" x14ac:dyDescent="0.3">
      <c r="A11" s="21"/>
      <c r="C11" s="92"/>
      <c r="D11" s="82"/>
      <c r="E11" s="82"/>
      <c r="F11" s="83"/>
      <c r="G11" s="82"/>
      <c r="H11" s="82"/>
      <c r="I11" s="82"/>
      <c r="J11" s="93"/>
    </row>
    <row r="12" spans="1:12" s="17" customFormat="1" x14ac:dyDescent="0.3">
      <c r="A12" s="21"/>
      <c r="B12" s="25" t="s">
        <v>593</v>
      </c>
      <c r="C12" s="125"/>
      <c r="D12" s="116"/>
      <c r="E12" s="116"/>
      <c r="F12" s="117"/>
      <c r="G12" s="116"/>
      <c r="H12" s="68">
        <v>4000</v>
      </c>
      <c r="I12" s="68">
        <f>I10+I11</f>
        <v>3158.25</v>
      </c>
      <c r="J12" s="69">
        <f>J10</f>
        <v>3158.25</v>
      </c>
    </row>
    <row r="13" spans="1:12" s="17" customFormat="1" x14ac:dyDescent="0.3">
      <c r="A13" s="16"/>
      <c r="B13" s="27"/>
      <c r="C13" s="37"/>
      <c r="D13" s="85"/>
      <c r="E13" s="85"/>
      <c r="F13" s="94"/>
      <c r="G13" s="85"/>
      <c r="H13" s="85"/>
      <c r="I13" s="85"/>
      <c r="J13" s="86"/>
    </row>
    <row r="14" spans="1:12" s="17" customFormat="1" ht="18.75" x14ac:dyDescent="0.35">
      <c r="A14" s="30"/>
      <c r="B14" s="31"/>
      <c r="C14" s="127" t="s">
        <v>45</v>
      </c>
      <c r="D14" s="96"/>
      <c r="E14" s="96"/>
      <c r="F14" s="97"/>
      <c r="G14" s="96"/>
      <c r="H14" s="96">
        <v>4000</v>
      </c>
      <c r="I14" s="96">
        <f>I12</f>
        <v>3158.25</v>
      </c>
      <c r="J14" s="98">
        <f>J12</f>
        <v>3158.25</v>
      </c>
    </row>
    <row r="15" spans="1:12" s="17" customFormat="1" ht="18.75" x14ac:dyDescent="0.35">
      <c r="A15" s="30"/>
      <c r="B15" s="31"/>
      <c r="C15" s="127"/>
      <c r="D15" s="85"/>
      <c r="E15" s="85"/>
      <c r="F15" s="94"/>
      <c r="G15" s="85"/>
      <c r="H15" s="85"/>
      <c r="I15" s="85"/>
      <c r="J15" s="86"/>
    </row>
    <row r="16" spans="1:12" s="17" customFormat="1" x14ac:dyDescent="0.3">
      <c r="A16" s="560" t="s">
        <v>46</v>
      </c>
      <c r="B16" s="561"/>
      <c r="C16" s="561"/>
      <c r="D16" s="14"/>
      <c r="E16" s="35"/>
      <c r="F16" s="78"/>
      <c r="G16" s="35"/>
      <c r="H16" s="35"/>
      <c r="I16" s="35"/>
      <c r="J16" s="15"/>
    </row>
    <row r="17" spans="1:10" s="17" customFormat="1" x14ac:dyDescent="0.3">
      <c r="A17" s="16" t="s">
        <v>285</v>
      </c>
      <c r="B17" s="27"/>
      <c r="C17" s="91"/>
      <c r="D17" s="82"/>
      <c r="E17" s="82"/>
      <c r="F17" s="83"/>
      <c r="G17" s="82"/>
      <c r="H17" s="82"/>
      <c r="I17" s="82"/>
      <c r="J17" s="93"/>
    </row>
    <row r="18" spans="1:10" s="17" customFormat="1" x14ac:dyDescent="0.3">
      <c r="A18" s="16"/>
      <c r="B18" s="27"/>
      <c r="C18" s="91" t="s">
        <v>1672</v>
      </c>
      <c r="D18" s="82"/>
      <c r="E18" s="82"/>
      <c r="F18" s="83"/>
      <c r="G18" s="82"/>
      <c r="H18" s="82"/>
      <c r="I18" s="82">
        <v>96.75</v>
      </c>
      <c r="J18" s="524">
        <v>96.75</v>
      </c>
    </row>
    <row r="19" spans="1:10" s="17" customFormat="1" x14ac:dyDescent="0.3">
      <c r="A19" s="16"/>
      <c r="C19" s="17" t="s">
        <v>1667</v>
      </c>
      <c r="D19" s="82"/>
      <c r="E19" s="82"/>
      <c r="F19" s="83"/>
      <c r="G19" s="82"/>
      <c r="H19" s="82"/>
      <c r="I19" s="80">
        <v>117.8</v>
      </c>
      <c r="J19" s="524">
        <v>117.8</v>
      </c>
    </row>
    <row r="20" spans="1:10" s="27" customFormat="1" x14ac:dyDescent="0.3">
      <c r="A20" s="21"/>
      <c r="B20" s="71" t="s">
        <v>594</v>
      </c>
      <c r="C20" s="89" t="s">
        <v>595</v>
      </c>
      <c r="D20" s="80" t="s">
        <v>596</v>
      </c>
      <c r="E20" s="80">
        <v>10</v>
      </c>
      <c r="F20" s="81">
        <v>30</v>
      </c>
      <c r="G20" s="80">
        <f>F20*E20</f>
        <v>300</v>
      </c>
      <c r="H20" s="80">
        <f>G20*1.13</f>
        <v>338.99999999999994</v>
      </c>
      <c r="I20" s="82">
        <v>33.729999999999997</v>
      </c>
      <c r="J20" s="90">
        <v>33.729999999999997</v>
      </c>
    </row>
    <row r="21" spans="1:10" s="27" customFormat="1" x14ac:dyDescent="0.3">
      <c r="A21" s="21"/>
      <c r="B21" s="17"/>
      <c r="C21" s="92"/>
      <c r="D21" s="82"/>
      <c r="E21" s="82"/>
      <c r="F21" s="83"/>
      <c r="G21" s="82"/>
      <c r="H21" s="82"/>
      <c r="I21" s="82"/>
      <c r="J21" s="93"/>
    </row>
    <row r="22" spans="1:10" s="17" customFormat="1" x14ac:dyDescent="0.3">
      <c r="A22" s="21"/>
      <c r="B22" s="25" t="s">
        <v>597</v>
      </c>
      <c r="C22" s="128"/>
      <c r="D22" s="68"/>
      <c r="E22" s="68"/>
      <c r="F22" s="73"/>
      <c r="G22" s="68"/>
      <c r="H22" s="68">
        <f>H20</f>
        <v>338.99999999999994</v>
      </c>
      <c r="I22" s="68">
        <f>SUM(I19:I20)</f>
        <v>151.53</v>
      </c>
      <c r="J22" s="69">
        <f>SUM(J19:J20)</f>
        <v>151.53</v>
      </c>
    </row>
    <row r="23" spans="1:10" s="17" customFormat="1" x14ac:dyDescent="0.3">
      <c r="A23" s="16" t="s">
        <v>598</v>
      </c>
      <c r="B23" s="27"/>
      <c r="C23" s="247"/>
      <c r="D23" s="85"/>
      <c r="E23" s="85"/>
      <c r="F23" s="94"/>
      <c r="G23" s="85"/>
      <c r="H23" s="85"/>
      <c r="I23" s="82"/>
      <c r="J23" s="86"/>
    </row>
    <row r="24" spans="1:10" s="17" customFormat="1" x14ac:dyDescent="0.3">
      <c r="A24" s="21"/>
      <c r="B24" s="71" t="s">
        <v>1594</v>
      </c>
      <c r="C24" s="89" t="s">
        <v>599</v>
      </c>
      <c r="D24" s="80" t="s">
        <v>600</v>
      </c>
      <c r="E24" s="80">
        <v>12.99</v>
      </c>
      <c r="F24" s="81">
        <v>46</v>
      </c>
      <c r="G24" s="80">
        <f>E24*F24</f>
        <v>597.54</v>
      </c>
      <c r="H24" s="80">
        <f>G24*1.13</f>
        <v>675.22019999999986</v>
      </c>
      <c r="I24" s="80">
        <f>330.53+286.46</f>
        <v>616.99</v>
      </c>
      <c r="J24" s="523">
        <v>616.99</v>
      </c>
    </row>
    <row r="25" spans="1:10" s="17" customFormat="1" x14ac:dyDescent="0.3">
      <c r="A25" s="21"/>
      <c r="C25" s="92"/>
      <c r="D25" s="82"/>
      <c r="E25" s="82"/>
      <c r="F25" s="83"/>
      <c r="G25" s="82"/>
      <c r="H25" s="82"/>
      <c r="I25" s="82"/>
      <c r="J25" s="524"/>
    </row>
    <row r="26" spans="1:10" s="17" customFormat="1" x14ac:dyDescent="0.3">
      <c r="A26" s="16" t="s">
        <v>601</v>
      </c>
      <c r="B26" s="27"/>
      <c r="C26" s="247"/>
      <c r="D26" s="85"/>
      <c r="E26" s="85"/>
      <c r="F26" s="94"/>
      <c r="G26" s="85"/>
      <c r="H26" s="85"/>
      <c r="I26" s="82"/>
      <c r="J26" s="524"/>
    </row>
    <row r="27" spans="1:10" s="17" customFormat="1" x14ac:dyDescent="0.3">
      <c r="A27" s="21"/>
      <c r="B27" s="71" t="s">
        <v>1597</v>
      </c>
      <c r="C27" s="89" t="s">
        <v>602</v>
      </c>
      <c r="D27" s="80" t="s">
        <v>603</v>
      </c>
      <c r="E27" s="80">
        <v>400</v>
      </c>
      <c r="F27" s="81">
        <v>1</v>
      </c>
      <c r="G27" s="80">
        <f>E27*F27</f>
        <v>400</v>
      </c>
      <c r="H27" s="80">
        <f>G27*1.13</f>
        <v>451.99999999999994</v>
      </c>
      <c r="I27" s="80"/>
      <c r="J27" s="523"/>
    </row>
    <row r="28" spans="1:10" s="17" customFormat="1" x14ac:dyDescent="0.3">
      <c r="A28" s="21"/>
      <c r="B28" s="91" t="s">
        <v>623</v>
      </c>
      <c r="C28" s="92" t="s">
        <v>604</v>
      </c>
      <c r="D28" s="82" t="s">
        <v>605</v>
      </c>
      <c r="E28" s="82">
        <v>10</v>
      </c>
      <c r="F28" s="83">
        <v>48</v>
      </c>
      <c r="G28" s="82">
        <f>E28*F28</f>
        <v>480</v>
      </c>
      <c r="H28" s="82">
        <f>G28*1.13</f>
        <v>542.4</v>
      </c>
      <c r="I28" s="82">
        <v>96</v>
      </c>
      <c r="J28" s="524">
        <v>96</v>
      </c>
    </row>
    <row r="29" spans="1:10" s="17" customFormat="1" x14ac:dyDescent="0.3">
      <c r="A29" s="21"/>
      <c r="B29" s="71" t="s">
        <v>1598</v>
      </c>
      <c r="C29" s="89" t="s">
        <v>606</v>
      </c>
      <c r="D29" s="80" t="s">
        <v>607</v>
      </c>
      <c r="E29" s="80">
        <v>5</v>
      </c>
      <c r="F29" s="81">
        <v>24</v>
      </c>
      <c r="G29" s="80">
        <f>E29*F29</f>
        <v>120</v>
      </c>
      <c r="H29" s="80">
        <f>G29*1.13</f>
        <v>135.6</v>
      </c>
      <c r="I29" s="80"/>
      <c r="J29" s="523"/>
    </row>
    <row r="30" spans="1:10" s="17" customFormat="1" x14ac:dyDescent="0.3">
      <c r="A30" s="21"/>
      <c r="B30" s="91" t="s">
        <v>1599</v>
      </c>
      <c r="C30" s="92" t="s">
        <v>608</v>
      </c>
      <c r="D30" s="82" t="s">
        <v>609</v>
      </c>
      <c r="E30" s="82">
        <v>8</v>
      </c>
      <c r="F30" s="83">
        <v>33</v>
      </c>
      <c r="G30" s="82">
        <f>E30*F30</f>
        <v>264</v>
      </c>
      <c r="H30" s="82">
        <f>G30*1.13</f>
        <v>298.32</v>
      </c>
      <c r="I30" s="82">
        <f>15.82+25+20+22.49+20+30</f>
        <v>133.31</v>
      </c>
      <c r="J30" s="524">
        <v>133.31</v>
      </c>
    </row>
    <row r="31" spans="1:10" s="17" customFormat="1" x14ac:dyDescent="0.3">
      <c r="A31" s="21"/>
      <c r="B31" s="25" t="s">
        <v>1595</v>
      </c>
      <c r="C31" s="126"/>
      <c r="D31" s="68"/>
      <c r="E31" s="68"/>
      <c r="F31" s="73"/>
      <c r="G31" s="68"/>
      <c r="H31" s="68">
        <f>SUM(H27:H30)</f>
        <v>1428.3199999999997</v>
      </c>
      <c r="I31" s="68">
        <f>SUM(I24:I30)</f>
        <v>846.3</v>
      </c>
      <c r="J31" s="68">
        <f>SUM(J24:J30)</f>
        <v>846.3</v>
      </c>
    </row>
    <row r="32" spans="1:10" s="17" customFormat="1" x14ac:dyDescent="0.3">
      <c r="A32" s="21"/>
      <c r="B32" s="27"/>
      <c r="C32" s="37"/>
      <c r="D32" s="85"/>
      <c r="E32" s="85"/>
      <c r="F32" s="94"/>
      <c r="G32" s="85"/>
      <c r="H32" s="85"/>
      <c r="I32" s="85"/>
      <c r="J32" s="86"/>
    </row>
    <row r="33" spans="1:10" s="27" customFormat="1" x14ac:dyDescent="0.3">
      <c r="A33" s="16" t="s">
        <v>1596</v>
      </c>
      <c r="C33" s="91"/>
      <c r="D33" s="82"/>
      <c r="E33" s="82"/>
      <c r="F33" s="83"/>
      <c r="G33" s="82"/>
      <c r="H33" s="82"/>
      <c r="I33" s="82"/>
      <c r="J33" s="93"/>
    </row>
    <row r="34" spans="1:10" s="17" customFormat="1" x14ac:dyDescent="0.3">
      <c r="A34" s="38"/>
      <c r="B34" s="71" t="s">
        <v>1600</v>
      </c>
      <c r="C34" s="89" t="s">
        <v>610</v>
      </c>
      <c r="D34" s="80" t="s">
        <v>611</v>
      </c>
      <c r="E34" s="80">
        <v>200</v>
      </c>
      <c r="F34" s="81">
        <v>1</v>
      </c>
      <c r="G34" s="80">
        <f>F34*E34</f>
        <v>200</v>
      </c>
      <c r="H34" s="80">
        <f>G34*1.13</f>
        <v>225.99999999999997</v>
      </c>
      <c r="I34" s="80">
        <f>164.88</f>
        <v>164.88</v>
      </c>
      <c r="J34" s="90">
        <v>164.88</v>
      </c>
    </row>
    <row r="35" spans="1:10" s="17" customFormat="1" x14ac:dyDescent="0.3">
      <c r="A35" s="38"/>
      <c r="B35" s="91" t="s">
        <v>630</v>
      </c>
      <c r="C35" s="92" t="s">
        <v>602</v>
      </c>
      <c r="D35" s="82" t="s">
        <v>612</v>
      </c>
      <c r="E35" s="82">
        <v>100</v>
      </c>
      <c r="F35" s="83">
        <v>1</v>
      </c>
      <c r="G35" s="82">
        <f t="shared" ref="G35:G41" si="0">F35*E35</f>
        <v>100</v>
      </c>
      <c r="H35" s="82">
        <f t="shared" ref="H35:H41" si="1">G35*1.13</f>
        <v>112.99999999999999</v>
      </c>
      <c r="I35" s="82">
        <v>56.5</v>
      </c>
      <c r="J35" s="524">
        <v>56.5</v>
      </c>
    </row>
    <row r="36" spans="1:10" s="17" customFormat="1" x14ac:dyDescent="0.3">
      <c r="A36" s="38"/>
      <c r="B36" s="71" t="s">
        <v>632</v>
      </c>
      <c r="C36" s="89" t="s">
        <v>613</v>
      </c>
      <c r="D36" s="80" t="s">
        <v>614</v>
      </c>
      <c r="E36" s="80">
        <v>50</v>
      </c>
      <c r="F36" s="81">
        <v>3</v>
      </c>
      <c r="G36" s="80">
        <f t="shared" si="0"/>
        <v>150</v>
      </c>
      <c r="H36" s="80">
        <f t="shared" si="1"/>
        <v>169.49999999999997</v>
      </c>
      <c r="I36" s="80">
        <v>51.14</v>
      </c>
      <c r="J36" s="90">
        <v>51.14</v>
      </c>
    </row>
    <row r="37" spans="1:10" s="17" customFormat="1" x14ac:dyDescent="0.3">
      <c r="A37" s="38"/>
      <c r="B37" s="91" t="s">
        <v>634</v>
      </c>
      <c r="C37" s="92" t="s">
        <v>356</v>
      </c>
      <c r="D37" s="82"/>
      <c r="E37" s="82">
        <v>1</v>
      </c>
      <c r="F37" s="83">
        <v>30</v>
      </c>
      <c r="G37" s="82">
        <f t="shared" si="0"/>
        <v>30</v>
      </c>
      <c r="H37" s="82">
        <f t="shared" si="1"/>
        <v>33.9</v>
      </c>
      <c r="I37" s="82">
        <v>6.1</v>
      </c>
      <c r="J37" s="524">
        <v>6.1</v>
      </c>
    </row>
    <row r="38" spans="1:10" s="17" customFormat="1" x14ac:dyDescent="0.3">
      <c r="A38" s="38"/>
      <c r="B38" s="71" t="s">
        <v>1601</v>
      </c>
      <c r="C38" s="89" t="s">
        <v>339</v>
      </c>
      <c r="D38" s="80" t="s">
        <v>615</v>
      </c>
      <c r="E38" s="80">
        <v>10</v>
      </c>
      <c r="F38" s="81">
        <v>215</v>
      </c>
      <c r="G38" s="80">
        <f t="shared" si="0"/>
        <v>2150</v>
      </c>
      <c r="H38" s="80">
        <f t="shared" si="1"/>
        <v>2429.4999999999995</v>
      </c>
      <c r="I38" s="80">
        <f>93.95+74.02+8.8+6.85+1682</f>
        <v>1865.62</v>
      </c>
      <c r="J38" s="90">
        <v>1865.62</v>
      </c>
    </row>
    <row r="39" spans="1:10" s="17" customFormat="1" x14ac:dyDescent="0.3">
      <c r="A39" s="38"/>
      <c r="B39" s="91" t="s">
        <v>1602</v>
      </c>
      <c r="C39" s="92" t="s">
        <v>616</v>
      </c>
      <c r="D39" s="82" t="s">
        <v>617</v>
      </c>
      <c r="E39" s="82">
        <v>65</v>
      </c>
      <c r="F39" s="83">
        <v>1</v>
      </c>
      <c r="G39" s="82">
        <f t="shared" si="0"/>
        <v>65</v>
      </c>
      <c r="H39" s="82">
        <f t="shared" si="1"/>
        <v>73.449999999999989</v>
      </c>
      <c r="I39" s="82"/>
      <c r="J39" s="524"/>
    </row>
    <row r="40" spans="1:10" s="17" customFormat="1" x14ac:dyDescent="0.3">
      <c r="A40" s="38"/>
      <c r="B40" s="71" t="s">
        <v>1603</v>
      </c>
      <c r="C40" s="89" t="s">
        <v>618</v>
      </c>
      <c r="D40" s="80"/>
      <c r="E40" s="80">
        <v>17</v>
      </c>
      <c r="F40" s="81">
        <v>215</v>
      </c>
      <c r="G40" s="80">
        <f t="shared" si="0"/>
        <v>3655</v>
      </c>
      <c r="H40" s="80">
        <f t="shared" si="1"/>
        <v>4130.1499999999996</v>
      </c>
      <c r="I40" s="80">
        <f>93.73+5234.27+1444.74</f>
        <v>6772.74</v>
      </c>
      <c r="J40" s="90">
        <v>6772.74</v>
      </c>
    </row>
    <row r="41" spans="1:10" s="17" customFormat="1" x14ac:dyDescent="0.3">
      <c r="A41" s="21"/>
      <c r="B41" s="91" t="s">
        <v>1604</v>
      </c>
      <c r="C41" s="91" t="s">
        <v>619</v>
      </c>
      <c r="D41" s="82" t="s">
        <v>615</v>
      </c>
      <c r="E41" s="82">
        <v>600</v>
      </c>
      <c r="F41" s="83">
        <v>1</v>
      </c>
      <c r="G41" s="82">
        <f t="shared" si="0"/>
        <v>600</v>
      </c>
      <c r="H41" s="82">
        <f t="shared" si="1"/>
        <v>677.99999999999989</v>
      </c>
      <c r="I41" s="82">
        <f>384.83+157.3+179.39</f>
        <v>721.52</v>
      </c>
      <c r="J41" s="524">
        <v>721.52</v>
      </c>
    </row>
    <row r="42" spans="1:10" s="17" customFormat="1" x14ac:dyDescent="0.3">
      <c r="A42" s="21"/>
      <c r="B42" s="25" t="s">
        <v>620</v>
      </c>
      <c r="C42" s="126"/>
      <c r="D42" s="68"/>
      <c r="E42" s="68"/>
      <c r="F42" s="73"/>
      <c r="G42" s="68"/>
      <c r="H42" s="68">
        <f>SUM(H34:H41)</f>
        <v>7853.4999999999991</v>
      </c>
      <c r="I42" s="68">
        <f>SUM(I34:I41)</f>
        <v>9638.5</v>
      </c>
      <c r="J42" s="69">
        <f>SUM(J34:J41)</f>
        <v>9638.5</v>
      </c>
    </row>
    <row r="43" spans="1:10" s="17" customFormat="1" x14ac:dyDescent="0.3">
      <c r="A43" s="21"/>
      <c r="C43" s="91"/>
      <c r="D43" s="82"/>
      <c r="E43" s="82"/>
      <c r="F43" s="83"/>
      <c r="G43" s="82"/>
      <c r="H43" s="82"/>
      <c r="I43" s="82"/>
      <c r="J43" s="93"/>
    </row>
    <row r="44" spans="1:10" s="17" customFormat="1" x14ac:dyDescent="0.3">
      <c r="A44" s="16" t="s">
        <v>1652</v>
      </c>
      <c r="B44" s="27"/>
      <c r="C44" s="91"/>
      <c r="D44" s="82"/>
      <c r="E44" s="82"/>
      <c r="F44" s="83"/>
      <c r="G44" s="82"/>
      <c r="H44" s="82"/>
      <c r="I44" s="82"/>
      <c r="J44" s="93"/>
    </row>
    <row r="45" spans="1:10" s="31" customFormat="1" ht="18.75" x14ac:dyDescent="0.35">
      <c r="A45" s="21"/>
      <c r="B45" s="71" t="s">
        <v>1560</v>
      </c>
      <c r="C45" s="89" t="s">
        <v>621</v>
      </c>
      <c r="D45" s="80" t="s">
        <v>622</v>
      </c>
      <c r="E45" s="80">
        <v>400</v>
      </c>
      <c r="F45" s="81">
        <v>1</v>
      </c>
      <c r="G45" s="80">
        <f>F45*E45</f>
        <v>400</v>
      </c>
      <c r="H45" s="80">
        <f>G45</f>
        <v>400</v>
      </c>
      <c r="I45" s="80"/>
      <c r="J45" s="90"/>
    </row>
    <row r="46" spans="1:10" s="31" customFormat="1" ht="18.75" x14ac:dyDescent="0.35">
      <c r="A46" s="21"/>
      <c r="B46" s="91" t="s">
        <v>1605</v>
      </c>
      <c r="C46" s="91" t="s">
        <v>624</v>
      </c>
      <c r="D46" s="82" t="s">
        <v>625</v>
      </c>
      <c r="E46" s="82">
        <v>28</v>
      </c>
      <c r="F46" s="83">
        <v>5</v>
      </c>
      <c r="G46" s="82">
        <f t="shared" ref="G46:G47" si="2">F46*E46</f>
        <v>140</v>
      </c>
      <c r="H46" s="82">
        <f t="shared" ref="H46:H47" si="3">G46*1.13</f>
        <v>158.19999999999999</v>
      </c>
      <c r="I46" s="82"/>
      <c r="J46" s="93"/>
    </row>
    <row r="47" spans="1:10" s="17" customFormat="1" x14ac:dyDescent="0.3">
      <c r="A47" s="21"/>
      <c r="B47" s="71" t="s">
        <v>1606</v>
      </c>
      <c r="C47" s="71" t="s">
        <v>626</v>
      </c>
      <c r="D47" s="80" t="s">
        <v>625</v>
      </c>
      <c r="E47" s="80">
        <v>36</v>
      </c>
      <c r="F47" s="81">
        <v>2</v>
      </c>
      <c r="G47" s="80">
        <f t="shared" si="2"/>
        <v>72</v>
      </c>
      <c r="H47" s="80">
        <f t="shared" si="3"/>
        <v>81.359999999999985</v>
      </c>
      <c r="I47" s="80"/>
      <c r="J47" s="90"/>
    </row>
    <row r="48" spans="1:10" s="17" customFormat="1" x14ac:dyDescent="0.3">
      <c r="A48" s="21"/>
      <c r="B48" s="25" t="s">
        <v>627</v>
      </c>
      <c r="C48" s="126"/>
      <c r="D48" s="68"/>
      <c r="E48" s="68"/>
      <c r="F48" s="73"/>
      <c r="G48" s="68"/>
      <c r="H48" s="68">
        <f>SUM(H45:H47)</f>
        <v>639.56000000000006</v>
      </c>
      <c r="I48" s="68">
        <f>SUM(I45:I47)</f>
        <v>0</v>
      </c>
      <c r="J48" s="69">
        <f>SUM(J44:J47)</f>
        <v>0</v>
      </c>
    </row>
    <row r="49" spans="1:10" s="17" customFormat="1" x14ac:dyDescent="0.3">
      <c r="A49" s="21"/>
      <c r="C49" s="91"/>
      <c r="D49" s="82"/>
      <c r="E49" s="82"/>
      <c r="F49" s="83"/>
      <c r="G49" s="82"/>
      <c r="H49" s="82"/>
      <c r="I49" s="82"/>
      <c r="J49" s="93"/>
    </row>
    <row r="50" spans="1:10" s="17" customFormat="1" x14ac:dyDescent="0.3">
      <c r="A50" s="16" t="s">
        <v>628</v>
      </c>
      <c r="B50" s="27"/>
      <c r="C50" s="91"/>
      <c r="D50" s="82"/>
      <c r="E50" s="82"/>
      <c r="F50" s="83"/>
      <c r="G50" s="82"/>
      <c r="H50" s="82"/>
      <c r="I50" s="82"/>
      <c r="J50" s="93"/>
    </row>
    <row r="51" spans="1:10" s="17" customFormat="1" x14ac:dyDescent="0.3">
      <c r="A51" s="16"/>
      <c r="B51" s="71" t="s">
        <v>1607</v>
      </c>
      <c r="C51" s="71" t="s">
        <v>629</v>
      </c>
      <c r="D51" s="80" t="s">
        <v>625</v>
      </c>
      <c r="E51" s="80">
        <v>36</v>
      </c>
      <c r="F51" s="81">
        <v>5</v>
      </c>
      <c r="G51" s="80">
        <f>F51*E51</f>
        <v>180</v>
      </c>
      <c r="H51" s="80">
        <f>G51*1.13</f>
        <v>203.39999999999998</v>
      </c>
      <c r="I51" s="80"/>
      <c r="J51" s="90"/>
    </row>
    <row r="52" spans="1:10" s="17" customFormat="1" x14ac:dyDescent="0.3">
      <c r="A52" s="16"/>
      <c r="B52" s="91" t="s">
        <v>1608</v>
      </c>
      <c r="C52" s="91" t="s">
        <v>631</v>
      </c>
      <c r="D52" s="82" t="s">
        <v>625</v>
      </c>
      <c r="E52" s="82">
        <v>28</v>
      </c>
      <c r="F52" s="83">
        <v>5</v>
      </c>
      <c r="G52" s="82">
        <f t="shared" ref="G52:G54" si="4">F52*E52</f>
        <v>140</v>
      </c>
      <c r="H52" s="82">
        <f t="shared" ref="H52:H54" si="5">G52*1.13</f>
        <v>158.19999999999999</v>
      </c>
      <c r="I52" s="82"/>
      <c r="J52" s="93"/>
    </row>
    <row r="53" spans="1:10" s="17" customFormat="1" x14ac:dyDescent="0.3">
      <c r="A53" s="16"/>
      <c r="B53" s="71" t="s">
        <v>1609</v>
      </c>
      <c r="C53" s="71" t="s">
        <v>633</v>
      </c>
      <c r="D53" s="80" t="s">
        <v>625</v>
      </c>
      <c r="E53" s="80">
        <v>45</v>
      </c>
      <c r="F53" s="81">
        <v>2</v>
      </c>
      <c r="G53" s="80">
        <f t="shared" si="4"/>
        <v>90</v>
      </c>
      <c r="H53" s="80">
        <f t="shared" si="5"/>
        <v>101.69999999999999</v>
      </c>
      <c r="I53" s="80"/>
      <c r="J53" s="90"/>
    </row>
    <row r="54" spans="1:10" s="17" customFormat="1" x14ac:dyDescent="0.3">
      <c r="A54" s="16"/>
      <c r="B54" s="91" t="s">
        <v>1610</v>
      </c>
      <c r="C54" s="91" t="s">
        <v>635</v>
      </c>
      <c r="D54" s="82" t="s">
        <v>625</v>
      </c>
      <c r="E54" s="82">
        <v>40</v>
      </c>
      <c r="F54" s="83">
        <v>2</v>
      </c>
      <c r="G54" s="82">
        <f t="shared" si="4"/>
        <v>80</v>
      </c>
      <c r="H54" s="82">
        <f t="shared" si="5"/>
        <v>90.399999999999991</v>
      </c>
      <c r="I54" s="82"/>
      <c r="J54" s="93"/>
    </row>
    <row r="55" spans="1:10" s="17" customFormat="1" x14ac:dyDescent="0.3">
      <c r="A55" s="16"/>
      <c r="B55" s="67"/>
      <c r="C55" s="71"/>
      <c r="D55" s="80"/>
      <c r="E55" s="80"/>
      <c r="F55" s="81"/>
      <c r="G55" s="80"/>
      <c r="H55" s="80"/>
      <c r="I55" s="80"/>
      <c r="J55" s="90"/>
    </row>
    <row r="56" spans="1:10" s="17" customFormat="1" x14ac:dyDescent="0.3">
      <c r="A56" s="21"/>
      <c r="B56" s="512" t="s">
        <v>636</v>
      </c>
      <c r="C56" s="126"/>
      <c r="D56" s="68"/>
      <c r="E56" s="68"/>
      <c r="F56" s="73"/>
      <c r="G56" s="68"/>
      <c r="H56" s="68">
        <f>SUM(H51:H54)</f>
        <v>553.69999999999993</v>
      </c>
      <c r="I56" s="68">
        <f>SUM(I51:I54)</f>
        <v>0</v>
      </c>
      <c r="J56" s="69">
        <f>SUM(J51:J54)</f>
        <v>0</v>
      </c>
    </row>
    <row r="57" spans="1:10" s="17" customFormat="1" x14ac:dyDescent="0.3">
      <c r="B57" s="513"/>
      <c r="C57" s="37"/>
      <c r="D57" s="85"/>
      <c r="E57" s="85"/>
      <c r="F57" s="94"/>
      <c r="G57" s="85"/>
      <c r="H57" s="85"/>
      <c r="I57" s="85"/>
      <c r="J57" s="86"/>
    </row>
    <row r="58" spans="1:10" s="17" customFormat="1" x14ac:dyDescent="0.3">
      <c r="A58" s="27" t="s">
        <v>1537</v>
      </c>
      <c r="B58" s="16"/>
      <c r="C58" s="37"/>
      <c r="D58" s="85"/>
      <c r="E58" s="85"/>
      <c r="F58" s="94"/>
      <c r="G58" s="85"/>
      <c r="H58" s="85"/>
      <c r="I58" s="85"/>
      <c r="J58" s="86"/>
    </row>
    <row r="59" spans="1:10" s="17" customFormat="1" x14ac:dyDescent="0.3">
      <c r="B59" s="71" t="s">
        <v>1611</v>
      </c>
      <c r="C59" s="89" t="s">
        <v>1561</v>
      </c>
      <c r="D59" s="80"/>
      <c r="E59" s="80">
        <v>150</v>
      </c>
      <c r="F59" s="81">
        <v>15</v>
      </c>
      <c r="G59" s="80">
        <f>E59*F59</f>
        <v>2250</v>
      </c>
      <c r="H59" s="80">
        <f>G59</f>
        <v>2250</v>
      </c>
      <c r="I59" s="80">
        <f>230+700</f>
        <v>930</v>
      </c>
      <c r="J59" s="90">
        <v>930</v>
      </c>
    </row>
    <row r="60" spans="1:10" s="17" customFormat="1" x14ac:dyDescent="0.3">
      <c r="C60" s="92"/>
      <c r="D60" s="82"/>
      <c r="E60" s="82"/>
      <c r="F60" s="83"/>
      <c r="G60" s="82"/>
      <c r="H60" s="82"/>
      <c r="I60" s="82"/>
      <c r="J60" s="93"/>
    </row>
    <row r="61" spans="1:10" s="17" customFormat="1" x14ac:dyDescent="0.3">
      <c r="A61" s="21"/>
      <c r="B61" s="25" t="s">
        <v>636</v>
      </c>
      <c r="C61" s="126"/>
      <c r="D61" s="68"/>
      <c r="E61" s="68"/>
      <c r="F61" s="73"/>
      <c r="G61" s="68"/>
      <c r="H61" s="68">
        <f>H59</f>
        <v>2250</v>
      </c>
      <c r="I61" s="68">
        <f>I59</f>
        <v>930</v>
      </c>
      <c r="J61" s="69">
        <f>SUM(J58:J59)</f>
        <v>930</v>
      </c>
    </row>
    <row r="62" spans="1:10" s="17" customFormat="1" x14ac:dyDescent="0.3">
      <c r="A62" s="21"/>
      <c r="B62" s="27"/>
      <c r="C62" s="37"/>
      <c r="D62" s="85"/>
      <c r="E62" s="85"/>
      <c r="F62" s="94"/>
      <c r="G62" s="85"/>
      <c r="H62" s="85"/>
      <c r="I62" s="85"/>
      <c r="J62" s="86"/>
    </row>
    <row r="63" spans="1:10" s="17" customFormat="1" ht="18.75" x14ac:dyDescent="0.35">
      <c r="A63" s="39"/>
      <c r="B63" s="43"/>
      <c r="C63" s="127" t="s">
        <v>85</v>
      </c>
      <c r="D63" s="96"/>
      <c r="E63" s="96"/>
      <c r="F63" s="97"/>
      <c r="G63" s="96"/>
      <c r="H63" s="96">
        <f>H56+H48+H42+H22+H61+H31</f>
        <v>13064.079999999998</v>
      </c>
      <c r="I63" s="96">
        <f>I56+I48+I42+I22+I61+I31</f>
        <v>11566.33</v>
      </c>
      <c r="J63" s="98">
        <f t="shared" ref="J63" si="6">J56+J48+J42+J22+J61+J31</f>
        <v>11566.33</v>
      </c>
    </row>
    <row r="64" spans="1:10" s="17" customFormat="1" ht="18.75" x14ac:dyDescent="0.35">
      <c r="A64" s="39"/>
      <c r="B64" s="43"/>
      <c r="C64" s="127"/>
      <c r="D64" s="96"/>
      <c r="E64" s="96"/>
      <c r="F64" s="97"/>
      <c r="G64" s="96"/>
      <c r="H64" s="96"/>
      <c r="I64" s="96"/>
      <c r="J64" s="98"/>
    </row>
    <row r="65" spans="1:10" s="17" customFormat="1" ht="20.25" x14ac:dyDescent="0.35">
      <c r="A65" s="562" t="s">
        <v>86</v>
      </c>
      <c r="B65" s="563"/>
      <c r="C65" s="563"/>
      <c r="D65" s="44"/>
      <c r="E65" s="44"/>
      <c r="F65" s="79"/>
      <c r="G65" s="44"/>
      <c r="H65" s="44"/>
      <c r="I65" s="44"/>
      <c r="J65" s="45"/>
    </row>
    <row r="66" spans="1:10" s="17" customFormat="1" ht="20.25" x14ac:dyDescent="0.35">
      <c r="A66" s="62"/>
      <c r="B66" s="47" t="s">
        <v>87</v>
      </c>
      <c r="C66" s="183"/>
      <c r="D66" s="104"/>
      <c r="E66" s="104"/>
      <c r="F66" s="104"/>
      <c r="G66" s="104"/>
      <c r="H66" s="104">
        <f>H14</f>
        <v>4000</v>
      </c>
      <c r="I66" s="104">
        <f>I14</f>
        <v>3158.25</v>
      </c>
      <c r="J66" s="105">
        <f>J14</f>
        <v>3158.25</v>
      </c>
    </row>
    <row r="67" spans="1:10" s="17" customFormat="1" ht="20.25" x14ac:dyDescent="0.35">
      <c r="A67" s="62"/>
      <c r="B67" s="50" t="s">
        <v>88</v>
      </c>
      <c r="C67" s="58"/>
      <c r="D67" s="106"/>
      <c r="E67" s="106"/>
      <c r="F67" s="106"/>
      <c r="G67" s="106"/>
      <c r="H67" s="106">
        <f>H63</f>
        <v>13064.079999999998</v>
      </c>
      <c r="I67" s="106">
        <f t="shared" ref="I67" si="7">I63</f>
        <v>11566.33</v>
      </c>
      <c r="J67" s="107">
        <f>J63</f>
        <v>11566.33</v>
      </c>
    </row>
    <row r="68" spans="1:10" s="17" customFormat="1" ht="20.25" x14ac:dyDescent="0.35">
      <c r="A68" s="108"/>
      <c r="B68" s="52" t="s">
        <v>89</v>
      </c>
      <c r="C68" s="184"/>
      <c r="D68" s="109"/>
      <c r="E68" s="109"/>
      <c r="F68" s="109"/>
      <c r="G68" s="109"/>
      <c r="H68" s="109">
        <f>H66-H67</f>
        <v>-9064.0799999999981</v>
      </c>
      <c r="I68" s="109">
        <f t="shared" ref="I68:J68" si="8">I67-I66</f>
        <v>8408.08</v>
      </c>
      <c r="J68" s="110">
        <f t="shared" si="8"/>
        <v>8408.08</v>
      </c>
    </row>
    <row r="69" spans="1:10" s="17" customFormat="1" x14ac:dyDescent="0.3">
      <c r="A69" s="22"/>
      <c r="B69" s="29"/>
      <c r="D69" s="23"/>
      <c r="E69" s="23"/>
    </row>
    <row r="70" spans="1:10" s="17" customFormat="1" x14ac:dyDescent="0.3">
      <c r="A70" s="22"/>
    </row>
    <row r="71" spans="1:10" s="17" customFormat="1" x14ac:dyDescent="0.3">
      <c r="A71" s="22"/>
    </row>
    <row r="72" spans="1:10" s="17" customFormat="1" x14ac:dyDescent="0.3">
      <c r="A72" s="22"/>
      <c r="B72" s="29"/>
      <c r="D72" s="23"/>
      <c r="E72" s="23"/>
    </row>
    <row r="73" spans="1:10" s="17" customFormat="1" x14ac:dyDescent="0.3">
      <c r="A73" s="22"/>
      <c r="B73" s="29"/>
      <c r="D73" s="23"/>
      <c r="E73" s="23"/>
    </row>
    <row r="74" spans="1:10" s="17" customFormat="1" x14ac:dyDescent="0.3">
      <c r="A74" s="22"/>
      <c r="B74" s="29"/>
      <c r="D74" s="23"/>
      <c r="E74" s="23"/>
    </row>
    <row r="75" spans="1:10" s="17" customFormat="1" x14ac:dyDescent="0.3">
      <c r="A75" s="22"/>
      <c r="B75" s="29"/>
      <c r="D75" s="23"/>
      <c r="E75" s="23"/>
    </row>
    <row r="76" spans="1:10" s="17" customFormat="1" x14ac:dyDescent="0.3">
      <c r="A76" s="22"/>
      <c r="B76" s="29"/>
      <c r="D76" s="23"/>
      <c r="E76" s="23"/>
    </row>
    <row r="77" spans="1:10" s="17" customFormat="1" x14ac:dyDescent="0.3">
      <c r="A77" s="22"/>
    </row>
    <row r="78" spans="1:10" s="17" customFormat="1" x14ac:dyDescent="0.3">
      <c r="A78" s="22"/>
      <c r="B78" s="29"/>
      <c r="D78" s="23"/>
      <c r="E78" s="23"/>
    </row>
    <row r="79" spans="1:10" s="17" customFormat="1" x14ac:dyDescent="0.3">
      <c r="A79" s="22"/>
    </row>
    <row r="80" spans="1:10" s="17" customFormat="1" x14ac:dyDescent="0.3">
      <c r="A80" s="22"/>
      <c r="B80" s="29"/>
      <c r="D80" s="23"/>
      <c r="E80" s="23"/>
    </row>
    <row r="81" spans="1:5" s="17" customFormat="1" x14ac:dyDescent="0.3">
      <c r="A81" s="22"/>
    </row>
    <row r="82" spans="1:5" s="17" customFormat="1" x14ac:dyDescent="0.3">
      <c r="A82" s="22"/>
      <c r="B82" s="29"/>
      <c r="D82" s="23"/>
      <c r="E82" s="23"/>
    </row>
    <row r="83" spans="1:5" s="17" customFormat="1" x14ac:dyDescent="0.3">
      <c r="A83" s="22"/>
    </row>
    <row r="84" spans="1:5" s="17" customFormat="1" x14ac:dyDescent="0.3">
      <c r="A84" s="22"/>
    </row>
    <row r="85" spans="1:5" s="17" customFormat="1" x14ac:dyDescent="0.3">
      <c r="A85" s="22"/>
      <c r="B85" s="29"/>
      <c r="D85" s="23"/>
      <c r="E85" s="23"/>
    </row>
    <row r="86" spans="1:5" s="17" customFormat="1" x14ac:dyDescent="0.3">
      <c r="A86" s="22"/>
      <c r="B86" s="29"/>
      <c r="D86" s="23"/>
      <c r="E86" s="23"/>
    </row>
    <row r="87" spans="1:5" s="17" customFormat="1" x14ac:dyDescent="0.3">
      <c r="A87" s="22"/>
      <c r="B87" s="29"/>
      <c r="D87" s="23"/>
      <c r="E87" s="23"/>
    </row>
    <row r="88" spans="1:5" s="17" customFormat="1" x14ac:dyDescent="0.3">
      <c r="A88" s="22"/>
    </row>
    <row r="89" spans="1:5" s="17" customFormat="1" x14ac:dyDescent="0.3">
      <c r="A89" s="22"/>
      <c r="B89" s="29"/>
      <c r="D89" s="23"/>
      <c r="E89" s="23"/>
    </row>
    <row r="90" spans="1:5" s="17" customFormat="1" x14ac:dyDescent="0.3">
      <c r="A90" s="22"/>
      <c r="B90" s="29"/>
      <c r="D90" s="23"/>
      <c r="E90" s="23"/>
    </row>
    <row r="91" spans="1:5" s="17" customFormat="1" x14ac:dyDescent="0.3">
      <c r="A91" s="22"/>
      <c r="B91" s="29"/>
      <c r="D91" s="23"/>
      <c r="E91" s="23"/>
    </row>
    <row r="92" spans="1:5" s="17" customFormat="1" x14ac:dyDescent="0.3">
      <c r="A92" s="22"/>
    </row>
    <row r="93" spans="1:5" s="17" customFormat="1" x14ac:dyDescent="0.3">
      <c r="A93" s="22"/>
    </row>
    <row r="94" spans="1:5" s="17" customFormat="1" x14ac:dyDescent="0.3">
      <c r="A94" s="22"/>
      <c r="B94" s="29"/>
      <c r="D94" s="23"/>
      <c r="E94" s="23"/>
    </row>
    <row r="95" spans="1:5" s="17" customFormat="1" x14ac:dyDescent="0.3">
      <c r="A95" s="22"/>
      <c r="B95" s="29"/>
      <c r="D95" s="23"/>
      <c r="E95" s="23"/>
    </row>
    <row r="96" spans="1:5" s="17" customFormat="1" x14ac:dyDescent="0.3">
      <c r="A96" s="22"/>
      <c r="B96" s="29"/>
      <c r="D96" s="23"/>
      <c r="E96" s="23"/>
    </row>
    <row r="97" spans="1:5" s="17" customFormat="1" x14ac:dyDescent="0.3">
      <c r="A97" s="22"/>
    </row>
    <row r="98" spans="1:5" s="17" customFormat="1" x14ac:dyDescent="0.3">
      <c r="A98" s="22"/>
    </row>
    <row r="99" spans="1:5" s="17" customFormat="1" x14ac:dyDescent="0.3">
      <c r="A99" s="22"/>
    </row>
    <row r="100" spans="1:5" s="17" customFormat="1" x14ac:dyDescent="0.3">
      <c r="A100" s="22"/>
    </row>
    <row r="101" spans="1:5" s="17" customFormat="1" x14ac:dyDescent="0.3">
      <c r="A101" s="22"/>
    </row>
    <row r="102" spans="1:5" s="17" customFormat="1" x14ac:dyDescent="0.3">
      <c r="A102" s="22"/>
    </row>
    <row r="103" spans="1:5" s="17" customFormat="1" x14ac:dyDescent="0.3">
      <c r="A103" s="22"/>
    </row>
    <row r="104" spans="1:5" s="17" customFormat="1" x14ac:dyDescent="0.3">
      <c r="A104" s="22"/>
    </row>
    <row r="105" spans="1:5" s="17" customFormat="1" x14ac:dyDescent="0.3">
      <c r="A105" s="22"/>
    </row>
    <row r="106" spans="1:5" s="17" customFormat="1" x14ac:dyDescent="0.3">
      <c r="A106" s="22"/>
    </row>
    <row r="107" spans="1:5" s="17" customFormat="1" x14ac:dyDescent="0.3">
      <c r="A107" s="22"/>
    </row>
    <row r="108" spans="1:5" s="17" customFormat="1" x14ac:dyDescent="0.3">
      <c r="A108" s="22"/>
    </row>
    <row r="109" spans="1:5" s="17" customFormat="1" x14ac:dyDescent="0.3">
      <c r="A109" s="22"/>
      <c r="B109" s="29"/>
      <c r="D109" s="23"/>
      <c r="E109" s="23"/>
    </row>
    <row r="110" spans="1:5" s="17" customFormat="1" x14ac:dyDescent="0.3">
      <c r="A110" s="22"/>
      <c r="B110" s="29"/>
      <c r="D110" s="23"/>
      <c r="E110" s="23"/>
    </row>
    <row r="111" spans="1:5" s="17" customFormat="1" x14ac:dyDescent="0.3">
      <c r="A111" s="22"/>
    </row>
    <row r="112" spans="1:5" s="17" customFormat="1" x14ac:dyDescent="0.3">
      <c r="A112" s="22"/>
    </row>
    <row r="113" spans="1:5" s="17" customFormat="1" x14ac:dyDescent="0.3">
      <c r="A113" s="22"/>
    </row>
    <row r="114" spans="1:5" s="17" customFormat="1" x14ac:dyDescent="0.3">
      <c r="A114" s="22"/>
    </row>
    <row r="115" spans="1:5" s="17" customFormat="1" x14ac:dyDescent="0.3">
      <c r="A115" s="22"/>
    </row>
    <row r="116" spans="1:5" s="17" customFormat="1" x14ac:dyDescent="0.3">
      <c r="A116" s="22"/>
    </row>
    <row r="117" spans="1:5" s="17" customFormat="1" x14ac:dyDescent="0.3">
      <c r="A117" s="22"/>
    </row>
    <row r="118" spans="1:5" s="17" customFormat="1" x14ac:dyDescent="0.3">
      <c r="A118" s="22"/>
    </row>
    <row r="119" spans="1:5" s="17" customFormat="1" x14ac:dyDescent="0.3">
      <c r="A119" s="22"/>
    </row>
    <row r="120" spans="1:5" s="17" customFormat="1" x14ac:dyDescent="0.3">
      <c r="A120" s="22"/>
    </row>
    <row r="121" spans="1:5" s="17" customFormat="1" x14ac:dyDescent="0.3">
      <c r="A121" s="22"/>
    </row>
    <row r="122" spans="1:5" s="17" customFormat="1" x14ac:dyDescent="0.3">
      <c r="A122" s="22"/>
    </row>
    <row r="123" spans="1:5" s="17" customFormat="1" x14ac:dyDescent="0.3">
      <c r="A123" s="22"/>
      <c r="B123" s="29"/>
      <c r="D123" s="23"/>
      <c r="E123" s="23"/>
    </row>
    <row r="124" spans="1:5" s="17" customFormat="1" x14ac:dyDescent="0.3">
      <c r="A124" s="22"/>
      <c r="B124" s="29"/>
      <c r="D124" s="23"/>
      <c r="E124" s="23"/>
    </row>
    <row r="125" spans="1:5" s="17" customFormat="1" x14ac:dyDescent="0.3">
      <c r="A125" s="22"/>
    </row>
    <row r="126" spans="1:5" s="17" customFormat="1" x14ac:dyDescent="0.3">
      <c r="A126" s="22"/>
    </row>
    <row r="127" spans="1:5" s="17" customFormat="1" x14ac:dyDescent="0.3">
      <c r="A127" s="22"/>
    </row>
    <row r="128" spans="1:5" s="17" customFormat="1" x14ac:dyDescent="0.3">
      <c r="A128" s="22"/>
    </row>
    <row r="129" spans="1:5" s="17" customFormat="1" x14ac:dyDescent="0.3">
      <c r="A129" s="22"/>
    </row>
    <row r="130" spans="1:5" s="17" customFormat="1" x14ac:dyDescent="0.3">
      <c r="A130" s="22"/>
    </row>
    <row r="131" spans="1:5" s="17" customFormat="1" x14ac:dyDescent="0.3">
      <c r="A131" s="22"/>
    </row>
    <row r="132" spans="1:5" s="17" customFormat="1" x14ac:dyDescent="0.3">
      <c r="A132" s="22"/>
    </row>
    <row r="133" spans="1:5" s="17" customFormat="1" x14ac:dyDescent="0.3">
      <c r="A133" s="22"/>
    </row>
    <row r="134" spans="1:5" s="17" customFormat="1" x14ac:dyDescent="0.3">
      <c r="A134" s="22"/>
    </row>
    <row r="135" spans="1:5" s="17" customFormat="1" x14ac:dyDescent="0.3">
      <c r="A135" s="22"/>
    </row>
    <row r="136" spans="1:5" s="17" customFormat="1" x14ac:dyDescent="0.3">
      <c r="A136" s="22"/>
    </row>
    <row r="137" spans="1:5" s="17" customFormat="1" x14ac:dyDescent="0.3">
      <c r="A137" s="22"/>
      <c r="B137" s="29"/>
      <c r="D137" s="23"/>
      <c r="E137" s="23"/>
    </row>
    <row r="138" spans="1:5" s="17" customFormat="1" x14ac:dyDescent="0.3">
      <c r="A138" s="22"/>
      <c r="B138" s="29"/>
      <c r="D138" s="23"/>
      <c r="E138" s="23"/>
    </row>
    <row r="139" spans="1:5" s="43" customFormat="1" ht="18.75" x14ac:dyDescent="0.35">
      <c r="A139" s="40"/>
      <c r="B139" s="41"/>
      <c r="C139" s="40"/>
      <c r="D139" s="40"/>
      <c r="E139" s="42"/>
    </row>
    <row r="140" spans="1:5" s="43" customFormat="1" ht="18.75" x14ac:dyDescent="0.35">
      <c r="A140" s="40"/>
      <c r="B140" s="41"/>
      <c r="C140" s="40"/>
      <c r="D140" s="40"/>
      <c r="E140" s="42"/>
    </row>
    <row r="141" spans="1:5" s="48" customFormat="1" ht="20.25" x14ac:dyDescent="0.35">
      <c r="A141" s="58"/>
      <c r="B141" s="58"/>
    </row>
    <row r="142" spans="1:5" s="50" customFormat="1" ht="20.25" x14ac:dyDescent="0.35"/>
    <row r="143" spans="1:5" s="50" customFormat="1" ht="20.25" x14ac:dyDescent="0.35"/>
    <row r="144" spans="1:5" s="50" customFormat="1" ht="20.25" x14ac:dyDescent="0.35"/>
    <row r="145" spans="1:12" s="17" customFormat="1" x14ac:dyDescent="0.3"/>
    <row r="146" spans="1:12" x14ac:dyDescent="0.3">
      <c r="A146" s="17"/>
      <c r="B146" s="17"/>
      <c r="D146" s="53"/>
      <c r="E146" s="53"/>
      <c r="F146" s="53"/>
      <c r="G146" s="53"/>
      <c r="H146" s="53"/>
      <c r="I146" s="53"/>
      <c r="J146" s="53"/>
      <c r="K146" s="53"/>
      <c r="L146" s="53"/>
    </row>
  </sheetData>
  <mergeCells count="6">
    <mergeCell ref="A65:C65"/>
    <mergeCell ref="D1:J4"/>
    <mergeCell ref="A5:C5"/>
    <mergeCell ref="D5:E5"/>
    <mergeCell ref="A8:C8"/>
    <mergeCell ref="A16:C16"/>
  </mergeCells>
  <pageMargins left="0" right="0" top="0" bottom="0" header="0" footer="0"/>
  <pageSetup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zoomScale="75" zoomScaleNormal="75" workbookViewId="0">
      <pane xSplit="3" ySplit="6" topLeftCell="H7" activePane="bottomRight" state="frozen"/>
      <selection pane="topRight" activeCell="C1" sqref="C1"/>
      <selection pane="bottomLeft" activeCell="A4" sqref="A4"/>
      <selection pane="bottomRight" activeCell="I52" sqref="I52"/>
    </sheetView>
  </sheetViews>
  <sheetFormatPr defaultColWidth="8.85546875" defaultRowHeight="17.25" x14ac:dyDescent="0.3"/>
  <cols>
    <col min="1" max="2" width="13.85546875" style="53" customWidth="1"/>
    <col min="3" max="3" width="42.85546875" style="53" bestFit="1" customWidth="1"/>
    <col min="4" max="4" width="28.140625" style="55" customWidth="1"/>
    <col min="5" max="5" width="28.140625" style="18" customWidth="1"/>
    <col min="6" max="6" width="15.28515625" style="77" customWidth="1"/>
    <col min="7" max="7" width="17.42578125" style="18" customWidth="1"/>
    <col min="8" max="8" width="18.140625" style="18" customWidth="1"/>
    <col min="9" max="9" width="22.42578125" style="18" customWidth="1"/>
    <col min="10" max="10" width="23" style="18" customWidth="1"/>
    <col min="11" max="11" width="12" style="17" customWidth="1"/>
    <col min="12" max="12" width="11.28515625" style="17" customWidth="1"/>
    <col min="13" max="13" width="8.85546875" style="53"/>
    <col min="14" max="14" width="10.140625" style="53" bestFit="1" customWidth="1"/>
    <col min="15" max="15" width="14.28515625" style="53" customWidth="1"/>
    <col min="16" max="16384" width="8.85546875" style="53"/>
  </cols>
  <sheetData>
    <row r="1" spans="1:14" s="2" customFormat="1" ht="38.25" x14ac:dyDescent="0.3">
      <c r="A1" s="119"/>
      <c r="B1" s="120"/>
      <c r="C1" s="3"/>
      <c r="D1" s="564" t="s">
        <v>637</v>
      </c>
      <c r="E1" s="565"/>
      <c r="F1" s="565"/>
      <c r="G1" s="565"/>
      <c r="H1" s="565"/>
      <c r="I1" s="565"/>
      <c r="J1" s="566"/>
    </row>
    <row r="2" spans="1:14" s="2" customFormat="1" ht="38.25" x14ac:dyDescent="0.3">
      <c r="A2" s="4"/>
      <c r="B2" s="5"/>
      <c r="C2" s="5"/>
      <c r="D2" s="567"/>
      <c r="E2" s="568"/>
      <c r="F2" s="568"/>
      <c r="G2" s="568"/>
      <c r="H2" s="568"/>
      <c r="I2" s="568"/>
      <c r="J2" s="569"/>
    </row>
    <row r="3" spans="1:14" s="2" customFormat="1" ht="38.25" x14ac:dyDescent="0.3">
      <c r="A3" s="4"/>
      <c r="B3" s="5"/>
      <c r="C3" s="5"/>
      <c r="D3" s="567"/>
      <c r="E3" s="568"/>
      <c r="F3" s="568"/>
      <c r="G3" s="568"/>
      <c r="H3" s="568"/>
      <c r="I3" s="568"/>
      <c r="J3" s="569"/>
    </row>
    <row r="4" spans="1:14" s="2" customFormat="1" ht="38.25" x14ac:dyDescent="0.3">
      <c r="A4" s="6"/>
      <c r="B4" s="7"/>
      <c r="C4" s="7"/>
      <c r="D4" s="570"/>
      <c r="E4" s="571"/>
      <c r="F4" s="571"/>
      <c r="G4" s="571"/>
      <c r="H4" s="571"/>
      <c r="I4" s="571"/>
      <c r="J4" s="572"/>
    </row>
    <row r="5" spans="1:14" s="2" customFormat="1" x14ac:dyDescent="0.3">
      <c r="A5" s="573"/>
      <c r="B5" s="578"/>
      <c r="C5" s="574"/>
      <c r="D5" s="579"/>
      <c r="E5" s="580"/>
      <c r="F5" s="73"/>
      <c r="G5" s="68"/>
      <c r="H5" s="68"/>
      <c r="I5" s="68"/>
      <c r="J5" s="69"/>
      <c r="K5" s="8"/>
      <c r="L5" s="8"/>
    </row>
    <row r="6" spans="1:14" s="64" customFormat="1" x14ac:dyDescent="0.3">
      <c r="A6" s="133"/>
      <c r="B6" s="134" t="s">
        <v>91</v>
      </c>
      <c r="C6" s="135" t="s">
        <v>92</v>
      </c>
      <c r="D6" s="136" t="s">
        <v>93</v>
      </c>
      <c r="E6" s="137" t="s">
        <v>94</v>
      </c>
      <c r="F6" s="138" t="s">
        <v>95</v>
      </c>
      <c r="G6" s="139" t="s">
        <v>96</v>
      </c>
      <c r="H6" s="139" t="s">
        <v>97</v>
      </c>
      <c r="I6" s="139" t="s">
        <v>98</v>
      </c>
      <c r="J6" s="140" t="s">
        <v>99</v>
      </c>
      <c r="K6" s="63"/>
      <c r="L6" s="63"/>
    </row>
    <row r="7" spans="1:14" s="2" customFormat="1" x14ac:dyDescent="0.3">
      <c r="A7" s="141"/>
      <c r="B7" s="142"/>
      <c r="C7" s="143"/>
      <c r="D7" s="144"/>
      <c r="E7" s="145"/>
      <c r="F7" s="146"/>
      <c r="G7" s="145"/>
      <c r="H7" s="145"/>
      <c r="I7" s="145"/>
      <c r="J7" s="147"/>
      <c r="K7" s="8"/>
      <c r="L7" s="8"/>
    </row>
    <row r="8" spans="1:14" s="2" customFormat="1" ht="15.95" hidden="1" customHeight="1" x14ac:dyDescent="0.3">
      <c r="A8" s="583" t="s">
        <v>5</v>
      </c>
      <c r="B8" s="584"/>
      <c r="C8" s="584"/>
      <c r="D8" s="148"/>
      <c r="E8" s="148"/>
      <c r="F8" s="149"/>
      <c r="G8" s="148"/>
      <c r="H8" s="148"/>
      <c r="I8" s="148"/>
      <c r="J8" s="150"/>
      <c r="K8" s="8"/>
      <c r="L8" s="8"/>
    </row>
    <row r="9" spans="1:14" s="17" customFormat="1" ht="15.95" hidden="1" customHeight="1" x14ac:dyDescent="0.3">
      <c r="A9" s="151"/>
      <c r="B9" s="152"/>
      <c r="C9" s="152"/>
      <c r="D9" s="153"/>
      <c r="E9" s="153"/>
      <c r="F9" s="154"/>
      <c r="G9" s="153"/>
      <c r="H9" s="153"/>
      <c r="I9" s="153"/>
      <c r="J9" s="155"/>
    </row>
    <row r="10" spans="1:14" s="17" customFormat="1" ht="15.95" hidden="1" customHeight="1" x14ac:dyDescent="0.3">
      <c r="A10" s="151"/>
      <c r="B10" s="152"/>
      <c r="C10" s="152" t="s">
        <v>45</v>
      </c>
      <c r="D10" s="153"/>
      <c r="E10" s="153"/>
      <c r="F10" s="154"/>
      <c r="G10" s="153"/>
      <c r="H10" s="153">
        <v>0</v>
      </c>
      <c r="I10" s="153">
        <v>0</v>
      </c>
      <c r="J10" s="155">
        <v>0</v>
      </c>
    </row>
    <row r="11" spans="1:14" s="17" customFormat="1" ht="15.95" hidden="1" customHeight="1" x14ac:dyDescent="0.3">
      <c r="A11" s="151"/>
      <c r="B11" s="152"/>
      <c r="C11" s="152"/>
      <c r="D11" s="153"/>
      <c r="E11" s="153"/>
      <c r="F11" s="154"/>
      <c r="G11" s="153"/>
      <c r="H11" s="153"/>
      <c r="I11" s="153"/>
      <c r="J11" s="155"/>
      <c r="N11" s="23"/>
    </row>
    <row r="12" spans="1:14" s="17" customFormat="1" ht="15.95" hidden="1" customHeight="1" x14ac:dyDescent="0.3">
      <c r="A12" s="583" t="s">
        <v>46</v>
      </c>
      <c r="B12" s="584"/>
      <c r="C12" s="584"/>
      <c r="D12" s="148"/>
      <c r="E12" s="156"/>
      <c r="F12" s="157"/>
      <c r="G12" s="156"/>
      <c r="H12" s="156"/>
      <c r="I12" s="156"/>
      <c r="J12" s="150"/>
      <c r="N12" s="23"/>
    </row>
    <row r="13" spans="1:14" s="17" customFormat="1" ht="15.95" hidden="1" customHeight="1" x14ac:dyDescent="0.3">
      <c r="A13" s="151" t="s">
        <v>638</v>
      </c>
      <c r="B13" s="152"/>
      <c r="C13" s="158"/>
      <c r="D13" s="159"/>
      <c r="E13" s="159"/>
      <c r="F13" s="160"/>
      <c r="G13" s="159"/>
      <c r="H13" s="159"/>
      <c r="I13" s="159"/>
      <c r="J13" s="161"/>
      <c r="L13" s="24"/>
      <c r="N13" s="23"/>
    </row>
    <row r="14" spans="1:14" s="17" customFormat="1" ht="15.95" hidden="1" customHeight="1" x14ac:dyDescent="0.3">
      <c r="A14" s="162"/>
      <c r="B14" s="163"/>
      <c r="C14" s="164" t="s">
        <v>604</v>
      </c>
      <c r="D14" s="165" t="s">
        <v>639</v>
      </c>
      <c r="E14" s="165">
        <v>75</v>
      </c>
      <c r="F14" s="166">
        <v>2</v>
      </c>
      <c r="G14" s="165">
        <f>E14*F14</f>
        <v>150</v>
      </c>
      <c r="H14" s="165">
        <f>G14*1.13</f>
        <v>169.49999999999997</v>
      </c>
      <c r="I14" s="165"/>
      <c r="J14" s="167"/>
      <c r="N14" s="23"/>
    </row>
    <row r="15" spans="1:14" s="17" customFormat="1" ht="15.95" hidden="1" customHeight="1" x14ac:dyDescent="0.3">
      <c r="A15" s="162"/>
      <c r="B15" s="158"/>
      <c r="C15" s="168" t="s">
        <v>350</v>
      </c>
      <c r="D15" s="159" t="s">
        <v>639</v>
      </c>
      <c r="E15" s="159">
        <v>40</v>
      </c>
      <c r="F15" s="160">
        <v>2</v>
      </c>
      <c r="G15" s="159">
        <f t="shared" ref="G15" si="0">E15*F15</f>
        <v>80</v>
      </c>
      <c r="H15" s="159">
        <f t="shared" ref="H15" si="1">G15*1.13</f>
        <v>90.399999999999991</v>
      </c>
      <c r="I15" s="159"/>
      <c r="J15" s="161"/>
      <c r="N15" s="23"/>
    </row>
    <row r="16" spans="1:14" s="17" customFormat="1" ht="15.95" hidden="1" customHeight="1" x14ac:dyDescent="0.3">
      <c r="A16" s="162"/>
      <c r="B16" s="163"/>
      <c r="C16" s="164"/>
      <c r="D16" s="165"/>
      <c r="E16" s="165"/>
      <c r="F16" s="166"/>
      <c r="G16" s="165"/>
      <c r="H16" s="165"/>
      <c r="I16" s="165"/>
      <c r="J16" s="167"/>
      <c r="N16" s="23"/>
    </row>
    <row r="17" spans="1:15" s="17" customFormat="1" ht="15.95" hidden="1" customHeight="1" x14ac:dyDescent="0.3">
      <c r="A17" s="162"/>
      <c r="B17" s="169" t="s">
        <v>640</v>
      </c>
      <c r="C17" s="170"/>
      <c r="D17" s="171"/>
      <c r="E17" s="171"/>
      <c r="F17" s="172"/>
      <c r="G17" s="171"/>
      <c r="H17" s="171">
        <f>SUM(H14:H16)</f>
        <v>259.89999999999998</v>
      </c>
      <c r="I17" s="171">
        <f>SUM(I13:I15)</f>
        <v>0</v>
      </c>
      <c r="J17" s="173">
        <f>SUM(J13:J15)</f>
        <v>0</v>
      </c>
      <c r="N17" s="23"/>
    </row>
    <row r="18" spans="1:15" s="27" customFormat="1" ht="15.95" hidden="1" customHeight="1" x14ac:dyDescent="0.3">
      <c r="A18" s="504"/>
      <c r="B18" s="504"/>
      <c r="C18" s="504"/>
      <c r="D18" s="504"/>
      <c r="E18" s="504"/>
      <c r="F18" s="504"/>
      <c r="G18" s="504"/>
      <c r="H18" s="504"/>
      <c r="I18" s="504"/>
      <c r="J18" s="504"/>
      <c r="K18" s="22"/>
      <c r="L18" s="26"/>
      <c r="N18" s="28"/>
      <c r="O18" s="28"/>
    </row>
    <row r="19" spans="1:15" s="27" customFormat="1" ht="15.95" hidden="1" customHeight="1" x14ac:dyDescent="0.3">
      <c r="A19" s="151" t="s">
        <v>641</v>
      </c>
      <c r="B19" s="152"/>
      <c r="C19" s="158"/>
      <c r="D19" s="159"/>
      <c r="E19" s="159"/>
      <c r="F19" s="160"/>
      <c r="G19" s="159"/>
      <c r="H19" s="159"/>
      <c r="I19" s="159"/>
      <c r="J19" s="161"/>
      <c r="K19" s="22"/>
      <c r="L19" s="26"/>
      <c r="N19" s="28"/>
      <c r="O19" s="28"/>
    </row>
    <row r="20" spans="1:15" s="17" customFormat="1" ht="15.95" hidden="1" customHeight="1" x14ac:dyDescent="0.3">
      <c r="A20" s="174"/>
      <c r="B20" s="163"/>
      <c r="C20" s="164" t="s">
        <v>642</v>
      </c>
      <c r="D20" s="165" t="s">
        <v>643</v>
      </c>
      <c r="E20" s="165">
        <v>0.05</v>
      </c>
      <c r="F20" s="166">
        <v>1000</v>
      </c>
      <c r="G20" s="165">
        <f t="shared" ref="G20" si="2">E20*F20</f>
        <v>50</v>
      </c>
      <c r="H20" s="165">
        <f>G20*1</f>
        <v>50</v>
      </c>
      <c r="I20" s="165"/>
      <c r="J20" s="167"/>
      <c r="N20" s="23"/>
    </row>
    <row r="21" spans="1:15" s="17" customFormat="1" ht="15.95" hidden="1" customHeight="1" x14ac:dyDescent="0.3">
      <c r="A21" s="174"/>
      <c r="B21" s="158"/>
      <c r="C21" s="168" t="s">
        <v>644</v>
      </c>
      <c r="D21" s="159" t="s">
        <v>643</v>
      </c>
      <c r="E21" s="159">
        <v>0.05</v>
      </c>
      <c r="F21" s="160">
        <v>100</v>
      </c>
      <c r="G21" s="159">
        <f>E21*F21</f>
        <v>5</v>
      </c>
      <c r="H21" s="159">
        <f>G21*1</f>
        <v>5</v>
      </c>
      <c r="I21" s="159"/>
      <c r="J21" s="161"/>
      <c r="N21" s="23"/>
    </row>
    <row r="22" spans="1:15" s="17" customFormat="1" ht="15.95" hidden="1" customHeight="1" x14ac:dyDescent="0.3">
      <c r="A22" s="174"/>
      <c r="B22" s="163"/>
      <c r="C22" s="163"/>
      <c r="D22" s="165"/>
      <c r="E22" s="165"/>
      <c r="F22" s="166"/>
      <c r="G22" s="165"/>
      <c r="H22" s="165"/>
      <c r="I22" s="165"/>
      <c r="J22" s="167"/>
      <c r="N22" s="23"/>
    </row>
    <row r="23" spans="1:15" s="17" customFormat="1" ht="15.95" hidden="1" customHeight="1" x14ac:dyDescent="0.3">
      <c r="A23" s="174"/>
      <c r="B23" s="169" t="s">
        <v>645</v>
      </c>
      <c r="C23" s="175"/>
      <c r="D23" s="171"/>
      <c r="E23" s="171"/>
      <c r="F23" s="172"/>
      <c r="G23" s="171"/>
      <c r="H23" s="171">
        <f>SUM(H20:H22)</f>
        <v>55</v>
      </c>
      <c r="I23" s="171">
        <f>SUM(I20:I22)</f>
        <v>0</v>
      </c>
      <c r="J23" s="173">
        <f>SUM(J20:J22)</f>
        <v>0</v>
      </c>
      <c r="N23" s="23"/>
    </row>
    <row r="24" spans="1:15" s="17" customFormat="1" ht="15.95" hidden="1" customHeight="1" x14ac:dyDescent="0.3">
      <c r="A24" s="151"/>
      <c r="B24" s="158"/>
      <c r="C24" s="168"/>
      <c r="D24" s="159"/>
      <c r="E24" s="159"/>
      <c r="F24" s="160"/>
      <c r="G24" s="159"/>
      <c r="H24" s="159"/>
      <c r="I24" s="159"/>
      <c r="J24" s="161"/>
      <c r="N24" s="23"/>
    </row>
    <row r="25" spans="1:15" s="17" customFormat="1" ht="15.95" hidden="1" customHeight="1" x14ac:dyDescent="0.3">
      <c r="A25" s="151" t="s">
        <v>646</v>
      </c>
      <c r="B25" s="152"/>
      <c r="C25" s="158"/>
      <c r="D25" s="159"/>
      <c r="E25" s="159"/>
      <c r="F25" s="160"/>
      <c r="G25" s="159"/>
      <c r="H25" s="159"/>
      <c r="I25" s="159"/>
      <c r="J25" s="161"/>
      <c r="N25" s="23"/>
    </row>
    <row r="26" spans="1:15" s="17" customFormat="1" ht="15.95" hidden="1" customHeight="1" x14ac:dyDescent="0.3">
      <c r="A26" s="174"/>
      <c r="B26" s="163"/>
      <c r="C26" s="164" t="s">
        <v>647</v>
      </c>
      <c r="D26" s="165" t="s">
        <v>648</v>
      </c>
      <c r="E26" s="165">
        <v>151</v>
      </c>
      <c r="F26" s="166">
        <v>1</v>
      </c>
      <c r="G26" s="165">
        <f t="shared" ref="G26" si="3">E26*F26</f>
        <v>151</v>
      </c>
      <c r="H26" s="165">
        <f t="shared" ref="H26" si="4">G26*1.13</f>
        <v>170.63</v>
      </c>
      <c r="I26" s="165"/>
      <c r="J26" s="167"/>
      <c r="N26" s="23"/>
    </row>
    <row r="27" spans="1:15" s="17" customFormat="1" ht="15.95" hidden="1" customHeight="1" x14ac:dyDescent="0.3">
      <c r="A27" s="174"/>
      <c r="B27" s="158"/>
      <c r="C27" s="158"/>
      <c r="D27" s="159"/>
      <c r="E27" s="159"/>
      <c r="F27" s="160"/>
      <c r="G27" s="159"/>
      <c r="H27" s="159"/>
      <c r="I27" s="159"/>
      <c r="J27" s="161"/>
      <c r="N27" s="23"/>
    </row>
    <row r="28" spans="1:15" s="17" customFormat="1" ht="15.95" hidden="1" customHeight="1" x14ac:dyDescent="0.3">
      <c r="A28" s="174"/>
      <c r="B28" s="169" t="s">
        <v>645</v>
      </c>
      <c r="C28" s="175"/>
      <c r="D28" s="171"/>
      <c r="E28" s="171"/>
      <c r="F28" s="172"/>
      <c r="G28" s="171"/>
      <c r="H28" s="171">
        <f>SUM(H26:H27)</f>
        <v>170.63</v>
      </c>
      <c r="I28" s="171">
        <f>SUM(I26:I27)</f>
        <v>0</v>
      </c>
      <c r="J28" s="173">
        <f>SUM(J26:J27)</f>
        <v>0</v>
      </c>
      <c r="N28" s="23"/>
    </row>
    <row r="29" spans="1:15" s="17" customFormat="1" ht="15.95" hidden="1" customHeight="1" x14ac:dyDescent="0.3">
      <c r="A29" s="151"/>
      <c r="B29" s="158"/>
      <c r="C29" s="168"/>
      <c r="D29" s="159"/>
      <c r="E29" s="159"/>
      <c r="F29" s="160"/>
      <c r="G29" s="159"/>
      <c r="H29" s="159"/>
      <c r="I29" s="159"/>
      <c r="J29" s="161"/>
      <c r="K29" s="22"/>
      <c r="L29" s="29"/>
      <c r="M29" s="22"/>
      <c r="N29" s="22"/>
      <c r="O29" s="23"/>
    </row>
    <row r="30" spans="1:15" s="17" customFormat="1" ht="15.95" hidden="1" customHeight="1" x14ac:dyDescent="0.3">
      <c r="A30" s="151"/>
      <c r="B30" s="158"/>
      <c r="C30" s="152" t="s">
        <v>85</v>
      </c>
      <c r="D30" s="153"/>
      <c r="E30" s="153"/>
      <c r="F30" s="154"/>
      <c r="G30" s="153"/>
      <c r="H30" s="153">
        <f>H17+H23+H28</f>
        <v>485.53</v>
      </c>
      <c r="I30" s="153">
        <f>I17+I28</f>
        <v>0</v>
      </c>
      <c r="J30" s="155">
        <f>J17+J28</f>
        <v>0</v>
      </c>
      <c r="K30" s="22"/>
      <c r="L30" s="29"/>
      <c r="M30" s="22"/>
      <c r="N30" s="22"/>
      <c r="O30" s="23"/>
    </row>
    <row r="31" spans="1:15" s="27" customFormat="1" ht="15.95" hidden="1" customHeight="1" x14ac:dyDescent="0.3">
      <c r="A31" s="162"/>
      <c r="B31" s="158"/>
      <c r="C31" s="152"/>
      <c r="D31" s="153"/>
      <c r="E31" s="153"/>
      <c r="F31" s="154"/>
      <c r="G31" s="153"/>
      <c r="H31" s="153"/>
      <c r="I31" s="153"/>
      <c r="J31" s="155"/>
      <c r="K31" s="22"/>
      <c r="L31" s="26"/>
      <c r="N31" s="24"/>
      <c r="O31" s="28"/>
    </row>
    <row r="32" spans="1:15" s="17" customFormat="1" ht="15.95" hidden="1" customHeight="1" x14ac:dyDescent="0.3">
      <c r="A32" s="500" t="s">
        <v>86</v>
      </c>
      <c r="B32" s="501"/>
      <c r="C32" s="501"/>
      <c r="D32" s="148"/>
      <c r="E32" s="148"/>
      <c r="F32" s="149"/>
      <c r="G32" s="148"/>
      <c r="H32" s="148"/>
      <c r="I32" s="148"/>
      <c r="J32" s="150"/>
      <c r="L32" s="29"/>
      <c r="N32" s="23"/>
    </row>
    <row r="33" spans="1:15" s="17" customFormat="1" ht="15.95" hidden="1" customHeight="1" x14ac:dyDescent="0.3">
      <c r="A33" s="151"/>
      <c r="B33" s="176" t="s">
        <v>87</v>
      </c>
      <c r="C33" s="176"/>
      <c r="D33" s="177"/>
      <c r="E33" s="177"/>
      <c r="F33" s="177"/>
      <c r="G33" s="177"/>
      <c r="H33" s="177">
        <f>H10</f>
        <v>0</v>
      </c>
      <c r="I33" s="177">
        <f>I10</f>
        <v>0</v>
      </c>
      <c r="J33" s="178">
        <f>J10</f>
        <v>0</v>
      </c>
      <c r="L33" s="29"/>
      <c r="N33" s="23"/>
    </row>
    <row r="34" spans="1:15" s="17" customFormat="1" ht="15.95" hidden="1" customHeight="1" x14ac:dyDescent="0.3">
      <c r="A34" s="151"/>
      <c r="B34" s="152" t="s">
        <v>88</v>
      </c>
      <c r="C34" s="152"/>
      <c r="D34" s="153"/>
      <c r="E34" s="153"/>
      <c r="F34" s="153"/>
      <c r="G34" s="153"/>
      <c r="H34" s="153">
        <f>H30</f>
        <v>485.53</v>
      </c>
      <c r="I34" s="153">
        <f>I30</f>
        <v>0</v>
      </c>
      <c r="J34" s="155">
        <f>J30</f>
        <v>0</v>
      </c>
      <c r="L34" s="29"/>
      <c r="N34" s="23"/>
    </row>
    <row r="35" spans="1:15" s="17" customFormat="1" ht="15.95" hidden="1" customHeight="1" x14ac:dyDescent="0.3">
      <c r="A35" s="179"/>
      <c r="B35" s="180" t="s">
        <v>89</v>
      </c>
      <c r="C35" s="180"/>
      <c r="D35" s="181"/>
      <c r="E35" s="181"/>
      <c r="F35" s="181"/>
      <c r="G35" s="181"/>
      <c r="H35" s="181">
        <f t="shared" ref="H35:J35" si="5">H33-H34</f>
        <v>-485.53</v>
      </c>
      <c r="I35" s="181">
        <f t="shared" si="5"/>
        <v>0</v>
      </c>
      <c r="J35" s="182">
        <f t="shared" si="5"/>
        <v>0</v>
      </c>
      <c r="L35" s="29"/>
      <c r="N35" s="23"/>
    </row>
    <row r="36" spans="1:15" s="17" customFormat="1" hidden="1" x14ac:dyDescent="0.3">
      <c r="A36" s="21"/>
      <c r="B36" s="20"/>
      <c r="C36" s="1"/>
      <c r="D36" s="80"/>
      <c r="E36" s="80"/>
      <c r="F36" s="81"/>
      <c r="G36" s="80">
        <f t="shared" ref="G36:G39" si="6">E36*F36</f>
        <v>0</v>
      </c>
      <c r="H36" s="80">
        <f t="shared" ref="H36:H39" si="7">G36*1.13</f>
        <v>0</v>
      </c>
      <c r="I36" s="80"/>
      <c r="J36" s="95"/>
      <c r="L36" s="29"/>
      <c r="N36" s="23"/>
    </row>
    <row r="37" spans="1:15" s="17" customFormat="1" hidden="1" x14ac:dyDescent="0.3">
      <c r="A37" s="21"/>
      <c r="C37" s="22"/>
      <c r="D37" s="82"/>
      <c r="E37" s="82"/>
      <c r="F37" s="83"/>
      <c r="G37" s="82">
        <f t="shared" si="6"/>
        <v>0</v>
      </c>
      <c r="H37" s="82">
        <f t="shared" si="7"/>
        <v>0</v>
      </c>
      <c r="I37" s="82"/>
      <c r="J37" s="93"/>
      <c r="L37" s="29"/>
      <c r="N37" s="23"/>
    </row>
    <row r="38" spans="1:15" s="17" customFormat="1" hidden="1" x14ac:dyDescent="0.3">
      <c r="A38" s="21"/>
      <c r="B38" s="20"/>
      <c r="C38" s="1"/>
      <c r="D38" s="80"/>
      <c r="E38" s="80"/>
      <c r="F38" s="81"/>
      <c r="G38" s="80">
        <f t="shared" si="6"/>
        <v>0</v>
      </c>
      <c r="H38" s="80">
        <f t="shared" si="7"/>
        <v>0</v>
      </c>
      <c r="I38" s="80"/>
      <c r="J38" s="90"/>
      <c r="L38" s="29"/>
      <c r="N38" s="23"/>
    </row>
    <row r="39" spans="1:15" s="17" customFormat="1" hidden="1" x14ac:dyDescent="0.3">
      <c r="A39" s="21"/>
      <c r="C39" s="22"/>
      <c r="D39" s="82"/>
      <c r="E39" s="82"/>
      <c r="F39" s="83"/>
      <c r="G39" s="82">
        <f t="shared" si="6"/>
        <v>0</v>
      </c>
      <c r="H39" s="82">
        <f t="shared" si="7"/>
        <v>0</v>
      </c>
      <c r="I39" s="82"/>
      <c r="J39" s="93"/>
      <c r="L39" s="29"/>
      <c r="N39" s="23"/>
    </row>
    <row r="40" spans="1:15" s="17" customFormat="1" hidden="1" x14ac:dyDescent="0.3">
      <c r="A40" s="21"/>
      <c r="B40" s="20"/>
      <c r="C40" s="1"/>
      <c r="D40" s="80"/>
      <c r="E40" s="80"/>
      <c r="F40" s="81"/>
      <c r="G40" s="80"/>
      <c r="H40" s="80"/>
      <c r="I40" s="80"/>
      <c r="J40" s="90"/>
      <c r="L40" s="29"/>
      <c r="N40" s="23"/>
    </row>
    <row r="41" spans="1:15" s="17" customFormat="1" hidden="1" x14ac:dyDescent="0.3">
      <c r="A41" s="16"/>
      <c r="B41" s="25" t="s">
        <v>649</v>
      </c>
      <c r="C41" s="66"/>
      <c r="D41" s="68"/>
      <c r="E41" s="68"/>
      <c r="F41" s="73"/>
      <c r="G41" s="68"/>
      <c r="H41" s="68">
        <f>SUM(H32:H40)</f>
        <v>0</v>
      </c>
      <c r="I41" s="68">
        <f t="shared" ref="I41:J41" si="8">SUM(I32:I40)</f>
        <v>0</v>
      </c>
      <c r="J41" s="69">
        <f t="shared" si="8"/>
        <v>0</v>
      </c>
      <c r="K41" s="22"/>
      <c r="L41" s="29"/>
      <c r="N41" s="23"/>
      <c r="O41" s="23"/>
    </row>
    <row r="42" spans="1:15" s="17" customFormat="1" hidden="1" x14ac:dyDescent="0.3">
      <c r="A42" s="16"/>
      <c r="B42" s="27"/>
      <c r="C42" s="27"/>
      <c r="D42" s="85"/>
      <c r="E42" s="85"/>
      <c r="F42" s="94"/>
      <c r="G42" s="85"/>
      <c r="H42" s="85"/>
      <c r="I42" s="85"/>
      <c r="J42" s="86"/>
      <c r="K42" s="22"/>
      <c r="L42" s="29"/>
      <c r="M42" s="22"/>
      <c r="N42" s="22"/>
      <c r="O42" s="23"/>
    </row>
    <row r="43" spans="1:15" s="31" customFormat="1" ht="18.75" hidden="1" x14ac:dyDescent="0.35">
      <c r="A43" s="30"/>
      <c r="C43" s="31" t="s">
        <v>45</v>
      </c>
      <c r="D43" s="96"/>
      <c r="E43" s="96"/>
      <c r="F43" s="97"/>
      <c r="G43" s="96"/>
      <c r="H43" s="96">
        <f t="shared" ref="H43:I43" si="9">H29+H41+H17</f>
        <v>259.89999999999998</v>
      </c>
      <c r="I43" s="96">
        <f t="shared" si="9"/>
        <v>0</v>
      </c>
      <c r="J43" s="98">
        <f>J29+J41+J17</f>
        <v>0</v>
      </c>
      <c r="K43" s="32"/>
      <c r="L43" s="33"/>
      <c r="M43" s="32"/>
      <c r="N43" s="32"/>
      <c r="O43" s="34"/>
    </row>
    <row r="44" spans="1:15" s="31" customFormat="1" ht="18.75" hidden="1" x14ac:dyDescent="0.35">
      <c r="A44" s="30"/>
      <c r="D44" s="85"/>
      <c r="E44" s="85"/>
      <c r="F44" s="94"/>
      <c r="G44" s="85"/>
      <c r="H44" s="85"/>
      <c r="I44" s="85"/>
      <c r="J44" s="86"/>
      <c r="K44" s="32"/>
      <c r="L44" s="33"/>
      <c r="M44" s="32"/>
      <c r="N44" s="32"/>
      <c r="O44" s="34"/>
    </row>
    <row r="45" spans="1:15" x14ac:dyDescent="0.3">
      <c r="A45" s="583" t="s">
        <v>5</v>
      </c>
      <c r="B45" s="584"/>
      <c r="C45" s="584"/>
      <c r="D45" s="148"/>
      <c r="E45" s="148"/>
      <c r="F45" s="149"/>
      <c r="G45" s="148"/>
      <c r="H45" s="148"/>
      <c r="I45" s="148"/>
      <c r="J45" s="150"/>
    </row>
    <row r="46" spans="1:15" x14ac:dyDescent="0.3">
      <c r="A46" s="151"/>
      <c r="B46" s="152"/>
      <c r="C46" s="152"/>
      <c r="D46" s="153"/>
      <c r="E46" s="153"/>
      <c r="F46" s="154"/>
      <c r="G46" s="153"/>
      <c r="H46" s="153"/>
      <c r="I46" s="153"/>
      <c r="J46" s="155"/>
    </row>
    <row r="47" spans="1:15" x14ac:dyDescent="0.3">
      <c r="A47" s="151"/>
      <c r="B47" s="152"/>
      <c r="C47" s="152" t="s">
        <v>45</v>
      </c>
      <c r="D47" s="153"/>
      <c r="E47" s="153"/>
      <c r="F47" s="154"/>
      <c r="G47" s="153"/>
      <c r="H47" s="153">
        <v>0</v>
      </c>
      <c r="I47" s="153">
        <v>0</v>
      </c>
      <c r="J47" s="155">
        <v>0</v>
      </c>
    </row>
    <row r="48" spans="1:15" x14ac:dyDescent="0.3">
      <c r="A48" s="151"/>
      <c r="B48" s="152"/>
      <c r="C48" s="152"/>
      <c r="D48" s="153"/>
      <c r="E48" s="153"/>
      <c r="F48" s="154"/>
      <c r="G48" s="153"/>
      <c r="H48" s="153"/>
      <c r="I48" s="153"/>
      <c r="J48" s="155"/>
    </row>
    <row r="49" spans="1:10" x14ac:dyDescent="0.3">
      <c r="A49" s="583" t="s">
        <v>46</v>
      </c>
      <c r="B49" s="584"/>
      <c r="C49" s="584"/>
      <c r="D49" s="148"/>
      <c r="E49" s="156"/>
      <c r="F49" s="157"/>
      <c r="G49" s="156"/>
      <c r="H49" s="156"/>
      <c r="I49" s="156"/>
      <c r="J49" s="150"/>
    </row>
    <row r="50" spans="1:10" x14ac:dyDescent="0.3">
      <c r="A50" s="16" t="s">
        <v>638</v>
      </c>
      <c r="B50" s="27"/>
      <c r="C50" s="17"/>
      <c r="D50" s="82"/>
      <c r="E50" s="82"/>
      <c r="F50" s="83"/>
      <c r="G50" s="82"/>
      <c r="H50" s="82"/>
      <c r="I50" s="82"/>
      <c r="J50" s="93"/>
    </row>
    <row r="51" spans="1:10" x14ac:dyDescent="0.3">
      <c r="A51" s="21"/>
      <c r="B51" s="20" t="s">
        <v>651</v>
      </c>
      <c r="C51" s="1" t="s">
        <v>604</v>
      </c>
      <c r="D51" s="80" t="s">
        <v>650</v>
      </c>
      <c r="E51" s="80">
        <v>14</v>
      </c>
      <c r="F51" s="81">
        <v>4</v>
      </c>
      <c r="G51" s="80">
        <f>E51*F51</f>
        <v>56</v>
      </c>
      <c r="H51" s="80">
        <f>G51*1.13</f>
        <v>63.279999999999994</v>
      </c>
      <c r="I51" s="80">
        <v>91.98</v>
      </c>
      <c r="J51" s="90">
        <v>91.98</v>
      </c>
    </row>
    <row r="52" spans="1:10" x14ac:dyDescent="0.3">
      <c r="A52" s="21"/>
      <c r="B52" s="17" t="s">
        <v>1570</v>
      </c>
      <c r="C52" s="22" t="s">
        <v>350</v>
      </c>
      <c r="D52" s="82" t="s">
        <v>639</v>
      </c>
      <c r="E52" s="82">
        <v>45</v>
      </c>
      <c r="F52" s="83">
        <v>2</v>
      </c>
      <c r="G52" s="82">
        <f t="shared" ref="G52" si="10">E52*F52</f>
        <v>90</v>
      </c>
      <c r="H52" s="82">
        <f t="shared" ref="H52" si="11">G52*1.13</f>
        <v>101.69999999999999</v>
      </c>
      <c r="I52" s="82"/>
      <c r="J52" s="93"/>
    </row>
    <row r="53" spans="1:10" x14ac:dyDescent="0.3">
      <c r="A53" s="21"/>
      <c r="B53" s="20"/>
      <c r="C53" s="1" t="s">
        <v>1668</v>
      </c>
      <c r="D53" s="80" t="s">
        <v>1669</v>
      </c>
      <c r="E53" s="80"/>
      <c r="F53" s="81"/>
      <c r="G53" s="80"/>
      <c r="H53" s="80"/>
      <c r="I53" s="80">
        <v>3.67</v>
      </c>
      <c r="J53" s="90">
        <v>3.67</v>
      </c>
    </row>
    <row r="54" spans="1:10" x14ac:dyDescent="0.3">
      <c r="A54" s="21"/>
      <c r="B54" s="25" t="s">
        <v>640</v>
      </c>
      <c r="C54" s="118"/>
      <c r="D54" s="68"/>
      <c r="E54" s="68"/>
      <c r="F54" s="73"/>
      <c r="G54" s="68"/>
      <c r="H54" s="68">
        <f>SUM(H51:H53)</f>
        <v>164.98</v>
      </c>
      <c r="I54" s="68">
        <f>SUM(I51:I53)</f>
        <v>95.65</v>
      </c>
      <c r="J54" s="69">
        <f>SUM(J51:J53)</f>
        <v>95.65</v>
      </c>
    </row>
    <row r="55" spans="1:10" x14ac:dyDescent="0.3">
      <c r="A55" s="16" t="s">
        <v>646</v>
      </c>
      <c r="B55" s="27"/>
      <c r="C55" s="17"/>
      <c r="D55" s="82"/>
      <c r="E55" s="82"/>
      <c r="F55" s="83"/>
      <c r="G55" s="82"/>
      <c r="H55" s="82"/>
      <c r="I55" s="82"/>
      <c r="J55" s="93"/>
    </row>
    <row r="56" spans="1:10" x14ac:dyDescent="0.3">
      <c r="A56" s="38"/>
      <c r="B56" s="20" t="s">
        <v>1612</v>
      </c>
      <c r="C56" s="1" t="s">
        <v>647</v>
      </c>
      <c r="D56" s="80" t="s">
        <v>648</v>
      </c>
      <c r="E56" s="80">
        <v>151</v>
      </c>
      <c r="F56" s="81">
        <v>1</v>
      </c>
      <c r="G56" s="80">
        <v>200</v>
      </c>
      <c r="H56" s="80">
        <f t="shared" ref="H56" si="12">G56*1.13</f>
        <v>225.99999999999997</v>
      </c>
      <c r="I56" s="80"/>
      <c r="J56" s="90"/>
    </row>
    <row r="57" spans="1:10" x14ac:dyDescent="0.3">
      <c r="A57" s="38"/>
      <c r="B57" s="17" t="s">
        <v>1613</v>
      </c>
      <c r="C57" s="17" t="s">
        <v>1562</v>
      </c>
      <c r="D57" s="82" t="s">
        <v>1563</v>
      </c>
      <c r="E57" s="82">
        <v>80</v>
      </c>
      <c r="F57" s="83">
        <v>2</v>
      </c>
      <c r="G57" s="82">
        <f>E57*F57</f>
        <v>160</v>
      </c>
      <c r="H57" s="82">
        <f>G57*1.13</f>
        <v>180.79999999999998</v>
      </c>
      <c r="I57" s="82"/>
      <c r="J57" s="93"/>
    </row>
    <row r="58" spans="1:10" x14ac:dyDescent="0.3">
      <c r="A58" s="38"/>
      <c r="B58" s="20" t="s">
        <v>1614</v>
      </c>
      <c r="C58" s="20" t="s">
        <v>1571</v>
      </c>
      <c r="D58" s="80"/>
      <c r="E58" s="80">
        <v>50</v>
      </c>
      <c r="F58" s="81">
        <v>1</v>
      </c>
      <c r="G58" s="80">
        <f>E58*F58</f>
        <v>50</v>
      </c>
      <c r="H58" s="80">
        <f>G58*1.13</f>
        <v>56.499999999999993</v>
      </c>
      <c r="I58" s="80"/>
      <c r="J58" s="90"/>
    </row>
    <row r="59" spans="1:10" x14ac:dyDescent="0.3">
      <c r="A59" s="38"/>
      <c r="B59" s="25" t="s">
        <v>645</v>
      </c>
      <c r="C59" s="66"/>
      <c r="D59" s="68"/>
      <c r="E59" s="68"/>
      <c r="F59" s="73"/>
      <c r="G59" s="68"/>
      <c r="H59" s="68">
        <f>SUM(H56:H58)</f>
        <v>463.29999999999995</v>
      </c>
      <c r="I59" s="68">
        <f>SUM(I56:I57)</f>
        <v>0</v>
      </c>
      <c r="J59" s="69">
        <f>SUM(J56:J57)</f>
        <v>0</v>
      </c>
    </row>
    <row r="60" spans="1:10" x14ac:dyDescent="0.3">
      <c r="A60" s="16"/>
      <c r="B60" s="17"/>
      <c r="C60" s="22"/>
      <c r="D60" s="82"/>
      <c r="E60" s="82"/>
      <c r="F60" s="83"/>
      <c r="G60" s="82"/>
      <c r="H60" s="82"/>
      <c r="I60" s="82"/>
      <c r="J60" s="93"/>
    </row>
    <row r="61" spans="1:10" x14ac:dyDescent="0.3">
      <c r="A61" s="16"/>
      <c r="B61" s="17"/>
      <c r="C61" s="27" t="s">
        <v>85</v>
      </c>
      <c r="D61" s="85"/>
      <c r="E61" s="85"/>
      <c r="F61" s="94"/>
      <c r="G61" s="85"/>
      <c r="H61" s="85">
        <f>H54+H59</f>
        <v>628.28</v>
      </c>
      <c r="I61" s="85">
        <f>I54+I59</f>
        <v>95.65</v>
      </c>
      <c r="J61" s="86">
        <f>J54+J59</f>
        <v>95.65</v>
      </c>
    </row>
    <row r="62" spans="1:10" x14ac:dyDescent="0.3">
      <c r="A62" s="162"/>
      <c r="B62" s="158"/>
      <c r="C62" s="152"/>
      <c r="D62" s="153"/>
      <c r="E62" s="153"/>
      <c r="F62" s="154"/>
      <c r="G62" s="153"/>
      <c r="H62" s="153"/>
      <c r="I62" s="153"/>
      <c r="J62" s="155"/>
    </row>
    <row r="63" spans="1:10" x14ac:dyDescent="0.3">
      <c r="A63" s="500" t="s">
        <v>86</v>
      </c>
      <c r="B63" s="501"/>
      <c r="C63" s="501"/>
      <c r="D63" s="148"/>
      <c r="E63" s="148"/>
      <c r="F63" s="149"/>
      <c r="G63" s="148"/>
      <c r="H63" s="148"/>
      <c r="I63" s="148"/>
      <c r="J63" s="150"/>
    </row>
    <row r="64" spans="1:10" x14ac:dyDescent="0.3">
      <c r="A64" s="151"/>
      <c r="B64" s="176" t="s">
        <v>87</v>
      </c>
      <c r="C64" s="176"/>
      <c r="D64" s="177"/>
      <c r="E64" s="177"/>
      <c r="F64" s="177"/>
      <c r="G64" s="177"/>
      <c r="H64" s="177">
        <f>H47</f>
        <v>0</v>
      </c>
      <c r="I64" s="177">
        <f>I47</f>
        <v>0</v>
      </c>
      <c r="J64" s="178">
        <f>J47</f>
        <v>0</v>
      </c>
    </row>
    <row r="65" spans="1:10" x14ac:dyDescent="0.3">
      <c r="A65" s="151"/>
      <c r="B65" s="152" t="s">
        <v>88</v>
      </c>
      <c r="C65" s="152"/>
      <c r="D65" s="153"/>
      <c r="E65" s="153"/>
      <c r="F65" s="153"/>
      <c r="G65" s="153"/>
      <c r="H65" s="153">
        <f>H61</f>
        <v>628.28</v>
      </c>
      <c r="I65" s="153">
        <f>I61</f>
        <v>95.65</v>
      </c>
      <c r="J65" s="155">
        <f>J61</f>
        <v>95.65</v>
      </c>
    </row>
    <row r="66" spans="1:10" x14ac:dyDescent="0.3">
      <c r="A66" s="179"/>
      <c r="B66" s="180" t="s">
        <v>89</v>
      </c>
      <c r="C66" s="180"/>
      <c r="D66" s="181"/>
      <c r="E66" s="181"/>
      <c r="F66" s="181"/>
      <c r="G66" s="181"/>
      <c r="H66" s="181">
        <f t="shared" ref="H66:J66" si="13">H64-H65</f>
        <v>-628.28</v>
      </c>
      <c r="I66" s="181">
        <f t="shared" si="13"/>
        <v>-95.65</v>
      </c>
      <c r="J66" s="182">
        <f t="shared" si="13"/>
        <v>-95.65</v>
      </c>
    </row>
  </sheetData>
  <mergeCells count="7">
    <mergeCell ref="A45:C45"/>
    <mergeCell ref="A49:C49"/>
    <mergeCell ref="D1:J4"/>
    <mergeCell ref="A5:C5"/>
    <mergeCell ref="D5:E5"/>
    <mergeCell ref="A8:C8"/>
    <mergeCell ref="A12:C12"/>
  </mergeCells>
  <pageMargins left="0" right="0" top="0" bottom="0" header="0" footer="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2"/>
  <sheetViews>
    <sheetView zoomScale="75" zoomScaleNormal="75" workbookViewId="0">
      <pane xSplit="3" ySplit="6" topLeftCell="E40" activePane="bottomRight" state="frozen"/>
      <selection pane="topRight" activeCell="C1" sqref="C1"/>
      <selection pane="bottomLeft" activeCell="A4" sqref="A4"/>
      <selection pane="bottomRight" activeCell="I23" sqref="I23"/>
    </sheetView>
  </sheetViews>
  <sheetFormatPr defaultColWidth="8.85546875" defaultRowHeight="17.25" x14ac:dyDescent="0.3"/>
  <cols>
    <col min="1" max="1" width="13.85546875" style="53" customWidth="1"/>
    <col min="2" max="2" width="13.85546875" style="129" customWidth="1"/>
    <col min="3" max="3" width="42.85546875" style="129" bestFit="1" customWidth="1"/>
    <col min="4" max="4" width="37.7109375" style="131" customWidth="1"/>
    <col min="5" max="5" width="28.140625" style="82" customWidth="1"/>
    <col min="6" max="6" width="15.28515625" style="83" customWidth="1"/>
    <col min="7" max="7" width="17.42578125" style="82" customWidth="1"/>
    <col min="8" max="8" width="18.140625" style="82" customWidth="1"/>
    <col min="9" max="9" width="22.42578125" style="82" customWidth="1"/>
    <col min="10" max="10" width="23" style="82" customWidth="1"/>
    <col min="11" max="11" width="12" style="17" customWidth="1"/>
    <col min="12" max="12" width="11.28515625" style="17" customWidth="1"/>
    <col min="13" max="13" width="8.85546875" style="53"/>
    <col min="14" max="14" width="10.140625" style="53" bestFit="1" customWidth="1"/>
    <col min="15" max="15" width="14.28515625" style="53" customWidth="1"/>
    <col min="16" max="16384" width="8.85546875" style="53"/>
  </cols>
  <sheetData>
    <row r="1" spans="1:26" s="2" customFormat="1" ht="38.25" x14ac:dyDescent="0.3">
      <c r="A1" s="119"/>
      <c r="B1" s="502"/>
      <c r="C1" s="121"/>
      <c r="D1" s="564" t="s">
        <v>652</v>
      </c>
      <c r="E1" s="565"/>
      <c r="F1" s="565"/>
      <c r="G1" s="565"/>
      <c r="H1" s="565"/>
      <c r="I1" s="565"/>
      <c r="J1" s="566"/>
    </row>
    <row r="2" spans="1:26" s="2" customFormat="1" ht="38.25" x14ac:dyDescent="0.3">
      <c r="A2" s="4"/>
      <c r="B2" s="122"/>
      <c r="C2" s="122"/>
      <c r="D2" s="567"/>
      <c r="E2" s="568"/>
      <c r="F2" s="568"/>
      <c r="G2" s="568"/>
      <c r="H2" s="568"/>
      <c r="I2" s="568"/>
      <c r="J2" s="569"/>
    </row>
    <row r="3" spans="1:26" s="2" customFormat="1" ht="38.25" x14ac:dyDescent="0.3">
      <c r="A3" s="4"/>
      <c r="B3" s="122"/>
      <c r="C3" s="122"/>
      <c r="D3" s="567"/>
      <c r="E3" s="568"/>
      <c r="F3" s="568"/>
      <c r="G3" s="568"/>
      <c r="H3" s="568"/>
      <c r="I3" s="568"/>
      <c r="J3" s="569"/>
    </row>
    <row r="4" spans="1:26" s="2" customFormat="1" ht="38.25" x14ac:dyDescent="0.3">
      <c r="A4" s="6"/>
      <c r="B4" s="123"/>
      <c r="C4" s="123"/>
      <c r="D4" s="570"/>
      <c r="E4" s="571"/>
      <c r="F4" s="571"/>
      <c r="G4" s="571"/>
      <c r="H4" s="571"/>
      <c r="I4" s="571"/>
      <c r="J4" s="572"/>
    </row>
    <row r="5" spans="1:26" s="2" customFormat="1" x14ac:dyDescent="0.3">
      <c r="A5" s="573"/>
      <c r="B5" s="578"/>
      <c r="C5" s="574"/>
      <c r="D5" s="579"/>
      <c r="E5" s="580"/>
      <c r="F5" s="73"/>
      <c r="G5" s="68"/>
      <c r="H5" s="68"/>
      <c r="I5" s="68"/>
      <c r="J5" s="69"/>
      <c r="K5" s="8"/>
      <c r="L5" s="8"/>
    </row>
    <row r="6" spans="1:26" s="64" customFormat="1" x14ac:dyDescent="0.3">
      <c r="A6" s="59"/>
      <c r="B6" s="72" t="s">
        <v>91</v>
      </c>
      <c r="C6" s="70" t="s">
        <v>92</v>
      </c>
      <c r="D6" s="60" t="s">
        <v>93</v>
      </c>
      <c r="E6" s="61" t="s">
        <v>94</v>
      </c>
      <c r="F6" s="74" t="s">
        <v>95</v>
      </c>
      <c r="G6" s="87" t="s">
        <v>96</v>
      </c>
      <c r="H6" s="87" t="s">
        <v>97</v>
      </c>
      <c r="I6" s="87" t="s">
        <v>98</v>
      </c>
      <c r="J6" s="88" t="s">
        <v>99</v>
      </c>
      <c r="K6" s="63"/>
      <c r="L6" s="63"/>
    </row>
    <row r="7" spans="1:26" s="2" customFormat="1" x14ac:dyDescent="0.3">
      <c r="A7" s="9"/>
      <c r="B7" s="65"/>
      <c r="C7" s="10"/>
      <c r="D7" s="11"/>
      <c r="E7" s="12"/>
      <c r="F7" s="75"/>
      <c r="G7" s="12"/>
      <c r="H7" s="12"/>
      <c r="I7" s="12"/>
      <c r="J7" s="84"/>
      <c r="K7" s="8"/>
      <c r="L7" s="8"/>
    </row>
    <row r="8" spans="1:26" s="2" customFormat="1" x14ac:dyDescent="0.3">
      <c r="A8" s="560" t="s">
        <v>5</v>
      </c>
      <c r="B8" s="561"/>
      <c r="C8" s="561"/>
      <c r="D8" s="14"/>
      <c r="E8" s="14"/>
      <c r="F8" s="76"/>
      <c r="G8" s="14"/>
      <c r="H8" s="14"/>
      <c r="I8" s="14"/>
      <c r="J8" s="15"/>
      <c r="K8" s="8"/>
      <c r="L8" s="8"/>
    </row>
    <row r="9" spans="1:26" s="17" customFormat="1" x14ac:dyDescent="0.3">
      <c r="A9" s="16"/>
      <c r="B9" s="37"/>
      <c r="C9" s="37"/>
      <c r="D9" s="85"/>
      <c r="E9" s="85"/>
      <c r="F9" s="94"/>
      <c r="G9" s="85"/>
      <c r="H9" s="85"/>
      <c r="I9" s="85"/>
      <c r="J9" s="86"/>
      <c r="K9" s="22"/>
      <c r="L9" s="29"/>
      <c r="M9" s="22"/>
      <c r="N9" s="22"/>
      <c r="O9" s="23"/>
    </row>
    <row r="10" spans="1:26" s="31" customFormat="1" ht="18.75" x14ac:dyDescent="0.35">
      <c r="A10" s="30"/>
      <c r="B10" s="127"/>
      <c r="C10" s="127" t="s">
        <v>45</v>
      </c>
      <c r="D10" s="96"/>
      <c r="E10" s="96"/>
      <c r="F10" s="97"/>
      <c r="G10" s="96"/>
      <c r="H10" s="96">
        <v>0</v>
      </c>
      <c r="I10" s="96">
        <v>0</v>
      </c>
      <c r="J10" s="98">
        <v>0</v>
      </c>
      <c r="K10" s="32"/>
      <c r="L10" s="33"/>
      <c r="M10" s="32"/>
      <c r="N10" s="32"/>
      <c r="O10" s="34"/>
    </row>
    <row r="11" spans="1:26" s="31" customFormat="1" ht="18.75" x14ac:dyDescent="0.35">
      <c r="A11" s="30"/>
      <c r="B11" s="127"/>
      <c r="C11" s="127"/>
      <c r="D11" s="96"/>
      <c r="E11" s="96"/>
      <c r="F11" s="97"/>
      <c r="G11" s="96"/>
      <c r="H11" s="96"/>
      <c r="I11" s="96"/>
      <c r="J11" s="98"/>
      <c r="K11" s="32"/>
      <c r="L11" s="33"/>
      <c r="M11" s="32"/>
      <c r="N11" s="32"/>
      <c r="O11" s="34"/>
    </row>
    <row r="12" spans="1:26" s="31" customFormat="1" ht="18.75" x14ac:dyDescent="0.35">
      <c r="A12" s="581" t="s">
        <v>46</v>
      </c>
      <c r="B12" s="582"/>
      <c r="C12" s="582"/>
      <c r="D12" s="156"/>
      <c r="E12" s="156"/>
      <c r="F12" s="157"/>
      <c r="G12" s="156"/>
      <c r="H12" s="156"/>
      <c r="I12" s="156"/>
      <c r="J12" s="252"/>
      <c r="K12" s="253"/>
      <c r="L12" s="253"/>
      <c r="M12" s="53"/>
      <c r="N12" s="253"/>
      <c r="O12" s="253"/>
      <c r="P12" s="131"/>
      <c r="Q12" s="253"/>
      <c r="R12" s="253"/>
      <c r="S12" s="253"/>
      <c r="T12" s="253"/>
      <c r="U12" s="253"/>
      <c r="V12" s="253"/>
      <c r="W12" s="253"/>
      <c r="X12" s="253"/>
      <c r="Y12" s="253"/>
      <c r="Z12" s="253"/>
    </row>
    <row r="13" spans="1:26" s="17" customFormat="1" x14ac:dyDescent="0.3">
      <c r="A13" s="189" t="s">
        <v>653</v>
      </c>
      <c r="B13" s="185"/>
      <c r="C13" s="190"/>
      <c r="D13" s="191"/>
      <c r="E13" s="191"/>
      <c r="F13" s="192"/>
      <c r="G13" s="191"/>
      <c r="H13" s="191"/>
      <c r="I13" s="191"/>
      <c r="J13" s="193"/>
      <c r="K13" s="253"/>
      <c r="L13" s="253"/>
      <c r="M13" s="53"/>
      <c r="N13" s="253"/>
      <c r="O13" s="253"/>
      <c r="P13" s="131"/>
      <c r="Q13" s="253"/>
      <c r="R13" s="253"/>
      <c r="S13" s="253"/>
      <c r="T13" s="253"/>
      <c r="U13" s="253"/>
      <c r="V13" s="253"/>
      <c r="W13" s="253"/>
      <c r="X13" s="253"/>
      <c r="Y13" s="253"/>
      <c r="Z13" s="253"/>
    </row>
    <row r="14" spans="1:26" s="27" customFormat="1" x14ac:dyDescent="0.3">
      <c r="A14" s="257"/>
      <c r="B14" s="194" t="s">
        <v>654</v>
      </c>
      <c r="C14" s="199" t="s">
        <v>655</v>
      </c>
      <c r="D14" s="195" t="s">
        <v>656</v>
      </c>
      <c r="E14" s="195">
        <v>0.85</v>
      </c>
      <c r="F14" s="196">
        <v>50</v>
      </c>
      <c r="G14" s="195">
        <f>E14*F14</f>
        <v>42.5</v>
      </c>
      <c r="H14" s="195">
        <f>G14*1.13</f>
        <v>48.024999999999999</v>
      </c>
      <c r="I14" s="195">
        <f>39.55+31.31</f>
        <v>70.86</v>
      </c>
      <c r="J14" s="197">
        <v>70.86</v>
      </c>
      <c r="K14" s="253"/>
      <c r="L14" s="253"/>
      <c r="M14" s="53"/>
      <c r="N14" s="253"/>
      <c r="O14" s="253"/>
      <c r="P14" s="131"/>
      <c r="Q14" s="253"/>
      <c r="R14" s="253"/>
      <c r="S14" s="253"/>
      <c r="T14" s="253"/>
      <c r="U14" s="253"/>
      <c r="V14" s="253"/>
      <c r="W14" s="253"/>
      <c r="X14" s="253"/>
      <c r="Y14" s="253"/>
      <c r="Z14" s="253"/>
    </row>
    <row r="15" spans="1:26" s="17" customFormat="1" x14ac:dyDescent="0.3">
      <c r="A15" s="257"/>
      <c r="B15" s="242" t="s">
        <v>657</v>
      </c>
      <c r="C15" s="198" t="s">
        <v>658</v>
      </c>
      <c r="D15" s="191" t="s">
        <v>659</v>
      </c>
      <c r="E15" s="191">
        <v>0.85</v>
      </c>
      <c r="F15" s="192">
        <v>3</v>
      </c>
      <c r="G15" s="191">
        <v>2.5499999999999998</v>
      </c>
      <c r="H15" s="243">
        <f t="shared" ref="H15:H17" si="0">G15*1.13</f>
        <v>2.8814999999999995</v>
      </c>
      <c r="I15" s="191"/>
      <c r="J15" s="193"/>
      <c r="K15" s="253"/>
      <c r="L15" s="253"/>
      <c r="M15" s="53"/>
      <c r="N15" s="253"/>
      <c r="O15" s="253"/>
      <c r="P15" s="131"/>
      <c r="Q15" s="253"/>
      <c r="R15" s="253"/>
      <c r="S15" s="253"/>
      <c r="T15" s="253"/>
      <c r="U15" s="253"/>
      <c r="V15" s="253"/>
      <c r="W15" s="253"/>
      <c r="X15" s="253"/>
      <c r="Y15" s="253"/>
      <c r="Z15" s="253"/>
    </row>
    <row r="16" spans="1:26" s="17" customFormat="1" x14ac:dyDescent="0.3">
      <c r="A16" s="257"/>
      <c r="B16" s="194" t="s">
        <v>660</v>
      </c>
      <c r="C16" s="199" t="s">
        <v>661</v>
      </c>
      <c r="D16" s="195" t="s">
        <v>662</v>
      </c>
      <c r="E16" s="195">
        <v>90</v>
      </c>
      <c r="F16" s="196">
        <v>1</v>
      </c>
      <c r="G16" s="195">
        <v>90</v>
      </c>
      <c r="H16" s="195">
        <f>G16*1</f>
        <v>90</v>
      </c>
      <c r="I16" s="195"/>
      <c r="J16" s="197"/>
      <c r="K16" s="253"/>
      <c r="L16" s="253"/>
      <c r="M16" s="53"/>
      <c r="N16" s="253"/>
      <c r="O16" s="253"/>
      <c r="P16" s="131"/>
      <c r="Q16" s="253"/>
      <c r="R16" s="253"/>
      <c r="S16" s="253"/>
      <c r="T16" s="253"/>
      <c r="U16" s="253"/>
      <c r="V16" s="253"/>
      <c r="W16" s="253"/>
      <c r="X16" s="253"/>
      <c r="Y16" s="253"/>
      <c r="Z16" s="253"/>
    </row>
    <row r="17" spans="1:26" s="17" customFormat="1" x14ac:dyDescent="0.3">
      <c r="A17" s="271"/>
      <c r="B17" s="242" t="s">
        <v>663</v>
      </c>
      <c r="C17" s="270" t="s">
        <v>664</v>
      </c>
      <c r="D17" s="243" t="s">
        <v>360</v>
      </c>
      <c r="E17" s="243">
        <v>350</v>
      </c>
      <c r="F17" s="244">
        <v>1</v>
      </c>
      <c r="G17" s="243">
        <v>350</v>
      </c>
      <c r="H17" s="243">
        <f t="shared" si="0"/>
        <v>395.49999999999994</v>
      </c>
      <c r="I17" s="91">
        <v>429.84</v>
      </c>
      <c r="J17" s="245">
        <v>454.14</v>
      </c>
      <c r="K17" s="253"/>
      <c r="L17" s="253"/>
      <c r="M17" s="53"/>
      <c r="N17" s="253"/>
      <c r="O17" s="253"/>
      <c r="P17" s="131"/>
      <c r="Q17" s="253"/>
      <c r="R17" s="253"/>
      <c r="S17" s="253"/>
      <c r="T17" s="253"/>
      <c r="U17" s="253"/>
      <c r="V17" s="253"/>
      <c r="W17" s="253"/>
      <c r="X17" s="253"/>
      <c r="Y17" s="253"/>
      <c r="Z17" s="253"/>
    </row>
    <row r="18" spans="1:26" s="17" customFormat="1" x14ac:dyDescent="0.3">
      <c r="A18" s="271"/>
      <c r="B18" s="238" t="s">
        <v>665</v>
      </c>
      <c r="C18" s="268" t="s">
        <v>666</v>
      </c>
      <c r="D18" s="239" t="s">
        <v>667</v>
      </c>
      <c r="E18" s="239">
        <v>5.75</v>
      </c>
      <c r="F18" s="240">
        <v>75</v>
      </c>
      <c r="G18" s="239">
        <v>431.25</v>
      </c>
      <c r="H18" s="239">
        <f>G18*1</f>
        <v>431.25</v>
      </c>
      <c r="I18" s="243">
        <v>454.14</v>
      </c>
      <c r="J18" s="241"/>
      <c r="K18" s="253"/>
      <c r="L18" s="253"/>
      <c r="M18" s="53"/>
      <c r="N18" s="253"/>
      <c r="O18" s="253"/>
      <c r="P18" s="131"/>
      <c r="Q18" s="253"/>
      <c r="R18" s="253"/>
      <c r="S18" s="253"/>
      <c r="T18" s="253"/>
      <c r="U18" s="253"/>
      <c r="V18" s="253"/>
      <c r="W18" s="253"/>
      <c r="X18" s="253"/>
      <c r="Y18" s="253"/>
      <c r="Z18" s="253"/>
    </row>
    <row r="19" spans="1:26" s="17" customFormat="1" x14ac:dyDescent="0.3">
      <c r="A19" s="271"/>
      <c r="B19" s="238"/>
      <c r="C19" s="268" t="s">
        <v>1670</v>
      </c>
      <c r="D19" s="239" t="s">
        <v>1671</v>
      </c>
      <c r="E19" s="239"/>
      <c r="F19" s="240"/>
      <c r="G19" s="239"/>
      <c r="H19" s="239"/>
      <c r="I19" s="239">
        <f>56.44+25.41+140.12</f>
        <v>221.97</v>
      </c>
      <c r="J19" s="241">
        <v>221.97</v>
      </c>
      <c r="K19" s="253"/>
      <c r="L19" s="253"/>
      <c r="M19" s="53"/>
      <c r="N19" s="253"/>
      <c r="O19" s="253"/>
      <c r="P19" s="131"/>
      <c r="Q19" s="253"/>
      <c r="R19" s="253"/>
      <c r="S19" s="253"/>
      <c r="T19" s="253"/>
      <c r="U19" s="253"/>
      <c r="V19" s="253"/>
      <c r="W19" s="253"/>
      <c r="X19" s="253"/>
      <c r="Y19" s="253"/>
      <c r="Z19" s="253"/>
    </row>
    <row r="20" spans="1:26" s="17" customFormat="1" x14ac:dyDescent="0.3">
      <c r="A20" s="271"/>
      <c r="B20" s="242"/>
      <c r="C20" s="270"/>
      <c r="D20" s="243"/>
      <c r="E20" s="243"/>
      <c r="F20" s="244"/>
      <c r="G20" s="243"/>
      <c r="H20" s="243"/>
      <c r="I20" s="243"/>
      <c r="J20" s="245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3"/>
      <c r="V20" s="253"/>
      <c r="W20" s="253"/>
      <c r="X20" s="253"/>
      <c r="Y20" s="253"/>
      <c r="Z20" s="253"/>
    </row>
    <row r="21" spans="1:26" s="17" customFormat="1" x14ac:dyDescent="0.3">
      <c r="A21" s="257"/>
      <c r="B21" s="201" t="s">
        <v>1615</v>
      </c>
      <c r="C21" s="485"/>
      <c r="D21" s="205"/>
      <c r="E21" s="205"/>
      <c r="F21" s="210"/>
      <c r="G21" s="205"/>
      <c r="H21" s="205">
        <f>SUM(H14:H18)</f>
        <v>967.65649999999994</v>
      </c>
      <c r="I21" s="205">
        <f>SUM(I14:I19)</f>
        <v>1176.81</v>
      </c>
      <c r="J21" s="206">
        <f t="shared" ref="I21:J21" si="1">SUM(J14:J18)</f>
        <v>525</v>
      </c>
      <c r="K21" s="253"/>
      <c r="L21" s="253"/>
      <c r="M21" s="253"/>
      <c r="N21" s="253"/>
      <c r="O21" s="253"/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</row>
    <row r="22" spans="1:26" s="17" customFormat="1" x14ac:dyDescent="0.3">
      <c r="A22" s="189"/>
      <c r="B22" s="185"/>
      <c r="C22" s="185"/>
      <c r="D22" s="207"/>
      <c r="E22" s="207"/>
      <c r="F22" s="208"/>
      <c r="G22" s="207"/>
      <c r="H22" s="207"/>
      <c r="I22" s="207"/>
      <c r="J22" s="209"/>
      <c r="K22" s="253"/>
      <c r="L22" s="253"/>
      <c r="M22" s="253"/>
      <c r="N22" s="253"/>
      <c r="O22" s="253"/>
      <c r="P22" s="253"/>
      <c r="Q22" s="253"/>
      <c r="R22" s="253"/>
      <c r="S22" s="253"/>
      <c r="T22" s="253"/>
      <c r="U22" s="253"/>
      <c r="V22" s="253"/>
      <c r="W22" s="253"/>
      <c r="X22" s="253"/>
      <c r="Y22" s="253"/>
      <c r="Z22" s="253"/>
    </row>
    <row r="23" spans="1:26" s="17" customFormat="1" x14ac:dyDescent="0.3">
      <c r="A23" s="189" t="s">
        <v>668</v>
      </c>
      <c r="B23" s="185"/>
      <c r="C23" s="185"/>
      <c r="D23" s="191"/>
      <c r="E23" s="191"/>
      <c r="F23" s="192"/>
      <c r="G23" s="191"/>
      <c r="H23" s="191"/>
      <c r="I23" s="191"/>
      <c r="J23" s="193"/>
      <c r="K23" s="253"/>
      <c r="L23" s="253"/>
      <c r="M23" s="254"/>
      <c r="N23" s="131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</row>
    <row r="24" spans="1:26" s="17" customFormat="1" x14ac:dyDescent="0.3">
      <c r="A24" s="256"/>
      <c r="B24" s="194" t="s">
        <v>669</v>
      </c>
      <c r="C24" s="199" t="s">
        <v>670</v>
      </c>
      <c r="D24" s="195" t="s">
        <v>671</v>
      </c>
      <c r="E24" s="195">
        <v>16</v>
      </c>
      <c r="F24" s="196">
        <v>2</v>
      </c>
      <c r="G24" s="195">
        <f>E24*F24</f>
        <v>32</v>
      </c>
      <c r="H24" s="195">
        <f>G24*1.13</f>
        <v>36.159999999999997</v>
      </c>
      <c r="I24" s="195">
        <v>62.519999999999996</v>
      </c>
      <c r="J24" s="197">
        <f>14.52+48</f>
        <v>62.519999999999996</v>
      </c>
      <c r="K24" s="253"/>
      <c r="L24" s="253"/>
      <c r="M24" s="53"/>
      <c r="N24" s="131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</row>
    <row r="25" spans="1:26" s="17" customFormat="1" x14ac:dyDescent="0.3">
      <c r="A25" s="256"/>
      <c r="B25" s="242" t="s">
        <v>672</v>
      </c>
      <c r="C25" s="198" t="s">
        <v>673</v>
      </c>
      <c r="D25" s="191" t="s">
        <v>674</v>
      </c>
      <c r="E25" s="191">
        <v>12</v>
      </c>
      <c r="F25" s="192">
        <v>1</v>
      </c>
      <c r="G25" s="243">
        <f t="shared" ref="G25:G28" si="2">E25*F25</f>
        <v>12</v>
      </c>
      <c r="H25" s="243">
        <f t="shared" ref="H25:H28" si="3">G25*1.13</f>
        <v>13.559999999999999</v>
      </c>
      <c r="I25" s="191"/>
      <c r="J25" s="193"/>
      <c r="K25" s="253"/>
      <c r="L25" s="253"/>
      <c r="M25" s="53"/>
      <c r="N25" s="131"/>
      <c r="O25" s="253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</row>
    <row r="26" spans="1:26" s="17" customFormat="1" x14ac:dyDescent="0.3">
      <c r="A26" s="256"/>
      <c r="B26" s="194" t="s">
        <v>675</v>
      </c>
      <c r="C26" s="199" t="s">
        <v>676</v>
      </c>
      <c r="D26" s="195"/>
      <c r="E26" s="195">
        <v>2.4900000000000002</v>
      </c>
      <c r="F26" s="196">
        <v>4</v>
      </c>
      <c r="G26" s="195">
        <f t="shared" si="2"/>
        <v>9.9600000000000009</v>
      </c>
      <c r="H26" s="195">
        <f t="shared" si="3"/>
        <v>11.254799999999999</v>
      </c>
      <c r="I26" s="195"/>
      <c r="J26" s="197"/>
      <c r="K26" s="253"/>
      <c r="L26" s="253"/>
      <c r="M26" s="53"/>
      <c r="N26" s="131"/>
      <c r="O26" s="253"/>
      <c r="P26" s="253"/>
      <c r="Q26" s="253"/>
      <c r="R26" s="253"/>
      <c r="S26" s="253"/>
      <c r="T26" s="253"/>
      <c r="U26" s="253"/>
      <c r="V26" s="253"/>
      <c r="W26" s="253"/>
      <c r="X26" s="253"/>
      <c r="Y26" s="253"/>
      <c r="Z26" s="253"/>
    </row>
    <row r="27" spans="1:26" s="17" customFormat="1" x14ac:dyDescent="0.3">
      <c r="A27" s="256"/>
      <c r="B27" s="242" t="s">
        <v>677</v>
      </c>
      <c r="C27" s="198" t="s">
        <v>678</v>
      </c>
      <c r="D27" s="191" t="s">
        <v>679</v>
      </c>
      <c r="E27" s="191">
        <v>0.5</v>
      </c>
      <c r="F27" s="192">
        <v>24</v>
      </c>
      <c r="G27" s="243">
        <f t="shared" si="2"/>
        <v>12</v>
      </c>
      <c r="H27" s="243">
        <f t="shared" si="3"/>
        <v>13.559999999999999</v>
      </c>
      <c r="I27" s="191">
        <v>23.71</v>
      </c>
      <c r="J27" s="193">
        <v>23.71</v>
      </c>
      <c r="K27" s="253"/>
      <c r="L27" s="253"/>
      <c r="M27" s="53"/>
      <c r="N27" s="131"/>
      <c r="O27" s="253"/>
      <c r="P27" s="253"/>
      <c r="Q27" s="253"/>
      <c r="R27" s="253"/>
      <c r="S27" s="253"/>
      <c r="T27" s="253"/>
      <c r="U27" s="253"/>
      <c r="V27" s="253"/>
      <c r="W27" s="253"/>
      <c r="X27" s="253"/>
      <c r="Y27" s="253"/>
      <c r="Z27" s="253"/>
    </row>
    <row r="28" spans="1:26" s="17" customFormat="1" x14ac:dyDescent="0.3">
      <c r="A28" s="256"/>
      <c r="B28" s="194" t="s">
        <v>680</v>
      </c>
      <c r="C28" s="199" t="s">
        <v>681</v>
      </c>
      <c r="D28" s="195" t="s">
        <v>682</v>
      </c>
      <c r="E28" s="195">
        <v>6.99</v>
      </c>
      <c r="F28" s="196">
        <v>2</v>
      </c>
      <c r="G28" s="195">
        <f t="shared" si="2"/>
        <v>13.98</v>
      </c>
      <c r="H28" s="195">
        <f t="shared" si="3"/>
        <v>15.7974</v>
      </c>
      <c r="I28" s="195"/>
      <c r="J28" s="197"/>
      <c r="K28" s="253"/>
      <c r="L28" s="253"/>
      <c r="M28" s="253"/>
      <c r="N28" s="253"/>
      <c r="O28" s="253"/>
      <c r="P28" s="253"/>
      <c r="Q28" s="253"/>
      <c r="R28" s="253"/>
      <c r="S28" s="253"/>
      <c r="T28" s="253"/>
      <c r="U28" s="253"/>
      <c r="V28" s="253"/>
      <c r="W28" s="253"/>
      <c r="X28" s="253"/>
      <c r="Y28" s="253"/>
      <c r="Z28" s="253"/>
    </row>
    <row r="29" spans="1:26" s="17" customFormat="1" x14ac:dyDescent="0.3">
      <c r="A29" s="256"/>
      <c r="B29" s="190"/>
      <c r="C29" s="198"/>
      <c r="D29" s="191"/>
      <c r="E29" s="191"/>
      <c r="F29" s="192"/>
      <c r="G29" s="191"/>
      <c r="H29" s="191"/>
      <c r="I29" s="191"/>
      <c r="J29" s="193"/>
      <c r="K29" s="253"/>
      <c r="L29" s="253"/>
      <c r="M29" s="253"/>
      <c r="N29" s="253"/>
      <c r="O29" s="253"/>
      <c r="P29" s="253"/>
      <c r="Q29" s="253"/>
      <c r="R29" s="253"/>
      <c r="S29" s="253"/>
      <c r="T29" s="253"/>
      <c r="U29" s="253"/>
      <c r="V29" s="253"/>
      <c r="W29" s="253"/>
      <c r="X29" s="253"/>
      <c r="Y29" s="253"/>
      <c r="Z29" s="253"/>
    </row>
    <row r="30" spans="1:26" s="17" customFormat="1" x14ac:dyDescent="0.3">
      <c r="A30" s="257"/>
      <c r="B30" s="194"/>
      <c r="C30" s="194"/>
      <c r="D30" s="195"/>
      <c r="E30" s="195"/>
      <c r="F30" s="196"/>
      <c r="G30" s="195"/>
      <c r="H30" s="195"/>
      <c r="I30" s="195"/>
      <c r="J30" s="197"/>
      <c r="K30" s="253"/>
      <c r="L30" s="253"/>
      <c r="M30" s="253"/>
      <c r="N30" s="253"/>
      <c r="O30" s="253"/>
      <c r="P30" s="253"/>
      <c r="Q30" s="253"/>
      <c r="R30" s="253"/>
      <c r="S30" s="253"/>
      <c r="T30" s="253"/>
      <c r="U30" s="253"/>
      <c r="V30" s="253"/>
      <c r="W30" s="253"/>
      <c r="X30" s="253"/>
      <c r="Y30" s="253"/>
      <c r="Z30" s="253"/>
    </row>
    <row r="31" spans="1:26" s="17" customFormat="1" x14ac:dyDescent="0.3">
      <c r="A31" s="257"/>
      <c r="B31" s="201" t="s">
        <v>1616</v>
      </c>
      <c r="C31" s="485"/>
      <c r="D31" s="205"/>
      <c r="E31" s="205"/>
      <c r="F31" s="210"/>
      <c r="G31" s="205"/>
      <c r="H31" s="205">
        <f>SUM(H24:H28)</f>
        <v>90.3322</v>
      </c>
      <c r="I31" s="205">
        <f t="shared" ref="I31:J31" si="4">SUM(I24:I28)</f>
        <v>86.22999999999999</v>
      </c>
      <c r="J31" s="206">
        <f t="shared" si="4"/>
        <v>86.22999999999999</v>
      </c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</row>
    <row r="32" spans="1:26" s="17" customFormat="1" x14ac:dyDescent="0.3">
      <c r="A32" s="257"/>
      <c r="B32" s="190"/>
      <c r="C32" s="190"/>
      <c r="D32" s="191"/>
      <c r="E32" s="191"/>
      <c r="F32" s="192"/>
      <c r="G32" s="191"/>
      <c r="H32" s="191"/>
      <c r="I32" s="191"/>
      <c r="J32" s="193"/>
      <c r="K32" s="253"/>
      <c r="L32" s="253"/>
      <c r="M32" s="253"/>
      <c r="N32" s="253"/>
      <c r="O32" s="253"/>
      <c r="P32" s="253"/>
      <c r="Q32" s="253"/>
      <c r="R32" s="253"/>
      <c r="S32" s="253"/>
      <c r="T32" s="253"/>
      <c r="U32" s="253"/>
      <c r="V32" s="253"/>
      <c r="W32" s="253"/>
      <c r="X32" s="253"/>
      <c r="Y32" s="253"/>
      <c r="Z32" s="253"/>
    </row>
    <row r="33" spans="1:26" s="17" customFormat="1" x14ac:dyDescent="0.3">
      <c r="A33" s="189" t="s">
        <v>683</v>
      </c>
      <c r="B33" s="185"/>
      <c r="C33" s="185"/>
      <c r="D33" s="191"/>
      <c r="E33" s="191"/>
      <c r="F33" s="192"/>
      <c r="G33" s="191"/>
      <c r="H33" s="191"/>
      <c r="I33" s="191"/>
      <c r="J33" s="193"/>
      <c r="K33" s="253"/>
      <c r="L33" s="253"/>
      <c r="M33" s="253"/>
      <c r="N33" s="253"/>
      <c r="O33" s="253"/>
      <c r="P33" s="253"/>
      <c r="Q33" s="253"/>
      <c r="R33" s="253"/>
      <c r="S33" s="253"/>
      <c r="T33" s="253"/>
      <c r="U33" s="253"/>
      <c r="V33" s="253"/>
      <c r="W33" s="253"/>
      <c r="X33" s="253"/>
      <c r="Y33" s="253"/>
      <c r="Z33" s="253"/>
    </row>
    <row r="34" spans="1:26" s="17" customFormat="1" x14ac:dyDescent="0.3">
      <c r="A34" s="257"/>
      <c r="B34" s="194" t="s">
        <v>684</v>
      </c>
      <c r="C34" s="199" t="s">
        <v>685</v>
      </c>
      <c r="D34" s="195" t="s">
        <v>686</v>
      </c>
      <c r="E34" s="195">
        <v>40</v>
      </c>
      <c r="F34" s="196">
        <v>22</v>
      </c>
      <c r="G34" s="195">
        <f>E34*F34</f>
        <v>880</v>
      </c>
      <c r="H34" s="195">
        <f>G34</f>
        <v>880</v>
      </c>
      <c r="I34" s="195">
        <f>784.52</f>
        <v>784.52</v>
      </c>
      <c r="J34" s="197">
        <v>784.52</v>
      </c>
      <c r="K34" s="253"/>
      <c r="L34" s="253"/>
      <c r="M34" s="253"/>
      <c r="N34" s="253"/>
      <c r="O34" s="253"/>
      <c r="P34" s="253"/>
      <c r="Q34" s="253"/>
      <c r="R34" s="253"/>
      <c r="S34" s="253"/>
      <c r="T34" s="253"/>
      <c r="U34" s="253"/>
      <c r="V34" s="253"/>
      <c r="W34" s="253"/>
      <c r="X34" s="253"/>
      <c r="Y34" s="253"/>
      <c r="Z34" s="253"/>
    </row>
    <row r="35" spans="1:26" s="17" customFormat="1" x14ac:dyDescent="0.3">
      <c r="A35" s="257"/>
      <c r="B35" s="190" t="s">
        <v>687</v>
      </c>
      <c r="C35" s="190" t="s">
        <v>688</v>
      </c>
      <c r="D35" s="191" t="s">
        <v>689</v>
      </c>
      <c r="E35" s="191">
        <v>10</v>
      </c>
      <c r="F35" s="192">
        <v>20</v>
      </c>
      <c r="G35" s="243">
        <f>E35*F35</f>
        <v>200</v>
      </c>
      <c r="H35" s="243">
        <f t="shared" ref="H35" si="5">G35</f>
        <v>200</v>
      </c>
      <c r="I35" s="191">
        <f>60+13.34</f>
        <v>73.34</v>
      </c>
      <c r="J35" s="193">
        <v>73.34</v>
      </c>
      <c r="K35" s="253"/>
      <c r="L35" s="253"/>
      <c r="M35" s="253"/>
      <c r="N35" s="253"/>
      <c r="O35" s="253"/>
      <c r="P35" s="253"/>
      <c r="Q35" s="253"/>
      <c r="R35" s="253"/>
      <c r="S35" s="253"/>
      <c r="T35" s="253"/>
      <c r="U35" s="253"/>
      <c r="V35" s="253"/>
      <c r="W35" s="253"/>
      <c r="X35" s="253"/>
      <c r="Y35" s="253"/>
      <c r="Z35" s="253"/>
    </row>
    <row r="36" spans="1:26" s="17" customFormat="1" x14ac:dyDescent="0.3">
      <c r="A36" s="257"/>
      <c r="B36" s="194"/>
      <c r="C36" s="194"/>
      <c r="D36" s="195"/>
      <c r="E36" s="195"/>
      <c r="F36" s="196"/>
      <c r="G36" s="195"/>
      <c r="H36" s="195"/>
      <c r="I36" s="195"/>
      <c r="J36" s="197"/>
      <c r="K36" s="253"/>
      <c r="L36" s="253"/>
      <c r="M36" s="253"/>
      <c r="N36" s="253"/>
      <c r="O36" s="253"/>
      <c r="P36" s="253"/>
      <c r="Q36" s="253"/>
      <c r="R36" s="253"/>
      <c r="S36" s="253"/>
      <c r="T36" s="253"/>
      <c r="U36" s="253"/>
      <c r="V36" s="253"/>
      <c r="W36" s="253"/>
      <c r="X36" s="253"/>
      <c r="Y36" s="253"/>
      <c r="Z36" s="253"/>
    </row>
    <row r="37" spans="1:26" s="17" customFormat="1" x14ac:dyDescent="0.3">
      <c r="A37" s="271"/>
      <c r="B37" s="242"/>
      <c r="C37" s="242"/>
      <c r="D37" s="243"/>
      <c r="E37" s="243"/>
      <c r="F37" s="244"/>
      <c r="G37" s="243"/>
      <c r="H37" s="243"/>
      <c r="I37" s="243"/>
      <c r="J37" s="245"/>
      <c r="K37" s="253"/>
      <c r="L37" s="253"/>
      <c r="M37" s="253"/>
      <c r="N37" s="253"/>
      <c r="O37" s="253"/>
      <c r="P37" s="253"/>
      <c r="Q37" s="253"/>
      <c r="R37" s="253"/>
      <c r="S37" s="253"/>
      <c r="T37" s="253"/>
      <c r="U37" s="253"/>
      <c r="V37" s="253"/>
      <c r="W37" s="253"/>
      <c r="X37" s="253"/>
      <c r="Y37" s="253"/>
      <c r="Z37" s="253"/>
    </row>
    <row r="38" spans="1:26" s="17" customFormat="1" x14ac:dyDescent="0.3">
      <c r="A38" s="257"/>
      <c r="B38" s="201" t="s">
        <v>1617</v>
      </c>
      <c r="C38" s="485"/>
      <c r="D38" s="205"/>
      <c r="E38" s="205"/>
      <c r="F38" s="210"/>
      <c r="G38" s="205"/>
      <c r="H38" s="205">
        <f>SUM(H34:H36)</f>
        <v>1080</v>
      </c>
      <c r="I38" s="205">
        <f t="shared" ref="I38:J38" si="6">SUM(I34:I36)</f>
        <v>857.86</v>
      </c>
      <c r="J38" s="206">
        <f t="shared" si="6"/>
        <v>857.86</v>
      </c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  <c r="Y38" s="253"/>
      <c r="Z38" s="253"/>
    </row>
    <row r="39" spans="1:26" s="17" customFormat="1" x14ac:dyDescent="0.3">
      <c r="A39" s="257"/>
      <c r="B39" s="190"/>
      <c r="C39" s="190"/>
      <c r="D39" s="191"/>
      <c r="E39" s="191"/>
      <c r="F39" s="192"/>
      <c r="G39" s="191"/>
      <c r="H39" s="191"/>
      <c r="I39" s="191"/>
      <c r="J39" s="19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</row>
    <row r="40" spans="1:26" s="17" customFormat="1" x14ac:dyDescent="0.3">
      <c r="A40" s="189" t="s">
        <v>690</v>
      </c>
      <c r="B40" s="185"/>
      <c r="C40" s="185"/>
      <c r="D40" s="191"/>
      <c r="E40" s="191"/>
      <c r="F40" s="192"/>
      <c r="G40" s="191"/>
      <c r="H40" s="191"/>
      <c r="I40" s="191"/>
      <c r="J40" s="19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</row>
    <row r="41" spans="1:26" s="17" customFormat="1" x14ac:dyDescent="0.3">
      <c r="A41" s="257" t="s">
        <v>9</v>
      </c>
      <c r="B41" s="190" t="s">
        <v>691</v>
      </c>
      <c r="C41" s="190" t="s">
        <v>692</v>
      </c>
      <c r="D41" s="191" t="s">
        <v>693</v>
      </c>
      <c r="E41" s="191">
        <v>372.75</v>
      </c>
      <c r="F41" s="192">
        <v>2</v>
      </c>
      <c r="G41" s="191">
        <f>E41*F41</f>
        <v>745.5</v>
      </c>
      <c r="H41" s="191">
        <f>G41*1.13</f>
        <v>842.41499999999996</v>
      </c>
      <c r="I41" s="191"/>
      <c r="J41" s="19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</row>
    <row r="42" spans="1:26" s="17" customFormat="1" x14ac:dyDescent="0.3">
      <c r="A42" s="257"/>
      <c r="B42" s="194" t="s">
        <v>694</v>
      </c>
      <c r="C42" s="194" t="s">
        <v>695</v>
      </c>
      <c r="D42" s="195" t="s">
        <v>696</v>
      </c>
      <c r="E42" s="195">
        <v>0.25</v>
      </c>
      <c r="F42" s="196">
        <v>40</v>
      </c>
      <c r="G42" s="195">
        <f>E42*F42</f>
        <v>10</v>
      </c>
      <c r="H42" s="195">
        <f>G42</f>
        <v>10</v>
      </c>
      <c r="I42" s="195"/>
      <c r="J42" s="197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</row>
    <row r="43" spans="1:26" s="17" customFormat="1" x14ac:dyDescent="0.3">
      <c r="A43" s="257"/>
      <c r="B43" s="190"/>
      <c r="C43" s="190"/>
      <c r="D43" s="191"/>
      <c r="E43" s="191"/>
      <c r="F43" s="192"/>
      <c r="G43" s="191"/>
      <c r="H43" s="191"/>
      <c r="I43" s="191"/>
      <c r="J43" s="19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  <c r="Y43" s="253"/>
      <c r="Z43" s="253"/>
    </row>
    <row r="44" spans="1:26" s="17" customFormat="1" x14ac:dyDescent="0.3">
      <c r="A44" s="257"/>
      <c r="B44" s="201" t="s">
        <v>1618</v>
      </c>
      <c r="C44" s="485"/>
      <c r="D44" s="205"/>
      <c r="E44" s="205"/>
      <c r="F44" s="210"/>
      <c r="G44" s="205"/>
      <c r="H44" s="205">
        <f>SUM(H41:H43)</f>
        <v>852.41499999999996</v>
      </c>
      <c r="I44" s="205">
        <f t="shared" ref="I44:J44" si="7">SUM(I41:I43)</f>
        <v>0</v>
      </c>
      <c r="J44" s="206">
        <f t="shared" si="7"/>
        <v>0</v>
      </c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  <c r="Y44" s="253"/>
      <c r="Z44" s="253"/>
    </row>
    <row r="45" spans="1:26" s="17" customFormat="1" x14ac:dyDescent="0.3">
      <c r="A45" s="257"/>
      <c r="B45" s="185"/>
      <c r="C45" s="185"/>
      <c r="D45" s="207"/>
      <c r="E45" s="207"/>
      <c r="F45" s="208"/>
      <c r="G45" s="207"/>
      <c r="H45" s="207"/>
      <c r="I45" s="207"/>
      <c r="J45" s="209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  <c r="Y45" s="253"/>
      <c r="Z45" s="253"/>
    </row>
    <row r="46" spans="1:26" s="17" customFormat="1" x14ac:dyDescent="0.3">
      <c r="A46" s="189" t="s">
        <v>697</v>
      </c>
      <c r="B46" s="185"/>
      <c r="C46" s="190"/>
      <c r="D46" s="191"/>
      <c r="E46" s="191"/>
      <c r="F46" s="192"/>
      <c r="G46" s="191"/>
      <c r="H46" s="191"/>
      <c r="I46" s="191"/>
      <c r="J46" s="19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  <c r="Y46" s="253"/>
      <c r="Z46" s="253"/>
    </row>
    <row r="47" spans="1:26" s="17" customFormat="1" x14ac:dyDescent="0.3">
      <c r="A47" s="189"/>
      <c r="B47" s="194" t="s">
        <v>698</v>
      </c>
      <c r="C47" s="194" t="s">
        <v>699</v>
      </c>
      <c r="D47" s="195"/>
      <c r="E47" s="195">
        <v>70</v>
      </c>
      <c r="F47" s="196">
        <v>1</v>
      </c>
      <c r="G47" s="195">
        <f>E47*F47</f>
        <v>70</v>
      </c>
      <c r="H47" s="195">
        <f>G47*1.13</f>
        <v>79.099999999999994</v>
      </c>
      <c r="I47" s="195"/>
      <c r="J47" s="197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  <c r="Y47" s="253"/>
      <c r="Z47" s="253"/>
    </row>
    <row r="48" spans="1:26" s="17" customFormat="1" x14ac:dyDescent="0.3">
      <c r="A48" s="189"/>
      <c r="B48" s="190" t="s">
        <v>700</v>
      </c>
      <c r="C48" s="190" t="s">
        <v>701</v>
      </c>
      <c r="D48" s="191"/>
      <c r="E48" s="191">
        <v>60</v>
      </c>
      <c r="F48" s="192">
        <v>1</v>
      </c>
      <c r="G48" s="243">
        <f t="shared" ref="G48:G49" si="8">E48*F48</f>
        <v>60</v>
      </c>
      <c r="H48" s="243">
        <f t="shared" ref="H48:H49" si="9">G48*1.13</f>
        <v>67.8</v>
      </c>
      <c r="I48" s="191"/>
      <c r="J48" s="19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  <c r="V48" s="253"/>
      <c r="W48" s="253"/>
      <c r="X48" s="253"/>
      <c r="Y48" s="253"/>
      <c r="Z48" s="253"/>
    </row>
    <row r="49" spans="1:26" s="17" customFormat="1" x14ac:dyDescent="0.3">
      <c r="A49" s="189"/>
      <c r="B49" s="194" t="s">
        <v>702</v>
      </c>
      <c r="C49" s="194" t="s">
        <v>703</v>
      </c>
      <c r="D49" s="195"/>
      <c r="E49" s="195">
        <v>40</v>
      </c>
      <c r="F49" s="196">
        <v>1</v>
      </c>
      <c r="G49" s="195">
        <f t="shared" si="8"/>
        <v>40</v>
      </c>
      <c r="H49" s="195">
        <f t="shared" si="9"/>
        <v>45.199999999999996</v>
      </c>
      <c r="I49" s="195"/>
      <c r="J49" s="197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</row>
    <row r="50" spans="1:26" s="17" customFormat="1" x14ac:dyDescent="0.3">
      <c r="A50" s="189"/>
      <c r="B50" s="185"/>
      <c r="C50" s="190"/>
      <c r="D50" s="191"/>
      <c r="E50" s="191"/>
      <c r="F50" s="192"/>
      <c r="G50" s="191"/>
      <c r="H50" s="191"/>
      <c r="I50" s="191"/>
      <c r="J50" s="19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  <c r="Y50" s="253"/>
      <c r="Z50" s="253"/>
    </row>
    <row r="51" spans="1:26" s="17" customFormat="1" x14ac:dyDescent="0.3">
      <c r="A51" s="189"/>
      <c r="B51" s="486"/>
      <c r="C51" s="194"/>
      <c r="D51" s="195"/>
      <c r="E51" s="195"/>
      <c r="F51" s="196"/>
      <c r="G51" s="195"/>
      <c r="H51" s="195"/>
      <c r="I51" s="195"/>
      <c r="J51" s="197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  <c r="Y51" s="253"/>
      <c r="Z51" s="253"/>
    </row>
    <row r="52" spans="1:26" s="17" customFormat="1" x14ac:dyDescent="0.3">
      <c r="A52" s="257"/>
      <c r="B52" s="201" t="s">
        <v>1619</v>
      </c>
      <c r="C52" s="485"/>
      <c r="D52" s="205"/>
      <c r="E52" s="205"/>
      <c r="F52" s="210"/>
      <c r="G52" s="205"/>
      <c r="H52" s="205">
        <f>SUM(H47:H51)</f>
        <v>192.09999999999997</v>
      </c>
      <c r="I52" s="205">
        <f t="shared" ref="I52:J52" si="10">SUM(I47:I51)</f>
        <v>0</v>
      </c>
      <c r="J52" s="206">
        <f t="shared" si="10"/>
        <v>0</v>
      </c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  <c r="Y52" s="253"/>
      <c r="Z52" s="253"/>
    </row>
    <row r="53" spans="1:26" s="504" customFormat="1" x14ac:dyDescent="0.3">
      <c r="A53" s="16" t="s">
        <v>1534</v>
      </c>
      <c r="B53" s="27"/>
      <c r="C53" s="17"/>
      <c r="D53" s="82"/>
      <c r="E53" s="82"/>
      <c r="F53" s="83"/>
      <c r="G53" s="82"/>
      <c r="H53" s="82"/>
      <c r="I53" s="82"/>
      <c r="J53" s="524"/>
    </row>
    <row r="54" spans="1:26" s="504" customFormat="1" x14ac:dyDescent="0.3">
      <c r="A54" s="16"/>
      <c r="B54" s="71" t="s">
        <v>1620</v>
      </c>
      <c r="C54" s="20" t="s">
        <v>1535</v>
      </c>
      <c r="D54" s="80"/>
      <c r="E54" s="80">
        <v>19.989999999999998</v>
      </c>
      <c r="F54" s="81">
        <v>2</v>
      </c>
      <c r="G54" s="80">
        <f t="shared" ref="G54:G55" si="11">E54*F54</f>
        <v>39.979999999999997</v>
      </c>
      <c r="H54" s="80">
        <f t="shared" ref="H54:H55" si="12">G54*1.13</f>
        <v>45.177399999999992</v>
      </c>
      <c r="I54" s="80"/>
      <c r="J54" s="523"/>
    </row>
    <row r="55" spans="1:26" s="504" customFormat="1" x14ac:dyDescent="0.3">
      <c r="A55" s="16"/>
      <c r="B55" s="91" t="s">
        <v>1621</v>
      </c>
      <c r="C55" s="17" t="s">
        <v>1536</v>
      </c>
      <c r="D55" s="82"/>
      <c r="E55" s="82">
        <v>13.99</v>
      </c>
      <c r="F55" s="83">
        <v>1</v>
      </c>
      <c r="G55" s="82">
        <f t="shared" si="11"/>
        <v>13.99</v>
      </c>
      <c r="H55" s="82">
        <f t="shared" si="12"/>
        <v>15.808699999999998</v>
      </c>
      <c r="I55" s="82"/>
      <c r="J55" s="524"/>
    </row>
    <row r="56" spans="1:26" s="504" customFormat="1" x14ac:dyDescent="0.3">
      <c r="A56" s="16"/>
      <c r="B56" s="67"/>
      <c r="C56" s="20"/>
      <c r="D56" s="80"/>
      <c r="E56" s="80"/>
      <c r="F56" s="81"/>
      <c r="G56" s="80"/>
      <c r="H56" s="80"/>
      <c r="I56" s="80"/>
      <c r="J56" s="523"/>
    </row>
    <row r="57" spans="1:26" s="504" customFormat="1" x14ac:dyDescent="0.3">
      <c r="A57" s="16"/>
      <c r="B57" s="27"/>
      <c r="C57" s="17"/>
      <c r="D57" s="82"/>
      <c r="E57" s="82"/>
      <c r="F57" s="83"/>
      <c r="G57" s="82"/>
      <c r="H57" s="82"/>
      <c r="I57" s="82"/>
      <c r="J57" s="524"/>
    </row>
    <row r="58" spans="1:26" s="504" customFormat="1" x14ac:dyDescent="0.3">
      <c r="A58" s="21"/>
      <c r="B58" s="25" t="s">
        <v>587</v>
      </c>
      <c r="C58" s="66"/>
      <c r="D58" s="68"/>
      <c r="E58" s="68"/>
      <c r="F58" s="73"/>
      <c r="G58" s="68"/>
      <c r="H58" s="68">
        <f>SUM(H54:H57)</f>
        <v>60.986099999999993</v>
      </c>
      <c r="I58" s="68">
        <f>SUM(I54:I57)</f>
        <v>0</v>
      </c>
      <c r="J58" s="69">
        <f>SUM(J54:J57)</f>
        <v>0</v>
      </c>
    </row>
    <row r="59" spans="1:26" s="17" customFormat="1" x14ac:dyDescent="0.3">
      <c r="A59" s="257"/>
      <c r="B59" s="190"/>
      <c r="C59" s="198"/>
      <c r="D59" s="191"/>
      <c r="E59" s="191"/>
      <c r="F59" s="192"/>
      <c r="G59" s="191"/>
      <c r="H59" s="191"/>
      <c r="I59" s="191"/>
      <c r="J59" s="193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  <c r="Y59" s="253"/>
      <c r="Z59" s="253"/>
    </row>
    <row r="60" spans="1:26" s="17" customFormat="1" x14ac:dyDescent="0.3">
      <c r="A60" s="257"/>
      <c r="B60" s="190"/>
      <c r="C60" s="185" t="s">
        <v>85</v>
      </c>
      <c r="D60" s="207"/>
      <c r="E60" s="207"/>
      <c r="F60" s="208"/>
      <c r="G60" s="207"/>
      <c r="H60" s="207">
        <f>H52+H44+H38+H31+H21+H58</f>
        <v>3243.4897999999998</v>
      </c>
      <c r="I60" s="207">
        <f t="shared" ref="I60:J60" si="13">I52+I44+I38+I31+I21+I58</f>
        <v>2120.9</v>
      </c>
      <c r="J60" s="209">
        <f t="shared" si="13"/>
        <v>1469.0900000000001</v>
      </c>
      <c r="K60" s="253"/>
      <c r="L60" s="253"/>
      <c r="M60" s="253"/>
      <c r="N60" s="253"/>
      <c r="O60" s="253"/>
      <c r="P60" s="253"/>
      <c r="Q60" s="253"/>
      <c r="R60" s="253"/>
      <c r="S60" s="253"/>
      <c r="T60" s="253"/>
      <c r="U60" s="253"/>
      <c r="V60" s="253"/>
      <c r="W60" s="253"/>
      <c r="X60" s="253"/>
      <c r="Y60" s="253"/>
      <c r="Z60" s="253"/>
    </row>
    <row r="61" spans="1:26" s="17" customFormat="1" x14ac:dyDescent="0.3">
      <c r="A61" s="257"/>
      <c r="B61" s="190"/>
      <c r="C61" s="185"/>
      <c r="D61" s="207"/>
      <c r="E61" s="207"/>
      <c r="F61" s="208"/>
      <c r="G61" s="207"/>
      <c r="H61" s="207"/>
      <c r="I61" s="207"/>
      <c r="J61" s="209"/>
      <c r="K61" s="253"/>
      <c r="L61" s="253"/>
      <c r="M61" s="253"/>
      <c r="N61" s="253"/>
      <c r="O61" s="253"/>
      <c r="P61" s="253"/>
      <c r="Q61" s="253"/>
      <c r="R61" s="253"/>
      <c r="S61" s="253"/>
      <c r="T61" s="253"/>
      <c r="U61" s="253"/>
      <c r="V61" s="253"/>
      <c r="W61" s="253"/>
      <c r="X61" s="253"/>
      <c r="Y61" s="253"/>
      <c r="Z61" s="253"/>
    </row>
    <row r="62" spans="1:26" s="17" customFormat="1" x14ac:dyDescent="0.3">
      <c r="A62" s="581" t="s">
        <v>86</v>
      </c>
      <c r="B62" s="582"/>
      <c r="C62" s="582"/>
      <c r="D62" s="35"/>
      <c r="E62" s="35"/>
      <c r="F62" s="78"/>
      <c r="G62" s="35"/>
      <c r="H62" s="35"/>
      <c r="I62" s="35"/>
      <c r="J62" s="36"/>
      <c r="K62" s="253"/>
      <c r="L62" s="253"/>
      <c r="M62" s="253"/>
      <c r="N62" s="253"/>
      <c r="O62" s="253"/>
      <c r="P62" s="253"/>
      <c r="Q62" s="253"/>
      <c r="R62" s="253"/>
      <c r="S62" s="253"/>
      <c r="T62" s="253"/>
      <c r="U62" s="253"/>
      <c r="V62" s="253"/>
      <c r="W62" s="253"/>
      <c r="X62" s="253"/>
      <c r="Y62" s="253"/>
      <c r="Z62" s="253"/>
    </row>
    <row r="63" spans="1:26" s="17" customFormat="1" x14ac:dyDescent="0.3">
      <c r="A63" s="189"/>
      <c r="B63" s="486" t="s">
        <v>87</v>
      </c>
      <c r="C63" s="486"/>
      <c r="D63" s="329"/>
      <c r="E63" s="329"/>
      <c r="F63" s="329"/>
      <c r="G63" s="329"/>
      <c r="H63" s="329">
        <f>H10</f>
        <v>0</v>
      </c>
      <c r="I63" s="329">
        <f>I10</f>
        <v>0</v>
      </c>
      <c r="J63" s="330">
        <f>J10</f>
        <v>0</v>
      </c>
      <c r="K63" s="253"/>
      <c r="L63" s="253"/>
      <c r="M63" s="253"/>
      <c r="N63" s="253"/>
      <c r="O63" s="253"/>
      <c r="P63" s="253"/>
      <c r="Q63" s="253"/>
      <c r="R63" s="253"/>
      <c r="S63" s="253"/>
      <c r="T63" s="253"/>
      <c r="U63" s="253"/>
      <c r="V63" s="253"/>
      <c r="W63" s="253"/>
      <c r="X63" s="253"/>
      <c r="Y63" s="253"/>
      <c r="Z63" s="253"/>
    </row>
    <row r="64" spans="1:26" s="17" customFormat="1" x14ac:dyDescent="0.3">
      <c r="A64" s="189"/>
      <c r="B64" s="185" t="s">
        <v>88</v>
      </c>
      <c r="C64" s="185"/>
      <c r="D64" s="207"/>
      <c r="E64" s="207"/>
      <c r="F64" s="207"/>
      <c r="G64" s="207"/>
      <c r="H64" s="207">
        <f>H60</f>
        <v>3243.4897999999998</v>
      </c>
      <c r="I64" s="207">
        <f t="shared" ref="I64:J64" si="14">I60</f>
        <v>2120.9</v>
      </c>
      <c r="J64" s="209">
        <f t="shared" si="14"/>
        <v>1469.0900000000001</v>
      </c>
      <c r="K64" s="253"/>
      <c r="L64" s="253"/>
      <c r="M64" s="253"/>
      <c r="N64" s="253"/>
      <c r="O64" s="253"/>
      <c r="P64" s="253"/>
      <c r="Q64" s="253"/>
      <c r="R64" s="253"/>
      <c r="S64" s="253"/>
      <c r="T64" s="253"/>
      <c r="U64" s="253"/>
      <c r="V64" s="253"/>
      <c r="W64" s="253"/>
      <c r="X64" s="253"/>
      <c r="Y64" s="253"/>
      <c r="Z64" s="253"/>
    </row>
    <row r="65" spans="1:26" s="17" customFormat="1" x14ac:dyDescent="0.3">
      <c r="A65" s="331"/>
      <c r="B65" s="487" t="s">
        <v>89</v>
      </c>
      <c r="C65" s="487"/>
      <c r="D65" s="333"/>
      <c r="E65" s="333"/>
      <c r="F65" s="333"/>
      <c r="G65" s="333"/>
      <c r="H65" s="333">
        <f>H63-H64</f>
        <v>-3243.4897999999998</v>
      </c>
      <c r="I65" s="333">
        <f t="shared" ref="I65:J65" si="15">I63-I64</f>
        <v>-2120.9</v>
      </c>
      <c r="J65" s="334">
        <f t="shared" si="15"/>
        <v>-1469.0900000000001</v>
      </c>
      <c r="K65" s="253"/>
      <c r="L65" s="253"/>
      <c r="M65" s="253"/>
      <c r="N65" s="253"/>
      <c r="O65" s="253"/>
      <c r="P65" s="253"/>
      <c r="Q65" s="253"/>
      <c r="R65" s="253"/>
      <c r="S65" s="253"/>
      <c r="T65" s="253"/>
      <c r="U65" s="253"/>
      <c r="V65" s="253"/>
      <c r="W65" s="253"/>
      <c r="X65" s="253"/>
      <c r="Y65" s="253"/>
      <c r="Z65" s="253"/>
    </row>
    <row r="66" spans="1:26" s="17" customFormat="1" x14ac:dyDescent="0.3">
      <c r="A66" s="22"/>
      <c r="B66" s="91"/>
      <c r="C66" s="91"/>
      <c r="D66" s="91"/>
      <c r="E66" s="91"/>
      <c r="F66" s="91"/>
      <c r="G66" s="91"/>
      <c r="H66" s="91"/>
      <c r="I66" s="91"/>
      <c r="J66" s="91"/>
    </row>
    <row r="67" spans="1:26" s="17" customFormat="1" x14ac:dyDescent="0.3">
      <c r="A67" s="22"/>
      <c r="B67" s="91"/>
      <c r="C67" s="91"/>
      <c r="D67" s="91"/>
      <c r="E67" s="91"/>
      <c r="F67" s="91"/>
      <c r="G67" s="91"/>
      <c r="H67" s="91"/>
      <c r="I67" s="91"/>
      <c r="J67" s="91"/>
    </row>
    <row r="68" spans="1:26" s="17" customFormat="1" x14ac:dyDescent="0.3">
      <c r="A68" s="22"/>
      <c r="B68" s="91"/>
      <c r="C68" s="91"/>
      <c r="D68" s="91"/>
      <c r="E68" s="91"/>
      <c r="F68" s="91"/>
      <c r="G68" s="91"/>
      <c r="H68" s="91"/>
      <c r="I68" s="91"/>
      <c r="J68" s="91"/>
    </row>
    <row r="69" spans="1:26" s="17" customFormat="1" x14ac:dyDescent="0.3">
      <c r="A69" s="22"/>
      <c r="B69" s="91"/>
      <c r="C69" s="91"/>
      <c r="D69" s="91"/>
      <c r="E69" s="91"/>
      <c r="F69" s="91"/>
      <c r="G69" s="91"/>
      <c r="H69" s="91"/>
      <c r="I69" s="91"/>
      <c r="J69" s="91"/>
    </row>
    <row r="70" spans="1:26" s="17" customFormat="1" x14ac:dyDescent="0.3">
      <c r="A70" s="22"/>
      <c r="B70" s="91"/>
      <c r="C70" s="91"/>
      <c r="D70" s="91"/>
      <c r="E70" s="91"/>
      <c r="F70" s="91"/>
      <c r="G70" s="91"/>
      <c r="H70" s="91"/>
      <c r="I70" s="91"/>
      <c r="J70" s="91"/>
    </row>
    <row r="71" spans="1:26" s="17" customFormat="1" x14ac:dyDescent="0.3">
      <c r="A71" s="22"/>
      <c r="B71" s="91"/>
      <c r="C71" s="91"/>
      <c r="D71" s="91"/>
      <c r="E71" s="91"/>
      <c r="F71" s="91"/>
      <c r="G71" s="91"/>
      <c r="H71" s="91"/>
      <c r="I71" s="91"/>
      <c r="J71" s="91"/>
    </row>
    <row r="72" spans="1:26" s="17" customFormat="1" x14ac:dyDescent="0.3">
      <c r="A72" s="22"/>
      <c r="B72" s="91"/>
      <c r="C72" s="91"/>
      <c r="D72" s="91"/>
      <c r="E72" s="91"/>
      <c r="F72" s="91"/>
      <c r="G72" s="91"/>
      <c r="H72" s="91"/>
      <c r="I72" s="91"/>
      <c r="J72" s="91"/>
    </row>
    <row r="73" spans="1:26" s="17" customFormat="1" x14ac:dyDescent="0.3">
      <c r="A73" s="22"/>
      <c r="B73" s="91"/>
      <c r="C73" s="91"/>
      <c r="D73" s="91"/>
      <c r="E73" s="91"/>
      <c r="F73" s="91"/>
      <c r="G73" s="91"/>
      <c r="H73" s="91"/>
      <c r="I73" s="91"/>
      <c r="J73" s="91"/>
    </row>
    <row r="74" spans="1:26" s="17" customFormat="1" x14ac:dyDescent="0.3">
      <c r="A74" s="22"/>
      <c r="B74" s="91"/>
      <c r="C74" s="91"/>
      <c r="D74" s="91"/>
      <c r="E74" s="91"/>
      <c r="F74" s="91"/>
      <c r="G74" s="91"/>
      <c r="H74" s="91"/>
      <c r="I74" s="91"/>
      <c r="J74" s="91"/>
    </row>
    <row r="75" spans="1:26" s="17" customFormat="1" x14ac:dyDescent="0.3">
      <c r="A75" s="22"/>
      <c r="B75" s="91"/>
      <c r="C75" s="91"/>
      <c r="D75" s="91"/>
      <c r="E75" s="91"/>
      <c r="F75" s="91"/>
      <c r="G75" s="91"/>
      <c r="H75" s="91"/>
      <c r="I75" s="91"/>
      <c r="J75" s="91"/>
    </row>
    <row r="76" spans="1:26" s="17" customFormat="1" x14ac:dyDescent="0.3">
      <c r="A76" s="22"/>
      <c r="B76" s="493"/>
      <c r="C76" s="91"/>
      <c r="D76" s="488"/>
      <c r="E76" s="488"/>
      <c r="F76" s="91"/>
      <c r="G76" s="91"/>
      <c r="H76" s="91"/>
      <c r="I76" s="91"/>
      <c r="J76" s="91"/>
    </row>
    <row r="77" spans="1:26" s="17" customFormat="1" x14ac:dyDescent="0.3">
      <c r="A77" s="22"/>
      <c r="B77" s="493"/>
      <c r="C77" s="91"/>
      <c r="D77" s="488"/>
      <c r="E77" s="488"/>
      <c r="F77" s="91"/>
      <c r="G77" s="91"/>
      <c r="H77" s="91"/>
      <c r="I77" s="91"/>
      <c r="J77" s="91"/>
    </row>
    <row r="78" spans="1:26" s="17" customFormat="1" x14ac:dyDescent="0.3">
      <c r="A78" s="22"/>
      <c r="B78" s="91"/>
      <c r="C78" s="91"/>
      <c r="D78" s="91"/>
      <c r="E78" s="91"/>
      <c r="F78" s="91"/>
      <c r="G78" s="91"/>
      <c r="H78" s="91"/>
      <c r="I78" s="91"/>
      <c r="J78" s="91"/>
    </row>
    <row r="79" spans="1:26" s="17" customFormat="1" x14ac:dyDescent="0.3">
      <c r="A79" s="22"/>
      <c r="B79" s="91"/>
      <c r="C79" s="91"/>
      <c r="D79" s="91"/>
      <c r="E79" s="91"/>
      <c r="F79" s="91"/>
      <c r="G79" s="91"/>
      <c r="H79" s="91"/>
      <c r="I79" s="91"/>
      <c r="J79" s="91"/>
    </row>
    <row r="80" spans="1:26" s="17" customFormat="1" x14ac:dyDescent="0.3">
      <c r="A80" s="22"/>
      <c r="B80" s="91"/>
      <c r="C80" s="91"/>
      <c r="D80" s="91"/>
      <c r="E80" s="91"/>
      <c r="F80" s="91"/>
      <c r="G80" s="91"/>
      <c r="H80" s="91"/>
      <c r="I80" s="91"/>
      <c r="J80" s="91"/>
    </row>
    <row r="81" spans="1:10" s="17" customFormat="1" x14ac:dyDescent="0.3">
      <c r="A81" s="22"/>
      <c r="B81" s="91"/>
      <c r="C81" s="91"/>
      <c r="D81" s="91"/>
      <c r="E81" s="91"/>
      <c r="F81" s="91"/>
      <c r="G81" s="91"/>
      <c r="H81" s="91"/>
      <c r="I81" s="91"/>
      <c r="J81" s="91"/>
    </row>
    <row r="82" spans="1:10" s="17" customFormat="1" x14ac:dyDescent="0.3">
      <c r="A82" s="22"/>
      <c r="B82" s="91"/>
      <c r="C82" s="91"/>
      <c r="D82" s="91"/>
      <c r="E82" s="91"/>
      <c r="F82" s="91"/>
      <c r="G82" s="91"/>
      <c r="H82" s="91"/>
      <c r="I82" s="91"/>
      <c r="J82" s="91"/>
    </row>
    <row r="83" spans="1:10" s="17" customFormat="1" x14ac:dyDescent="0.3">
      <c r="A83" s="22"/>
      <c r="B83" s="91"/>
      <c r="C83" s="91"/>
      <c r="D83" s="91"/>
      <c r="E83" s="91"/>
      <c r="F83" s="91"/>
      <c r="G83" s="91"/>
      <c r="H83" s="91"/>
      <c r="I83" s="91"/>
      <c r="J83" s="91"/>
    </row>
    <row r="84" spans="1:10" s="17" customFormat="1" x14ac:dyDescent="0.3">
      <c r="A84" s="22"/>
      <c r="B84" s="91"/>
      <c r="C84" s="91"/>
      <c r="D84" s="91"/>
      <c r="E84" s="91"/>
      <c r="F84" s="91"/>
      <c r="G84" s="91"/>
      <c r="H84" s="91"/>
      <c r="I84" s="91"/>
      <c r="J84" s="91"/>
    </row>
    <row r="85" spans="1:10" s="17" customFormat="1" x14ac:dyDescent="0.3">
      <c r="A85" s="22"/>
      <c r="B85" s="91"/>
      <c r="C85" s="91"/>
      <c r="D85" s="91"/>
      <c r="E85" s="91"/>
      <c r="F85" s="91"/>
      <c r="G85" s="91"/>
      <c r="H85" s="91"/>
      <c r="I85" s="91"/>
      <c r="J85" s="91"/>
    </row>
    <row r="86" spans="1:10" s="17" customFormat="1" x14ac:dyDescent="0.3">
      <c r="A86" s="22"/>
      <c r="B86" s="91"/>
      <c r="C86" s="91"/>
      <c r="D86" s="91"/>
      <c r="E86" s="91"/>
      <c r="F86" s="91"/>
      <c r="G86" s="91"/>
      <c r="H86" s="91"/>
      <c r="I86" s="91"/>
      <c r="J86" s="91"/>
    </row>
    <row r="87" spans="1:10" s="17" customFormat="1" x14ac:dyDescent="0.3">
      <c r="A87" s="22"/>
      <c r="B87" s="91"/>
      <c r="C87" s="91"/>
      <c r="D87" s="91"/>
      <c r="E87" s="91"/>
      <c r="F87" s="91"/>
      <c r="G87" s="91"/>
      <c r="H87" s="91"/>
      <c r="I87" s="91"/>
      <c r="J87" s="91"/>
    </row>
    <row r="88" spans="1:10" s="17" customFormat="1" x14ac:dyDescent="0.3">
      <c r="A88" s="22"/>
      <c r="B88" s="91"/>
      <c r="C88" s="91"/>
      <c r="D88" s="91"/>
      <c r="E88" s="91"/>
      <c r="F88" s="91"/>
      <c r="G88" s="91"/>
      <c r="H88" s="91"/>
      <c r="I88" s="91"/>
      <c r="J88" s="91"/>
    </row>
    <row r="89" spans="1:10" s="17" customFormat="1" x14ac:dyDescent="0.3">
      <c r="A89" s="22"/>
      <c r="B89" s="91"/>
      <c r="C89" s="91"/>
      <c r="D89" s="91"/>
      <c r="E89" s="91"/>
      <c r="F89" s="91"/>
      <c r="G89" s="91"/>
      <c r="H89" s="91"/>
      <c r="I89" s="91"/>
      <c r="J89" s="91"/>
    </row>
    <row r="90" spans="1:10" s="17" customFormat="1" x14ac:dyDescent="0.3">
      <c r="A90" s="22"/>
      <c r="B90" s="493"/>
      <c r="C90" s="91"/>
      <c r="D90" s="488"/>
      <c r="E90" s="488"/>
      <c r="F90" s="91"/>
      <c r="G90" s="91"/>
      <c r="H90" s="91"/>
      <c r="I90" s="91"/>
      <c r="J90" s="91"/>
    </row>
    <row r="91" spans="1:10" s="17" customFormat="1" x14ac:dyDescent="0.3">
      <c r="A91" s="22"/>
      <c r="B91" s="493"/>
      <c r="C91" s="91"/>
      <c r="D91" s="488"/>
      <c r="E91" s="488"/>
      <c r="F91" s="91"/>
      <c r="G91" s="91"/>
      <c r="H91" s="91"/>
      <c r="I91" s="91"/>
      <c r="J91" s="91"/>
    </row>
    <row r="92" spans="1:10" s="17" customFormat="1" x14ac:dyDescent="0.3">
      <c r="A92" s="22"/>
      <c r="B92" s="91"/>
      <c r="C92" s="91"/>
      <c r="D92" s="91"/>
      <c r="E92" s="91"/>
      <c r="F92" s="91"/>
      <c r="G92" s="91"/>
      <c r="H92" s="91"/>
      <c r="I92" s="91"/>
      <c r="J92" s="91"/>
    </row>
    <row r="93" spans="1:10" s="17" customFormat="1" x14ac:dyDescent="0.3">
      <c r="A93" s="22"/>
      <c r="B93" s="91"/>
      <c r="C93" s="91"/>
      <c r="D93" s="91"/>
      <c r="E93" s="91"/>
      <c r="F93" s="91"/>
      <c r="G93" s="91"/>
      <c r="H93" s="91"/>
      <c r="I93" s="91"/>
      <c r="J93" s="91"/>
    </row>
    <row r="94" spans="1:10" s="17" customFormat="1" x14ac:dyDescent="0.3">
      <c r="A94" s="22"/>
      <c r="B94" s="91"/>
      <c r="C94" s="91"/>
      <c r="D94" s="91"/>
      <c r="E94" s="91"/>
      <c r="F94" s="91"/>
      <c r="G94" s="91"/>
      <c r="H94" s="91"/>
      <c r="I94" s="91"/>
      <c r="J94" s="91"/>
    </row>
    <row r="95" spans="1:10" s="17" customFormat="1" x14ac:dyDescent="0.3">
      <c r="A95" s="22"/>
      <c r="B95" s="91"/>
      <c r="C95" s="91"/>
      <c r="D95" s="91"/>
      <c r="E95" s="91"/>
      <c r="F95" s="91"/>
      <c r="G95" s="91"/>
      <c r="H95" s="91"/>
      <c r="I95" s="91"/>
      <c r="J95" s="91"/>
    </row>
    <row r="96" spans="1:10" s="17" customFormat="1" x14ac:dyDescent="0.3">
      <c r="A96" s="22"/>
      <c r="B96" s="91"/>
      <c r="C96" s="91"/>
      <c r="D96" s="91"/>
      <c r="E96" s="91"/>
      <c r="F96" s="91"/>
      <c r="G96" s="91"/>
      <c r="H96" s="91"/>
      <c r="I96" s="91"/>
      <c r="J96" s="91"/>
    </row>
    <row r="97" spans="1:10" s="17" customFormat="1" x14ac:dyDescent="0.3">
      <c r="A97" s="22"/>
      <c r="B97" s="91"/>
      <c r="C97" s="91"/>
      <c r="D97" s="91"/>
      <c r="E97" s="91"/>
      <c r="F97" s="91"/>
      <c r="G97" s="91"/>
      <c r="H97" s="91"/>
      <c r="I97" s="91"/>
      <c r="J97" s="91"/>
    </row>
    <row r="98" spans="1:10" s="17" customFormat="1" x14ac:dyDescent="0.3">
      <c r="A98" s="22"/>
      <c r="B98" s="91"/>
      <c r="C98" s="91"/>
      <c r="D98" s="91"/>
      <c r="E98" s="91"/>
      <c r="F98" s="91"/>
      <c r="G98" s="91"/>
      <c r="H98" s="91"/>
      <c r="I98" s="91"/>
      <c r="J98" s="91"/>
    </row>
    <row r="99" spans="1:10" s="17" customFormat="1" x14ac:dyDescent="0.3">
      <c r="A99" s="22"/>
      <c r="B99" s="91"/>
      <c r="C99" s="91"/>
      <c r="D99" s="91"/>
      <c r="E99" s="91"/>
      <c r="F99" s="91"/>
      <c r="G99" s="91"/>
      <c r="H99" s="91"/>
      <c r="I99" s="91"/>
      <c r="J99" s="91"/>
    </row>
    <row r="100" spans="1:10" s="17" customFormat="1" x14ac:dyDescent="0.3">
      <c r="A100" s="22"/>
      <c r="B100" s="91"/>
      <c r="C100" s="91"/>
      <c r="D100" s="91"/>
      <c r="E100" s="91"/>
      <c r="F100" s="91"/>
      <c r="G100" s="91"/>
      <c r="H100" s="91"/>
      <c r="I100" s="91"/>
      <c r="J100" s="91"/>
    </row>
    <row r="101" spans="1:10" s="17" customFormat="1" x14ac:dyDescent="0.3">
      <c r="A101" s="22"/>
      <c r="B101" s="91"/>
      <c r="C101" s="91"/>
      <c r="D101" s="91"/>
      <c r="E101" s="91"/>
      <c r="F101" s="91"/>
      <c r="G101" s="91"/>
      <c r="H101" s="91"/>
      <c r="I101" s="91"/>
      <c r="J101" s="91"/>
    </row>
    <row r="102" spans="1:10" s="17" customFormat="1" x14ac:dyDescent="0.3">
      <c r="A102" s="22"/>
      <c r="B102" s="91"/>
      <c r="C102" s="91"/>
      <c r="D102" s="91"/>
      <c r="E102" s="91"/>
      <c r="F102" s="91"/>
      <c r="G102" s="91"/>
      <c r="H102" s="91"/>
      <c r="I102" s="91"/>
      <c r="J102" s="91"/>
    </row>
    <row r="103" spans="1:10" s="17" customFormat="1" x14ac:dyDescent="0.3">
      <c r="A103" s="22"/>
      <c r="B103" s="91"/>
      <c r="C103" s="91"/>
      <c r="D103" s="91"/>
      <c r="E103" s="91"/>
      <c r="F103" s="91"/>
      <c r="G103" s="91"/>
      <c r="H103" s="91"/>
      <c r="I103" s="91"/>
      <c r="J103" s="91"/>
    </row>
    <row r="104" spans="1:10" s="17" customFormat="1" x14ac:dyDescent="0.3">
      <c r="A104" s="22"/>
      <c r="B104" s="493"/>
      <c r="C104" s="91"/>
      <c r="D104" s="488"/>
      <c r="E104" s="488"/>
      <c r="F104" s="91"/>
      <c r="G104" s="91"/>
      <c r="H104" s="91"/>
      <c r="I104" s="91"/>
      <c r="J104" s="91"/>
    </row>
    <row r="105" spans="1:10" s="17" customFormat="1" x14ac:dyDescent="0.3">
      <c r="A105" s="22"/>
      <c r="B105" s="493"/>
      <c r="C105" s="91"/>
      <c r="D105" s="488"/>
      <c r="E105" s="488"/>
      <c r="F105" s="91"/>
      <c r="G105" s="91"/>
      <c r="H105" s="91"/>
      <c r="I105" s="91"/>
      <c r="J105" s="91"/>
    </row>
    <row r="106" spans="1:10" s="43" customFormat="1" ht="18.75" x14ac:dyDescent="0.35">
      <c r="A106" s="40"/>
      <c r="B106" s="494"/>
      <c r="C106" s="489"/>
      <c r="D106" s="489"/>
      <c r="E106" s="490"/>
      <c r="F106" s="491"/>
      <c r="G106" s="491"/>
      <c r="H106" s="491"/>
      <c r="I106" s="491"/>
      <c r="J106" s="491"/>
    </row>
    <row r="107" spans="1:10" s="43" customFormat="1" ht="18.75" x14ac:dyDescent="0.35">
      <c r="A107" s="40"/>
      <c r="B107" s="494"/>
      <c r="C107" s="489"/>
      <c r="D107" s="489"/>
      <c r="E107" s="490"/>
      <c r="F107" s="491"/>
      <c r="G107" s="491"/>
      <c r="H107" s="491"/>
      <c r="I107" s="491"/>
      <c r="J107" s="491"/>
    </row>
    <row r="108" spans="1:10" s="48" customFormat="1" ht="20.25" x14ac:dyDescent="0.35">
      <c r="A108" s="58"/>
      <c r="B108" s="58"/>
      <c r="C108" s="492"/>
      <c r="D108" s="492"/>
      <c r="E108" s="492"/>
      <c r="F108" s="492"/>
      <c r="G108" s="492"/>
      <c r="H108" s="492"/>
      <c r="I108" s="492"/>
      <c r="J108" s="492"/>
    </row>
    <row r="109" spans="1:10" s="50" customFormat="1" ht="20.25" x14ac:dyDescent="0.35">
      <c r="B109" s="58"/>
      <c r="C109" s="58"/>
      <c r="D109" s="58"/>
      <c r="E109" s="58"/>
      <c r="F109" s="58"/>
      <c r="G109" s="58"/>
      <c r="H109" s="58"/>
      <c r="I109" s="58"/>
      <c r="J109" s="58"/>
    </row>
    <row r="110" spans="1:10" s="50" customFormat="1" ht="20.25" x14ac:dyDescent="0.35">
      <c r="B110" s="58"/>
      <c r="C110" s="58"/>
      <c r="D110" s="58"/>
      <c r="E110" s="58"/>
      <c r="F110" s="58"/>
      <c r="G110" s="58"/>
      <c r="H110" s="58"/>
      <c r="I110" s="58"/>
      <c r="J110" s="58"/>
    </row>
    <row r="111" spans="1:10" s="50" customFormat="1" ht="20.25" x14ac:dyDescent="0.35">
      <c r="B111" s="58"/>
      <c r="C111" s="58"/>
      <c r="D111" s="58"/>
      <c r="E111" s="58"/>
      <c r="F111" s="58"/>
      <c r="G111" s="58"/>
      <c r="H111" s="58"/>
      <c r="I111" s="58"/>
      <c r="J111" s="58"/>
    </row>
    <row r="112" spans="1:10" s="17" customFormat="1" x14ac:dyDescent="0.3">
      <c r="A112" s="53"/>
      <c r="B112" s="129"/>
      <c r="C112" s="130"/>
      <c r="D112" s="131"/>
      <c r="E112" s="82"/>
      <c r="F112" s="83"/>
      <c r="G112" s="82"/>
      <c r="H112" s="82"/>
      <c r="I112" s="82"/>
      <c r="J112" s="82"/>
    </row>
  </sheetData>
  <mergeCells count="6">
    <mergeCell ref="A62:C62"/>
    <mergeCell ref="D1:J4"/>
    <mergeCell ref="A5:C5"/>
    <mergeCell ref="D5:E5"/>
    <mergeCell ref="A8:C8"/>
    <mergeCell ref="A12:C12"/>
  </mergeCells>
  <pageMargins left="0" right="0" top="0" bottom="0" header="0" footer="0"/>
  <pageSetup orientation="portrait" verticalDpi="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07"/>
  <sheetViews>
    <sheetView zoomScale="75" zoomScaleNormal="75" workbookViewId="0">
      <pane xSplit="3" ySplit="6" topLeftCell="H49" activePane="bottomRight" state="frozen"/>
      <selection pane="topRight" activeCell="C1" sqref="C1"/>
      <selection pane="bottomLeft" activeCell="A4" sqref="A4"/>
      <selection pane="bottomRight" activeCell="J61" sqref="J61"/>
    </sheetView>
  </sheetViews>
  <sheetFormatPr defaultColWidth="8.85546875" defaultRowHeight="17.25" x14ac:dyDescent="0.3"/>
  <cols>
    <col min="1" max="2" width="13.85546875" style="53" customWidth="1"/>
    <col min="3" max="3" width="45.7109375" style="129" customWidth="1"/>
    <col min="4" max="4" width="39.42578125" style="131" customWidth="1"/>
    <col min="5" max="5" width="28.140625" style="82" customWidth="1"/>
    <col min="6" max="6" width="15.28515625" style="83" customWidth="1"/>
    <col min="7" max="7" width="17.42578125" style="82" customWidth="1"/>
    <col min="8" max="8" width="18.140625" style="82" customWidth="1"/>
    <col min="9" max="9" width="22.42578125" style="82" customWidth="1"/>
    <col min="10" max="10" width="23" style="82" customWidth="1"/>
    <col min="11" max="11" width="12" style="17" customWidth="1"/>
    <col min="12" max="12" width="11.28515625" style="17" customWidth="1"/>
    <col min="13" max="13" width="8.85546875" style="53"/>
    <col min="14" max="14" width="10.140625" style="53" bestFit="1" customWidth="1"/>
    <col min="15" max="15" width="14.28515625" style="53" customWidth="1"/>
    <col min="16" max="16384" width="8.85546875" style="53"/>
  </cols>
  <sheetData>
    <row r="1" spans="1:15" s="2" customFormat="1" ht="38.25" x14ac:dyDescent="0.3">
      <c r="A1" s="119"/>
      <c r="B1" s="120"/>
      <c r="C1" s="121"/>
      <c r="D1" s="564" t="s">
        <v>704</v>
      </c>
      <c r="E1" s="565"/>
      <c r="F1" s="565"/>
      <c r="G1" s="565"/>
      <c r="H1" s="565"/>
      <c r="I1" s="565"/>
      <c r="J1" s="566"/>
    </row>
    <row r="2" spans="1:15" s="2" customFormat="1" ht="38.25" x14ac:dyDescent="0.3">
      <c r="A2" s="4"/>
      <c r="B2" s="5"/>
      <c r="C2" s="122"/>
      <c r="D2" s="567"/>
      <c r="E2" s="568"/>
      <c r="F2" s="568"/>
      <c r="G2" s="568"/>
      <c r="H2" s="568"/>
      <c r="I2" s="568"/>
      <c r="J2" s="569"/>
    </row>
    <row r="3" spans="1:15" s="2" customFormat="1" ht="38.25" x14ac:dyDescent="0.3">
      <c r="A3" s="4"/>
      <c r="B3" s="5"/>
      <c r="C3" s="122"/>
      <c r="D3" s="567"/>
      <c r="E3" s="568"/>
      <c r="F3" s="568"/>
      <c r="G3" s="568"/>
      <c r="H3" s="568"/>
      <c r="I3" s="568"/>
      <c r="J3" s="569"/>
    </row>
    <row r="4" spans="1:15" s="2" customFormat="1" ht="38.25" x14ac:dyDescent="0.3">
      <c r="A4" s="6"/>
      <c r="B4" s="7"/>
      <c r="C4" s="123"/>
      <c r="D4" s="570"/>
      <c r="E4" s="571"/>
      <c r="F4" s="571"/>
      <c r="G4" s="571"/>
      <c r="H4" s="571"/>
      <c r="I4" s="571"/>
      <c r="J4" s="572"/>
    </row>
    <row r="5" spans="1:15" s="2" customFormat="1" x14ac:dyDescent="0.3">
      <c r="A5" s="573"/>
      <c r="B5" s="578"/>
      <c r="C5" s="574"/>
      <c r="D5" s="579"/>
      <c r="E5" s="580"/>
      <c r="F5" s="73"/>
      <c r="G5" s="68"/>
      <c r="H5" s="68"/>
      <c r="I5" s="68"/>
      <c r="J5" s="69"/>
      <c r="K5" s="8"/>
      <c r="L5" s="8"/>
    </row>
    <row r="6" spans="1:15" s="64" customFormat="1" x14ac:dyDescent="0.3">
      <c r="A6" s="59"/>
      <c r="B6" s="72" t="s">
        <v>91</v>
      </c>
      <c r="C6" s="70" t="s">
        <v>92</v>
      </c>
      <c r="D6" s="60" t="s">
        <v>93</v>
      </c>
      <c r="E6" s="61" t="s">
        <v>94</v>
      </c>
      <c r="F6" s="74" t="s">
        <v>95</v>
      </c>
      <c r="G6" s="87" t="s">
        <v>96</v>
      </c>
      <c r="H6" s="87" t="s">
        <v>97</v>
      </c>
      <c r="I6" s="87" t="s">
        <v>98</v>
      </c>
      <c r="J6" s="88" t="s">
        <v>99</v>
      </c>
      <c r="K6" s="63"/>
      <c r="L6" s="63"/>
    </row>
    <row r="7" spans="1:15" s="2" customFormat="1" x14ac:dyDescent="0.3">
      <c r="A7" s="9"/>
      <c r="B7" s="65"/>
      <c r="C7" s="10"/>
      <c r="D7" s="11"/>
      <c r="E7" s="12"/>
      <c r="F7" s="75"/>
      <c r="G7" s="12"/>
      <c r="H7" s="12"/>
      <c r="I7" s="12"/>
      <c r="J7" s="84"/>
      <c r="K7" s="8"/>
      <c r="L7" s="8"/>
    </row>
    <row r="8" spans="1:15" s="2" customFormat="1" x14ac:dyDescent="0.3">
      <c r="A8" s="560" t="s">
        <v>5</v>
      </c>
      <c r="B8" s="561"/>
      <c r="C8" s="561"/>
      <c r="D8" s="14"/>
      <c r="E8" s="14"/>
      <c r="F8" s="76"/>
      <c r="G8" s="14"/>
      <c r="H8" s="14"/>
      <c r="I8" s="14"/>
      <c r="J8" s="15"/>
      <c r="K8" s="8"/>
      <c r="L8" s="8"/>
    </row>
    <row r="9" spans="1:15" s="17" customFormat="1" x14ac:dyDescent="0.3">
      <c r="A9" s="151" t="s">
        <v>705</v>
      </c>
      <c r="B9" s="152"/>
      <c r="C9" s="305"/>
      <c r="D9" s="159"/>
      <c r="E9" s="159"/>
      <c r="F9" s="160"/>
      <c r="G9" s="159"/>
      <c r="H9" s="159"/>
      <c r="I9" s="159"/>
      <c r="J9" s="161"/>
    </row>
    <row r="10" spans="1:15" s="17" customFormat="1" x14ac:dyDescent="0.3">
      <c r="A10" s="151"/>
      <c r="B10" s="304" t="s">
        <v>706</v>
      </c>
      <c r="C10" s="304" t="s">
        <v>707</v>
      </c>
      <c r="D10" s="165" t="s">
        <v>708</v>
      </c>
      <c r="E10" s="165">
        <v>25</v>
      </c>
      <c r="F10" s="166">
        <v>10</v>
      </c>
      <c r="G10" s="165">
        <f>E10*F10</f>
        <v>250</v>
      </c>
      <c r="H10" s="165">
        <f>G10*1.13</f>
        <v>282.5</v>
      </c>
      <c r="I10" s="165"/>
      <c r="J10" s="167"/>
    </row>
    <row r="11" spans="1:15" s="17" customFormat="1" x14ac:dyDescent="0.3">
      <c r="A11" s="162"/>
      <c r="B11" s="305" t="s">
        <v>709</v>
      </c>
      <c r="C11" s="308" t="s">
        <v>707</v>
      </c>
      <c r="D11" s="159" t="s">
        <v>710</v>
      </c>
      <c r="E11" s="159">
        <v>10</v>
      </c>
      <c r="F11" s="160">
        <v>8</v>
      </c>
      <c r="G11" s="159">
        <f t="shared" ref="G11" si="0">E11*F11</f>
        <v>80</v>
      </c>
      <c r="H11" s="159">
        <f t="shared" ref="H11" si="1">G11*1.13</f>
        <v>90.399999999999991</v>
      </c>
      <c r="I11" s="159"/>
      <c r="J11" s="161"/>
      <c r="N11" s="23"/>
    </row>
    <row r="12" spans="1:15" s="17" customFormat="1" x14ac:dyDescent="0.3">
      <c r="A12" s="162"/>
      <c r="B12" s="163"/>
      <c r="C12" s="307"/>
      <c r="D12" s="165" t="s">
        <v>9</v>
      </c>
      <c r="E12" s="165"/>
      <c r="F12" s="166"/>
      <c r="G12" s="165"/>
      <c r="H12" s="165"/>
      <c r="I12" s="165"/>
      <c r="J12" s="167"/>
      <c r="N12" s="23"/>
    </row>
    <row r="13" spans="1:15" s="17" customFormat="1" x14ac:dyDescent="0.3">
      <c r="A13" s="162"/>
      <c r="B13" s="169" t="s">
        <v>711</v>
      </c>
      <c r="C13" s="483"/>
      <c r="D13" s="310"/>
      <c r="E13" s="310"/>
      <c r="F13" s="311"/>
      <c r="G13" s="310"/>
      <c r="H13" s="171">
        <f>SUM(H10:H11)</f>
        <v>372.9</v>
      </c>
      <c r="I13" s="171">
        <f>SUM(I9:I12)</f>
        <v>0</v>
      </c>
      <c r="J13" s="173">
        <f>SUM(J9:J12)</f>
        <v>0</v>
      </c>
      <c r="N13" s="23"/>
    </row>
    <row r="14" spans="1:15" s="27" customFormat="1" x14ac:dyDescent="0.3">
      <c r="A14" s="151"/>
      <c r="B14" s="152"/>
      <c r="C14" s="319"/>
      <c r="D14" s="153"/>
      <c r="E14" s="153"/>
      <c r="F14" s="154"/>
      <c r="G14" s="153"/>
      <c r="H14" s="153"/>
      <c r="I14" s="153"/>
      <c r="J14" s="155"/>
      <c r="K14" s="22"/>
      <c r="L14" s="26"/>
      <c r="N14" s="28"/>
      <c r="O14" s="28"/>
    </row>
    <row r="15" spans="1:15" s="27" customFormat="1" x14ac:dyDescent="0.3">
      <c r="A15" s="151" t="s">
        <v>712</v>
      </c>
      <c r="B15" s="152"/>
      <c r="C15" s="305"/>
      <c r="D15" s="159"/>
      <c r="E15" s="159"/>
      <c r="F15" s="160"/>
      <c r="G15" s="159"/>
      <c r="H15" s="159"/>
      <c r="I15" s="159"/>
      <c r="J15" s="161"/>
      <c r="K15" s="22"/>
      <c r="L15" s="26"/>
      <c r="N15" s="28"/>
      <c r="O15" s="28"/>
    </row>
    <row r="16" spans="1:15" s="17" customFormat="1" x14ac:dyDescent="0.3">
      <c r="A16" s="162"/>
      <c r="B16" s="304" t="s">
        <v>713</v>
      </c>
      <c r="C16" s="307" t="s">
        <v>714</v>
      </c>
      <c r="D16" s="165" t="s">
        <v>715</v>
      </c>
      <c r="E16" s="165">
        <v>500</v>
      </c>
      <c r="F16" s="166">
        <v>1</v>
      </c>
      <c r="G16" s="165">
        <f>E16*F16</f>
        <v>500</v>
      </c>
      <c r="H16" s="165">
        <f>G16*1.13</f>
        <v>565</v>
      </c>
      <c r="I16" s="165"/>
      <c r="J16" s="167"/>
      <c r="N16" s="23"/>
    </row>
    <row r="17" spans="1:15" s="17" customFormat="1" x14ac:dyDescent="0.3">
      <c r="A17" s="162"/>
      <c r="B17" s="305" t="s">
        <v>716</v>
      </c>
      <c r="C17" s="308" t="s">
        <v>717</v>
      </c>
      <c r="D17" s="159" t="s">
        <v>718</v>
      </c>
      <c r="E17" s="159">
        <v>150</v>
      </c>
      <c r="F17" s="160">
        <v>1</v>
      </c>
      <c r="G17" s="159">
        <f t="shared" ref="G17:G19" si="2">E17*F17</f>
        <v>150</v>
      </c>
      <c r="H17" s="159">
        <f t="shared" ref="H17:H21" si="3">G17*1.13</f>
        <v>169.49999999999997</v>
      </c>
      <c r="I17" s="159"/>
      <c r="J17" s="161"/>
      <c r="N17" s="23"/>
    </row>
    <row r="18" spans="1:15" s="17" customFormat="1" x14ac:dyDescent="0.3">
      <c r="A18" s="162"/>
      <c r="B18" s="304" t="s">
        <v>719</v>
      </c>
      <c r="C18" s="307" t="s">
        <v>717</v>
      </c>
      <c r="D18" s="165" t="s">
        <v>720</v>
      </c>
      <c r="E18" s="165">
        <v>250</v>
      </c>
      <c r="F18" s="166">
        <v>1</v>
      </c>
      <c r="G18" s="165">
        <f t="shared" si="2"/>
        <v>250</v>
      </c>
      <c r="H18" s="165">
        <f t="shared" si="3"/>
        <v>282.5</v>
      </c>
      <c r="I18" s="165"/>
      <c r="J18" s="167"/>
      <c r="N18" s="23"/>
    </row>
    <row r="19" spans="1:15" s="17" customFormat="1" x14ac:dyDescent="0.3">
      <c r="A19" s="162"/>
      <c r="B19" s="305" t="s">
        <v>721</v>
      </c>
      <c r="C19" s="308" t="s">
        <v>722</v>
      </c>
      <c r="D19" s="159" t="s">
        <v>723</v>
      </c>
      <c r="E19" s="159">
        <v>25</v>
      </c>
      <c r="F19" s="160">
        <v>4</v>
      </c>
      <c r="G19" s="159">
        <f t="shared" si="2"/>
        <v>100</v>
      </c>
      <c r="H19" s="159">
        <f t="shared" si="3"/>
        <v>112.99999999999999</v>
      </c>
      <c r="I19" s="159"/>
      <c r="J19" s="161">
        <v>25</v>
      </c>
      <c r="N19" s="23"/>
    </row>
    <row r="20" spans="1:15" s="17" customFormat="1" x14ac:dyDescent="0.3">
      <c r="A20" s="162"/>
      <c r="B20" s="304" t="s">
        <v>1565</v>
      </c>
      <c r="C20" s="307" t="s">
        <v>717</v>
      </c>
      <c r="D20" s="165" t="s">
        <v>1507</v>
      </c>
      <c r="E20" s="165">
        <v>300</v>
      </c>
      <c r="F20" s="166">
        <v>1</v>
      </c>
      <c r="G20" s="165">
        <f>E20*F20</f>
        <v>300</v>
      </c>
      <c r="H20" s="165">
        <f t="shared" si="3"/>
        <v>338.99999999999994</v>
      </c>
      <c r="I20" s="165"/>
      <c r="J20" s="167"/>
      <c r="N20" s="23"/>
    </row>
    <row r="21" spans="1:15" s="17" customFormat="1" x14ac:dyDescent="0.3">
      <c r="A21" s="162"/>
      <c r="B21" s="304" t="s">
        <v>1566</v>
      </c>
      <c r="C21" s="307" t="s">
        <v>1567</v>
      </c>
      <c r="D21" s="165" t="s">
        <v>1568</v>
      </c>
      <c r="E21" s="165">
        <v>100</v>
      </c>
      <c r="F21" s="166">
        <v>3</v>
      </c>
      <c r="G21" s="165">
        <f>E21*F21</f>
        <v>300</v>
      </c>
      <c r="H21" s="165">
        <f t="shared" si="3"/>
        <v>338.99999999999994</v>
      </c>
      <c r="I21" s="165"/>
      <c r="J21" s="167"/>
      <c r="N21" s="23"/>
    </row>
    <row r="22" spans="1:15" s="17" customFormat="1" x14ac:dyDescent="0.3">
      <c r="A22" s="151"/>
      <c r="B22" s="169" t="s">
        <v>724</v>
      </c>
      <c r="C22" s="484"/>
      <c r="D22" s="171"/>
      <c r="E22" s="171"/>
      <c r="F22" s="172"/>
      <c r="G22" s="171"/>
      <c r="H22" s="171">
        <f>SUM(H16:H21)</f>
        <v>1808</v>
      </c>
      <c r="I22" s="171">
        <f>SUM(I16:I20)</f>
        <v>0</v>
      </c>
      <c r="J22" s="173">
        <f>SUM(J16:J20)</f>
        <v>25</v>
      </c>
      <c r="K22" s="22"/>
      <c r="L22" s="29"/>
      <c r="M22" s="22"/>
      <c r="N22" s="22"/>
      <c r="O22" s="23"/>
    </row>
    <row r="23" spans="1:15" s="17" customFormat="1" x14ac:dyDescent="0.3">
      <c r="A23" s="151" t="s">
        <v>1508</v>
      </c>
      <c r="B23" s="152"/>
      <c r="C23" s="158"/>
      <c r="D23" s="159"/>
      <c r="E23" s="159"/>
      <c r="F23" s="160"/>
      <c r="G23" s="159"/>
      <c r="H23" s="159"/>
      <c r="I23" s="159"/>
      <c r="J23" s="161"/>
      <c r="K23" s="22"/>
      <c r="L23" s="29"/>
      <c r="M23" s="22"/>
      <c r="N23" s="22"/>
      <c r="O23" s="23"/>
    </row>
    <row r="24" spans="1:15" s="17" customFormat="1" x14ac:dyDescent="0.3">
      <c r="A24" s="162"/>
      <c r="B24" s="163" t="s">
        <v>726</v>
      </c>
      <c r="C24" s="164" t="s">
        <v>1509</v>
      </c>
      <c r="D24" s="165" t="s">
        <v>1510</v>
      </c>
      <c r="E24" s="165">
        <v>25</v>
      </c>
      <c r="F24" s="166">
        <v>1</v>
      </c>
      <c r="G24" s="165">
        <f>E24*F24</f>
        <v>25</v>
      </c>
      <c r="H24" s="165">
        <f>G24*1.13</f>
        <v>28.249999999999996</v>
      </c>
      <c r="I24" s="165"/>
      <c r="J24" s="167"/>
      <c r="K24" s="22"/>
      <c r="L24" s="29"/>
      <c r="M24" s="22"/>
      <c r="N24" s="22"/>
      <c r="O24" s="23"/>
    </row>
    <row r="25" spans="1:15" s="17" customFormat="1" x14ac:dyDescent="0.3">
      <c r="A25" s="162"/>
      <c r="B25" s="158"/>
      <c r="C25" s="168"/>
      <c r="D25" s="159"/>
      <c r="E25" s="159"/>
      <c r="F25" s="160"/>
      <c r="G25" s="159">
        <f t="shared" ref="G25" si="4">E25*F25</f>
        <v>0</v>
      </c>
      <c r="H25" s="159">
        <f t="shared" ref="H25" si="5">G25*1.13</f>
        <v>0</v>
      </c>
      <c r="I25" s="159"/>
      <c r="J25" s="161"/>
      <c r="K25" s="22"/>
      <c r="L25" s="29"/>
      <c r="M25" s="22"/>
      <c r="N25" s="22"/>
      <c r="O25" s="23"/>
    </row>
    <row r="26" spans="1:15" s="17" customFormat="1" x14ac:dyDescent="0.3">
      <c r="A26" s="151"/>
      <c r="B26" s="169" t="s">
        <v>1511</v>
      </c>
      <c r="C26" s="175"/>
      <c r="D26" s="171"/>
      <c r="E26" s="171"/>
      <c r="F26" s="172"/>
      <c r="G26" s="171"/>
      <c r="H26" s="171">
        <f>SUM(H24)</f>
        <v>28.249999999999996</v>
      </c>
      <c r="I26" s="171">
        <f t="shared" ref="I26:J26" si="6">SUM(I16:I25)</f>
        <v>0</v>
      </c>
      <c r="J26" s="173">
        <f t="shared" si="6"/>
        <v>50</v>
      </c>
      <c r="K26" s="22"/>
      <c r="L26" s="29"/>
      <c r="M26" s="22"/>
      <c r="N26" s="22"/>
      <c r="O26" s="23"/>
    </row>
    <row r="27" spans="1:15" s="17" customFormat="1" x14ac:dyDescent="0.3">
      <c r="A27" s="16"/>
      <c r="B27" s="27"/>
      <c r="C27" s="37"/>
      <c r="D27" s="85"/>
      <c r="E27" s="85"/>
      <c r="F27" s="94"/>
      <c r="G27" s="85"/>
      <c r="H27" s="85"/>
      <c r="I27" s="85"/>
      <c r="J27" s="86"/>
      <c r="K27" s="22"/>
      <c r="L27" s="29"/>
      <c r="M27" s="22"/>
      <c r="N27" s="22"/>
      <c r="O27" s="23"/>
    </row>
    <row r="28" spans="1:15" s="31" customFormat="1" ht="18.75" x14ac:dyDescent="0.35">
      <c r="A28" s="30"/>
      <c r="C28" s="127" t="s">
        <v>45</v>
      </c>
      <c r="D28" s="96"/>
      <c r="E28" s="96"/>
      <c r="F28" s="97"/>
      <c r="G28" s="96"/>
      <c r="H28" s="96">
        <f>H13+H22+H26</f>
        <v>2209.15</v>
      </c>
      <c r="I28" s="96">
        <v>0</v>
      </c>
      <c r="J28" s="98">
        <v>0</v>
      </c>
      <c r="K28" s="32"/>
      <c r="L28" s="33"/>
      <c r="M28" s="32"/>
      <c r="N28" s="32"/>
      <c r="O28" s="34"/>
    </row>
    <row r="29" spans="1:15" s="31" customFormat="1" ht="18.75" x14ac:dyDescent="0.35">
      <c r="A29" s="30"/>
      <c r="C29" s="127"/>
      <c r="D29" s="85"/>
      <c r="E29" s="85"/>
      <c r="F29" s="94"/>
      <c r="G29" s="85"/>
      <c r="H29" s="85"/>
      <c r="I29" s="85"/>
      <c r="J29" s="86"/>
      <c r="K29" s="32"/>
      <c r="L29" s="33"/>
      <c r="M29" s="32"/>
      <c r="N29" s="32"/>
      <c r="O29" s="34"/>
    </row>
    <row r="30" spans="1:15" s="17" customFormat="1" x14ac:dyDescent="0.3">
      <c r="A30" s="560" t="s">
        <v>46</v>
      </c>
      <c r="B30" s="561"/>
      <c r="C30" s="561"/>
      <c r="D30" s="14"/>
      <c r="E30" s="35"/>
      <c r="F30" s="78"/>
      <c r="G30" s="35"/>
      <c r="H30" s="35"/>
      <c r="I30" s="35"/>
      <c r="J30" s="15"/>
      <c r="K30" s="37"/>
      <c r="L30" s="37"/>
    </row>
    <row r="31" spans="1:15" s="27" customFormat="1" x14ac:dyDescent="0.3">
      <c r="A31" s="16" t="s">
        <v>725</v>
      </c>
      <c r="C31" s="91"/>
      <c r="D31" s="82"/>
      <c r="E31" s="82"/>
      <c r="F31" s="83"/>
      <c r="G31" s="82"/>
      <c r="H31" s="82"/>
      <c r="I31" s="82"/>
      <c r="J31" s="93"/>
      <c r="K31" s="22"/>
      <c r="L31" s="26"/>
      <c r="N31" s="24"/>
      <c r="O31" s="28"/>
    </row>
    <row r="32" spans="1:15" s="17" customFormat="1" x14ac:dyDescent="0.3">
      <c r="A32" s="21"/>
      <c r="B32" s="71" t="s">
        <v>735</v>
      </c>
      <c r="C32" s="89" t="s">
        <v>727</v>
      </c>
      <c r="D32" s="80" t="s">
        <v>728</v>
      </c>
      <c r="E32" s="80">
        <v>1503.88</v>
      </c>
      <c r="F32" s="81">
        <v>1</v>
      </c>
      <c r="G32" s="80">
        <f>E32*F32</f>
        <v>1503.88</v>
      </c>
      <c r="H32" s="80">
        <f>G32*1.13</f>
        <v>1699.3843999999999</v>
      </c>
      <c r="I32" s="80">
        <f>20.56+26.23</f>
        <v>46.79</v>
      </c>
      <c r="J32" s="90"/>
      <c r="L32" s="29"/>
      <c r="N32" s="23"/>
    </row>
    <row r="33" spans="1:15" s="17" customFormat="1" x14ac:dyDescent="0.3">
      <c r="A33" s="21"/>
      <c r="B33" s="91" t="s">
        <v>738</v>
      </c>
      <c r="C33" s="92" t="s">
        <v>729</v>
      </c>
      <c r="D33" s="82" t="s">
        <v>730</v>
      </c>
      <c r="E33" s="82">
        <v>250</v>
      </c>
      <c r="F33" s="83">
        <v>2</v>
      </c>
      <c r="G33" s="82">
        <f t="shared" ref="G33:G35" si="7">E33*F33</f>
        <v>500</v>
      </c>
      <c r="H33" s="82">
        <f t="shared" ref="H33:H35" si="8">G33*1.13</f>
        <v>565</v>
      </c>
      <c r="I33" s="82">
        <f>15.76</f>
        <v>15.76</v>
      </c>
      <c r="J33" s="93"/>
      <c r="L33" s="29"/>
      <c r="N33" s="23"/>
    </row>
    <row r="34" spans="1:15" s="17" customFormat="1" x14ac:dyDescent="0.3">
      <c r="A34" s="21"/>
      <c r="B34" s="71" t="s">
        <v>740</v>
      </c>
      <c r="C34" s="89" t="s">
        <v>731</v>
      </c>
      <c r="D34" s="80"/>
      <c r="E34" s="80">
        <v>68.040000000000006</v>
      </c>
      <c r="F34" s="81">
        <v>1</v>
      </c>
      <c r="G34" s="80">
        <f t="shared" si="7"/>
        <v>68.040000000000006</v>
      </c>
      <c r="H34" s="80">
        <f t="shared" si="8"/>
        <v>76.885199999999998</v>
      </c>
      <c r="I34" s="80"/>
      <c r="J34" s="90"/>
      <c r="L34" s="29"/>
      <c r="N34" s="23"/>
    </row>
    <row r="35" spans="1:15" s="17" customFormat="1" x14ac:dyDescent="0.3">
      <c r="A35" s="21"/>
      <c r="B35" s="91" t="s">
        <v>1622</v>
      </c>
      <c r="C35" s="92" t="s">
        <v>732</v>
      </c>
      <c r="D35" s="82" t="s">
        <v>733</v>
      </c>
      <c r="E35" s="82">
        <v>140</v>
      </c>
      <c r="F35" s="83">
        <v>1</v>
      </c>
      <c r="G35" s="82">
        <f t="shared" si="7"/>
        <v>140</v>
      </c>
      <c r="H35" s="82">
        <f t="shared" si="8"/>
        <v>158.19999999999999</v>
      </c>
      <c r="I35" s="82"/>
      <c r="J35" s="93"/>
      <c r="L35" s="29"/>
      <c r="N35" s="23"/>
    </row>
    <row r="36" spans="1:15" s="17" customFormat="1" x14ac:dyDescent="0.3">
      <c r="A36" s="21"/>
      <c r="B36" s="71" t="s">
        <v>1623</v>
      </c>
      <c r="C36" s="89" t="s">
        <v>1497</v>
      </c>
      <c r="D36" s="165" t="s">
        <v>1498</v>
      </c>
      <c r="E36" s="165">
        <v>110</v>
      </c>
      <c r="F36" s="166">
        <v>2</v>
      </c>
      <c r="G36" s="165">
        <v>220</v>
      </c>
      <c r="H36" s="165">
        <v>248.59999999999997</v>
      </c>
      <c r="I36" s="80"/>
      <c r="J36" s="95"/>
      <c r="L36" s="29"/>
      <c r="N36" s="23"/>
    </row>
    <row r="37" spans="1:15" s="17" customFormat="1" x14ac:dyDescent="0.3">
      <c r="A37" s="21"/>
      <c r="B37" s="25" t="s">
        <v>734</v>
      </c>
      <c r="C37" s="128"/>
      <c r="D37" s="68"/>
      <c r="E37" s="68"/>
      <c r="F37" s="73"/>
      <c r="G37" s="68"/>
      <c r="H37" s="68">
        <f>SUM(H31:H36)</f>
        <v>2748.0695999999998</v>
      </c>
      <c r="I37" s="68">
        <f>SUM(I31:I36)</f>
        <v>62.55</v>
      </c>
      <c r="J37" s="69">
        <f>SUM(J31:J36)</f>
        <v>0</v>
      </c>
      <c r="L37" s="29"/>
      <c r="N37" s="23"/>
    </row>
    <row r="38" spans="1:15" s="17" customFormat="1" x14ac:dyDescent="0.3">
      <c r="A38" s="16"/>
      <c r="B38" s="27"/>
      <c r="C38" s="37"/>
      <c r="D38" s="85"/>
      <c r="E38" s="85"/>
      <c r="F38" s="94"/>
      <c r="G38" s="85"/>
      <c r="H38" s="85"/>
      <c r="I38" s="85"/>
      <c r="J38" s="86"/>
      <c r="K38" s="22"/>
      <c r="L38" s="29"/>
      <c r="N38" s="23"/>
      <c r="O38" s="23"/>
    </row>
    <row r="39" spans="1:15" s="17" customFormat="1" x14ac:dyDescent="0.3">
      <c r="A39" s="16" t="s">
        <v>705</v>
      </c>
      <c r="B39" s="27"/>
      <c r="C39" s="91"/>
      <c r="D39" s="82"/>
      <c r="E39" s="82"/>
      <c r="F39" s="83"/>
      <c r="G39" s="82"/>
      <c r="H39" s="82"/>
      <c r="I39" s="82"/>
      <c r="J39" s="93"/>
      <c r="K39" s="22"/>
      <c r="L39" s="29"/>
      <c r="N39" s="23"/>
      <c r="O39" s="23"/>
    </row>
    <row r="40" spans="1:15" s="17" customFormat="1" x14ac:dyDescent="0.3">
      <c r="A40" s="38"/>
      <c r="B40" s="71" t="s">
        <v>744</v>
      </c>
      <c r="C40" s="89" t="s">
        <v>736</v>
      </c>
      <c r="D40" s="80" t="s">
        <v>737</v>
      </c>
      <c r="E40" s="80">
        <v>25</v>
      </c>
      <c r="F40" s="81">
        <v>10</v>
      </c>
      <c r="G40" s="80">
        <f>E40*F40</f>
        <v>250</v>
      </c>
      <c r="H40" s="80">
        <f>G40*1.13</f>
        <v>282.5</v>
      </c>
      <c r="I40" s="80"/>
      <c r="J40" s="90"/>
      <c r="K40" s="22"/>
      <c r="L40" s="29"/>
      <c r="N40" s="23"/>
      <c r="O40" s="23"/>
    </row>
    <row r="41" spans="1:15" s="17" customFormat="1" x14ac:dyDescent="0.3">
      <c r="A41" s="38"/>
      <c r="B41" s="91" t="s">
        <v>746</v>
      </c>
      <c r="C41" s="92" t="s">
        <v>736</v>
      </c>
      <c r="D41" s="82" t="s">
        <v>739</v>
      </c>
      <c r="E41" s="82">
        <v>10</v>
      </c>
      <c r="F41" s="83">
        <v>8</v>
      </c>
      <c r="G41" s="82">
        <f t="shared" ref="G41:G42" si="9">E41*F41</f>
        <v>80</v>
      </c>
      <c r="H41" s="82">
        <f t="shared" ref="H41:H42" si="10">G41*1.13</f>
        <v>90.399999999999991</v>
      </c>
      <c r="I41" s="82"/>
      <c r="J41" s="93"/>
      <c r="K41" s="22"/>
      <c r="L41" s="29"/>
      <c r="N41" s="23"/>
      <c r="O41" s="23"/>
    </row>
    <row r="42" spans="1:15" s="17" customFormat="1" x14ac:dyDescent="0.3">
      <c r="A42" s="38"/>
      <c r="B42" s="71" t="s">
        <v>1624</v>
      </c>
      <c r="C42" s="89" t="s">
        <v>741</v>
      </c>
      <c r="D42" s="80"/>
      <c r="E42" s="80">
        <v>5</v>
      </c>
      <c r="F42" s="81">
        <v>12</v>
      </c>
      <c r="G42" s="80">
        <f t="shared" si="9"/>
        <v>60</v>
      </c>
      <c r="H42" s="80">
        <f t="shared" si="10"/>
        <v>67.8</v>
      </c>
      <c r="I42" s="80">
        <v>68.150000000000006</v>
      </c>
      <c r="J42" s="90">
        <v>68.150000000000006</v>
      </c>
      <c r="K42" s="22"/>
      <c r="L42" s="29"/>
      <c r="N42" s="23"/>
      <c r="O42" s="23"/>
    </row>
    <row r="43" spans="1:15" s="17" customFormat="1" x14ac:dyDescent="0.3">
      <c r="A43" s="38"/>
      <c r="B43" s="71"/>
      <c r="C43" s="89" t="s">
        <v>1674</v>
      </c>
      <c r="D43" s="80"/>
      <c r="E43" s="80"/>
      <c r="F43" s="81"/>
      <c r="G43" s="80"/>
      <c r="H43" s="80"/>
      <c r="I43" s="80">
        <v>34.82</v>
      </c>
      <c r="J43" s="523"/>
      <c r="K43" s="22"/>
      <c r="L43" s="29"/>
      <c r="N43" s="23"/>
      <c r="O43" s="23"/>
    </row>
    <row r="44" spans="1:15" s="17" customFormat="1" x14ac:dyDescent="0.3">
      <c r="A44" s="38"/>
      <c r="B44" s="91"/>
      <c r="C44" s="92"/>
      <c r="D44" s="82"/>
      <c r="E44" s="82"/>
      <c r="F44" s="83"/>
      <c r="G44" s="82"/>
      <c r="H44" s="82"/>
      <c r="I44" s="82"/>
      <c r="J44" s="93"/>
      <c r="K44" s="22"/>
      <c r="L44" s="29"/>
      <c r="N44" s="23"/>
      <c r="O44" s="23"/>
    </row>
    <row r="45" spans="1:15" s="17" customFormat="1" x14ac:dyDescent="0.3">
      <c r="A45" s="21"/>
      <c r="B45" s="25" t="s">
        <v>742</v>
      </c>
      <c r="C45" s="126"/>
      <c r="D45" s="68"/>
      <c r="E45" s="68"/>
      <c r="F45" s="73"/>
      <c r="G45" s="68"/>
      <c r="H45" s="68">
        <f>SUM(H40:H44)</f>
        <v>440.7</v>
      </c>
      <c r="I45" s="68">
        <f>SUM(I40:I44)</f>
        <v>102.97</v>
      </c>
      <c r="J45" s="69">
        <f>SUM(J40:J44)</f>
        <v>68.150000000000006</v>
      </c>
      <c r="K45" s="22"/>
    </row>
    <row r="46" spans="1:15" s="17" customFormat="1" x14ac:dyDescent="0.3">
      <c r="A46" s="21"/>
      <c r="C46" s="91"/>
      <c r="D46" s="82"/>
      <c r="E46" s="82"/>
      <c r="F46" s="83"/>
      <c r="G46" s="82"/>
      <c r="H46" s="82"/>
      <c r="I46" s="82"/>
      <c r="J46" s="93"/>
      <c r="K46" s="22"/>
      <c r="L46" s="29"/>
      <c r="N46" s="23"/>
      <c r="O46" s="23"/>
    </row>
    <row r="47" spans="1:15" s="17" customFormat="1" x14ac:dyDescent="0.3">
      <c r="A47" s="16" t="s">
        <v>743</v>
      </c>
      <c r="B47" s="27"/>
      <c r="C47" s="91"/>
      <c r="D47" s="82"/>
      <c r="E47" s="82"/>
      <c r="F47" s="83"/>
      <c r="G47" s="82"/>
      <c r="H47" s="82"/>
      <c r="I47" s="82"/>
      <c r="J47" s="93"/>
      <c r="K47" s="22"/>
      <c r="L47" s="29"/>
      <c r="N47" s="23"/>
      <c r="O47" s="23"/>
    </row>
    <row r="48" spans="1:15" s="17" customFormat="1" x14ac:dyDescent="0.3">
      <c r="A48" s="21"/>
      <c r="B48" s="71" t="s">
        <v>750</v>
      </c>
      <c r="C48" s="89" t="s">
        <v>745</v>
      </c>
      <c r="D48" s="80"/>
      <c r="E48" s="80">
        <v>7</v>
      </c>
      <c r="F48" s="81">
        <v>8</v>
      </c>
      <c r="G48" s="80">
        <f t="shared" ref="G48:G49" si="11">E48*F48</f>
        <v>56</v>
      </c>
      <c r="H48" s="80">
        <f t="shared" ref="H48:H49" si="12">G48*1.13</f>
        <v>63.279999999999994</v>
      </c>
      <c r="I48" s="80"/>
      <c r="J48" s="90"/>
      <c r="K48" s="22"/>
      <c r="L48" s="29"/>
      <c r="N48" s="23"/>
      <c r="O48" s="23"/>
    </row>
    <row r="49" spans="1:15" s="17" customFormat="1" x14ac:dyDescent="0.3">
      <c r="A49" s="21"/>
      <c r="B49" s="91" t="s">
        <v>753</v>
      </c>
      <c r="C49" s="91" t="s">
        <v>1512</v>
      </c>
      <c r="D49" s="82" t="s">
        <v>747</v>
      </c>
      <c r="E49" s="82">
        <v>4</v>
      </c>
      <c r="F49" s="83">
        <v>110</v>
      </c>
      <c r="G49" s="82">
        <f t="shared" si="11"/>
        <v>440</v>
      </c>
      <c r="H49" s="82">
        <f t="shared" si="12"/>
        <v>497.19999999999993</v>
      </c>
      <c r="I49" s="82">
        <f>42.15+44.04+43.71+50+57.3+44.02</f>
        <v>281.21999999999997</v>
      </c>
      <c r="J49" s="93"/>
      <c r="K49" s="22"/>
      <c r="L49" s="29"/>
      <c r="N49" s="23"/>
      <c r="O49" s="23"/>
    </row>
    <row r="50" spans="1:15" s="17" customFormat="1" x14ac:dyDescent="0.3">
      <c r="A50" s="21"/>
      <c r="B50" s="71"/>
      <c r="C50" s="71"/>
      <c r="D50" s="80"/>
      <c r="E50" s="80"/>
      <c r="F50" s="81"/>
      <c r="G50" s="80"/>
      <c r="H50" s="80"/>
      <c r="I50" s="80"/>
      <c r="J50" s="90"/>
      <c r="K50" s="22"/>
      <c r="L50" s="29"/>
      <c r="N50" s="23"/>
      <c r="O50" s="23"/>
    </row>
    <row r="51" spans="1:15" s="17" customFormat="1" x14ac:dyDescent="0.3">
      <c r="A51" s="21"/>
      <c r="B51" s="25" t="s">
        <v>748</v>
      </c>
      <c r="C51" s="126"/>
      <c r="D51" s="68"/>
      <c r="E51" s="68"/>
      <c r="F51" s="73"/>
      <c r="G51" s="68"/>
      <c r="H51" s="68">
        <f>SUM(H48:H50)</f>
        <v>560.4799999999999</v>
      </c>
      <c r="I51" s="68">
        <f>SUM(I48:I50)</f>
        <v>281.21999999999997</v>
      </c>
      <c r="J51" s="69">
        <f>SUM(J48:J50)</f>
        <v>0</v>
      </c>
      <c r="K51" s="22"/>
      <c r="L51" s="29"/>
      <c r="N51" s="23"/>
      <c r="O51" s="23"/>
    </row>
    <row r="52" spans="1:15" s="17" customFormat="1" x14ac:dyDescent="0.3">
      <c r="A52" s="21"/>
      <c r="C52" s="91"/>
      <c r="D52" s="82"/>
      <c r="E52" s="82"/>
      <c r="F52" s="83"/>
      <c r="G52" s="82"/>
      <c r="H52" s="82"/>
      <c r="I52" s="82"/>
      <c r="J52" s="93"/>
      <c r="K52" s="22"/>
      <c r="L52" s="29"/>
      <c r="N52" s="23"/>
      <c r="O52" s="23"/>
    </row>
    <row r="53" spans="1:15" s="17" customFormat="1" x14ac:dyDescent="0.3">
      <c r="A53" s="16" t="s">
        <v>749</v>
      </c>
      <c r="B53" s="27"/>
      <c r="C53" s="91"/>
      <c r="D53" s="82"/>
      <c r="E53" s="82"/>
      <c r="F53" s="83"/>
      <c r="G53" s="82"/>
      <c r="H53" s="82"/>
      <c r="I53" s="82"/>
      <c r="J53" s="93"/>
      <c r="K53" s="22"/>
      <c r="L53" s="29"/>
      <c r="N53" s="23"/>
      <c r="O53" s="23"/>
    </row>
    <row r="54" spans="1:15" s="17" customFormat="1" x14ac:dyDescent="0.3">
      <c r="A54" s="21"/>
      <c r="B54" s="71" t="s">
        <v>760</v>
      </c>
      <c r="C54" s="89" t="s">
        <v>751</v>
      </c>
      <c r="D54" s="80" t="s">
        <v>752</v>
      </c>
      <c r="E54" s="80">
        <v>23.36</v>
      </c>
      <c r="F54" s="81">
        <v>24</v>
      </c>
      <c r="G54" s="80">
        <f t="shared" ref="G54:G57" si="13">E54*F54</f>
        <v>560.64</v>
      </c>
      <c r="H54" s="80">
        <f t="shared" ref="H54:H57" si="14">G54*1.13</f>
        <v>633.52319999999997</v>
      </c>
      <c r="I54" s="80">
        <f>2571.64*12/9</f>
        <v>3428.8533333333335</v>
      </c>
      <c r="J54" s="90"/>
      <c r="K54" s="22"/>
    </row>
    <row r="55" spans="1:15" s="17" customFormat="1" x14ac:dyDescent="0.3">
      <c r="A55" s="21" t="s">
        <v>9</v>
      </c>
      <c r="B55" s="91" t="s">
        <v>763</v>
      </c>
      <c r="C55" s="91" t="s">
        <v>751</v>
      </c>
      <c r="D55" s="82" t="s">
        <v>754</v>
      </c>
      <c r="E55" s="82">
        <v>46.72</v>
      </c>
      <c r="F55" s="83">
        <v>12</v>
      </c>
      <c r="G55" s="82">
        <f t="shared" si="13"/>
        <v>560.64</v>
      </c>
      <c r="H55" s="82">
        <f t="shared" si="14"/>
        <v>633.52319999999997</v>
      </c>
      <c r="I55" s="82"/>
      <c r="J55" s="93"/>
      <c r="K55" s="22"/>
      <c r="L55" s="29"/>
      <c r="N55" s="23"/>
      <c r="O55" s="23"/>
    </row>
    <row r="56" spans="1:15" s="17" customFormat="1" x14ac:dyDescent="0.3">
      <c r="A56" s="21"/>
      <c r="B56" s="71" t="s">
        <v>765</v>
      </c>
      <c r="C56" s="71" t="s">
        <v>751</v>
      </c>
      <c r="D56" s="80" t="s">
        <v>755</v>
      </c>
      <c r="E56" s="80">
        <v>20</v>
      </c>
      <c r="F56" s="81">
        <v>12</v>
      </c>
      <c r="G56" s="80">
        <f t="shared" si="13"/>
        <v>240</v>
      </c>
      <c r="H56" s="80">
        <f t="shared" si="14"/>
        <v>271.2</v>
      </c>
      <c r="I56" s="80"/>
      <c r="J56" s="90"/>
      <c r="K56" s="22"/>
      <c r="L56" s="29"/>
      <c r="N56" s="23"/>
      <c r="O56" s="23"/>
    </row>
    <row r="57" spans="1:15" s="17" customFormat="1" x14ac:dyDescent="0.3">
      <c r="A57" s="21"/>
      <c r="B57" s="91" t="s">
        <v>1514</v>
      </c>
      <c r="C57" s="91" t="s">
        <v>756</v>
      </c>
      <c r="D57" s="82" t="s">
        <v>757</v>
      </c>
      <c r="E57" s="82">
        <v>2282</v>
      </c>
      <c r="F57" s="83">
        <v>1</v>
      </c>
      <c r="G57" s="82">
        <f t="shared" si="13"/>
        <v>2282</v>
      </c>
      <c r="H57" s="82">
        <f t="shared" si="14"/>
        <v>2578.66</v>
      </c>
      <c r="I57" s="82"/>
      <c r="J57" s="93"/>
      <c r="K57" s="22"/>
      <c r="L57" s="29"/>
      <c r="N57" s="23"/>
      <c r="O57" s="23"/>
    </row>
    <row r="58" spans="1:15" s="17" customFormat="1" x14ac:dyDescent="0.3">
      <c r="A58" s="16"/>
      <c r="B58" s="379"/>
      <c r="C58" s="71"/>
      <c r="D58" s="80"/>
      <c r="E58" s="80"/>
      <c r="F58" s="81"/>
      <c r="G58" s="80"/>
      <c r="H58" s="80"/>
      <c r="I58" s="80"/>
      <c r="J58" s="90"/>
      <c r="K58" s="22"/>
    </row>
    <row r="59" spans="1:15" s="17" customFormat="1" x14ac:dyDescent="0.3">
      <c r="A59" s="21"/>
      <c r="B59" s="25" t="s">
        <v>758</v>
      </c>
      <c r="C59" s="126"/>
      <c r="D59" s="68"/>
      <c r="E59" s="68"/>
      <c r="F59" s="73"/>
      <c r="G59" s="68"/>
      <c r="H59" s="68">
        <f>SUM(H54:H58)</f>
        <v>4116.9063999999998</v>
      </c>
      <c r="I59" s="68">
        <f>SUM(I54:I58)</f>
        <v>3428.8533333333335</v>
      </c>
      <c r="J59" s="69">
        <f>SUM(J54:J58)</f>
        <v>0</v>
      </c>
      <c r="K59" s="22"/>
      <c r="L59" s="29"/>
      <c r="N59" s="23"/>
      <c r="O59" s="23"/>
    </row>
    <row r="60" spans="1:15" s="17" customFormat="1" x14ac:dyDescent="0.3">
      <c r="A60" s="21"/>
      <c r="B60" s="91"/>
      <c r="C60" s="37"/>
      <c r="D60" s="85"/>
      <c r="E60" s="85"/>
      <c r="F60" s="94"/>
      <c r="G60" s="85"/>
      <c r="H60" s="85"/>
      <c r="I60" s="85"/>
      <c r="J60" s="86"/>
      <c r="K60" s="22"/>
      <c r="L60" s="29"/>
      <c r="N60" s="23"/>
      <c r="O60" s="23"/>
    </row>
    <row r="61" spans="1:15" s="17" customFormat="1" x14ac:dyDescent="0.3">
      <c r="A61" s="16" t="s">
        <v>759</v>
      </c>
      <c r="B61" s="37"/>
      <c r="C61" s="91"/>
      <c r="D61" s="82"/>
      <c r="E61" s="82"/>
      <c r="F61" s="83"/>
      <c r="G61" s="82"/>
      <c r="H61" s="82"/>
      <c r="I61" s="82"/>
      <c r="J61" s="93"/>
      <c r="K61" s="22"/>
    </row>
    <row r="62" spans="1:15" s="17" customFormat="1" x14ac:dyDescent="0.3">
      <c r="A62" s="16"/>
      <c r="B62" s="71" t="s">
        <v>769</v>
      </c>
      <c r="C62" s="71" t="s">
        <v>761</v>
      </c>
      <c r="D62" s="80" t="s">
        <v>762</v>
      </c>
      <c r="E62" s="80">
        <v>3800</v>
      </c>
      <c r="F62" s="81">
        <v>1</v>
      </c>
      <c r="G62" s="80">
        <f t="shared" ref="G62:G65" si="15">E62*F62</f>
        <v>3800</v>
      </c>
      <c r="H62" s="80">
        <f t="shared" ref="H62:H65" si="16">G62*1.13</f>
        <v>4294</v>
      </c>
      <c r="I62" s="80"/>
      <c r="J62" s="90"/>
      <c r="K62" s="22"/>
    </row>
    <row r="63" spans="1:15" s="17" customFormat="1" x14ac:dyDescent="0.3">
      <c r="A63" s="16"/>
      <c r="B63" s="91" t="s">
        <v>772</v>
      </c>
      <c r="C63" s="91" t="s">
        <v>761</v>
      </c>
      <c r="D63" s="82" t="s">
        <v>764</v>
      </c>
      <c r="E63" s="82">
        <v>1200</v>
      </c>
      <c r="F63" s="83">
        <v>1</v>
      </c>
      <c r="G63" s="82">
        <f t="shared" si="15"/>
        <v>1200</v>
      </c>
      <c r="H63" s="82">
        <f t="shared" si="16"/>
        <v>1355.9999999999998</v>
      </c>
      <c r="I63" s="82"/>
      <c r="J63" s="93"/>
      <c r="K63" s="22"/>
    </row>
    <row r="64" spans="1:15" s="17" customFormat="1" x14ac:dyDescent="0.3">
      <c r="A64" s="16"/>
      <c r="B64" s="71" t="s">
        <v>1625</v>
      </c>
      <c r="C64" s="71" t="s">
        <v>761</v>
      </c>
      <c r="D64" s="80" t="s">
        <v>766</v>
      </c>
      <c r="E64" s="80">
        <v>500</v>
      </c>
      <c r="F64" s="81">
        <v>1</v>
      </c>
      <c r="G64" s="80">
        <f t="shared" si="15"/>
        <v>500</v>
      </c>
      <c r="H64" s="80">
        <f t="shared" si="16"/>
        <v>565</v>
      </c>
      <c r="I64" s="80"/>
      <c r="J64" s="90"/>
      <c r="K64" s="22"/>
    </row>
    <row r="65" spans="1:15" s="17" customFormat="1" x14ac:dyDescent="0.3">
      <c r="A65" s="16"/>
      <c r="B65" s="91" t="s">
        <v>1506</v>
      </c>
      <c r="C65" s="91" t="s">
        <v>1509</v>
      </c>
      <c r="D65" s="82" t="s">
        <v>1513</v>
      </c>
      <c r="E65" s="82">
        <v>25</v>
      </c>
      <c r="F65" s="83">
        <v>1</v>
      </c>
      <c r="G65" s="82">
        <f t="shared" si="15"/>
        <v>25</v>
      </c>
      <c r="H65" s="82">
        <f t="shared" si="16"/>
        <v>28.249999999999996</v>
      </c>
      <c r="I65" s="82">
        <v>28</v>
      </c>
      <c r="J65" s="93"/>
      <c r="K65" s="22"/>
    </row>
    <row r="66" spans="1:15" s="17" customFormat="1" x14ac:dyDescent="0.3">
      <c r="A66" s="21"/>
      <c r="B66" s="25" t="s">
        <v>767</v>
      </c>
      <c r="C66" s="126"/>
      <c r="D66" s="68"/>
      <c r="E66" s="68"/>
      <c r="F66" s="73"/>
      <c r="G66" s="68"/>
      <c r="H66" s="68">
        <f>SUM(H62:H65)</f>
        <v>6243.25</v>
      </c>
      <c r="I66" s="68">
        <f>SUM(I62:I65)</f>
        <v>28</v>
      </c>
      <c r="J66" s="69">
        <f>SUM(J62:J65)</f>
        <v>0</v>
      </c>
      <c r="K66" s="22"/>
      <c r="L66" s="29"/>
      <c r="N66" s="23"/>
      <c r="O66" s="23"/>
    </row>
    <row r="67" spans="1:15" s="17" customFormat="1" x14ac:dyDescent="0.3">
      <c r="A67" s="21"/>
      <c r="B67" s="27"/>
      <c r="C67" s="37"/>
      <c r="D67" s="85"/>
      <c r="E67" s="85"/>
      <c r="F67" s="94"/>
      <c r="G67" s="85"/>
      <c r="H67" s="85"/>
      <c r="I67" s="85"/>
      <c r="J67" s="86"/>
      <c r="K67" s="22"/>
      <c r="L67" s="29"/>
      <c r="N67" s="23"/>
      <c r="O67" s="23"/>
    </row>
    <row r="68" spans="1:15" s="17" customFormat="1" x14ac:dyDescent="0.3">
      <c r="A68" s="16" t="s">
        <v>768</v>
      </c>
      <c r="B68" s="27"/>
      <c r="C68" s="91"/>
      <c r="D68" s="82"/>
      <c r="E68" s="82"/>
      <c r="F68" s="83"/>
      <c r="G68" s="82"/>
      <c r="H68" s="82"/>
      <c r="I68" s="82"/>
      <c r="J68" s="524"/>
      <c r="K68" s="22"/>
    </row>
    <row r="69" spans="1:15" s="17" customFormat="1" x14ac:dyDescent="0.3">
      <c r="A69" s="16"/>
      <c r="B69" s="71" t="s">
        <v>1626</v>
      </c>
      <c r="C69" s="71" t="s">
        <v>722</v>
      </c>
      <c r="D69" s="80" t="s">
        <v>1499</v>
      </c>
      <c r="E69" s="80">
        <v>177.65</v>
      </c>
      <c r="F69" s="81">
        <v>7</v>
      </c>
      <c r="G69" s="80">
        <f t="shared" ref="G69:G76" si="17">E69*F69</f>
        <v>1243.55</v>
      </c>
      <c r="H69" s="80">
        <f t="shared" ref="H69:H76" si="18">G69*1.13</f>
        <v>1405.2114999999999</v>
      </c>
      <c r="I69" s="80"/>
      <c r="J69" s="523"/>
      <c r="K69" s="22"/>
    </row>
    <row r="70" spans="1:15" s="17" customFormat="1" x14ac:dyDescent="0.3">
      <c r="A70" s="16"/>
      <c r="B70" s="91" t="s">
        <v>1627</v>
      </c>
      <c r="C70" s="91" t="s">
        <v>770</v>
      </c>
      <c r="D70" s="82" t="s">
        <v>771</v>
      </c>
      <c r="E70" s="82">
        <v>30</v>
      </c>
      <c r="F70" s="83">
        <v>1</v>
      </c>
      <c r="G70" s="82">
        <f t="shared" si="17"/>
        <v>30</v>
      </c>
      <c r="H70" s="82">
        <f t="shared" si="18"/>
        <v>33.9</v>
      </c>
      <c r="I70" s="82"/>
      <c r="J70" s="524"/>
      <c r="K70" s="22"/>
    </row>
    <row r="71" spans="1:15" s="373" customFormat="1" x14ac:dyDescent="0.3">
      <c r="A71" s="53"/>
      <c r="B71" s="71" t="s">
        <v>1628</v>
      </c>
      <c r="C71" s="71" t="s">
        <v>770</v>
      </c>
      <c r="D71" s="80" t="s">
        <v>773</v>
      </c>
      <c r="E71" s="80">
        <v>10</v>
      </c>
      <c r="F71" s="81">
        <v>3</v>
      </c>
      <c r="G71" s="80">
        <f t="shared" si="17"/>
        <v>30</v>
      </c>
      <c r="H71" s="80">
        <f t="shared" si="18"/>
        <v>33.9</v>
      </c>
      <c r="I71" s="525"/>
      <c r="J71" s="526"/>
    </row>
    <row r="72" spans="1:15" s="373" customFormat="1" x14ac:dyDescent="0.3">
      <c r="A72" s="53"/>
      <c r="B72" s="91" t="s">
        <v>1629</v>
      </c>
      <c r="C72" s="91" t="s">
        <v>1515</v>
      </c>
      <c r="D72" s="82" t="s">
        <v>1516</v>
      </c>
      <c r="E72" s="82">
        <v>701.8</v>
      </c>
      <c r="F72" s="83">
        <v>2</v>
      </c>
      <c r="G72" s="82">
        <f t="shared" si="17"/>
        <v>1403.6</v>
      </c>
      <c r="H72" s="82">
        <f t="shared" si="18"/>
        <v>1586.0679999999998</v>
      </c>
      <c r="I72" s="527"/>
      <c r="J72" s="528"/>
    </row>
    <row r="73" spans="1:15" s="373" customFormat="1" x14ac:dyDescent="0.3">
      <c r="A73" s="53"/>
      <c r="B73" s="71" t="s">
        <v>1630</v>
      </c>
      <c r="C73" s="71" t="s">
        <v>1500</v>
      </c>
      <c r="D73" s="80" t="s">
        <v>1501</v>
      </c>
      <c r="E73" s="80">
        <v>550</v>
      </c>
      <c r="F73" s="81">
        <v>1</v>
      </c>
      <c r="G73" s="80">
        <f t="shared" si="17"/>
        <v>550</v>
      </c>
      <c r="H73" s="80">
        <f t="shared" si="18"/>
        <v>621.49999999999989</v>
      </c>
      <c r="I73" s="525"/>
      <c r="J73" s="526"/>
    </row>
    <row r="74" spans="1:15" s="373" customFormat="1" x14ac:dyDescent="0.3">
      <c r="A74" s="53"/>
      <c r="B74" s="91" t="s">
        <v>1631</v>
      </c>
      <c r="C74" s="91" t="s">
        <v>1502</v>
      </c>
      <c r="D74" s="82" t="s">
        <v>1503</v>
      </c>
      <c r="E74" s="82">
        <v>20</v>
      </c>
      <c r="F74" s="83">
        <v>3</v>
      </c>
      <c r="G74" s="82">
        <f t="shared" si="17"/>
        <v>60</v>
      </c>
      <c r="H74" s="82">
        <f t="shared" si="18"/>
        <v>67.8</v>
      </c>
      <c r="I74" s="527"/>
      <c r="J74" s="528"/>
    </row>
    <row r="75" spans="1:15" s="17" customFormat="1" x14ac:dyDescent="0.3">
      <c r="A75" s="16"/>
      <c r="B75" s="71" t="s">
        <v>1632</v>
      </c>
      <c r="C75" s="71" t="s">
        <v>1504</v>
      </c>
      <c r="D75" s="80" t="s">
        <v>1505</v>
      </c>
      <c r="E75" s="80">
        <v>400</v>
      </c>
      <c r="F75" s="81">
        <v>1</v>
      </c>
      <c r="G75" s="80">
        <f t="shared" si="17"/>
        <v>400</v>
      </c>
      <c r="H75" s="80">
        <f t="shared" si="18"/>
        <v>451.99999999999994</v>
      </c>
      <c r="I75" s="80"/>
      <c r="J75" s="523"/>
      <c r="K75" s="22"/>
    </row>
    <row r="76" spans="1:15" s="17" customFormat="1" x14ac:dyDescent="0.3">
      <c r="A76" s="16"/>
      <c r="B76" s="91" t="s">
        <v>1633</v>
      </c>
      <c r="C76" s="91" t="s">
        <v>1569</v>
      </c>
      <c r="D76" s="82" t="s">
        <v>1564</v>
      </c>
      <c r="E76" s="82">
        <v>1056</v>
      </c>
      <c r="F76" s="83">
        <v>1</v>
      </c>
      <c r="G76" s="82">
        <f t="shared" si="17"/>
        <v>1056</v>
      </c>
      <c r="H76" s="82">
        <f t="shared" si="18"/>
        <v>1193.28</v>
      </c>
      <c r="I76" s="82"/>
      <c r="J76" s="524"/>
      <c r="K76" s="22"/>
    </row>
    <row r="77" spans="1:15" s="17" customFormat="1" x14ac:dyDescent="0.3">
      <c r="A77" s="16"/>
      <c r="B77" s="91"/>
      <c r="C77" s="91" t="s">
        <v>1673</v>
      </c>
      <c r="D77" s="82" t="s">
        <v>1664</v>
      </c>
      <c r="E77" s="82"/>
      <c r="F77" s="83"/>
      <c r="G77" s="82"/>
      <c r="H77" s="82"/>
      <c r="I77" s="82">
        <v>247.49</v>
      </c>
      <c r="J77" s="524">
        <v>247.49</v>
      </c>
      <c r="K77" s="22"/>
    </row>
    <row r="78" spans="1:15" s="17" customFormat="1" x14ac:dyDescent="0.3">
      <c r="A78" s="16"/>
      <c r="B78" s="91"/>
      <c r="C78" s="91" t="s">
        <v>1675</v>
      </c>
      <c r="D78" s="82"/>
      <c r="E78" s="82"/>
      <c r="F78" s="83"/>
      <c r="G78" s="82"/>
      <c r="H78" s="82"/>
      <c r="I78" s="82">
        <f>33.89+12.05</f>
        <v>45.94</v>
      </c>
      <c r="J78" s="524"/>
      <c r="K78" s="22"/>
    </row>
    <row r="79" spans="1:15" s="17" customFormat="1" x14ac:dyDescent="0.3">
      <c r="A79" s="16"/>
      <c r="B79" s="379"/>
      <c r="C79" s="20"/>
      <c r="D79" s="80"/>
      <c r="E79" s="80"/>
      <c r="F79" s="81"/>
      <c r="G79" s="80"/>
      <c r="H79" s="80"/>
      <c r="I79" s="80"/>
      <c r="J79" s="505"/>
      <c r="K79" s="22"/>
    </row>
    <row r="80" spans="1:15" s="17" customFormat="1" x14ac:dyDescent="0.3">
      <c r="A80" s="21"/>
      <c r="B80" s="25" t="s">
        <v>774</v>
      </c>
      <c r="C80" s="126"/>
      <c r="D80" s="68"/>
      <c r="E80" s="68"/>
      <c r="F80" s="73"/>
      <c r="G80" s="68"/>
      <c r="H80" s="68">
        <f>SUM(H69:H76)</f>
        <v>5393.6594999999998</v>
      </c>
      <c r="I80" s="68">
        <f>SUM(I69:I75)</f>
        <v>0</v>
      </c>
      <c r="J80" s="69">
        <f>SUM(J69:J75)</f>
        <v>0</v>
      </c>
      <c r="K80" s="22"/>
      <c r="L80" s="29"/>
      <c r="N80" s="23"/>
      <c r="O80" s="23"/>
    </row>
    <row r="81" spans="1:15" s="17" customFormat="1" x14ac:dyDescent="0.3">
      <c r="A81" s="21"/>
      <c r="B81" s="27"/>
      <c r="C81" s="37"/>
      <c r="D81" s="85"/>
      <c r="E81" s="85"/>
      <c r="F81" s="94"/>
      <c r="G81" s="85"/>
      <c r="H81" s="85"/>
      <c r="I81" s="85"/>
      <c r="J81" s="86"/>
      <c r="K81" s="22"/>
      <c r="L81" s="29"/>
      <c r="N81" s="23"/>
      <c r="O81" s="23"/>
    </row>
    <row r="82" spans="1:15" s="17" customFormat="1" x14ac:dyDescent="0.3">
      <c r="A82" s="16" t="s">
        <v>1517</v>
      </c>
      <c r="B82" s="27"/>
      <c r="D82" s="82"/>
      <c r="E82" s="82"/>
      <c r="F82" s="83"/>
      <c r="G82" s="82"/>
      <c r="H82" s="82"/>
      <c r="I82" s="82"/>
      <c r="J82" s="524"/>
      <c r="K82" s="22"/>
      <c r="L82" s="29"/>
      <c r="N82" s="23"/>
      <c r="O82" s="23"/>
    </row>
    <row r="83" spans="1:15" s="17" customFormat="1" x14ac:dyDescent="0.3">
      <c r="A83" s="16"/>
      <c r="B83" s="71" t="s">
        <v>1634</v>
      </c>
      <c r="C83" s="20" t="s">
        <v>1512</v>
      </c>
      <c r="D83" s="80" t="s">
        <v>1518</v>
      </c>
      <c r="E83" s="80">
        <v>4</v>
      </c>
      <c r="F83" s="81">
        <v>40</v>
      </c>
      <c r="G83" s="80">
        <f t="shared" ref="G83:G84" si="19">E83*F83</f>
        <v>160</v>
      </c>
      <c r="H83" s="80">
        <f t="shared" ref="H83:H84" si="20">G83*1.13</f>
        <v>180.79999999999998</v>
      </c>
      <c r="I83" s="80">
        <f>86.78</f>
        <v>86.78</v>
      </c>
      <c r="J83" s="523"/>
      <c r="K83" s="22"/>
      <c r="L83" s="29"/>
      <c r="N83" s="23"/>
      <c r="O83" s="23"/>
    </row>
    <row r="84" spans="1:15" s="17" customFormat="1" x14ac:dyDescent="0.3">
      <c r="A84" s="16"/>
      <c r="B84" s="27"/>
      <c r="D84" s="82"/>
      <c r="E84" s="82"/>
      <c r="F84" s="83"/>
      <c r="G84" s="82">
        <f t="shared" si="19"/>
        <v>0</v>
      </c>
      <c r="H84" s="82">
        <f t="shared" si="20"/>
        <v>0</v>
      </c>
      <c r="I84" s="82"/>
      <c r="J84" s="524"/>
      <c r="K84" s="22"/>
      <c r="L84" s="29"/>
      <c r="N84" s="23"/>
      <c r="O84" s="23"/>
    </row>
    <row r="85" spans="1:15" s="17" customFormat="1" x14ac:dyDescent="0.3">
      <c r="A85" s="21"/>
      <c r="B85" s="25" t="s">
        <v>1519</v>
      </c>
      <c r="C85" s="66"/>
      <c r="D85" s="68"/>
      <c r="E85" s="68"/>
      <c r="F85" s="73"/>
      <c r="G85" s="68"/>
      <c r="H85" s="68">
        <f>SUM(H83:H84)</f>
        <v>180.79999999999998</v>
      </c>
      <c r="I85" s="68">
        <f>SUM(I83:I84)</f>
        <v>86.78</v>
      </c>
      <c r="J85" s="69">
        <f>SUM(J82:J84)</f>
        <v>0</v>
      </c>
      <c r="K85" s="22"/>
      <c r="L85" s="29"/>
      <c r="N85" s="23"/>
      <c r="O85" s="23"/>
    </row>
    <row r="86" spans="1:15" s="17" customFormat="1" x14ac:dyDescent="0.3">
      <c r="A86" s="21"/>
      <c r="B86" s="27"/>
      <c r="C86" s="37"/>
      <c r="D86" s="85"/>
      <c r="E86" s="85"/>
      <c r="F86" s="94"/>
      <c r="G86" s="85"/>
      <c r="H86" s="85"/>
      <c r="I86" s="85"/>
      <c r="J86" s="86"/>
      <c r="K86" s="22"/>
      <c r="L86" s="29"/>
      <c r="N86" s="23"/>
      <c r="O86" s="23"/>
    </row>
    <row r="87" spans="1:15" s="17" customFormat="1" ht="18.75" x14ac:dyDescent="0.35">
      <c r="A87" s="39"/>
      <c r="B87" s="43"/>
      <c r="C87" s="127" t="s">
        <v>85</v>
      </c>
      <c r="D87" s="96"/>
      <c r="E87" s="96"/>
      <c r="F87" s="97"/>
      <c r="G87" s="96"/>
      <c r="H87" s="96">
        <f>H66+H59+H51+H85+H45+H37+H80</f>
        <v>19683.8655</v>
      </c>
      <c r="I87" s="96">
        <f>I85+I80+I66+I59+I51+I45+I37</f>
        <v>3990.3733333333334</v>
      </c>
      <c r="J87" s="98">
        <v>0</v>
      </c>
      <c r="K87" s="22"/>
    </row>
    <row r="88" spans="1:15" s="17" customFormat="1" ht="18.75" x14ac:dyDescent="0.35">
      <c r="A88" s="39"/>
      <c r="B88" s="43"/>
      <c r="C88" s="127"/>
      <c r="D88" s="96"/>
      <c r="E88" s="96"/>
      <c r="F88" s="97"/>
      <c r="G88" s="96"/>
      <c r="H88" s="96"/>
      <c r="I88" s="96"/>
      <c r="J88" s="98"/>
      <c r="K88" s="22"/>
    </row>
    <row r="89" spans="1:15" s="17" customFormat="1" ht="20.25" x14ac:dyDescent="0.35">
      <c r="A89" s="562" t="s">
        <v>86</v>
      </c>
      <c r="B89" s="563"/>
      <c r="C89" s="563"/>
      <c r="D89" s="44"/>
      <c r="E89" s="44"/>
      <c r="F89" s="79"/>
      <c r="G89" s="44"/>
      <c r="H89" s="44"/>
      <c r="I89" s="44"/>
      <c r="J89" s="45"/>
      <c r="K89" s="22"/>
    </row>
    <row r="90" spans="1:15" s="17" customFormat="1" ht="20.25" x14ac:dyDescent="0.35">
      <c r="A90" s="62"/>
      <c r="B90" s="47" t="s">
        <v>87</v>
      </c>
      <c r="C90" s="183"/>
      <c r="D90" s="104"/>
      <c r="E90" s="104"/>
      <c r="F90" s="104"/>
      <c r="G90" s="104"/>
      <c r="H90" s="104">
        <f>H28</f>
        <v>2209.15</v>
      </c>
      <c r="I90" s="104">
        <f>I28</f>
        <v>0</v>
      </c>
      <c r="J90" s="105">
        <f>J28</f>
        <v>0</v>
      </c>
      <c r="K90" s="22"/>
    </row>
    <row r="91" spans="1:15" s="17" customFormat="1" ht="20.25" x14ac:dyDescent="0.35">
      <c r="A91" s="62"/>
      <c r="B91" s="50" t="s">
        <v>88</v>
      </c>
      <c r="C91" s="58"/>
      <c r="D91" s="106"/>
      <c r="E91" s="106"/>
      <c r="F91" s="106"/>
      <c r="G91" s="106"/>
      <c r="H91" s="106">
        <f>H87</f>
        <v>19683.8655</v>
      </c>
      <c r="I91" s="106">
        <f t="shared" ref="I91:J91" si="21">I87</f>
        <v>3990.3733333333334</v>
      </c>
      <c r="J91" s="107">
        <f t="shared" si="21"/>
        <v>0</v>
      </c>
      <c r="K91" s="22"/>
    </row>
    <row r="92" spans="1:15" s="17" customFormat="1" ht="20.25" x14ac:dyDescent="0.35">
      <c r="A92" s="108"/>
      <c r="B92" s="52" t="s">
        <v>89</v>
      </c>
      <c r="C92" s="184"/>
      <c r="D92" s="109"/>
      <c r="E92" s="109"/>
      <c r="F92" s="109"/>
      <c r="G92" s="109"/>
      <c r="H92" s="109">
        <f t="shared" ref="H92:J92" si="22">H90-H91</f>
        <v>-17474.715499999998</v>
      </c>
      <c r="I92" s="109">
        <f t="shared" si="22"/>
        <v>-3990.3733333333334</v>
      </c>
      <c r="J92" s="110">
        <f t="shared" si="22"/>
        <v>0</v>
      </c>
      <c r="K92" s="22"/>
    </row>
    <row r="93" spans="1:15" s="17" customFormat="1" x14ac:dyDescent="0.3">
      <c r="A93" s="53"/>
      <c r="B93" s="53"/>
      <c r="C93" s="130"/>
      <c r="D93" s="131"/>
      <c r="E93" s="82"/>
      <c r="F93" s="83"/>
      <c r="G93" s="82"/>
      <c r="H93" s="82"/>
      <c r="I93" s="82"/>
      <c r="J93" s="82"/>
      <c r="K93" s="22"/>
    </row>
    <row r="94" spans="1:15" s="17" customFormat="1" x14ac:dyDescent="0.3">
      <c r="A94" s="53"/>
      <c r="B94" s="53"/>
      <c r="C94" s="129"/>
      <c r="D94" s="131"/>
      <c r="E94" s="82"/>
      <c r="F94" s="83"/>
      <c r="G94" s="82"/>
      <c r="H94" s="82"/>
      <c r="I94" s="82"/>
      <c r="J94" s="82"/>
      <c r="K94" s="22"/>
    </row>
    <row r="95" spans="1:15" s="17" customFormat="1" x14ac:dyDescent="0.3">
      <c r="A95" s="53"/>
      <c r="B95" s="53"/>
      <c r="C95" s="129"/>
      <c r="D95" s="131"/>
      <c r="E95" s="82"/>
      <c r="F95" s="83"/>
      <c r="G95" s="82"/>
      <c r="H95" s="82"/>
      <c r="I95" s="82"/>
      <c r="J95" s="82"/>
      <c r="K95" s="22"/>
    </row>
    <row r="96" spans="1:15" s="17" customFormat="1" x14ac:dyDescent="0.3">
      <c r="A96" s="53"/>
      <c r="B96" s="53"/>
      <c r="C96" s="129"/>
      <c r="D96" s="131"/>
      <c r="E96" s="82"/>
      <c r="F96" s="83"/>
      <c r="G96" s="82"/>
      <c r="H96" s="82"/>
      <c r="I96" s="82"/>
      <c r="J96" s="82"/>
      <c r="K96" s="22"/>
    </row>
    <row r="97" spans="1:15" s="17" customFormat="1" x14ac:dyDescent="0.3">
      <c r="A97" s="53"/>
      <c r="B97" s="53"/>
      <c r="C97" s="129"/>
      <c r="D97" s="131"/>
      <c r="E97" s="82"/>
      <c r="F97" s="83"/>
      <c r="G97" s="82"/>
      <c r="H97" s="82"/>
      <c r="I97" s="82"/>
      <c r="J97" s="82"/>
      <c r="K97" s="22"/>
    </row>
    <row r="98" spans="1:15" s="17" customFormat="1" x14ac:dyDescent="0.3">
      <c r="A98" s="53"/>
      <c r="B98" s="53"/>
      <c r="C98" s="129"/>
      <c r="D98" s="131"/>
      <c r="E98" s="82"/>
      <c r="F98" s="83"/>
      <c r="G98" s="82"/>
      <c r="H98" s="82"/>
      <c r="I98" s="82"/>
      <c r="J98" s="82"/>
      <c r="K98" s="22"/>
    </row>
    <row r="99" spans="1:15" s="17" customFormat="1" x14ac:dyDescent="0.3">
      <c r="A99" s="53"/>
      <c r="B99" s="53"/>
      <c r="C99" s="129"/>
      <c r="D99" s="131"/>
      <c r="E99" s="82"/>
      <c r="F99" s="83"/>
      <c r="G99" s="82"/>
      <c r="H99" s="82"/>
      <c r="I99" s="82"/>
      <c r="J99" s="82"/>
      <c r="K99" s="22"/>
      <c r="L99" s="29"/>
      <c r="N99" s="23"/>
      <c r="O99" s="23"/>
    </row>
    <row r="100" spans="1:15" s="17" customFormat="1" x14ac:dyDescent="0.3">
      <c r="A100" s="53"/>
      <c r="B100" s="53"/>
      <c r="C100" s="129"/>
      <c r="D100" s="131"/>
      <c r="E100" s="82"/>
      <c r="F100" s="83"/>
      <c r="G100" s="82"/>
      <c r="H100" s="82"/>
      <c r="I100" s="82"/>
      <c r="J100" s="82"/>
      <c r="K100" s="22"/>
      <c r="L100" s="29"/>
      <c r="N100" s="23"/>
      <c r="O100" s="23"/>
    </row>
    <row r="101" spans="1:15" s="43" customFormat="1" ht="18.75" x14ac:dyDescent="0.35">
      <c r="A101" s="53"/>
      <c r="B101" s="53"/>
      <c r="C101" s="129"/>
      <c r="D101" s="131"/>
      <c r="E101" s="82"/>
      <c r="F101" s="83"/>
      <c r="G101" s="82"/>
      <c r="H101" s="82"/>
      <c r="I101" s="82"/>
      <c r="J101" s="82"/>
      <c r="K101" s="40"/>
      <c r="L101" s="41"/>
      <c r="M101" s="40"/>
      <c r="N101" s="40"/>
      <c r="O101" s="42"/>
    </row>
    <row r="102" spans="1:15" s="43" customFormat="1" ht="18.75" x14ac:dyDescent="0.35">
      <c r="A102" s="53"/>
      <c r="B102" s="53"/>
      <c r="C102" s="129"/>
      <c r="D102" s="131"/>
      <c r="E102" s="82"/>
      <c r="F102" s="83"/>
      <c r="G102" s="82"/>
      <c r="H102" s="82"/>
      <c r="I102" s="82"/>
      <c r="J102" s="82"/>
      <c r="K102" s="40"/>
      <c r="L102" s="41"/>
      <c r="M102" s="40"/>
      <c r="N102" s="40"/>
      <c r="O102" s="42"/>
    </row>
    <row r="103" spans="1:15" s="48" customFormat="1" ht="20.25" x14ac:dyDescent="0.35">
      <c r="A103" s="53"/>
      <c r="B103" s="53"/>
      <c r="C103" s="129"/>
      <c r="D103" s="131"/>
      <c r="E103" s="82"/>
      <c r="F103" s="83"/>
      <c r="G103" s="82"/>
      <c r="H103" s="82"/>
      <c r="I103" s="82"/>
      <c r="J103" s="82"/>
      <c r="K103" s="58"/>
      <c r="L103" s="58"/>
    </row>
    <row r="104" spans="1:15" s="50" customFormat="1" ht="20.25" x14ac:dyDescent="0.35">
      <c r="A104" s="53"/>
      <c r="B104" s="53"/>
      <c r="C104" s="129"/>
      <c r="D104" s="131"/>
      <c r="E104" s="82"/>
      <c r="F104" s="83"/>
      <c r="G104" s="82"/>
      <c r="H104" s="82"/>
      <c r="I104" s="82"/>
      <c r="J104" s="82"/>
    </row>
    <row r="105" spans="1:15" s="50" customFormat="1" ht="20.25" x14ac:dyDescent="0.35">
      <c r="A105" s="53"/>
      <c r="B105" s="53"/>
      <c r="C105" s="129"/>
      <c r="D105" s="131"/>
      <c r="E105" s="82"/>
      <c r="F105" s="83"/>
      <c r="G105" s="82"/>
      <c r="H105" s="82"/>
      <c r="I105" s="82"/>
      <c r="J105" s="82"/>
    </row>
    <row r="106" spans="1:15" s="50" customFormat="1" ht="20.25" x14ac:dyDescent="0.35">
      <c r="A106" s="53"/>
      <c r="B106" s="53"/>
      <c r="C106" s="129"/>
      <c r="D106" s="131"/>
      <c r="E106" s="82"/>
      <c r="F106" s="83"/>
      <c r="G106" s="82"/>
      <c r="H106" s="82"/>
      <c r="I106" s="82"/>
      <c r="J106" s="82"/>
    </row>
    <row r="107" spans="1:15" s="17" customFormat="1" x14ac:dyDescent="0.3">
      <c r="A107" s="53"/>
      <c r="B107" s="53"/>
      <c r="C107" s="129"/>
      <c r="D107" s="131"/>
      <c r="E107" s="82"/>
      <c r="F107" s="83"/>
      <c r="G107" s="82"/>
      <c r="H107" s="82"/>
      <c r="I107" s="82"/>
      <c r="J107" s="82"/>
    </row>
  </sheetData>
  <mergeCells count="6">
    <mergeCell ref="A89:C89"/>
    <mergeCell ref="D1:J4"/>
    <mergeCell ref="A5:C5"/>
    <mergeCell ref="D5:E5"/>
    <mergeCell ref="A8:C8"/>
    <mergeCell ref="A30:C30"/>
  </mergeCells>
  <pageMargins left="0" right="0" top="0" bottom="0" header="0" footer="0"/>
  <pageSetup orientation="portrait" horizontalDpi="4294967292" verticalDpi="4294967292"/>
  <headerFooter alignWithMargins="0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zoomScale="75" zoomScaleNormal="75" workbookViewId="0">
      <pane xSplit="3" ySplit="6" topLeftCell="G7" activePane="bottomRight" state="frozen"/>
      <selection pane="topRight" activeCell="C1" sqref="C1"/>
      <selection pane="bottomLeft" activeCell="A4" sqref="A4"/>
      <selection pane="bottomRight" activeCell="K34" sqref="K34"/>
    </sheetView>
  </sheetViews>
  <sheetFormatPr defaultColWidth="8.85546875" defaultRowHeight="17.25" x14ac:dyDescent="0.3"/>
  <cols>
    <col min="1" max="2" width="13.85546875" style="53" customWidth="1"/>
    <col min="3" max="3" width="42.85546875" style="53" bestFit="1" customWidth="1"/>
    <col min="4" max="4" width="28.140625" style="55" customWidth="1"/>
    <col min="5" max="5" width="28.140625" style="18" customWidth="1"/>
    <col min="6" max="6" width="15.28515625" style="77" customWidth="1"/>
    <col min="7" max="7" width="17.42578125" style="18" customWidth="1"/>
    <col min="8" max="8" width="18.140625" style="18" customWidth="1"/>
    <col min="9" max="9" width="22.42578125" style="18" customWidth="1"/>
    <col min="10" max="10" width="23" style="18" customWidth="1"/>
    <col min="11" max="11" width="12" style="17" customWidth="1"/>
    <col min="12" max="12" width="11.28515625" style="17" customWidth="1"/>
    <col min="13" max="13" width="8.85546875" style="53"/>
    <col min="14" max="14" width="10.140625" style="53" bestFit="1" customWidth="1"/>
    <col min="15" max="15" width="14.28515625" style="53" customWidth="1"/>
    <col min="16" max="16384" width="8.85546875" style="53"/>
  </cols>
  <sheetData>
    <row r="1" spans="1:15" s="2" customFormat="1" ht="38.25" customHeight="1" x14ac:dyDescent="0.3">
      <c r="A1" s="585"/>
      <c r="B1" s="586"/>
      <c r="C1" s="587"/>
      <c r="D1" s="564" t="s">
        <v>775</v>
      </c>
      <c r="E1" s="565"/>
      <c r="F1" s="565"/>
      <c r="G1" s="565"/>
      <c r="H1" s="565"/>
      <c r="I1" s="565"/>
      <c r="J1" s="566"/>
    </row>
    <row r="2" spans="1:15" s="2" customFormat="1" ht="38.25" customHeight="1" x14ac:dyDescent="0.3">
      <c r="A2" s="588"/>
      <c r="B2" s="589"/>
      <c r="C2" s="590"/>
      <c r="D2" s="567"/>
      <c r="E2" s="568"/>
      <c r="F2" s="568"/>
      <c r="G2" s="568"/>
      <c r="H2" s="568"/>
      <c r="I2" s="568"/>
      <c r="J2" s="569"/>
    </row>
    <row r="3" spans="1:15" s="2" customFormat="1" ht="38.25" customHeight="1" x14ac:dyDescent="0.3">
      <c r="A3" s="588"/>
      <c r="B3" s="589"/>
      <c r="C3" s="590"/>
      <c r="D3" s="567"/>
      <c r="E3" s="568"/>
      <c r="F3" s="568"/>
      <c r="G3" s="568"/>
      <c r="H3" s="568"/>
      <c r="I3" s="568"/>
      <c r="J3" s="569"/>
    </row>
    <row r="4" spans="1:15" s="2" customFormat="1" ht="38.25" customHeight="1" x14ac:dyDescent="0.3">
      <c r="A4" s="591"/>
      <c r="B4" s="592"/>
      <c r="C4" s="593"/>
      <c r="D4" s="570"/>
      <c r="E4" s="571"/>
      <c r="F4" s="571"/>
      <c r="G4" s="571"/>
      <c r="H4" s="571"/>
      <c r="I4" s="571"/>
      <c r="J4" s="572"/>
    </row>
    <row r="5" spans="1:15" s="2" customFormat="1" x14ac:dyDescent="0.3">
      <c r="A5" s="573"/>
      <c r="B5" s="578"/>
      <c r="C5" s="574"/>
      <c r="D5" s="579"/>
      <c r="E5" s="580"/>
      <c r="F5" s="73"/>
      <c r="G5" s="68"/>
      <c r="H5" s="68"/>
      <c r="I5" s="68"/>
      <c r="J5" s="69"/>
      <c r="K5" s="8"/>
      <c r="L5" s="8"/>
    </row>
    <row r="6" spans="1:15" s="64" customFormat="1" x14ac:dyDescent="0.3">
      <c r="A6" s="59"/>
      <c r="B6" s="72" t="s">
        <v>91</v>
      </c>
      <c r="C6" s="70" t="s">
        <v>92</v>
      </c>
      <c r="D6" s="60" t="s">
        <v>93</v>
      </c>
      <c r="E6" s="61" t="s">
        <v>94</v>
      </c>
      <c r="F6" s="74" t="s">
        <v>95</v>
      </c>
      <c r="G6" s="87" t="s">
        <v>96</v>
      </c>
      <c r="H6" s="87" t="s">
        <v>97</v>
      </c>
      <c r="I6" s="87" t="s">
        <v>98</v>
      </c>
      <c r="J6" s="88" t="s">
        <v>99</v>
      </c>
      <c r="K6" s="63"/>
      <c r="L6" s="63"/>
    </row>
    <row r="7" spans="1:15" s="2" customFormat="1" x14ac:dyDescent="0.3">
      <c r="A7" s="9"/>
      <c r="B7" s="65"/>
      <c r="C7" s="10"/>
      <c r="D7" s="11"/>
      <c r="E7" s="12"/>
      <c r="F7" s="75"/>
      <c r="G7" s="12"/>
      <c r="H7" s="12"/>
      <c r="I7" s="12"/>
      <c r="J7" s="84"/>
      <c r="K7" s="8"/>
      <c r="L7" s="8"/>
    </row>
    <row r="8" spans="1:15" s="2" customFormat="1" x14ac:dyDescent="0.3">
      <c r="A8" s="560" t="s">
        <v>5</v>
      </c>
      <c r="B8" s="561"/>
      <c r="C8" s="561"/>
      <c r="D8" s="14"/>
      <c r="E8" s="14"/>
      <c r="F8" s="76"/>
      <c r="G8" s="14"/>
      <c r="H8" s="14"/>
      <c r="I8" s="14"/>
      <c r="J8" s="15"/>
      <c r="K8" s="8"/>
      <c r="L8" s="8"/>
    </row>
    <row r="9" spans="1:15" s="17" customFormat="1" x14ac:dyDescent="0.3">
      <c r="A9" s="16" t="s">
        <v>776</v>
      </c>
      <c r="B9" s="27"/>
      <c r="D9" s="18"/>
      <c r="E9" s="18"/>
      <c r="F9" s="77"/>
      <c r="G9" s="18"/>
      <c r="H9" s="18"/>
      <c r="I9" s="18"/>
      <c r="J9" s="19"/>
    </row>
    <row r="10" spans="1:15" s="17" customFormat="1" x14ac:dyDescent="0.3">
      <c r="A10" s="16"/>
      <c r="B10" s="71" t="s">
        <v>777</v>
      </c>
      <c r="C10" s="71" t="s">
        <v>778</v>
      </c>
      <c r="D10" s="80"/>
      <c r="E10" s="80">
        <v>1250</v>
      </c>
      <c r="F10" s="81">
        <v>1</v>
      </c>
      <c r="G10" s="80">
        <f>E10*F10</f>
        <v>1250</v>
      </c>
      <c r="H10" s="80">
        <f>G10</f>
        <v>1250</v>
      </c>
      <c r="I10" s="80"/>
      <c r="J10" s="90">
        <v>1195.54</v>
      </c>
    </row>
    <row r="11" spans="1:15" s="17" customFormat="1" x14ac:dyDescent="0.3">
      <c r="A11" s="21"/>
      <c r="C11" s="22"/>
      <c r="D11" s="82"/>
      <c r="E11" s="82"/>
      <c r="F11" s="83"/>
      <c r="G11" s="82"/>
      <c r="H11" s="82"/>
      <c r="I11" s="82"/>
      <c r="J11" s="93"/>
      <c r="N11" s="23"/>
    </row>
    <row r="12" spans="1:15" s="17" customFormat="1" x14ac:dyDescent="0.3">
      <c r="A12" s="21"/>
      <c r="B12" s="25" t="s">
        <v>779</v>
      </c>
      <c r="C12" s="115"/>
      <c r="D12" s="116"/>
      <c r="E12" s="116"/>
      <c r="F12" s="117"/>
      <c r="G12" s="116"/>
      <c r="H12" s="68">
        <f>SUM(H9:H11)</f>
        <v>1250</v>
      </c>
      <c r="I12" s="68">
        <f>SUM(I9:I11)</f>
        <v>0</v>
      </c>
      <c r="J12" s="69">
        <f>SUM(J9:J11)</f>
        <v>1195.54</v>
      </c>
      <c r="N12" s="23"/>
    </row>
    <row r="13" spans="1:15" s="17" customFormat="1" x14ac:dyDescent="0.3">
      <c r="A13" s="16"/>
      <c r="B13" s="27"/>
      <c r="C13" s="27"/>
      <c r="D13" s="85"/>
      <c r="E13" s="85"/>
      <c r="F13" s="94"/>
      <c r="G13" s="85"/>
      <c r="H13" s="85"/>
      <c r="I13" s="85"/>
      <c r="J13" s="86"/>
      <c r="K13" s="22"/>
      <c r="L13" s="29"/>
      <c r="M13" s="22"/>
      <c r="N13" s="22"/>
      <c r="O13" s="23"/>
    </row>
    <row r="14" spans="1:15" s="31" customFormat="1" ht="18.75" x14ac:dyDescent="0.35">
      <c r="A14" s="16"/>
      <c r="B14" s="27"/>
      <c r="C14" s="27" t="s">
        <v>45</v>
      </c>
      <c r="D14" s="85"/>
      <c r="E14" s="85"/>
      <c r="F14" s="94"/>
      <c r="G14" s="85"/>
      <c r="H14" s="85">
        <f>H12</f>
        <v>1250</v>
      </c>
      <c r="I14" s="85">
        <v>0</v>
      </c>
      <c r="J14" s="86">
        <v>0</v>
      </c>
      <c r="K14" s="32"/>
      <c r="L14" s="33"/>
      <c r="M14" s="32"/>
      <c r="N14" s="32"/>
      <c r="O14" s="34"/>
    </row>
    <row r="15" spans="1:15" s="31" customFormat="1" ht="18.75" x14ac:dyDescent="0.35">
      <c r="A15" s="16"/>
      <c r="B15" s="27"/>
      <c r="C15" s="27"/>
      <c r="D15" s="85"/>
      <c r="E15" s="85"/>
      <c r="F15" s="94"/>
      <c r="G15" s="85"/>
      <c r="H15" s="85"/>
      <c r="I15" s="85"/>
      <c r="J15" s="86"/>
      <c r="K15" s="32"/>
      <c r="L15" s="33"/>
      <c r="M15" s="32"/>
      <c r="N15" s="32"/>
      <c r="O15" s="34"/>
    </row>
    <row r="16" spans="1:15" s="17" customFormat="1" x14ac:dyDescent="0.3">
      <c r="A16" s="560" t="s">
        <v>46</v>
      </c>
      <c r="B16" s="561"/>
      <c r="C16" s="561"/>
      <c r="D16" s="14"/>
      <c r="E16" s="35"/>
      <c r="F16" s="78"/>
      <c r="G16" s="35"/>
      <c r="H16" s="35"/>
      <c r="I16" s="35"/>
      <c r="J16" s="15"/>
      <c r="K16" s="37"/>
      <c r="L16" s="37"/>
    </row>
    <row r="17" spans="1:15" s="27" customFormat="1" x14ac:dyDescent="0.3">
      <c r="A17" s="16" t="s">
        <v>776</v>
      </c>
      <c r="C17" s="17"/>
      <c r="D17" s="82"/>
      <c r="E17" s="82"/>
      <c r="F17" s="83"/>
      <c r="G17" s="82"/>
      <c r="H17" s="82"/>
      <c r="I17" s="82"/>
      <c r="J17" s="93"/>
      <c r="K17" s="22"/>
      <c r="L17" s="26"/>
      <c r="N17" s="24"/>
      <c r="O17" s="28"/>
    </row>
    <row r="18" spans="1:15" s="17" customFormat="1" x14ac:dyDescent="0.3">
      <c r="A18" s="21"/>
      <c r="B18" s="71" t="s">
        <v>780</v>
      </c>
      <c r="C18" s="1" t="s">
        <v>781</v>
      </c>
      <c r="D18" s="80"/>
      <c r="E18" s="80">
        <v>15</v>
      </c>
      <c r="F18" s="81">
        <v>80</v>
      </c>
      <c r="G18" s="80">
        <f>E18*F18</f>
        <v>1200</v>
      </c>
      <c r="H18" s="80">
        <f>G18*1.13</f>
        <v>1355.9999999999998</v>
      </c>
      <c r="I18" s="80">
        <v>1421.39</v>
      </c>
      <c r="J18" s="90"/>
      <c r="L18" s="29"/>
      <c r="N18" s="23"/>
    </row>
    <row r="19" spans="1:15" s="17" customFormat="1" x14ac:dyDescent="0.3">
      <c r="A19" s="21"/>
      <c r="B19" s="91" t="s">
        <v>782</v>
      </c>
      <c r="C19" s="22" t="s">
        <v>604</v>
      </c>
      <c r="D19" s="82"/>
      <c r="E19" s="82">
        <v>5.5</v>
      </c>
      <c r="F19" s="83">
        <v>200</v>
      </c>
      <c r="G19" s="82">
        <f t="shared" ref="G19:G22" si="0">E19*F19</f>
        <v>1100</v>
      </c>
      <c r="H19" s="82">
        <f t="shared" ref="H19:H21" si="1">G19*1.13</f>
        <v>1242.9999999999998</v>
      </c>
      <c r="I19" s="82">
        <v>1195.54</v>
      </c>
      <c r="J19" s="93"/>
      <c r="L19" s="29"/>
      <c r="N19" s="23"/>
    </row>
    <row r="20" spans="1:15" s="17" customFormat="1" x14ac:dyDescent="0.3">
      <c r="A20" s="21"/>
      <c r="B20" s="71" t="s">
        <v>783</v>
      </c>
      <c r="C20" s="1" t="s">
        <v>784</v>
      </c>
      <c r="D20" s="80"/>
      <c r="E20" s="80">
        <v>5</v>
      </c>
      <c r="F20" s="81">
        <v>6</v>
      </c>
      <c r="G20" s="80">
        <f t="shared" si="0"/>
        <v>30</v>
      </c>
      <c r="H20" s="80">
        <f t="shared" si="1"/>
        <v>33.9</v>
      </c>
      <c r="I20" s="80"/>
      <c r="J20" s="90"/>
      <c r="L20" s="29"/>
      <c r="N20" s="23"/>
    </row>
    <row r="21" spans="1:15" s="17" customFormat="1" x14ac:dyDescent="0.3">
      <c r="A21" s="21"/>
      <c r="B21" s="91" t="s">
        <v>785</v>
      </c>
      <c r="C21" s="22" t="s">
        <v>786</v>
      </c>
      <c r="D21" s="82"/>
      <c r="E21" s="82">
        <v>4</v>
      </c>
      <c r="F21" s="83">
        <v>1</v>
      </c>
      <c r="G21" s="82">
        <f t="shared" si="0"/>
        <v>4</v>
      </c>
      <c r="H21" s="82">
        <f t="shared" si="1"/>
        <v>4.5199999999999996</v>
      </c>
      <c r="I21" s="82"/>
      <c r="J21" s="93"/>
      <c r="L21" s="29"/>
      <c r="N21" s="23"/>
    </row>
    <row r="22" spans="1:15" s="17" customFormat="1" x14ac:dyDescent="0.3">
      <c r="A22" s="21"/>
      <c r="B22" s="71" t="s">
        <v>787</v>
      </c>
      <c r="C22" s="1" t="s">
        <v>788</v>
      </c>
      <c r="D22" s="80"/>
      <c r="E22" s="80">
        <v>0.25</v>
      </c>
      <c r="F22" s="81">
        <v>200</v>
      </c>
      <c r="G22" s="80">
        <f t="shared" si="0"/>
        <v>50</v>
      </c>
      <c r="H22" s="80">
        <f>G22*1</f>
        <v>50</v>
      </c>
      <c r="I22" s="80">
        <v>5.93</v>
      </c>
      <c r="J22" s="90"/>
      <c r="L22" s="29"/>
      <c r="N22" s="23"/>
    </row>
    <row r="23" spans="1:15" s="17" customFormat="1" x14ac:dyDescent="0.3">
      <c r="A23" s="21"/>
      <c r="B23" s="71"/>
      <c r="C23" s="1" t="s">
        <v>1273</v>
      </c>
      <c r="D23" s="80" t="s">
        <v>1664</v>
      </c>
      <c r="E23" s="80"/>
      <c r="F23" s="81"/>
      <c r="G23" s="80"/>
      <c r="H23" s="80"/>
      <c r="I23" s="80">
        <f>101.19+95.2</f>
        <v>196.39</v>
      </c>
      <c r="J23" s="523"/>
      <c r="L23" s="29"/>
      <c r="N23" s="23"/>
    </row>
    <row r="24" spans="1:15" s="17" customFormat="1" x14ac:dyDescent="0.3">
      <c r="A24" s="21"/>
      <c r="B24" s="25" t="s">
        <v>776</v>
      </c>
      <c r="C24" s="118"/>
      <c r="D24" s="68"/>
      <c r="E24" s="68"/>
      <c r="F24" s="73"/>
      <c r="G24" s="68"/>
      <c r="H24" s="68">
        <f>SUM(H17:H23)</f>
        <v>2687.4199999999996</v>
      </c>
      <c r="I24" s="68">
        <f>SUM(I17:I21)</f>
        <v>2616.9300000000003</v>
      </c>
      <c r="J24" s="69">
        <f>SUM(J17:J21)</f>
        <v>0</v>
      </c>
      <c r="L24" s="29"/>
      <c r="N24" s="23"/>
    </row>
    <row r="25" spans="1:15" s="17" customFormat="1" x14ac:dyDescent="0.3">
      <c r="A25" s="16"/>
      <c r="B25" s="27"/>
      <c r="C25" s="27"/>
      <c r="D25" s="85"/>
      <c r="E25" s="85"/>
      <c r="F25" s="94"/>
      <c r="G25" s="85"/>
      <c r="H25" s="85"/>
      <c r="I25" s="85"/>
      <c r="J25" s="86"/>
      <c r="K25" s="22"/>
      <c r="L25" s="29"/>
      <c r="N25" s="23"/>
      <c r="O25" s="23"/>
    </row>
    <row r="26" spans="1:15" s="17" customFormat="1" x14ac:dyDescent="0.3">
      <c r="A26" s="16" t="s">
        <v>789</v>
      </c>
      <c r="B26" s="27"/>
      <c r="D26" s="82"/>
      <c r="E26" s="82"/>
      <c r="F26" s="83"/>
      <c r="G26" s="82"/>
      <c r="H26" s="82"/>
      <c r="I26" s="82"/>
      <c r="J26" s="93"/>
      <c r="K26" s="22"/>
      <c r="L26" s="29"/>
      <c r="N26" s="23"/>
      <c r="O26" s="23"/>
    </row>
    <row r="27" spans="1:15" s="17" customFormat="1" x14ac:dyDescent="0.3">
      <c r="A27" s="38"/>
      <c r="B27" s="71" t="s">
        <v>790</v>
      </c>
      <c r="C27" s="1" t="s">
        <v>791</v>
      </c>
      <c r="D27" s="80" t="s">
        <v>792</v>
      </c>
      <c r="E27" s="80">
        <f>531/12</f>
        <v>44.25</v>
      </c>
      <c r="F27" s="81">
        <v>12</v>
      </c>
      <c r="G27" s="80">
        <f>E27*F27</f>
        <v>531</v>
      </c>
      <c r="H27" s="80">
        <f>G27*1.13</f>
        <v>600.03</v>
      </c>
      <c r="I27" s="80">
        <v>468.33</v>
      </c>
      <c r="J27" s="90"/>
      <c r="K27" s="22"/>
      <c r="L27" s="29"/>
      <c r="N27" s="23"/>
      <c r="O27" s="23"/>
    </row>
    <row r="28" spans="1:15" s="17" customFormat="1" x14ac:dyDescent="0.3">
      <c r="A28" s="38"/>
      <c r="C28" s="22"/>
      <c r="D28" s="82"/>
      <c r="E28" s="82"/>
      <c r="F28" s="83"/>
      <c r="G28" s="82"/>
      <c r="H28" s="82"/>
      <c r="I28" s="82"/>
      <c r="J28" s="93"/>
      <c r="K28" s="22"/>
      <c r="L28" s="29"/>
      <c r="N28" s="23"/>
      <c r="O28" s="23"/>
    </row>
    <row r="29" spans="1:15" s="17" customFormat="1" x14ac:dyDescent="0.3">
      <c r="A29" s="21"/>
      <c r="B29" s="25" t="s">
        <v>57</v>
      </c>
      <c r="C29" s="66"/>
      <c r="D29" s="68"/>
      <c r="E29" s="68"/>
      <c r="F29" s="73"/>
      <c r="G29" s="68"/>
      <c r="H29" s="68">
        <f>SUM(H27:H28)</f>
        <v>600.03</v>
      </c>
      <c r="I29" s="68">
        <f>SUM(I27:I28)</f>
        <v>468.33</v>
      </c>
      <c r="J29" s="69">
        <f>SUM(J27:J28)</f>
        <v>0</v>
      </c>
      <c r="K29" s="22"/>
    </row>
    <row r="30" spans="1:15" s="17" customFormat="1" x14ac:dyDescent="0.3">
      <c r="A30" s="21"/>
      <c r="C30" s="22"/>
      <c r="D30" s="82"/>
      <c r="E30" s="82"/>
      <c r="F30" s="83"/>
      <c r="G30" s="82"/>
      <c r="H30" s="82"/>
      <c r="I30" s="82"/>
      <c r="J30" s="93"/>
      <c r="K30" s="22"/>
      <c r="L30" s="29"/>
      <c r="N30" s="23"/>
      <c r="O30" s="23"/>
    </row>
    <row r="31" spans="1:15" s="43" customFormat="1" ht="18.75" x14ac:dyDescent="0.35">
      <c r="A31" s="21"/>
      <c r="B31" s="17"/>
      <c r="C31" s="27" t="s">
        <v>85</v>
      </c>
      <c r="D31" s="85"/>
      <c r="E31" s="85"/>
      <c r="F31" s="94"/>
      <c r="G31" s="85"/>
      <c r="H31" s="85">
        <f>H29+H24</f>
        <v>3287.45</v>
      </c>
      <c r="I31" s="85">
        <f>I29+I24</f>
        <v>3085.26</v>
      </c>
      <c r="J31" s="86">
        <f>J29+J24</f>
        <v>0</v>
      </c>
      <c r="K31" s="40"/>
      <c r="L31" s="41"/>
      <c r="M31" s="40"/>
      <c r="N31" s="40"/>
      <c r="O31" s="42"/>
    </row>
    <row r="32" spans="1:15" s="43" customFormat="1" ht="18.75" x14ac:dyDescent="0.35">
      <c r="A32" s="21"/>
      <c r="B32" s="17"/>
      <c r="C32" s="27"/>
      <c r="D32" s="85"/>
      <c r="E32" s="85"/>
      <c r="F32" s="94"/>
      <c r="G32" s="85"/>
      <c r="H32" s="85"/>
      <c r="I32" s="85"/>
      <c r="J32" s="86"/>
      <c r="K32" s="40"/>
      <c r="L32" s="41"/>
      <c r="M32" s="40"/>
      <c r="N32" s="40"/>
      <c r="O32" s="42"/>
    </row>
    <row r="33" spans="1:12" s="48" customFormat="1" ht="20.25" x14ac:dyDescent="0.35">
      <c r="A33" s="560" t="s">
        <v>86</v>
      </c>
      <c r="B33" s="561"/>
      <c r="C33" s="561"/>
      <c r="D33" s="14"/>
      <c r="E33" s="14"/>
      <c r="F33" s="76"/>
      <c r="G33" s="14"/>
      <c r="H33" s="14"/>
      <c r="I33" s="14"/>
      <c r="J33" s="15"/>
      <c r="K33" s="58"/>
      <c r="L33" s="58"/>
    </row>
    <row r="34" spans="1:12" s="50" customFormat="1" ht="20.25" x14ac:dyDescent="0.35">
      <c r="A34" s="16"/>
      <c r="B34" s="67" t="s">
        <v>87</v>
      </c>
      <c r="C34" s="67"/>
      <c r="D34" s="313"/>
      <c r="E34" s="313"/>
      <c r="F34" s="313"/>
      <c r="G34" s="313"/>
      <c r="H34" s="313">
        <f>H14</f>
        <v>1250</v>
      </c>
      <c r="I34" s="313">
        <f>I14</f>
        <v>0</v>
      </c>
      <c r="J34" s="314">
        <f>J14</f>
        <v>0</v>
      </c>
    </row>
    <row r="35" spans="1:12" s="50" customFormat="1" ht="20.25" x14ac:dyDescent="0.35">
      <c r="A35" s="16"/>
      <c r="B35" s="27" t="s">
        <v>88</v>
      </c>
      <c r="C35" s="27"/>
      <c r="D35" s="85"/>
      <c r="E35" s="85"/>
      <c r="F35" s="85"/>
      <c r="G35" s="85"/>
      <c r="H35" s="85">
        <f>H31</f>
        <v>3287.45</v>
      </c>
      <c r="I35" s="85">
        <f t="shared" ref="I35:J35" si="2">I31</f>
        <v>3085.26</v>
      </c>
      <c r="J35" s="86">
        <f t="shared" si="2"/>
        <v>0</v>
      </c>
    </row>
    <row r="36" spans="1:12" s="50" customFormat="1" ht="20.25" x14ac:dyDescent="0.35">
      <c r="A36" s="318"/>
      <c r="B36" s="315" t="s">
        <v>89</v>
      </c>
      <c r="C36" s="315"/>
      <c r="D36" s="316"/>
      <c r="E36" s="316"/>
      <c r="F36" s="316"/>
      <c r="G36" s="316"/>
      <c r="H36" s="316">
        <f t="shared" ref="H36:J36" si="3">H34-H35</f>
        <v>-2037.4499999999998</v>
      </c>
      <c r="I36" s="316">
        <f t="shared" si="3"/>
        <v>-3085.26</v>
      </c>
      <c r="J36" s="317">
        <f t="shared" si="3"/>
        <v>0</v>
      </c>
    </row>
    <row r="37" spans="1:12" s="17" customFormat="1" x14ac:dyDescent="0.3">
      <c r="A37" s="53"/>
      <c r="B37" s="53"/>
      <c r="C37" s="54"/>
      <c r="D37" s="55"/>
      <c r="E37" s="18"/>
      <c r="F37" s="77"/>
      <c r="G37" s="18"/>
      <c r="H37" s="18"/>
      <c r="I37" s="18"/>
      <c r="J37" s="18"/>
    </row>
  </sheetData>
  <mergeCells count="7">
    <mergeCell ref="A33:C33"/>
    <mergeCell ref="A1:C4"/>
    <mergeCell ref="D1:J4"/>
    <mergeCell ref="A5:C5"/>
    <mergeCell ref="D5:E5"/>
    <mergeCell ref="A8:C8"/>
    <mergeCell ref="A16:C16"/>
  </mergeCells>
  <pageMargins left="0" right="0" top="0" bottom="0" header="0" footer="0"/>
  <pageSetup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zoomScale="75" zoomScaleNormal="75" workbookViewId="0">
      <pane xSplit="3" ySplit="6" topLeftCell="F7" activePane="bottomRight" state="frozen"/>
      <selection pane="topRight" activeCell="C1" sqref="C1"/>
      <selection pane="bottomLeft" activeCell="A4" sqref="A4"/>
      <selection pane="bottomRight" activeCell="H26" sqref="H26"/>
    </sheetView>
  </sheetViews>
  <sheetFormatPr defaultColWidth="8.85546875" defaultRowHeight="17.25" x14ac:dyDescent="0.3"/>
  <cols>
    <col min="1" max="2" width="13.85546875" style="53" customWidth="1"/>
    <col min="3" max="3" width="42.85546875" style="53" bestFit="1" customWidth="1"/>
    <col min="4" max="4" width="28.140625" style="55" customWidth="1"/>
    <col min="5" max="5" width="28.140625" style="18" customWidth="1"/>
    <col min="6" max="6" width="15.28515625" style="77" customWidth="1"/>
    <col min="7" max="7" width="17.42578125" style="18" customWidth="1"/>
    <col min="8" max="8" width="18.140625" style="18" customWidth="1"/>
    <col min="9" max="9" width="22.42578125" style="18" customWidth="1"/>
    <col min="10" max="10" width="23" style="18" customWidth="1"/>
    <col min="11" max="11" width="12" style="17" customWidth="1"/>
    <col min="12" max="12" width="11.28515625" style="17" customWidth="1"/>
    <col min="13" max="13" width="8.85546875" style="53"/>
    <col min="14" max="14" width="10.140625" style="53" bestFit="1" customWidth="1"/>
    <col min="15" max="15" width="14.28515625" style="53" customWidth="1"/>
    <col min="16" max="16384" width="8.85546875" style="53"/>
  </cols>
  <sheetData>
    <row r="1" spans="1:15" s="2" customFormat="1" ht="38.25" customHeight="1" x14ac:dyDescent="0.3">
      <c r="A1" s="585"/>
      <c r="B1" s="586"/>
      <c r="C1" s="587"/>
      <c r="D1" s="564" t="s">
        <v>793</v>
      </c>
      <c r="E1" s="565"/>
      <c r="F1" s="565"/>
      <c r="G1" s="565"/>
      <c r="H1" s="565"/>
      <c r="I1" s="565"/>
      <c r="J1" s="566"/>
    </row>
    <row r="2" spans="1:15" s="2" customFormat="1" ht="38.25" customHeight="1" x14ac:dyDescent="0.3">
      <c r="A2" s="588"/>
      <c r="B2" s="589"/>
      <c r="C2" s="590"/>
      <c r="D2" s="567"/>
      <c r="E2" s="568"/>
      <c r="F2" s="568"/>
      <c r="G2" s="568"/>
      <c r="H2" s="568"/>
      <c r="I2" s="568"/>
      <c r="J2" s="569"/>
    </row>
    <row r="3" spans="1:15" s="2" customFormat="1" ht="38.25" customHeight="1" x14ac:dyDescent="0.3">
      <c r="A3" s="588"/>
      <c r="B3" s="589"/>
      <c r="C3" s="590"/>
      <c r="D3" s="567"/>
      <c r="E3" s="568"/>
      <c r="F3" s="568"/>
      <c r="G3" s="568"/>
      <c r="H3" s="568"/>
      <c r="I3" s="568"/>
      <c r="J3" s="569"/>
    </row>
    <row r="4" spans="1:15" s="2" customFormat="1" ht="38.25" customHeight="1" x14ac:dyDescent="0.3">
      <c r="A4" s="591"/>
      <c r="B4" s="592"/>
      <c r="C4" s="593"/>
      <c r="D4" s="570"/>
      <c r="E4" s="571"/>
      <c r="F4" s="571"/>
      <c r="G4" s="571"/>
      <c r="H4" s="571"/>
      <c r="I4" s="571"/>
      <c r="J4" s="572"/>
    </row>
    <row r="5" spans="1:15" s="2" customFormat="1" x14ac:dyDescent="0.3">
      <c r="A5" s="573"/>
      <c r="B5" s="578"/>
      <c r="C5" s="574"/>
      <c r="D5" s="579"/>
      <c r="E5" s="580"/>
      <c r="F5" s="73"/>
      <c r="G5" s="68"/>
      <c r="H5" s="68"/>
      <c r="I5" s="68"/>
      <c r="J5" s="69"/>
      <c r="K5" s="8"/>
      <c r="L5" s="8"/>
    </row>
    <row r="6" spans="1:15" s="64" customFormat="1" x14ac:dyDescent="0.3">
      <c r="A6" s="59"/>
      <c r="B6" s="72" t="s">
        <v>91</v>
      </c>
      <c r="C6" s="70" t="s">
        <v>92</v>
      </c>
      <c r="D6" s="60" t="s">
        <v>93</v>
      </c>
      <c r="E6" s="61" t="s">
        <v>94</v>
      </c>
      <c r="F6" s="74" t="s">
        <v>95</v>
      </c>
      <c r="G6" s="87" t="s">
        <v>96</v>
      </c>
      <c r="H6" s="87" t="s">
        <v>97</v>
      </c>
      <c r="I6" s="87" t="s">
        <v>98</v>
      </c>
      <c r="J6" s="88" t="s">
        <v>99</v>
      </c>
      <c r="K6" s="63"/>
      <c r="L6" s="63"/>
    </row>
    <row r="7" spans="1:15" s="2" customFormat="1" x14ac:dyDescent="0.3">
      <c r="A7" s="9"/>
      <c r="B7" s="65"/>
      <c r="C7" s="10"/>
      <c r="D7" s="11"/>
      <c r="E7" s="12"/>
      <c r="F7" s="75"/>
      <c r="G7" s="12"/>
      <c r="H7" s="12"/>
      <c r="I7" s="12"/>
      <c r="J7" s="84"/>
      <c r="K7" s="8"/>
      <c r="L7" s="8"/>
    </row>
    <row r="8" spans="1:15" s="2" customFormat="1" x14ac:dyDescent="0.3">
      <c r="A8" s="560" t="s">
        <v>5</v>
      </c>
      <c r="B8" s="561"/>
      <c r="C8" s="561"/>
      <c r="D8" s="14"/>
      <c r="E8" s="14"/>
      <c r="F8" s="76"/>
      <c r="G8" s="14"/>
      <c r="H8" s="14"/>
      <c r="I8" s="14"/>
      <c r="J8" s="15"/>
      <c r="K8" s="8"/>
      <c r="L8" s="8"/>
    </row>
    <row r="9" spans="1:15" s="17" customFormat="1" x14ac:dyDescent="0.3">
      <c r="A9" s="16"/>
      <c r="B9" s="27"/>
      <c r="C9" s="27"/>
      <c r="D9" s="85"/>
      <c r="E9" s="85"/>
      <c r="F9" s="94"/>
      <c r="G9" s="85"/>
      <c r="H9" s="85"/>
      <c r="I9" s="85"/>
      <c r="J9" s="86"/>
      <c r="K9" s="22"/>
      <c r="L9" s="29"/>
      <c r="M9" s="22"/>
      <c r="N9" s="22"/>
      <c r="O9" s="23"/>
    </row>
    <row r="10" spans="1:15" s="31" customFormat="1" ht="18.75" x14ac:dyDescent="0.35">
      <c r="A10" s="30"/>
      <c r="C10" s="31" t="s">
        <v>45</v>
      </c>
      <c r="D10" s="96"/>
      <c r="E10" s="96"/>
      <c r="F10" s="97"/>
      <c r="G10" s="96"/>
      <c r="H10" s="96">
        <v>0</v>
      </c>
      <c r="I10" s="96">
        <v>0</v>
      </c>
      <c r="J10" s="98">
        <v>0</v>
      </c>
      <c r="K10" s="32"/>
      <c r="L10" s="33"/>
      <c r="M10" s="32"/>
      <c r="N10" s="32"/>
      <c r="O10" s="34"/>
    </row>
    <row r="11" spans="1:15" s="31" customFormat="1" ht="18.75" x14ac:dyDescent="0.35">
      <c r="A11" s="30"/>
      <c r="D11" s="85"/>
      <c r="E11" s="85"/>
      <c r="F11" s="94"/>
      <c r="G11" s="85"/>
      <c r="H11" s="85"/>
      <c r="I11" s="85"/>
      <c r="J11" s="86"/>
      <c r="K11" s="32"/>
      <c r="L11" s="33"/>
      <c r="M11" s="32"/>
      <c r="N11" s="32"/>
      <c r="O11" s="34"/>
    </row>
    <row r="12" spans="1:15" s="17" customFormat="1" x14ac:dyDescent="0.3">
      <c r="A12" s="560" t="s">
        <v>46</v>
      </c>
      <c r="B12" s="561"/>
      <c r="C12" s="561"/>
      <c r="D12" s="14"/>
      <c r="E12" s="35"/>
      <c r="F12" s="78"/>
      <c r="G12" s="35"/>
      <c r="H12" s="35"/>
      <c r="I12" s="35"/>
      <c r="J12" s="15"/>
      <c r="K12" s="37"/>
      <c r="L12" s="37"/>
    </row>
    <row r="13" spans="1:15" s="27" customFormat="1" x14ac:dyDescent="0.3">
      <c r="A13" s="151" t="s">
        <v>794</v>
      </c>
      <c r="B13" s="152"/>
      <c r="C13" s="158"/>
      <c r="D13" s="159"/>
      <c r="E13" s="159"/>
      <c r="F13" s="160"/>
      <c r="G13" s="159"/>
      <c r="H13" s="159"/>
      <c r="I13" s="159"/>
      <c r="J13" s="161"/>
      <c r="K13" s="22"/>
      <c r="L13" s="26"/>
      <c r="N13" s="24"/>
      <c r="O13" s="28"/>
    </row>
    <row r="14" spans="1:15" s="17" customFormat="1" x14ac:dyDescent="0.3">
      <c r="A14" s="162"/>
      <c r="B14" s="20" t="s">
        <v>1635</v>
      </c>
      <c r="C14" s="1" t="s">
        <v>796</v>
      </c>
      <c r="D14" s="80" t="s">
        <v>797</v>
      </c>
      <c r="E14" s="80">
        <v>60</v>
      </c>
      <c r="F14" s="81">
        <v>10</v>
      </c>
      <c r="G14" s="80">
        <f t="shared" ref="G14:G17" si="0">E14*F14</f>
        <v>600</v>
      </c>
      <c r="H14" s="80">
        <f t="shared" ref="H14:H17" si="1">G14*1.13</f>
        <v>677.99999999999989</v>
      </c>
      <c r="I14" s="80">
        <v>193.51</v>
      </c>
      <c r="J14" s="523"/>
      <c r="L14" s="29"/>
      <c r="N14" s="23"/>
    </row>
    <row r="15" spans="1:15" s="17" customFormat="1" x14ac:dyDescent="0.3">
      <c r="A15" s="162"/>
      <c r="B15" s="17" t="s">
        <v>795</v>
      </c>
      <c r="C15" s="22" t="s">
        <v>799</v>
      </c>
      <c r="D15" s="82" t="s">
        <v>800</v>
      </c>
      <c r="E15" s="82">
        <v>1</v>
      </c>
      <c r="F15" s="83">
        <v>200</v>
      </c>
      <c r="G15" s="82">
        <f t="shared" si="0"/>
        <v>200</v>
      </c>
      <c r="H15" s="82">
        <f t="shared" si="1"/>
        <v>225.99999999999997</v>
      </c>
      <c r="I15" s="82"/>
      <c r="J15" s="524"/>
      <c r="L15" s="29"/>
      <c r="N15" s="23"/>
    </row>
    <row r="16" spans="1:15" s="17" customFormat="1" x14ac:dyDescent="0.3">
      <c r="A16" s="162"/>
      <c r="B16" s="20" t="s">
        <v>798</v>
      </c>
      <c r="C16" s="1" t="s">
        <v>802</v>
      </c>
      <c r="D16" s="80" t="s">
        <v>803</v>
      </c>
      <c r="E16" s="80">
        <v>100</v>
      </c>
      <c r="F16" s="81">
        <v>1</v>
      </c>
      <c r="G16" s="80">
        <f t="shared" si="0"/>
        <v>100</v>
      </c>
      <c r="H16" s="80">
        <f t="shared" si="1"/>
        <v>112.99999999999999</v>
      </c>
      <c r="I16" s="80"/>
      <c r="J16" s="523"/>
      <c r="L16" s="29"/>
      <c r="N16" s="23"/>
    </row>
    <row r="17" spans="1:15" s="17" customFormat="1" x14ac:dyDescent="0.3">
      <c r="A17" s="162"/>
      <c r="B17" s="17" t="s">
        <v>801</v>
      </c>
      <c r="C17" s="22" t="s">
        <v>804</v>
      </c>
      <c r="D17" s="82" t="s">
        <v>805</v>
      </c>
      <c r="E17" s="82">
        <v>150</v>
      </c>
      <c r="F17" s="83">
        <v>1</v>
      </c>
      <c r="G17" s="82">
        <f t="shared" si="0"/>
        <v>150</v>
      </c>
      <c r="H17" s="82">
        <f t="shared" si="1"/>
        <v>169.49999999999997</v>
      </c>
      <c r="I17" s="82"/>
      <c r="J17" s="524"/>
      <c r="L17" s="29"/>
      <c r="N17" s="23"/>
    </row>
    <row r="18" spans="1:15" s="17" customFormat="1" x14ac:dyDescent="0.3">
      <c r="A18" s="162"/>
      <c r="B18" s="25" t="s">
        <v>806</v>
      </c>
      <c r="C18" s="118"/>
      <c r="D18" s="68"/>
      <c r="E18" s="68"/>
      <c r="F18" s="73"/>
      <c r="G18" s="68"/>
      <c r="H18" s="68">
        <f>SUM(H13:H17)</f>
        <v>1186.4999999999998</v>
      </c>
      <c r="I18" s="68">
        <f>SUM(I13:I17)</f>
        <v>193.51</v>
      </c>
      <c r="J18" s="69">
        <f>SUM(J13:J17)</f>
        <v>0</v>
      </c>
      <c r="L18" s="29"/>
      <c r="N18" s="23"/>
    </row>
    <row r="19" spans="1:15" s="17" customFormat="1" x14ac:dyDescent="0.3">
      <c r="A19" s="16"/>
      <c r="B19" s="27"/>
      <c r="C19" s="27"/>
      <c r="D19" s="85"/>
      <c r="E19" s="85"/>
      <c r="F19" s="94"/>
      <c r="G19" s="85"/>
      <c r="H19" s="85"/>
      <c r="I19" s="85"/>
      <c r="J19" s="86"/>
      <c r="K19" s="22"/>
      <c r="L19" s="29"/>
      <c r="N19" s="23"/>
      <c r="O19" s="23"/>
    </row>
    <row r="20" spans="1:15" s="17" customFormat="1" x14ac:dyDescent="0.3">
      <c r="A20" s="21"/>
      <c r="C20" s="22"/>
      <c r="D20" s="82"/>
      <c r="E20" s="82"/>
      <c r="F20" s="83"/>
      <c r="G20" s="82"/>
      <c r="H20" s="82"/>
      <c r="I20" s="82"/>
      <c r="J20" s="93"/>
      <c r="K20" s="22"/>
      <c r="L20" s="29"/>
      <c r="N20" s="23"/>
      <c r="O20" s="23"/>
    </row>
    <row r="21" spans="1:15" s="43" customFormat="1" ht="18.75" x14ac:dyDescent="0.35">
      <c r="A21" s="39"/>
      <c r="C21" s="31" t="s">
        <v>85</v>
      </c>
      <c r="D21" s="96"/>
      <c r="E21" s="96"/>
      <c r="F21" s="97"/>
      <c r="G21" s="96"/>
      <c r="H21" s="96">
        <f>H18</f>
        <v>1186.4999999999998</v>
      </c>
      <c r="I21" s="96">
        <f>I18</f>
        <v>193.51</v>
      </c>
      <c r="J21" s="98">
        <f>J18</f>
        <v>0</v>
      </c>
      <c r="K21" s="40"/>
      <c r="L21" s="41"/>
      <c r="M21" s="40"/>
      <c r="N21" s="40"/>
      <c r="O21" s="42"/>
    </row>
    <row r="22" spans="1:15" s="43" customFormat="1" ht="18.75" x14ac:dyDescent="0.35">
      <c r="A22" s="39"/>
      <c r="C22" s="31"/>
      <c r="D22" s="96"/>
      <c r="E22" s="96"/>
      <c r="F22" s="97"/>
      <c r="G22" s="96"/>
      <c r="H22" s="96"/>
      <c r="I22" s="96"/>
      <c r="J22" s="98"/>
      <c r="K22" s="40"/>
      <c r="L22" s="41"/>
      <c r="M22" s="40"/>
      <c r="N22" s="40"/>
      <c r="O22" s="42"/>
    </row>
    <row r="23" spans="1:15" s="48" customFormat="1" ht="20.25" x14ac:dyDescent="0.35">
      <c r="A23" s="562" t="s">
        <v>86</v>
      </c>
      <c r="B23" s="563"/>
      <c r="C23" s="563"/>
      <c r="D23" s="44"/>
      <c r="E23" s="44"/>
      <c r="F23" s="79"/>
      <c r="G23" s="44"/>
      <c r="H23" s="44"/>
      <c r="I23" s="44"/>
      <c r="J23" s="45"/>
      <c r="K23" s="58"/>
      <c r="L23" s="58"/>
    </row>
    <row r="24" spans="1:15" s="50" customFormat="1" ht="20.25" x14ac:dyDescent="0.35">
      <c r="A24" s="62"/>
      <c r="B24" s="47" t="s">
        <v>87</v>
      </c>
      <c r="C24" s="47"/>
      <c r="D24" s="104"/>
      <c r="E24" s="104"/>
      <c r="F24" s="104"/>
      <c r="G24" s="104"/>
      <c r="H24" s="104">
        <f>H10</f>
        <v>0</v>
      </c>
      <c r="I24" s="104">
        <f>I10</f>
        <v>0</v>
      </c>
      <c r="J24" s="105">
        <f>J10</f>
        <v>0</v>
      </c>
    </row>
    <row r="25" spans="1:15" s="50" customFormat="1" ht="20.25" x14ac:dyDescent="0.35">
      <c r="A25" s="62"/>
      <c r="B25" s="50" t="s">
        <v>88</v>
      </c>
      <c r="D25" s="106"/>
      <c r="E25" s="106"/>
      <c r="F25" s="106"/>
      <c r="G25" s="106"/>
      <c r="H25" s="106">
        <f>H21</f>
        <v>1186.4999999999998</v>
      </c>
      <c r="I25" s="106">
        <f t="shared" ref="I25:J25" si="2">I21</f>
        <v>193.51</v>
      </c>
      <c r="J25" s="107">
        <f t="shared" si="2"/>
        <v>0</v>
      </c>
    </row>
    <row r="26" spans="1:15" s="50" customFormat="1" ht="20.25" x14ac:dyDescent="0.35">
      <c r="A26" s="108"/>
      <c r="B26" s="52" t="s">
        <v>89</v>
      </c>
      <c r="C26" s="52"/>
      <c r="D26" s="109"/>
      <c r="E26" s="109"/>
      <c r="F26" s="109"/>
      <c r="G26" s="109"/>
      <c r="H26" s="109">
        <f t="shared" ref="H26:J26" si="3">H24-H25</f>
        <v>-1186.4999999999998</v>
      </c>
      <c r="I26" s="109">
        <f t="shared" si="3"/>
        <v>-193.51</v>
      </c>
      <c r="J26" s="110">
        <f t="shared" si="3"/>
        <v>0</v>
      </c>
    </row>
    <row r="27" spans="1:15" s="17" customFormat="1" x14ac:dyDescent="0.3">
      <c r="A27" s="53"/>
      <c r="B27" s="53"/>
      <c r="C27" s="54"/>
      <c r="D27" s="55"/>
      <c r="E27" s="18"/>
      <c r="F27" s="77"/>
      <c r="G27" s="18"/>
      <c r="H27" s="18"/>
      <c r="I27" s="18"/>
      <c r="J27" s="18"/>
    </row>
  </sheetData>
  <mergeCells count="7">
    <mergeCell ref="A23:C23"/>
    <mergeCell ref="A1:C4"/>
    <mergeCell ref="D1:J4"/>
    <mergeCell ref="A5:C5"/>
    <mergeCell ref="D5:E5"/>
    <mergeCell ref="A8:C8"/>
    <mergeCell ref="A12:C12"/>
  </mergeCells>
  <pageMargins left="0" right="0" top="0" bottom="0" header="0" footer="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zoomScale="75" zoomScaleNormal="75" workbookViewId="0">
      <pane xSplit="3" ySplit="6" topLeftCell="D38" activePane="bottomRight" state="frozen"/>
      <selection pane="topRight" activeCell="C1" sqref="C1"/>
      <selection pane="bottomLeft" activeCell="A4" sqref="A4"/>
      <selection pane="bottomRight" activeCell="K50" sqref="K50"/>
    </sheetView>
  </sheetViews>
  <sheetFormatPr defaultColWidth="8.85546875" defaultRowHeight="17.25" x14ac:dyDescent="0.3"/>
  <cols>
    <col min="1" max="2" width="13.85546875" style="53" customWidth="1"/>
    <col min="3" max="3" width="42.85546875" style="53" bestFit="1" customWidth="1"/>
    <col min="4" max="4" width="28.140625" style="55" customWidth="1"/>
    <col min="5" max="5" width="28.140625" style="18" customWidth="1"/>
    <col min="6" max="6" width="15.28515625" style="77" customWidth="1"/>
    <col min="7" max="7" width="17.42578125" style="18" customWidth="1"/>
    <col min="8" max="8" width="18.140625" style="18" customWidth="1"/>
    <col min="9" max="9" width="22.42578125" style="18" customWidth="1"/>
    <col min="10" max="10" width="23" style="18" customWidth="1"/>
    <col min="11" max="11" width="12" style="17" customWidth="1"/>
    <col min="12" max="12" width="11.28515625" style="17" customWidth="1"/>
    <col min="13" max="13" width="8.85546875" style="53"/>
    <col min="14" max="14" width="10.140625" style="53" bestFit="1" customWidth="1"/>
    <col min="15" max="15" width="14.28515625" style="53" customWidth="1"/>
    <col min="16" max="16384" width="8.85546875" style="53"/>
  </cols>
  <sheetData>
    <row r="1" spans="1:12" s="2" customFormat="1" ht="38.25" customHeight="1" x14ac:dyDescent="0.3">
      <c r="A1" s="585"/>
      <c r="B1" s="586"/>
      <c r="C1" s="587"/>
      <c r="D1" s="564" t="s">
        <v>807</v>
      </c>
      <c r="E1" s="565"/>
      <c r="F1" s="565"/>
      <c r="G1" s="565"/>
      <c r="H1" s="565"/>
      <c r="I1" s="565"/>
      <c r="J1" s="566"/>
    </row>
    <row r="2" spans="1:12" s="2" customFormat="1" ht="38.25" customHeight="1" x14ac:dyDescent="0.3">
      <c r="A2" s="588"/>
      <c r="B2" s="589"/>
      <c r="C2" s="590"/>
      <c r="D2" s="567"/>
      <c r="E2" s="568"/>
      <c r="F2" s="568"/>
      <c r="G2" s="568"/>
      <c r="H2" s="568"/>
      <c r="I2" s="568"/>
      <c r="J2" s="569"/>
    </row>
    <row r="3" spans="1:12" s="2" customFormat="1" ht="38.25" customHeight="1" x14ac:dyDescent="0.3">
      <c r="A3" s="588"/>
      <c r="B3" s="589"/>
      <c r="C3" s="590"/>
      <c r="D3" s="567"/>
      <c r="E3" s="568"/>
      <c r="F3" s="568"/>
      <c r="G3" s="568"/>
      <c r="H3" s="568"/>
      <c r="I3" s="568"/>
      <c r="J3" s="569"/>
    </row>
    <row r="4" spans="1:12" s="2" customFormat="1" ht="38.25" customHeight="1" x14ac:dyDescent="0.3">
      <c r="A4" s="591"/>
      <c r="B4" s="592"/>
      <c r="C4" s="593"/>
      <c r="D4" s="570"/>
      <c r="E4" s="571"/>
      <c r="F4" s="571"/>
      <c r="G4" s="571"/>
      <c r="H4" s="571"/>
      <c r="I4" s="571"/>
      <c r="J4" s="572"/>
    </row>
    <row r="5" spans="1:12" s="2" customFormat="1" x14ac:dyDescent="0.3">
      <c r="A5" s="573"/>
      <c r="B5" s="578"/>
      <c r="C5" s="574"/>
      <c r="D5" s="579"/>
      <c r="E5" s="580"/>
      <c r="F5" s="73"/>
      <c r="G5" s="68"/>
      <c r="H5" s="68"/>
      <c r="I5" s="68"/>
      <c r="J5" s="69"/>
      <c r="K5" s="8"/>
      <c r="L5" s="8"/>
    </row>
    <row r="6" spans="1:12" s="64" customFormat="1" x14ac:dyDescent="0.3">
      <c r="A6" s="59"/>
      <c r="B6" s="72" t="s">
        <v>91</v>
      </c>
      <c r="C6" s="70" t="s">
        <v>92</v>
      </c>
      <c r="D6" s="60" t="s">
        <v>93</v>
      </c>
      <c r="E6" s="61" t="s">
        <v>94</v>
      </c>
      <c r="F6" s="74" t="s">
        <v>95</v>
      </c>
      <c r="G6" s="87" t="s">
        <v>96</v>
      </c>
      <c r="H6" s="87" t="s">
        <v>97</v>
      </c>
      <c r="I6" s="87" t="s">
        <v>98</v>
      </c>
      <c r="J6" s="88" t="s">
        <v>99</v>
      </c>
      <c r="K6" s="63"/>
      <c r="L6" s="63"/>
    </row>
    <row r="7" spans="1:12" s="2" customFormat="1" x14ac:dyDescent="0.3">
      <c r="A7" s="9"/>
      <c r="B7" s="65"/>
      <c r="C7" s="10"/>
      <c r="D7" s="11"/>
      <c r="E7" s="12"/>
      <c r="F7" s="75"/>
      <c r="G7" s="12"/>
      <c r="H7" s="12"/>
      <c r="I7" s="12"/>
      <c r="J7" s="84"/>
      <c r="K7" s="8"/>
      <c r="L7" s="8"/>
    </row>
    <row r="8" spans="1:12" s="2" customFormat="1" x14ac:dyDescent="0.3">
      <c r="A8" s="560" t="s">
        <v>5</v>
      </c>
      <c r="B8" s="561"/>
      <c r="C8" s="561"/>
      <c r="D8" s="14"/>
      <c r="E8" s="14"/>
      <c r="F8" s="76"/>
      <c r="G8" s="14"/>
      <c r="H8" s="14"/>
      <c r="I8" s="14"/>
      <c r="J8" s="15"/>
      <c r="K8" s="8"/>
      <c r="L8" s="8"/>
    </row>
    <row r="9" spans="1:12" s="17" customFormat="1" x14ac:dyDescent="0.3">
      <c r="A9" s="16"/>
      <c r="B9" s="27"/>
      <c r="C9" s="27"/>
      <c r="D9" s="85"/>
      <c r="E9" s="85"/>
      <c r="F9" s="94"/>
      <c r="G9" s="85"/>
      <c r="H9" s="85"/>
      <c r="I9" s="85"/>
      <c r="J9" s="86"/>
    </row>
    <row r="10" spans="1:12" ht="18.75" x14ac:dyDescent="0.35">
      <c r="A10" s="30"/>
      <c r="B10" s="31"/>
      <c r="C10" s="31" t="s">
        <v>45</v>
      </c>
      <c r="D10" s="96"/>
      <c r="E10" s="96"/>
      <c r="F10" s="97"/>
      <c r="G10" s="96"/>
      <c r="H10" s="96">
        <v>0</v>
      </c>
      <c r="I10" s="96">
        <v>0</v>
      </c>
      <c r="J10" s="98">
        <v>0</v>
      </c>
    </row>
    <row r="11" spans="1:12" ht="18.75" x14ac:dyDescent="0.35">
      <c r="A11" s="30"/>
      <c r="B11" s="31"/>
      <c r="C11" s="31"/>
      <c r="D11" s="85"/>
      <c r="E11" s="85"/>
      <c r="F11" s="94"/>
      <c r="G11" s="85"/>
      <c r="H11" s="85"/>
      <c r="I11" s="85"/>
      <c r="J11" s="86"/>
    </row>
    <row r="12" spans="1:12" x14ac:dyDescent="0.3">
      <c r="A12" s="560" t="s">
        <v>46</v>
      </c>
      <c r="B12" s="561"/>
      <c r="C12" s="561"/>
      <c r="D12" s="14"/>
      <c r="E12" s="35"/>
      <c r="F12" s="78"/>
      <c r="G12" s="35"/>
      <c r="H12" s="35"/>
      <c r="I12" s="35"/>
      <c r="J12" s="15"/>
    </row>
    <row r="13" spans="1:12" x14ac:dyDescent="0.3">
      <c r="A13" s="189" t="s">
        <v>808</v>
      </c>
      <c r="B13" s="188"/>
      <c r="C13" s="190"/>
      <c r="D13" s="191"/>
      <c r="E13" s="191"/>
      <c r="F13" s="192"/>
      <c r="G13" s="191"/>
      <c r="H13" s="191"/>
      <c r="I13" s="191"/>
      <c r="J13" s="193"/>
    </row>
    <row r="14" spans="1:12" x14ac:dyDescent="0.3">
      <c r="A14" s="257"/>
      <c r="B14" s="238" t="s">
        <v>1636</v>
      </c>
      <c r="C14" s="268" t="s">
        <v>810</v>
      </c>
      <c r="D14" s="239" t="s">
        <v>811</v>
      </c>
      <c r="E14" s="239">
        <v>30</v>
      </c>
      <c r="F14" s="240">
        <v>1</v>
      </c>
      <c r="G14" s="239">
        <v>30</v>
      </c>
      <c r="H14" s="239">
        <v>33.9</v>
      </c>
      <c r="I14" s="239">
        <v>23.53</v>
      </c>
      <c r="J14" s="241">
        <v>23.53</v>
      </c>
    </row>
    <row r="15" spans="1:12" x14ac:dyDescent="0.3">
      <c r="A15" s="271"/>
      <c r="B15" s="242" t="s">
        <v>809</v>
      </c>
      <c r="C15" s="270" t="s">
        <v>813</v>
      </c>
      <c r="D15" s="243" t="s">
        <v>814</v>
      </c>
      <c r="E15" s="243">
        <v>40</v>
      </c>
      <c r="F15" s="244">
        <v>1</v>
      </c>
      <c r="G15" s="243">
        <v>40</v>
      </c>
      <c r="H15" s="243">
        <v>40</v>
      </c>
      <c r="I15" s="243">
        <f>23.53</f>
        <v>23.53</v>
      </c>
      <c r="J15" s="245">
        <f>23.53</f>
        <v>23.53</v>
      </c>
    </row>
    <row r="16" spans="1:12" customFormat="1" x14ac:dyDescent="0.3">
      <c r="A16" s="257"/>
      <c r="B16" s="238" t="s">
        <v>812</v>
      </c>
      <c r="C16" s="509" t="s">
        <v>641</v>
      </c>
      <c r="D16" s="510" t="s">
        <v>1532</v>
      </c>
      <c r="E16" s="510">
        <v>8</v>
      </c>
      <c r="F16" s="511">
        <v>13</v>
      </c>
      <c r="G16" s="510">
        <f t="shared" ref="G16:G17" si="0">E16*F16</f>
        <v>104</v>
      </c>
      <c r="H16" s="510">
        <f t="shared" ref="H16:H17" si="1">G16*1.13</f>
        <v>117.51999999999998</v>
      </c>
      <c r="I16" s="510"/>
      <c r="J16" s="241"/>
    </row>
    <row r="17" spans="1:10" s="373" customFormat="1" x14ac:dyDescent="0.3">
      <c r="A17" s="271"/>
      <c r="B17" s="242" t="s">
        <v>815</v>
      </c>
      <c r="C17" s="553" t="s">
        <v>641</v>
      </c>
      <c r="D17" s="544" t="s">
        <v>1533</v>
      </c>
      <c r="E17" s="544">
        <v>20</v>
      </c>
      <c r="F17" s="554">
        <v>13</v>
      </c>
      <c r="G17" s="544">
        <f t="shared" si="0"/>
        <v>260</v>
      </c>
      <c r="H17" s="544">
        <f t="shared" si="1"/>
        <v>293.79999999999995</v>
      </c>
      <c r="I17" s="544"/>
      <c r="J17" s="245"/>
    </row>
    <row r="18" spans="1:10" x14ac:dyDescent="0.3">
      <c r="A18" s="257"/>
      <c r="B18" s="238" t="s">
        <v>819</v>
      </c>
      <c r="C18" s="268" t="s">
        <v>816</v>
      </c>
      <c r="D18" s="239" t="s">
        <v>817</v>
      </c>
      <c r="E18" s="239">
        <v>30</v>
      </c>
      <c r="F18" s="240">
        <v>1</v>
      </c>
      <c r="G18" s="239">
        <v>30</v>
      </c>
      <c r="H18" s="239">
        <v>33.9</v>
      </c>
      <c r="I18" s="239"/>
      <c r="J18" s="241"/>
    </row>
    <row r="19" spans="1:10" x14ac:dyDescent="0.3">
      <c r="A19" s="272" t="s">
        <v>818</v>
      </c>
      <c r="B19" s="242" t="s">
        <v>822</v>
      </c>
      <c r="C19" s="242" t="s">
        <v>820</v>
      </c>
      <c r="D19" s="243" t="s">
        <v>821</v>
      </c>
      <c r="E19" s="243">
        <v>3</v>
      </c>
      <c r="F19" s="244">
        <v>60</v>
      </c>
      <c r="G19" s="243">
        <v>180</v>
      </c>
      <c r="H19" s="243">
        <v>203.4</v>
      </c>
      <c r="I19" s="243">
        <f>142.38+228.08</f>
        <v>370.46000000000004</v>
      </c>
      <c r="J19" s="245">
        <f>142.38+228.08</f>
        <v>370.46000000000004</v>
      </c>
    </row>
    <row r="20" spans="1:10" x14ac:dyDescent="0.3">
      <c r="A20" s="269"/>
      <c r="B20" s="238" t="s">
        <v>824</v>
      </c>
      <c r="C20" s="238" t="s">
        <v>823</v>
      </c>
      <c r="D20" s="239" t="s">
        <v>821</v>
      </c>
      <c r="E20" s="239">
        <v>3</v>
      </c>
      <c r="F20" s="240">
        <v>60</v>
      </c>
      <c r="G20" s="239">
        <v>180</v>
      </c>
      <c r="H20" s="239">
        <v>203.4</v>
      </c>
      <c r="I20" s="239">
        <f>195.9+190.12</f>
        <v>386.02</v>
      </c>
      <c r="J20" s="241">
        <f>195.9+190.12</f>
        <v>386.02</v>
      </c>
    </row>
    <row r="21" spans="1:10" x14ac:dyDescent="0.3">
      <c r="A21" s="269"/>
      <c r="B21" s="242" t="s">
        <v>826</v>
      </c>
      <c r="C21" s="242" t="s">
        <v>825</v>
      </c>
      <c r="D21" s="243" t="s">
        <v>821</v>
      </c>
      <c r="E21" s="243">
        <v>3</v>
      </c>
      <c r="F21" s="244">
        <v>60</v>
      </c>
      <c r="G21" s="243">
        <v>180</v>
      </c>
      <c r="H21" s="243">
        <v>203.4</v>
      </c>
      <c r="I21" s="243">
        <v>185.32</v>
      </c>
      <c r="J21" s="245">
        <v>185.32</v>
      </c>
    </row>
    <row r="22" spans="1:10" x14ac:dyDescent="0.3">
      <c r="A22" s="269"/>
      <c r="B22" s="238" t="s">
        <v>828</v>
      </c>
      <c r="C22" s="238" t="s">
        <v>827</v>
      </c>
      <c r="D22" s="239" t="s">
        <v>821</v>
      </c>
      <c r="E22" s="239">
        <v>3</v>
      </c>
      <c r="F22" s="240">
        <v>60</v>
      </c>
      <c r="G22" s="239">
        <v>180</v>
      </c>
      <c r="H22" s="239">
        <v>203.4</v>
      </c>
      <c r="I22" s="239">
        <v>216.87</v>
      </c>
      <c r="J22" s="241">
        <v>216.87</v>
      </c>
    </row>
    <row r="23" spans="1:10" x14ac:dyDescent="0.3">
      <c r="A23" s="269"/>
      <c r="B23" s="242" t="s">
        <v>830</v>
      </c>
      <c r="C23" s="242" t="s">
        <v>829</v>
      </c>
      <c r="D23" s="243" t="s">
        <v>821</v>
      </c>
      <c r="E23" s="243">
        <v>3</v>
      </c>
      <c r="F23" s="244">
        <v>60</v>
      </c>
      <c r="G23" s="243">
        <v>180</v>
      </c>
      <c r="H23" s="243">
        <v>203.4</v>
      </c>
      <c r="I23" s="243">
        <f>212.2+81.35</f>
        <v>293.54999999999995</v>
      </c>
      <c r="J23" s="245">
        <f>212.2+81.35</f>
        <v>293.54999999999995</v>
      </c>
    </row>
    <row r="24" spans="1:10" x14ac:dyDescent="0.3">
      <c r="A24" s="269"/>
      <c r="B24" s="238" t="s">
        <v>832</v>
      </c>
      <c r="C24" s="238" t="s">
        <v>831</v>
      </c>
      <c r="D24" s="239" t="s">
        <v>821</v>
      </c>
      <c r="E24" s="239">
        <v>3</v>
      </c>
      <c r="F24" s="240">
        <v>60</v>
      </c>
      <c r="G24" s="239">
        <v>180</v>
      </c>
      <c r="H24" s="239">
        <v>203.4</v>
      </c>
      <c r="I24" s="239">
        <v>202.05</v>
      </c>
      <c r="J24" s="241">
        <v>202.05</v>
      </c>
    </row>
    <row r="25" spans="1:10" x14ac:dyDescent="0.3">
      <c r="A25" s="269"/>
      <c r="B25" s="242" t="s">
        <v>834</v>
      </c>
      <c r="C25" s="242" t="s">
        <v>833</v>
      </c>
      <c r="D25" s="243" t="s">
        <v>821</v>
      </c>
      <c r="E25" s="243">
        <v>3</v>
      </c>
      <c r="F25" s="244">
        <v>60</v>
      </c>
      <c r="G25" s="243">
        <v>180</v>
      </c>
      <c r="H25" s="243">
        <v>203.4</v>
      </c>
      <c r="I25" s="243">
        <v>234.97</v>
      </c>
      <c r="J25" s="245">
        <v>234.97</v>
      </c>
    </row>
    <row r="26" spans="1:10" x14ac:dyDescent="0.3">
      <c r="A26" s="269"/>
      <c r="B26" s="238" t="s">
        <v>836</v>
      </c>
      <c r="C26" s="238" t="s">
        <v>835</v>
      </c>
      <c r="D26" s="239" t="s">
        <v>821</v>
      </c>
      <c r="E26" s="239">
        <v>3</v>
      </c>
      <c r="F26" s="240">
        <v>60</v>
      </c>
      <c r="G26" s="239">
        <v>180</v>
      </c>
      <c r="H26" s="239">
        <v>203.4</v>
      </c>
      <c r="I26" s="239">
        <v>221.88</v>
      </c>
      <c r="J26" s="241">
        <v>221.88</v>
      </c>
    </row>
    <row r="27" spans="1:10" x14ac:dyDescent="0.3">
      <c r="A27" s="269"/>
      <c r="B27" s="242" t="s">
        <v>838</v>
      </c>
      <c r="C27" s="242" t="s">
        <v>837</v>
      </c>
      <c r="D27" s="243" t="s">
        <v>821</v>
      </c>
      <c r="E27" s="243">
        <v>3</v>
      </c>
      <c r="F27" s="244">
        <v>60</v>
      </c>
      <c r="G27" s="243">
        <v>180</v>
      </c>
      <c r="H27" s="243">
        <v>203.4</v>
      </c>
      <c r="I27" s="243">
        <v>225.64</v>
      </c>
      <c r="J27" s="245">
        <v>225.64</v>
      </c>
    </row>
    <row r="28" spans="1:10" x14ac:dyDescent="0.3">
      <c r="A28" s="269"/>
      <c r="B28" s="238" t="s">
        <v>840</v>
      </c>
      <c r="C28" s="238" t="s">
        <v>839</v>
      </c>
      <c r="D28" s="239" t="s">
        <v>821</v>
      </c>
      <c r="E28" s="239">
        <v>3</v>
      </c>
      <c r="F28" s="240">
        <v>60</v>
      </c>
      <c r="G28" s="239">
        <v>180</v>
      </c>
      <c r="H28" s="239">
        <v>203.4</v>
      </c>
      <c r="I28" s="239">
        <v>247.42</v>
      </c>
      <c r="J28" s="241">
        <v>247.42</v>
      </c>
    </row>
    <row r="29" spans="1:10" x14ac:dyDescent="0.3">
      <c r="A29" s="269"/>
      <c r="B29" s="242" t="s">
        <v>842</v>
      </c>
      <c r="C29" s="242" t="s">
        <v>841</v>
      </c>
      <c r="D29" s="243" t="s">
        <v>821</v>
      </c>
      <c r="E29" s="243">
        <v>3</v>
      </c>
      <c r="F29" s="244">
        <v>60</v>
      </c>
      <c r="G29" s="243">
        <v>180</v>
      </c>
      <c r="H29" s="243">
        <v>203.4</v>
      </c>
      <c r="I29" s="243">
        <f>209.64+28.57</f>
        <v>238.20999999999998</v>
      </c>
      <c r="J29" s="245">
        <f>209.64+28.57</f>
        <v>238.20999999999998</v>
      </c>
    </row>
    <row r="30" spans="1:10" x14ac:dyDescent="0.3">
      <c r="A30" s="269"/>
      <c r="B30" s="238" t="s">
        <v>844</v>
      </c>
      <c r="C30" s="268" t="s">
        <v>843</v>
      </c>
      <c r="D30" s="239" t="s">
        <v>821</v>
      </c>
      <c r="E30" s="239">
        <v>3</v>
      </c>
      <c r="F30" s="240">
        <v>80</v>
      </c>
      <c r="G30" s="239">
        <v>240</v>
      </c>
      <c r="H30" s="239">
        <v>271.2</v>
      </c>
      <c r="I30" s="239">
        <v>27.93</v>
      </c>
      <c r="J30" s="241">
        <v>27.93</v>
      </c>
    </row>
    <row r="31" spans="1:10" x14ac:dyDescent="0.3">
      <c r="A31" s="271"/>
      <c r="B31" s="242" t="s">
        <v>847</v>
      </c>
      <c r="C31" s="270" t="s">
        <v>845</v>
      </c>
      <c r="D31" s="243" t="s">
        <v>846</v>
      </c>
      <c r="E31" s="243">
        <v>30</v>
      </c>
      <c r="F31" s="244">
        <v>1</v>
      </c>
      <c r="G31" s="243">
        <v>30</v>
      </c>
      <c r="H31" s="243">
        <v>33.9</v>
      </c>
      <c r="I31" s="243"/>
      <c r="J31" s="245"/>
    </row>
    <row r="32" spans="1:10" x14ac:dyDescent="0.3">
      <c r="A32" s="374"/>
      <c r="B32" s="238" t="s">
        <v>850</v>
      </c>
      <c r="C32" s="549" t="s">
        <v>848</v>
      </c>
      <c r="D32" s="550" t="s">
        <v>849</v>
      </c>
      <c r="E32" s="550">
        <v>42</v>
      </c>
      <c r="F32" s="551">
        <v>40</v>
      </c>
      <c r="G32" s="550">
        <v>1680</v>
      </c>
      <c r="H32" s="550">
        <v>1898.3999999999999</v>
      </c>
      <c r="I32" s="550">
        <v>2339.0700000000002</v>
      </c>
      <c r="J32" s="552">
        <v>2339.0700000000002</v>
      </c>
    </row>
    <row r="33" spans="1:10" x14ac:dyDescent="0.3">
      <c r="A33" s="478"/>
      <c r="B33" s="242" t="s">
        <v>853</v>
      </c>
      <c r="C33" s="479" t="s">
        <v>851</v>
      </c>
      <c r="D33" s="480" t="s">
        <v>852</v>
      </c>
      <c r="E33" s="480">
        <v>250</v>
      </c>
      <c r="F33" s="481">
        <v>1</v>
      </c>
      <c r="G33" s="480">
        <v>250</v>
      </c>
      <c r="H33" s="480">
        <v>282.5</v>
      </c>
      <c r="I33" s="480"/>
      <c r="J33" s="482"/>
    </row>
    <row r="34" spans="1:10" x14ac:dyDescent="0.3">
      <c r="A34" s="478"/>
      <c r="B34" s="238" t="s">
        <v>859</v>
      </c>
      <c r="C34" s="549" t="s">
        <v>854</v>
      </c>
      <c r="D34" s="550" t="s">
        <v>855</v>
      </c>
      <c r="E34" s="550">
        <v>70</v>
      </c>
      <c r="F34" s="551">
        <v>1</v>
      </c>
      <c r="G34" s="550">
        <v>70</v>
      </c>
      <c r="H34" s="550">
        <v>79.099999999999994</v>
      </c>
      <c r="I34" s="550"/>
      <c r="J34" s="552"/>
    </row>
    <row r="35" spans="1:10" x14ac:dyDescent="0.3">
      <c r="A35" s="271"/>
      <c r="B35" s="242"/>
      <c r="C35" s="270"/>
      <c r="D35" s="243"/>
      <c r="E35" s="243"/>
      <c r="F35" s="244"/>
      <c r="G35" s="243"/>
      <c r="H35" s="243"/>
      <c r="I35" s="243"/>
      <c r="J35" s="245"/>
    </row>
    <row r="36" spans="1:10" x14ac:dyDescent="0.3">
      <c r="A36" s="257"/>
      <c r="B36" s="258" t="s">
        <v>856</v>
      </c>
      <c r="C36" s="260"/>
      <c r="D36" s="205"/>
      <c r="E36" s="205"/>
      <c r="F36" s="210"/>
      <c r="G36" s="205"/>
      <c r="H36" s="205">
        <f>SUM(H14:H35)</f>
        <v>5321.6200000000008</v>
      </c>
      <c r="I36" s="205">
        <f>SUM(I14:I34)</f>
        <v>5236.45</v>
      </c>
      <c r="J36" s="206">
        <f>SUM(J14:J34)</f>
        <v>5236.45</v>
      </c>
    </row>
    <row r="37" spans="1:10" x14ac:dyDescent="0.3">
      <c r="A37" s="257"/>
      <c r="B37" s="188"/>
      <c r="C37" s="185"/>
      <c r="D37" s="207"/>
      <c r="E37" s="207"/>
      <c r="F37" s="208"/>
      <c r="G37" s="207"/>
      <c r="H37" s="207"/>
      <c r="I37" s="207"/>
      <c r="J37" s="209"/>
    </row>
    <row r="38" spans="1:10" x14ac:dyDescent="0.3">
      <c r="A38" s="189" t="s">
        <v>857</v>
      </c>
      <c r="B38" s="188"/>
      <c r="C38" s="190"/>
      <c r="D38" s="191"/>
      <c r="E38" s="191"/>
      <c r="F38" s="192"/>
      <c r="G38" s="191"/>
      <c r="H38" s="191"/>
      <c r="I38" s="191"/>
      <c r="J38" s="193"/>
    </row>
    <row r="39" spans="1:10" x14ac:dyDescent="0.3">
      <c r="A39" s="256" t="s">
        <v>858</v>
      </c>
      <c r="B39" s="194" t="s">
        <v>874</v>
      </c>
      <c r="C39" s="199" t="s">
        <v>860</v>
      </c>
      <c r="D39" s="195" t="s">
        <v>20</v>
      </c>
      <c r="E39" s="195">
        <v>80</v>
      </c>
      <c r="F39" s="196">
        <v>5</v>
      </c>
      <c r="G39" s="195">
        <f>E39*F39</f>
        <v>400</v>
      </c>
      <c r="H39" s="195">
        <f>G39</f>
        <v>400</v>
      </c>
      <c r="I39" s="195">
        <f>57.41+57.34+49.16</f>
        <v>163.91</v>
      </c>
      <c r="J39" s="197">
        <f>57.41+57.34+49.16</f>
        <v>163.91</v>
      </c>
    </row>
    <row r="40" spans="1:10" x14ac:dyDescent="0.3">
      <c r="A40" s="189"/>
      <c r="B40" s="242" t="s">
        <v>876</v>
      </c>
      <c r="C40" s="198" t="s">
        <v>860</v>
      </c>
      <c r="D40" s="191" t="s">
        <v>861</v>
      </c>
      <c r="E40" s="191">
        <v>50</v>
      </c>
      <c r="F40" s="192">
        <v>10</v>
      </c>
      <c r="G40" s="243">
        <f t="shared" ref="G40:G48" si="2">E40*F40</f>
        <v>500</v>
      </c>
      <c r="H40" s="191">
        <f>G40</f>
        <v>500</v>
      </c>
      <c r="I40" s="191">
        <f>5+50.31+49.85+30.67+46.43+20.11+40.48</f>
        <v>242.85</v>
      </c>
      <c r="J40" s="193">
        <f>5+50.31+49.85+30.67+46.43+20.11+40.48</f>
        <v>242.85</v>
      </c>
    </row>
    <row r="41" spans="1:10" x14ac:dyDescent="0.3">
      <c r="A41" s="256"/>
      <c r="B41" s="194" t="s">
        <v>878</v>
      </c>
      <c r="C41" s="199" t="s">
        <v>862</v>
      </c>
      <c r="D41" s="195" t="s">
        <v>863</v>
      </c>
      <c r="E41" s="195">
        <v>200</v>
      </c>
      <c r="F41" s="196">
        <v>1</v>
      </c>
      <c r="G41" s="195">
        <f t="shared" si="2"/>
        <v>200</v>
      </c>
      <c r="H41" s="195">
        <f>G41</f>
        <v>200</v>
      </c>
      <c r="I41" s="195">
        <f>76.72+43.73+39.39+20.93+33.04</f>
        <v>213.80999999999997</v>
      </c>
      <c r="J41" s="197">
        <f>76.72+43.73+39.39+20.93+33.04</f>
        <v>213.80999999999997</v>
      </c>
    </row>
    <row r="42" spans="1:10" x14ac:dyDescent="0.3">
      <c r="A42" s="256"/>
      <c r="B42" s="194"/>
      <c r="C42" s="199" t="s">
        <v>604</v>
      </c>
      <c r="D42" s="195" t="s">
        <v>1676</v>
      </c>
      <c r="E42" s="195"/>
      <c r="F42" s="196"/>
      <c r="G42" s="195"/>
      <c r="H42" s="195"/>
      <c r="I42" s="195">
        <v>90.4</v>
      </c>
      <c r="J42" s="197">
        <v>90.4</v>
      </c>
    </row>
    <row r="43" spans="1:10" x14ac:dyDescent="0.3">
      <c r="A43" s="256"/>
      <c r="B43" s="242" t="s">
        <v>880</v>
      </c>
      <c r="C43" s="198" t="s">
        <v>604</v>
      </c>
      <c r="D43" s="191" t="s">
        <v>864</v>
      </c>
      <c r="E43" s="191">
        <v>2</v>
      </c>
      <c r="F43" s="192">
        <v>80</v>
      </c>
      <c r="G43" s="243">
        <f t="shared" si="2"/>
        <v>160</v>
      </c>
      <c r="H43" s="191">
        <f>G43*1.13</f>
        <v>180.79999999999998</v>
      </c>
      <c r="I43" s="191">
        <f>90.4+81.36+158.99+174.64</f>
        <v>505.39</v>
      </c>
      <c r="J43" s="193">
        <f>90.4+81.36+158.99+174.64</f>
        <v>505.39</v>
      </c>
    </row>
    <row r="44" spans="1:10" x14ac:dyDescent="0.3">
      <c r="A44" s="256"/>
      <c r="B44" s="194" t="s">
        <v>881</v>
      </c>
      <c r="C44" s="199" t="s">
        <v>350</v>
      </c>
      <c r="D44" s="195" t="s">
        <v>864</v>
      </c>
      <c r="E44" s="195">
        <v>0.5</v>
      </c>
      <c r="F44" s="196">
        <v>80</v>
      </c>
      <c r="G44" s="195">
        <f t="shared" si="2"/>
        <v>40</v>
      </c>
      <c r="H44" s="239">
        <f t="shared" ref="H44:H48" si="3">G44*1.13</f>
        <v>45.199999999999996</v>
      </c>
      <c r="I44" s="195">
        <v>29.02</v>
      </c>
      <c r="J44" s="197">
        <v>29.02</v>
      </c>
    </row>
    <row r="45" spans="1:10" x14ac:dyDescent="0.3">
      <c r="A45" s="256"/>
      <c r="B45" s="242" t="s">
        <v>1531</v>
      </c>
      <c r="C45" s="198" t="s">
        <v>865</v>
      </c>
      <c r="D45" s="191" t="s">
        <v>866</v>
      </c>
      <c r="E45" s="191">
        <v>100</v>
      </c>
      <c r="F45" s="192">
        <v>1</v>
      </c>
      <c r="G45" s="243">
        <f t="shared" si="2"/>
        <v>100</v>
      </c>
      <c r="H45" s="191">
        <f t="shared" si="3"/>
        <v>112.99999999999999</v>
      </c>
      <c r="I45" s="191">
        <f>150.29+50</f>
        <v>200.29</v>
      </c>
      <c r="J45" s="193">
        <v>200.29</v>
      </c>
    </row>
    <row r="46" spans="1:10" x14ac:dyDescent="0.3">
      <c r="A46" s="256" t="s">
        <v>867</v>
      </c>
      <c r="B46" s="194" t="s">
        <v>1637</v>
      </c>
      <c r="C46" s="199" t="s">
        <v>862</v>
      </c>
      <c r="D46" s="195" t="s">
        <v>868</v>
      </c>
      <c r="E46" s="195">
        <v>30</v>
      </c>
      <c r="F46" s="196">
        <v>1</v>
      </c>
      <c r="G46" s="195">
        <f t="shared" si="2"/>
        <v>30</v>
      </c>
      <c r="H46" s="239">
        <f t="shared" si="3"/>
        <v>33.9</v>
      </c>
      <c r="I46" s="195"/>
      <c r="J46" s="197"/>
    </row>
    <row r="47" spans="1:10" x14ac:dyDescent="0.3">
      <c r="A47" s="256"/>
      <c r="B47" s="242" t="s">
        <v>1638</v>
      </c>
      <c r="C47" s="190" t="s">
        <v>604</v>
      </c>
      <c r="D47" s="191" t="s">
        <v>869</v>
      </c>
      <c r="E47" s="191">
        <v>2</v>
      </c>
      <c r="F47" s="192">
        <v>200</v>
      </c>
      <c r="G47" s="243">
        <f t="shared" si="2"/>
        <v>400</v>
      </c>
      <c r="H47" s="191">
        <f t="shared" si="3"/>
        <v>451.99999999999994</v>
      </c>
      <c r="I47" s="243">
        <v>373.04</v>
      </c>
      <c r="J47" s="245">
        <v>373.04</v>
      </c>
    </row>
    <row r="48" spans="1:10" x14ac:dyDescent="0.3">
      <c r="A48" s="256"/>
      <c r="B48" s="194" t="s">
        <v>1639</v>
      </c>
      <c r="C48" s="238" t="s">
        <v>870</v>
      </c>
      <c r="D48" s="239" t="s">
        <v>871</v>
      </c>
      <c r="E48" s="239">
        <v>50</v>
      </c>
      <c r="F48" s="240">
        <v>1</v>
      </c>
      <c r="G48" s="195">
        <f t="shared" si="2"/>
        <v>50</v>
      </c>
      <c r="H48" s="239">
        <f t="shared" si="3"/>
        <v>56.499999999999993</v>
      </c>
      <c r="I48" s="239">
        <f>50+50</f>
        <v>100</v>
      </c>
      <c r="J48" s="241">
        <v>100</v>
      </c>
    </row>
    <row r="49" spans="1:10" x14ac:dyDescent="0.3">
      <c r="A49" s="256"/>
      <c r="B49" s="194"/>
      <c r="C49" s="238" t="s">
        <v>285</v>
      </c>
      <c r="D49" s="239" t="s">
        <v>1677</v>
      </c>
      <c r="E49" s="239"/>
      <c r="F49" s="240"/>
      <c r="G49" s="195"/>
      <c r="H49" s="239"/>
      <c r="I49" s="239">
        <v>61.25</v>
      </c>
      <c r="J49" s="241">
        <v>61.25</v>
      </c>
    </row>
    <row r="50" spans="1:10" x14ac:dyDescent="0.3">
      <c r="A50" s="257"/>
      <c r="B50" s="258" t="s">
        <v>872</v>
      </c>
      <c r="C50" s="260"/>
      <c r="D50" s="205"/>
      <c r="E50" s="205"/>
      <c r="F50" s="210"/>
      <c r="G50" s="205"/>
      <c r="H50" s="205">
        <f>SUM(H39:H48)</f>
        <v>1981.4</v>
      </c>
      <c r="I50" s="205">
        <f>SUM(I39:I49)</f>
        <v>1979.9599999999998</v>
      </c>
      <c r="J50" s="206">
        <f>SUM(J39:J49)</f>
        <v>1979.9599999999998</v>
      </c>
    </row>
    <row r="51" spans="1:10" x14ac:dyDescent="0.3">
      <c r="A51" s="257"/>
      <c r="B51" s="259"/>
      <c r="C51" s="190"/>
      <c r="D51" s="191"/>
      <c r="E51" s="191"/>
      <c r="F51" s="192"/>
      <c r="G51" s="191"/>
      <c r="H51" s="191"/>
      <c r="I51" s="191"/>
      <c r="J51" s="193"/>
    </row>
    <row r="52" spans="1:10" x14ac:dyDescent="0.3">
      <c r="A52" s="189" t="s">
        <v>873</v>
      </c>
      <c r="B52" s="188"/>
      <c r="C52" s="190"/>
      <c r="D52" s="191"/>
      <c r="E52" s="191"/>
      <c r="F52" s="192"/>
      <c r="G52" s="191"/>
      <c r="H52" s="191"/>
      <c r="I52" s="191"/>
      <c r="J52" s="193"/>
    </row>
    <row r="53" spans="1:10" x14ac:dyDescent="0.3">
      <c r="A53" s="271"/>
      <c r="B53" s="238" t="s">
        <v>885</v>
      </c>
      <c r="C53" s="238" t="s">
        <v>873</v>
      </c>
      <c r="D53" s="239" t="s">
        <v>875</v>
      </c>
      <c r="E53" s="239">
        <v>200</v>
      </c>
      <c r="F53" s="240">
        <v>1</v>
      </c>
      <c r="G53" s="239">
        <f>E53*F53</f>
        <v>200</v>
      </c>
      <c r="H53" s="239">
        <f>G53*1.13</f>
        <v>225.99999999999997</v>
      </c>
      <c r="I53" s="239">
        <f>42.38+42.94</f>
        <v>85.32</v>
      </c>
      <c r="J53" s="241">
        <f>42.38+42.94</f>
        <v>85.32</v>
      </c>
    </row>
    <row r="54" spans="1:10" x14ac:dyDescent="0.3">
      <c r="A54" s="272"/>
      <c r="B54" s="242" t="s">
        <v>887</v>
      </c>
      <c r="C54" s="242" t="s">
        <v>873</v>
      </c>
      <c r="D54" s="243" t="s">
        <v>877</v>
      </c>
      <c r="E54" s="243">
        <v>40</v>
      </c>
      <c r="F54" s="244">
        <v>3</v>
      </c>
      <c r="G54" s="243">
        <f t="shared" ref="G54:G58" si="4">E54*F54</f>
        <v>120</v>
      </c>
      <c r="H54" s="243">
        <f t="shared" ref="H54:H58" si="5">G54*1.13</f>
        <v>135.6</v>
      </c>
      <c r="I54" s="243">
        <v>79.099999999999994</v>
      </c>
      <c r="J54" s="245">
        <v>79.099999999999994</v>
      </c>
    </row>
    <row r="55" spans="1:10" x14ac:dyDescent="0.3">
      <c r="A55" s="271"/>
      <c r="B55" s="238" t="s">
        <v>889</v>
      </c>
      <c r="C55" s="238" t="s">
        <v>604</v>
      </c>
      <c r="D55" s="239" t="s">
        <v>879</v>
      </c>
      <c r="E55" s="239">
        <v>4</v>
      </c>
      <c r="F55" s="240">
        <v>13</v>
      </c>
      <c r="G55" s="239">
        <f t="shared" si="4"/>
        <v>52</v>
      </c>
      <c r="H55" s="239">
        <f t="shared" si="5"/>
        <v>58.759999999999991</v>
      </c>
      <c r="I55" s="239">
        <f>47.73+47.73</f>
        <v>95.46</v>
      </c>
      <c r="J55" s="241">
        <f>47.73+47.73</f>
        <v>95.46</v>
      </c>
    </row>
    <row r="56" spans="1:10" x14ac:dyDescent="0.3">
      <c r="A56" s="272"/>
      <c r="B56" s="242" t="s">
        <v>891</v>
      </c>
      <c r="C56" s="242" t="s">
        <v>350</v>
      </c>
      <c r="D56" s="243" t="s">
        <v>879</v>
      </c>
      <c r="E56" s="243">
        <v>1</v>
      </c>
      <c r="F56" s="244">
        <v>13</v>
      </c>
      <c r="G56" s="243">
        <f t="shared" si="4"/>
        <v>13</v>
      </c>
      <c r="H56" s="243">
        <f t="shared" si="5"/>
        <v>14.689999999999998</v>
      </c>
      <c r="I56" s="243">
        <v>29.49</v>
      </c>
      <c r="J56" s="245">
        <v>29.49</v>
      </c>
    </row>
    <row r="57" spans="1:10" x14ac:dyDescent="0.3">
      <c r="A57" s="272"/>
      <c r="B57" s="238" t="s">
        <v>893</v>
      </c>
      <c r="C57" s="238" t="s">
        <v>882</v>
      </c>
      <c r="D57" s="239" t="s">
        <v>875</v>
      </c>
      <c r="E57" s="239">
        <v>35</v>
      </c>
      <c r="F57" s="240">
        <v>1</v>
      </c>
      <c r="G57" s="239">
        <f t="shared" si="4"/>
        <v>35</v>
      </c>
      <c r="H57" s="239">
        <f t="shared" si="5"/>
        <v>39.549999999999997</v>
      </c>
      <c r="I57" s="239">
        <v>50.85</v>
      </c>
      <c r="J57" s="241">
        <v>50.85</v>
      </c>
    </row>
    <row r="58" spans="1:10" s="373" customFormat="1" x14ac:dyDescent="0.3">
      <c r="A58" s="271"/>
      <c r="B58" s="242" t="s">
        <v>896</v>
      </c>
      <c r="C58" s="555" t="s">
        <v>1529</v>
      </c>
      <c r="D58" s="555" t="s">
        <v>1530</v>
      </c>
      <c r="E58" s="544">
        <v>2500</v>
      </c>
      <c r="F58" s="554">
        <v>1</v>
      </c>
      <c r="G58" s="243">
        <f t="shared" si="4"/>
        <v>2500</v>
      </c>
      <c r="H58" s="243">
        <f t="shared" si="5"/>
        <v>2824.9999999999995</v>
      </c>
      <c r="I58" s="544">
        <v>2881.5</v>
      </c>
      <c r="J58" s="245">
        <v>2881.5</v>
      </c>
    </row>
    <row r="59" spans="1:10" x14ac:dyDescent="0.3">
      <c r="A59" s="272"/>
      <c r="B59" s="238"/>
      <c r="C59" s="238"/>
      <c r="D59" s="239"/>
      <c r="E59" s="239"/>
      <c r="F59" s="240"/>
      <c r="G59" s="239"/>
      <c r="H59" s="239"/>
      <c r="I59" s="239"/>
      <c r="J59" s="241"/>
    </row>
    <row r="60" spans="1:10" x14ac:dyDescent="0.3">
      <c r="A60" s="257"/>
      <c r="B60" s="258" t="s">
        <v>883</v>
      </c>
      <c r="C60" s="260"/>
      <c r="D60" s="205"/>
      <c r="E60" s="205"/>
      <c r="F60" s="210"/>
      <c r="G60" s="205"/>
      <c r="H60" s="205">
        <f>SUM(H53:H59)</f>
        <v>3299.5999999999995</v>
      </c>
      <c r="I60" s="205">
        <f>SUM(I53:I58)</f>
        <v>3221.7200000000003</v>
      </c>
      <c r="J60" s="206">
        <f>SUM(J53:J58)</f>
        <v>3221.7200000000003</v>
      </c>
    </row>
    <row r="61" spans="1:10" x14ac:dyDescent="0.3">
      <c r="A61" s="189"/>
      <c r="B61" s="259"/>
      <c r="C61" s="198"/>
      <c r="D61" s="191"/>
      <c r="E61" s="191"/>
      <c r="F61" s="192"/>
      <c r="G61" s="191"/>
      <c r="H61" s="191"/>
      <c r="I61" s="191"/>
      <c r="J61" s="193"/>
    </row>
    <row r="62" spans="1:10" ht="18.75" x14ac:dyDescent="0.35">
      <c r="A62" s="257"/>
      <c r="B62" s="261"/>
      <c r="C62" s="212"/>
      <c r="D62" s="213"/>
      <c r="E62" s="213"/>
      <c r="F62" s="214"/>
      <c r="G62" s="213"/>
      <c r="H62" s="213"/>
      <c r="I62" s="213"/>
      <c r="J62" s="215"/>
    </row>
    <row r="63" spans="1:10" x14ac:dyDescent="0.3">
      <c r="A63" s="189" t="s">
        <v>884</v>
      </c>
      <c r="B63" s="188"/>
      <c r="C63" s="190"/>
      <c r="D63" s="191"/>
      <c r="E63" s="191"/>
      <c r="F63" s="192"/>
      <c r="G63" s="191"/>
      <c r="H63" s="191"/>
      <c r="I63" s="191"/>
      <c r="J63" s="193"/>
    </row>
    <row r="64" spans="1:10" x14ac:dyDescent="0.3">
      <c r="A64" s="189"/>
      <c r="B64" s="194" t="s">
        <v>1640</v>
      </c>
      <c r="C64" s="199" t="s">
        <v>173</v>
      </c>
      <c r="D64" s="195" t="s">
        <v>886</v>
      </c>
      <c r="E64" s="195">
        <v>500</v>
      </c>
      <c r="F64" s="196">
        <v>1</v>
      </c>
      <c r="G64" s="195">
        <v>500</v>
      </c>
      <c r="H64" s="195">
        <v>565</v>
      </c>
      <c r="I64" s="195">
        <v>10231.86</v>
      </c>
      <c r="J64" s="197">
        <v>10231.86</v>
      </c>
    </row>
    <row r="65" spans="1:10" x14ac:dyDescent="0.3">
      <c r="A65" s="189"/>
      <c r="B65" s="242" t="s">
        <v>1641</v>
      </c>
      <c r="C65" s="190" t="s">
        <v>618</v>
      </c>
      <c r="D65" s="191" t="s">
        <v>888</v>
      </c>
      <c r="E65" s="191">
        <v>50</v>
      </c>
      <c r="F65" s="192">
        <v>150</v>
      </c>
      <c r="G65" s="191">
        <f>E65*F65</f>
        <v>7500</v>
      </c>
      <c r="H65" s="191">
        <f>G65*1.13</f>
        <v>8475</v>
      </c>
      <c r="I65" s="191"/>
      <c r="J65" s="193"/>
    </row>
    <row r="66" spans="1:10" x14ac:dyDescent="0.3">
      <c r="A66" s="257"/>
      <c r="B66" s="194" t="s">
        <v>1642</v>
      </c>
      <c r="C66" s="194" t="s">
        <v>781</v>
      </c>
      <c r="D66" s="195" t="s">
        <v>890</v>
      </c>
      <c r="E66" s="195">
        <v>30</v>
      </c>
      <c r="F66" s="196">
        <v>50</v>
      </c>
      <c r="G66" s="239">
        <f t="shared" ref="G66:G69" si="6">E66*F66</f>
        <v>1500</v>
      </c>
      <c r="H66" s="239">
        <f t="shared" ref="H66:H69" si="7">G66*1.13</f>
        <v>1694.9999999999998</v>
      </c>
      <c r="I66" s="195"/>
      <c r="J66" s="197"/>
    </row>
    <row r="67" spans="1:10" x14ac:dyDescent="0.3">
      <c r="A67" s="257"/>
      <c r="B67" s="242" t="s">
        <v>1643</v>
      </c>
      <c r="C67" s="190" t="s">
        <v>892</v>
      </c>
      <c r="D67" s="191" t="s">
        <v>888</v>
      </c>
      <c r="E67" s="191">
        <v>1000</v>
      </c>
      <c r="F67" s="192">
        <v>1</v>
      </c>
      <c r="G67" s="191">
        <f t="shared" si="6"/>
        <v>1000</v>
      </c>
      <c r="H67" s="191">
        <f t="shared" si="7"/>
        <v>1130</v>
      </c>
      <c r="I67" s="191"/>
      <c r="J67" s="193"/>
    </row>
    <row r="68" spans="1:10" x14ac:dyDescent="0.3">
      <c r="A68" s="256"/>
      <c r="B68" s="194" t="s">
        <v>1644</v>
      </c>
      <c r="C68" s="194" t="s">
        <v>894</v>
      </c>
      <c r="D68" s="195" t="s">
        <v>895</v>
      </c>
      <c r="E68" s="195">
        <v>200</v>
      </c>
      <c r="F68" s="196">
        <v>1</v>
      </c>
      <c r="G68" s="239">
        <f t="shared" si="6"/>
        <v>200</v>
      </c>
      <c r="H68" s="239">
        <f t="shared" si="7"/>
        <v>225.99999999999997</v>
      </c>
      <c r="I68" s="195">
        <v>180.8</v>
      </c>
      <c r="J68" s="197">
        <v>180.8</v>
      </c>
    </row>
    <row r="69" spans="1:10" x14ac:dyDescent="0.3">
      <c r="A69" s="256"/>
      <c r="B69" s="242" t="s">
        <v>1645</v>
      </c>
      <c r="C69" s="190" t="s">
        <v>897</v>
      </c>
      <c r="D69" s="191" t="s">
        <v>898</v>
      </c>
      <c r="E69" s="191">
        <v>0.5</v>
      </c>
      <c r="F69" s="192">
        <v>150</v>
      </c>
      <c r="G69" s="191">
        <f t="shared" si="6"/>
        <v>75</v>
      </c>
      <c r="H69" s="191">
        <f t="shared" si="7"/>
        <v>84.749999999999986</v>
      </c>
      <c r="I69" s="191">
        <f>35.88</f>
        <v>35.880000000000003</v>
      </c>
      <c r="J69" s="193">
        <f>35.88</f>
        <v>35.880000000000003</v>
      </c>
    </row>
    <row r="70" spans="1:10" x14ac:dyDescent="0.3">
      <c r="A70" s="257"/>
      <c r="B70" s="258" t="s">
        <v>899</v>
      </c>
      <c r="C70" s="260"/>
      <c r="D70" s="205"/>
      <c r="E70" s="205"/>
      <c r="F70" s="210"/>
      <c r="G70" s="205"/>
      <c r="H70" s="205">
        <f>SUM(H64:H69)</f>
        <v>12175.75</v>
      </c>
      <c r="I70" s="205">
        <f>SUM(I64:I69)</f>
        <v>10448.539999999999</v>
      </c>
      <c r="J70" s="206">
        <f>SUM(J64:J69)</f>
        <v>10448.539999999999</v>
      </c>
    </row>
    <row r="71" spans="1:10" x14ac:dyDescent="0.3">
      <c r="A71" s="189"/>
      <c r="B71" s="259"/>
      <c r="C71" s="198"/>
      <c r="D71" s="191"/>
      <c r="E71" s="191"/>
      <c r="F71" s="192"/>
      <c r="G71" s="191"/>
      <c r="H71" s="191"/>
      <c r="I71" s="191"/>
      <c r="J71" s="193"/>
    </row>
    <row r="72" spans="1:10" ht="18.75" x14ac:dyDescent="0.35">
      <c r="A72" s="257"/>
      <c r="B72" s="261"/>
      <c r="C72" s="212" t="s">
        <v>85</v>
      </c>
      <c r="D72" s="213"/>
      <c r="E72" s="213"/>
      <c r="F72" s="214"/>
      <c r="G72" s="213"/>
      <c r="H72" s="213">
        <f>SUM(H36+H50+H60+H70)</f>
        <v>22778.37</v>
      </c>
      <c r="I72" s="213">
        <f>I70+I60+I50+I36</f>
        <v>20886.669999999998</v>
      </c>
      <c r="J72" s="215">
        <f>J70+J60+J50+J36</f>
        <v>20886.669999999998</v>
      </c>
    </row>
    <row r="73" spans="1:10" ht="18.75" x14ac:dyDescent="0.35">
      <c r="A73" s="257"/>
      <c r="B73" s="261"/>
      <c r="C73" s="212"/>
      <c r="D73" s="213"/>
      <c r="E73" s="213"/>
      <c r="F73" s="214"/>
      <c r="G73" s="213"/>
      <c r="H73" s="213"/>
      <c r="I73" s="213"/>
      <c r="J73" s="215"/>
    </row>
    <row r="74" spans="1:10" ht="18.75" x14ac:dyDescent="0.35">
      <c r="A74" s="257"/>
      <c r="B74" s="261"/>
      <c r="C74" s="212"/>
      <c r="D74" s="213"/>
      <c r="E74" s="213"/>
      <c r="F74" s="214"/>
      <c r="G74" s="213"/>
      <c r="H74" s="213"/>
      <c r="I74" s="213"/>
      <c r="J74" s="215"/>
    </row>
    <row r="75" spans="1:10" ht="20.25" x14ac:dyDescent="0.35">
      <c r="A75" s="498" t="s">
        <v>86</v>
      </c>
      <c r="B75" s="499"/>
      <c r="C75" s="262"/>
      <c r="D75" s="224"/>
      <c r="E75" s="224"/>
      <c r="F75" s="225"/>
      <c r="G75" s="224"/>
      <c r="H75" s="224"/>
      <c r="I75" s="224"/>
      <c r="J75" s="226"/>
    </row>
    <row r="76" spans="1:10" ht="20.25" x14ac:dyDescent="0.35">
      <c r="A76" s="263"/>
      <c r="B76" s="264" t="s">
        <v>87</v>
      </c>
      <c r="C76" s="264"/>
      <c r="D76" s="229"/>
      <c r="E76" s="229"/>
      <c r="F76" s="229"/>
      <c r="G76" s="229"/>
      <c r="H76" s="229">
        <f>H10</f>
        <v>0</v>
      </c>
      <c r="I76" s="229">
        <f>I10</f>
        <v>0</v>
      </c>
      <c r="J76" s="230">
        <f>J10</f>
        <v>0</v>
      </c>
    </row>
    <row r="77" spans="1:10" ht="20.25" x14ac:dyDescent="0.35">
      <c r="A77" s="263"/>
      <c r="B77" s="265" t="s">
        <v>88</v>
      </c>
      <c r="C77" s="265"/>
      <c r="D77" s="232"/>
      <c r="E77" s="232"/>
      <c r="F77" s="232"/>
      <c r="G77" s="232"/>
      <c r="H77" s="232">
        <f>H72</f>
        <v>22778.37</v>
      </c>
      <c r="I77" s="232">
        <f>I72+90.4</f>
        <v>20977.07</v>
      </c>
      <c r="J77" s="233">
        <f>J72</f>
        <v>20886.669999999998</v>
      </c>
    </row>
    <row r="78" spans="1:10" ht="20.25" x14ac:dyDescent="0.35">
      <c r="A78" s="266"/>
      <c r="B78" s="267" t="s">
        <v>89</v>
      </c>
      <c r="C78" s="267"/>
      <c r="D78" s="236"/>
      <c r="E78" s="236"/>
      <c r="F78" s="236"/>
      <c r="G78" s="236"/>
      <c r="H78" s="236">
        <f>H76-H77</f>
        <v>-22778.37</v>
      </c>
      <c r="I78" s="236">
        <f>I76-I77</f>
        <v>-20977.07</v>
      </c>
      <c r="J78" s="237">
        <f>J76-J77</f>
        <v>-20886.669999999998</v>
      </c>
    </row>
  </sheetData>
  <mergeCells count="6">
    <mergeCell ref="A12:C12"/>
    <mergeCell ref="A1:C4"/>
    <mergeCell ref="D1:J4"/>
    <mergeCell ref="A5:C5"/>
    <mergeCell ref="D5:E5"/>
    <mergeCell ref="A8:C8"/>
  </mergeCells>
  <pageMargins left="0" right="0" top="0" bottom="0" header="0" footer="0"/>
  <headerFooter alignWithMargins="0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zoomScale="75" zoomScaleNormal="75" workbookViewId="0">
      <pane xSplit="3" ySplit="6" topLeftCell="E7" activePane="bottomRight" state="frozen"/>
      <selection pane="topRight" activeCell="C1" sqref="C1"/>
      <selection pane="bottomLeft" activeCell="A4" sqref="A4"/>
      <selection pane="bottomRight" activeCell="C34" sqref="C34"/>
    </sheetView>
  </sheetViews>
  <sheetFormatPr defaultColWidth="8.85546875" defaultRowHeight="17.25" x14ac:dyDescent="0.3"/>
  <cols>
    <col min="1" max="2" width="13.85546875" style="53" customWidth="1"/>
    <col min="3" max="3" width="42.85546875" style="53" bestFit="1" customWidth="1"/>
    <col min="4" max="4" width="28.140625" style="55" customWidth="1"/>
    <col min="5" max="5" width="28.140625" style="18" customWidth="1"/>
    <col min="6" max="6" width="15.28515625" style="77" customWidth="1"/>
    <col min="7" max="7" width="17.42578125" style="18" customWidth="1"/>
    <col min="8" max="8" width="18.140625" style="18" customWidth="1"/>
    <col min="9" max="9" width="22.42578125" style="18" customWidth="1"/>
    <col min="10" max="10" width="23" style="18" customWidth="1"/>
    <col min="11" max="11" width="12" style="17" customWidth="1"/>
    <col min="12" max="12" width="11.28515625" style="17" customWidth="1"/>
    <col min="13" max="13" width="8.85546875" style="53"/>
    <col min="14" max="14" width="10.140625" style="53" bestFit="1" customWidth="1"/>
    <col min="15" max="15" width="14.28515625" style="53" customWidth="1"/>
    <col min="16" max="16384" width="8.85546875" style="53"/>
  </cols>
  <sheetData>
    <row r="1" spans="1:15" s="2" customFormat="1" ht="38.25" customHeight="1" x14ac:dyDescent="0.3">
      <c r="A1" s="585"/>
      <c r="B1" s="586"/>
      <c r="C1" s="587"/>
      <c r="D1" s="564" t="s">
        <v>900</v>
      </c>
      <c r="E1" s="565"/>
      <c r="F1" s="565"/>
      <c r="G1" s="565"/>
      <c r="H1" s="565"/>
      <c r="I1" s="565"/>
      <c r="J1" s="566"/>
    </row>
    <row r="2" spans="1:15" s="2" customFormat="1" ht="38.25" customHeight="1" x14ac:dyDescent="0.3">
      <c r="A2" s="588"/>
      <c r="B2" s="589"/>
      <c r="C2" s="590"/>
      <c r="D2" s="567"/>
      <c r="E2" s="568"/>
      <c r="F2" s="568"/>
      <c r="G2" s="568"/>
      <c r="H2" s="568"/>
      <c r="I2" s="568"/>
      <c r="J2" s="569"/>
    </row>
    <row r="3" spans="1:15" s="2" customFormat="1" ht="38.25" customHeight="1" x14ac:dyDescent="0.3">
      <c r="A3" s="588"/>
      <c r="B3" s="589"/>
      <c r="C3" s="590"/>
      <c r="D3" s="567"/>
      <c r="E3" s="568"/>
      <c r="F3" s="568"/>
      <c r="G3" s="568"/>
      <c r="H3" s="568"/>
      <c r="I3" s="568"/>
      <c r="J3" s="569"/>
    </row>
    <row r="4" spans="1:15" s="2" customFormat="1" ht="38.25" customHeight="1" x14ac:dyDescent="0.3">
      <c r="A4" s="591"/>
      <c r="B4" s="592"/>
      <c r="C4" s="593"/>
      <c r="D4" s="570"/>
      <c r="E4" s="571"/>
      <c r="F4" s="571"/>
      <c r="G4" s="571"/>
      <c r="H4" s="571"/>
      <c r="I4" s="571"/>
      <c r="J4" s="572"/>
    </row>
    <row r="5" spans="1:15" s="2" customFormat="1" x14ac:dyDescent="0.3">
      <c r="A5" s="573"/>
      <c r="B5" s="578"/>
      <c r="C5" s="574"/>
      <c r="D5" s="579"/>
      <c r="E5" s="580"/>
      <c r="F5" s="73"/>
      <c r="G5" s="68"/>
      <c r="H5" s="68"/>
      <c r="I5" s="68"/>
      <c r="J5" s="69"/>
      <c r="K5" s="8"/>
      <c r="L5" s="8"/>
    </row>
    <row r="6" spans="1:15" s="64" customFormat="1" x14ac:dyDescent="0.3">
      <c r="A6" s="59"/>
      <c r="B6" s="72" t="s">
        <v>91</v>
      </c>
      <c r="C6" s="70" t="s">
        <v>92</v>
      </c>
      <c r="D6" s="60" t="s">
        <v>93</v>
      </c>
      <c r="E6" s="61" t="s">
        <v>94</v>
      </c>
      <c r="F6" s="74" t="s">
        <v>95</v>
      </c>
      <c r="G6" s="87" t="s">
        <v>96</v>
      </c>
      <c r="H6" s="87" t="s">
        <v>97</v>
      </c>
      <c r="I6" s="87" t="s">
        <v>98</v>
      </c>
      <c r="J6" s="88" t="s">
        <v>99</v>
      </c>
      <c r="K6" s="63"/>
      <c r="L6" s="63"/>
    </row>
    <row r="7" spans="1:15" s="2" customFormat="1" x14ac:dyDescent="0.3">
      <c r="A7" s="9"/>
      <c r="B7" s="65"/>
      <c r="C7" s="10"/>
      <c r="D7" s="11"/>
      <c r="E7" s="12"/>
      <c r="F7" s="75"/>
      <c r="G7" s="12"/>
      <c r="H7" s="12"/>
      <c r="I7" s="12"/>
      <c r="J7" s="84"/>
      <c r="K7" s="8"/>
      <c r="L7" s="8"/>
    </row>
    <row r="8" spans="1:15" s="2" customFormat="1" x14ac:dyDescent="0.3">
      <c r="A8" s="560" t="s">
        <v>5</v>
      </c>
      <c r="B8" s="561"/>
      <c r="C8" s="561"/>
      <c r="D8" s="14"/>
      <c r="E8" s="14"/>
      <c r="F8" s="76"/>
      <c r="G8" s="14"/>
      <c r="H8" s="14"/>
      <c r="I8" s="14"/>
      <c r="J8" s="15"/>
      <c r="K8" s="8"/>
      <c r="L8" s="8"/>
    </row>
    <row r="9" spans="1:15" s="17" customFormat="1" x14ac:dyDescent="0.3">
      <c r="A9" s="16"/>
      <c r="B9" s="27"/>
      <c r="C9" s="27"/>
      <c r="D9" s="85"/>
      <c r="E9" s="85"/>
      <c r="F9" s="94"/>
      <c r="G9" s="85"/>
      <c r="H9" s="85"/>
      <c r="I9" s="85"/>
      <c r="J9" s="86"/>
      <c r="K9" s="22"/>
      <c r="L9" s="29"/>
      <c r="M9" s="22"/>
      <c r="N9" s="22"/>
      <c r="O9" s="23"/>
    </row>
    <row r="10" spans="1:15" s="31" customFormat="1" ht="18.75" x14ac:dyDescent="0.35">
      <c r="A10" s="30"/>
      <c r="C10" s="31" t="s">
        <v>45</v>
      </c>
      <c r="D10" s="96"/>
      <c r="E10" s="96"/>
      <c r="F10" s="97"/>
      <c r="G10" s="96"/>
      <c r="H10" s="96">
        <v>0</v>
      </c>
      <c r="I10" s="96">
        <v>0</v>
      </c>
      <c r="J10" s="98">
        <v>0</v>
      </c>
      <c r="K10" s="32"/>
      <c r="L10" s="33"/>
      <c r="M10" s="32"/>
      <c r="N10" s="32"/>
      <c r="O10" s="34"/>
    </row>
    <row r="11" spans="1:15" s="31" customFormat="1" ht="18.75" x14ac:dyDescent="0.35">
      <c r="A11" s="30"/>
      <c r="D11" s="85"/>
      <c r="E11" s="85"/>
      <c r="F11" s="94"/>
      <c r="G11" s="85"/>
      <c r="H11" s="85"/>
      <c r="I11" s="85"/>
      <c r="J11" s="86"/>
      <c r="K11" s="32"/>
      <c r="L11" s="33"/>
      <c r="M11" s="32"/>
      <c r="N11" s="32"/>
      <c r="O11" s="34"/>
    </row>
    <row r="12" spans="1:15" s="17" customFormat="1" x14ac:dyDescent="0.3">
      <c r="A12" s="560" t="s">
        <v>46</v>
      </c>
      <c r="B12" s="561"/>
      <c r="C12" s="561"/>
      <c r="D12" s="14"/>
      <c r="E12" s="35"/>
      <c r="F12" s="78"/>
      <c r="G12" s="35"/>
      <c r="H12" s="35"/>
      <c r="I12" s="35"/>
      <c r="J12" s="15"/>
      <c r="K12" s="37"/>
      <c r="L12" s="37"/>
    </row>
    <row r="13" spans="1:15" s="27" customFormat="1" x14ac:dyDescent="0.3">
      <c r="A13" s="189" t="s">
        <v>1647</v>
      </c>
      <c r="B13" s="188"/>
      <c r="C13" s="188"/>
      <c r="D13" s="191"/>
      <c r="E13" s="191"/>
      <c r="F13" s="192"/>
      <c r="G13" s="191"/>
      <c r="H13" s="191"/>
      <c r="I13" s="191"/>
      <c r="J13" s="193"/>
      <c r="K13" s="22"/>
      <c r="L13" s="26"/>
      <c r="N13" s="24"/>
      <c r="O13" s="28"/>
    </row>
    <row r="14" spans="1:15" s="17" customFormat="1" x14ac:dyDescent="0.3">
      <c r="A14" s="257"/>
      <c r="B14" s="194" t="s">
        <v>901</v>
      </c>
      <c r="C14" s="199" t="s">
        <v>356</v>
      </c>
      <c r="D14" s="195" t="s">
        <v>902</v>
      </c>
      <c r="E14" s="195">
        <v>0.25</v>
      </c>
      <c r="F14" s="196">
        <v>30</v>
      </c>
      <c r="G14" s="195">
        <f>E14*F14</f>
        <v>7.5</v>
      </c>
      <c r="H14" s="195">
        <f>G14</f>
        <v>7.5</v>
      </c>
      <c r="I14" s="195"/>
      <c r="J14" s="197"/>
      <c r="L14" s="29"/>
      <c r="N14" s="23"/>
    </row>
    <row r="15" spans="1:15" s="17" customFormat="1" x14ac:dyDescent="0.3">
      <c r="A15" s="257"/>
      <c r="B15" s="242" t="s">
        <v>903</v>
      </c>
      <c r="C15" s="198" t="s">
        <v>904</v>
      </c>
      <c r="D15" s="191" t="s">
        <v>905</v>
      </c>
      <c r="E15" s="191">
        <v>28</v>
      </c>
      <c r="F15" s="192">
        <v>2</v>
      </c>
      <c r="G15" s="191">
        <f>E15*F15</f>
        <v>56</v>
      </c>
      <c r="H15" s="191">
        <f>G15*1.13</f>
        <v>63.279999999999994</v>
      </c>
      <c r="I15" s="191"/>
      <c r="J15" s="193"/>
      <c r="L15" s="29"/>
      <c r="N15" s="23"/>
    </row>
    <row r="16" spans="1:15" s="17" customFormat="1" x14ac:dyDescent="0.3">
      <c r="A16" s="257"/>
      <c r="B16" s="194" t="s">
        <v>906</v>
      </c>
      <c r="C16" s="199" t="s">
        <v>904</v>
      </c>
      <c r="D16" s="195" t="s">
        <v>635</v>
      </c>
      <c r="E16" s="195">
        <v>40</v>
      </c>
      <c r="F16" s="196">
        <v>2</v>
      </c>
      <c r="G16" s="195">
        <v>80</v>
      </c>
      <c r="H16" s="195">
        <v>90.4</v>
      </c>
      <c r="I16" s="195"/>
      <c r="J16" s="197"/>
      <c r="L16" s="29"/>
      <c r="N16" s="23"/>
    </row>
    <row r="17" spans="1:15" s="17" customFormat="1" x14ac:dyDescent="0.3">
      <c r="A17" s="257"/>
      <c r="B17" s="242" t="s">
        <v>907</v>
      </c>
      <c r="C17" s="198" t="s">
        <v>904</v>
      </c>
      <c r="D17" s="191" t="s">
        <v>908</v>
      </c>
      <c r="E17" s="191">
        <v>70</v>
      </c>
      <c r="F17" s="192">
        <v>2</v>
      </c>
      <c r="G17" s="191">
        <v>140</v>
      </c>
      <c r="H17" s="191">
        <v>158.19999999999999</v>
      </c>
      <c r="I17" s="191">
        <v>158.19999999999999</v>
      </c>
      <c r="J17" s="193"/>
      <c r="L17" s="29"/>
      <c r="N17" s="23"/>
    </row>
    <row r="18" spans="1:15" s="17" customFormat="1" x14ac:dyDescent="0.3">
      <c r="A18" s="257"/>
      <c r="B18" s="194" t="s">
        <v>909</v>
      </c>
      <c r="C18" s="199" t="s">
        <v>904</v>
      </c>
      <c r="D18" s="195" t="s">
        <v>910</v>
      </c>
      <c r="E18" s="195">
        <v>35</v>
      </c>
      <c r="F18" s="196">
        <v>1</v>
      </c>
      <c r="G18" s="195">
        <f>E18*F18</f>
        <v>35</v>
      </c>
      <c r="H18" s="195">
        <f>G18*1.13</f>
        <v>39.549999999999997</v>
      </c>
      <c r="I18" s="195"/>
      <c r="J18" s="197"/>
      <c r="L18" s="29"/>
      <c r="N18" s="23"/>
    </row>
    <row r="19" spans="1:15" s="17" customFormat="1" x14ac:dyDescent="0.3">
      <c r="A19" s="271"/>
      <c r="B19" s="269"/>
      <c r="C19" s="312"/>
      <c r="D19" s="243"/>
      <c r="E19" s="243"/>
      <c r="F19" s="244"/>
      <c r="G19" s="243"/>
      <c r="H19" s="243"/>
      <c r="I19" s="243"/>
      <c r="J19" s="245"/>
      <c r="L19" s="29"/>
      <c r="N19" s="23"/>
    </row>
    <row r="20" spans="1:15" s="17" customFormat="1" x14ac:dyDescent="0.3">
      <c r="A20" s="257"/>
      <c r="B20" s="258" t="s">
        <v>1646</v>
      </c>
      <c r="C20" s="260"/>
      <c r="D20" s="205"/>
      <c r="E20" s="205"/>
      <c r="F20" s="210"/>
      <c r="G20" s="205"/>
      <c r="H20" s="205">
        <f>SUM(H14:H18)</f>
        <v>358.93</v>
      </c>
      <c r="I20" s="205">
        <f>SUM(I14:I18)</f>
        <v>158.19999999999999</v>
      </c>
      <c r="J20" s="206">
        <v>0</v>
      </c>
      <c r="L20" s="29"/>
      <c r="N20" s="23"/>
    </row>
    <row r="21" spans="1:15" s="17" customFormat="1" x14ac:dyDescent="0.3">
      <c r="A21" s="189"/>
      <c r="B21" s="188"/>
      <c r="C21" s="188"/>
      <c r="D21" s="207"/>
      <c r="E21" s="207"/>
      <c r="F21" s="208"/>
      <c r="G21" s="207"/>
      <c r="H21" s="207"/>
      <c r="I21" s="207"/>
      <c r="J21" s="209"/>
      <c r="L21" s="29"/>
      <c r="N21" s="23"/>
    </row>
    <row r="22" spans="1:15" s="17" customFormat="1" x14ac:dyDescent="0.3">
      <c r="A22" s="556" t="s">
        <v>1648</v>
      </c>
      <c r="B22" s="556"/>
      <c r="C22" s="188"/>
      <c r="D22" s="191"/>
      <c r="E22" s="191"/>
      <c r="F22" s="192"/>
      <c r="G22" s="191"/>
      <c r="H22" s="191"/>
      <c r="I22" s="191"/>
      <c r="J22" s="193"/>
      <c r="K22" s="22"/>
      <c r="L22" s="29"/>
      <c r="N22" s="23"/>
      <c r="O22" s="23"/>
    </row>
    <row r="23" spans="1:15" s="17" customFormat="1" x14ac:dyDescent="0.3">
      <c r="A23" s="256"/>
      <c r="B23" s="194" t="s">
        <v>911</v>
      </c>
      <c r="C23" s="199" t="s">
        <v>912</v>
      </c>
      <c r="D23" s="195" t="s">
        <v>913</v>
      </c>
      <c r="E23" s="195">
        <v>258</v>
      </c>
      <c r="F23" s="196">
        <v>1</v>
      </c>
      <c r="G23" s="195">
        <v>258</v>
      </c>
      <c r="H23" s="195">
        <v>291.54000000000002</v>
      </c>
      <c r="I23" s="195">
        <v>261.75</v>
      </c>
      <c r="J23" s="197"/>
      <c r="K23" s="22"/>
      <c r="L23" s="29"/>
      <c r="N23" s="23"/>
      <c r="O23" s="23"/>
    </row>
    <row r="24" spans="1:15" s="17" customFormat="1" x14ac:dyDescent="0.3">
      <c r="A24" s="271"/>
      <c r="B24" s="242" t="s">
        <v>1558</v>
      </c>
      <c r="C24" s="242" t="s">
        <v>1559</v>
      </c>
      <c r="D24" s="243"/>
      <c r="E24" s="243">
        <v>3.952667E-2</v>
      </c>
      <c r="F24" s="244">
        <v>1500</v>
      </c>
      <c r="G24" s="243">
        <f>E24*F24</f>
        <v>59.290005000000001</v>
      </c>
      <c r="H24" s="243">
        <f>G24*1.13</f>
        <v>66.99770565</v>
      </c>
      <c r="I24" s="243">
        <v>67</v>
      </c>
      <c r="J24" s="245"/>
      <c r="K24" s="22"/>
      <c r="L24" s="29"/>
      <c r="N24" s="23"/>
      <c r="O24" s="23"/>
    </row>
    <row r="25" spans="1:15" s="17" customFormat="1" x14ac:dyDescent="0.3">
      <c r="A25" s="257"/>
      <c r="B25" s="258" t="s">
        <v>1648</v>
      </c>
      <c r="C25" s="260"/>
      <c r="D25" s="205"/>
      <c r="E25" s="205"/>
      <c r="F25" s="210"/>
      <c r="G25" s="205"/>
      <c r="H25" s="205">
        <f>SUM(H23:H24)</f>
        <v>358.53770565000002</v>
      </c>
      <c r="I25" s="205">
        <f>SUM(I23:I24)</f>
        <v>328.75</v>
      </c>
      <c r="J25" s="206">
        <v>0</v>
      </c>
      <c r="K25" s="22"/>
      <c r="L25" s="29"/>
      <c r="N25" s="23"/>
      <c r="O25" s="23"/>
    </row>
    <row r="26" spans="1:15" s="17" customFormat="1" x14ac:dyDescent="0.3">
      <c r="A26" s="257"/>
      <c r="B26" s="259"/>
      <c r="C26" s="259"/>
      <c r="D26" s="191"/>
      <c r="E26" s="191"/>
      <c r="F26" s="192"/>
      <c r="G26" s="191"/>
      <c r="H26" s="191"/>
      <c r="I26" s="191"/>
      <c r="J26" s="193"/>
      <c r="K26" s="22"/>
      <c r="L26" s="29"/>
      <c r="N26" s="23"/>
      <c r="O26" s="23"/>
    </row>
    <row r="27" spans="1:15" s="17" customFormat="1" x14ac:dyDescent="0.3">
      <c r="A27" s="189" t="s">
        <v>920</v>
      </c>
      <c r="B27" s="188"/>
      <c r="C27" s="259"/>
      <c r="D27" s="191"/>
      <c r="E27" s="191"/>
      <c r="F27" s="192"/>
      <c r="G27" s="191"/>
      <c r="H27" s="191"/>
      <c r="I27" s="191"/>
      <c r="J27" s="193"/>
      <c r="K27" s="22"/>
      <c r="L27" s="29"/>
      <c r="N27" s="23"/>
      <c r="O27" s="23"/>
    </row>
    <row r="28" spans="1:15" s="17" customFormat="1" x14ac:dyDescent="0.3">
      <c r="A28" s="257"/>
      <c r="B28" s="279" t="s">
        <v>914</v>
      </c>
      <c r="C28" s="279" t="s">
        <v>347</v>
      </c>
      <c r="D28" s="279" t="s">
        <v>915</v>
      </c>
      <c r="E28" s="195">
        <v>2</v>
      </c>
      <c r="F28" s="194">
        <v>50</v>
      </c>
      <c r="G28" s="195">
        <f>E28*F28</f>
        <v>100</v>
      </c>
      <c r="H28" s="195">
        <f>G28*1.13</f>
        <v>112.99999999999999</v>
      </c>
      <c r="I28" s="195">
        <v>117.56</v>
      </c>
      <c r="J28" s="197"/>
      <c r="K28" s="22"/>
      <c r="L28" s="29"/>
      <c r="N28" s="23"/>
      <c r="O28" s="23"/>
    </row>
    <row r="29" spans="1:15" s="17" customFormat="1" x14ac:dyDescent="0.3">
      <c r="A29" s="271"/>
      <c r="B29" s="269" t="s">
        <v>916</v>
      </c>
      <c r="C29" s="269" t="s">
        <v>350</v>
      </c>
      <c r="D29" s="269" t="s">
        <v>917</v>
      </c>
      <c r="E29" s="243">
        <v>0.5</v>
      </c>
      <c r="F29" s="242">
        <v>75</v>
      </c>
      <c r="G29" s="243">
        <f t="shared" ref="G29:G31" si="0">E29*F29</f>
        <v>37.5</v>
      </c>
      <c r="H29" s="243">
        <f t="shared" ref="H29:H30" si="1">G29*1.13</f>
        <v>42.374999999999993</v>
      </c>
      <c r="I29" s="243"/>
      <c r="J29" s="245"/>
      <c r="K29" s="22"/>
      <c r="L29" s="29"/>
      <c r="N29" s="23"/>
      <c r="O29" s="23"/>
    </row>
    <row r="30" spans="1:15" s="17" customFormat="1" x14ac:dyDescent="0.3">
      <c r="A30" s="257"/>
      <c r="B30" s="279" t="s">
        <v>918</v>
      </c>
      <c r="C30" s="279" t="s">
        <v>919</v>
      </c>
      <c r="D30" s="279" t="s">
        <v>920</v>
      </c>
      <c r="E30" s="195">
        <v>75</v>
      </c>
      <c r="F30" s="194">
        <v>1</v>
      </c>
      <c r="G30" s="195">
        <f t="shared" si="0"/>
        <v>75</v>
      </c>
      <c r="H30" s="195">
        <f t="shared" si="1"/>
        <v>84.749999999999986</v>
      </c>
      <c r="I30" s="195"/>
      <c r="J30" s="197"/>
      <c r="K30" s="22"/>
      <c r="L30" s="29"/>
      <c r="N30" s="23"/>
      <c r="O30" s="23"/>
    </row>
    <row r="31" spans="1:15" s="17" customFormat="1" x14ac:dyDescent="0.3">
      <c r="A31" s="257"/>
      <c r="B31" s="259" t="s">
        <v>921</v>
      </c>
      <c r="C31" s="259" t="s">
        <v>356</v>
      </c>
      <c r="D31" s="191" t="s">
        <v>902</v>
      </c>
      <c r="E31" s="191">
        <v>0.25</v>
      </c>
      <c r="F31" s="192">
        <v>20</v>
      </c>
      <c r="G31" s="243">
        <f t="shared" si="0"/>
        <v>5</v>
      </c>
      <c r="H31" s="243">
        <f>G31*1</f>
        <v>5</v>
      </c>
      <c r="I31" s="191"/>
      <c r="J31" s="193"/>
      <c r="K31" s="22"/>
    </row>
    <row r="32" spans="1:15" s="17" customFormat="1" x14ac:dyDescent="0.3">
      <c r="A32" s="257"/>
      <c r="B32" s="279"/>
      <c r="C32" s="279"/>
      <c r="D32" s="195"/>
      <c r="E32" s="195"/>
      <c r="F32" s="196"/>
      <c r="G32" s="195"/>
      <c r="H32" s="195"/>
      <c r="I32" s="195"/>
      <c r="J32" s="197"/>
      <c r="K32" s="22"/>
    </row>
    <row r="33" spans="1:15" s="17" customFormat="1" x14ac:dyDescent="0.3">
      <c r="A33" s="257"/>
      <c r="B33" s="258" t="s">
        <v>1649</v>
      </c>
      <c r="C33" s="260"/>
      <c r="D33" s="205"/>
      <c r="E33" s="205"/>
      <c r="F33" s="210"/>
      <c r="G33" s="205"/>
      <c r="H33" s="205">
        <f>SUM(H28:H31)</f>
        <v>245.12499999999994</v>
      </c>
      <c r="I33" s="205">
        <f>SUM(I28:I31)</f>
        <v>117.56</v>
      </c>
      <c r="J33" s="206">
        <v>0</v>
      </c>
      <c r="K33" s="22"/>
    </row>
    <row r="34" spans="1:15" s="17" customFormat="1" x14ac:dyDescent="0.3">
      <c r="A34" s="21"/>
      <c r="C34" s="22"/>
      <c r="D34" s="82"/>
      <c r="E34" s="82"/>
      <c r="F34" s="83"/>
      <c r="G34" s="82"/>
      <c r="H34" s="82"/>
      <c r="I34" s="82"/>
      <c r="J34" s="93"/>
      <c r="K34" s="22"/>
      <c r="L34" s="29"/>
      <c r="N34" s="23"/>
      <c r="O34" s="23"/>
    </row>
    <row r="35" spans="1:15" s="43" customFormat="1" ht="18.75" x14ac:dyDescent="0.35">
      <c r="A35" s="21"/>
      <c r="B35" s="17"/>
      <c r="C35" s="27" t="s">
        <v>85</v>
      </c>
      <c r="D35" s="85"/>
      <c r="E35" s="85"/>
      <c r="F35" s="94"/>
      <c r="G35" s="85"/>
      <c r="H35" s="85">
        <f>H20+H25+H33</f>
        <v>962.59270564999997</v>
      </c>
      <c r="I35" s="85">
        <f>I20+I25+I33</f>
        <v>604.51</v>
      </c>
      <c r="J35" s="86">
        <f>J20+J25+J33</f>
        <v>0</v>
      </c>
      <c r="K35" s="40"/>
      <c r="L35" s="41"/>
      <c r="M35" s="40"/>
      <c r="N35" s="40"/>
      <c r="O35" s="42"/>
    </row>
    <row r="36" spans="1:15" s="43" customFormat="1" ht="18.75" x14ac:dyDescent="0.35">
      <c r="A36" s="39"/>
      <c r="C36" s="31"/>
      <c r="D36" s="96"/>
      <c r="E36" s="96"/>
      <c r="F36" s="97"/>
      <c r="G36" s="96"/>
      <c r="H36" s="96"/>
      <c r="I36" s="96"/>
      <c r="J36" s="98"/>
      <c r="K36" s="40"/>
      <c r="L36" s="41"/>
      <c r="M36" s="40"/>
      <c r="N36" s="40"/>
      <c r="O36" s="42"/>
    </row>
    <row r="37" spans="1:15" s="48" customFormat="1" ht="20.25" x14ac:dyDescent="0.35">
      <c r="A37" s="562" t="s">
        <v>86</v>
      </c>
      <c r="B37" s="563"/>
      <c r="C37" s="563"/>
      <c r="D37" s="44"/>
      <c r="E37" s="44"/>
      <c r="F37" s="79"/>
      <c r="G37" s="44"/>
      <c r="H37" s="44"/>
      <c r="I37" s="44"/>
      <c r="J37" s="45"/>
      <c r="K37" s="58"/>
      <c r="L37" s="58"/>
    </row>
    <row r="38" spans="1:15" s="50" customFormat="1" ht="20.25" x14ac:dyDescent="0.35">
      <c r="A38" s="62"/>
      <c r="B38" s="47" t="s">
        <v>87</v>
      </c>
      <c r="C38" s="47"/>
      <c r="D38" s="104"/>
      <c r="E38" s="104"/>
      <c r="F38" s="104"/>
      <c r="G38" s="104"/>
      <c r="H38" s="104">
        <f>H10</f>
        <v>0</v>
      </c>
      <c r="I38" s="104">
        <f>I10</f>
        <v>0</v>
      </c>
      <c r="J38" s="105">
        <f>J10</f>
        <v>0</v>
      </c>
    </row>
    <row r="39" spans="1:15" s="50" customFormat="1" ht="20.25" x14ac:dyDescent="0.35">
      <c r="A39" s="62"/>
      <c r="B39" s="50" t="s">
        <v>88</v>
      </c>
      <c r="D39" s="106"/>
      <c r="E39" s="106"/>
      <c r="F39" s="106"/>
      <c r="G39" s="106"/>
      <c r="H39" s="106">
        <f>H35</f>
        <v>962.59270564999997</v>
      </c>
      <c r="I39" s="106">
        <f t="shared" ref="I39:J39" si="2">I35</f>
        <v>604.51</v>
      </c>
      <c r="J39" s="107">
        <f t="shared" si="2"/>
        <v>0</v>
      </c>
    </row>
    <row r="40" spans="1:15" s="50" customFormat="1" ht="20.25" x14ac:dyDescent="0.35">
      <c r="A40" s="108"/>
      <c r="B40" s="52" t="s">
        <v>89</v>
      </c>
      <c r="C40" s="52"/>
      <c r="D40" s="109"/>
      <c r="E40" s="109"/>
      <c r="F40" s="109"/>
      <c r="G40" s="109"/>
      <c r="H40" s="109">
        <f t="shared" ref="H40:J40" si="3">H38-H39</f>
        <v>-962.59270564999997</v>
      </c>
      <c r="I40" s="109">
        <f t="shared" si="3"/>
        <v>-604.51</v>
      </c>
      <c r="J40" s="110">
        <f t="shared" si="3"/>
        <v>0</v>
      </c>
    </row>
    <row r="41" spans="1:15" s="17" customFormat="1" x14ac:dyDescent="0.3">
      <c r="A41" s="53"/>
      <c r="B41" s="53"/>
      <c r="C41" s="54"/>
      <c r="D41" s="55"/>
      <c r="E41" s="18"/>
      <c r="F41" s="77"/>
      <c r="G41" s="18"/>
      <c r="H41" s="18"/>
      <c r="I41" s="18"/>
      <c r="J41" s="18"/>
    </row>
  </sheetData>
  <mergeCells count="7">
    <mergeCell ref="A37:C37"/>
    <mergeCell ref="A1:C4"/>
    <mergeCell ref="D1:J4"/>
    <mergeCell ref="A5:C5"/>
    <mergeCell ref="D5:E5"/>
    <mergeCell ref="A8:C8"/>
    <mergeCell ref="A12:C12"/>
  </mergeCells>
  <pageMargins left="0" right="0" top="0" bottom="0" header="0" footer="0"/>
  <pageSetup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372"/>
  <sheetViews>
    <sheetView zoomScale="75" zoomScaleNormal="75" workbookViewId="0">
      <pane xSplit="3" ySplit="6" topLeftCell="G319" activePane="bottomRight" state="frozen"/>
      <selection pane="topRight" activeCell="C1" sqref="C1"/>
      <selection pane="bottomLeft" activeCell="A4" sqref="A4"/>
      <selection pane="bottomRight" activeCell="K234" sqref="K234"/>
    </sheetView>
  </sheetViews>
  <sheetFormatPr defaultColWidth="8.85546875" defaultRowHeight="17.25" x14ac:dyDescent="0.3"/>
  <cols>
    <col min="1" max="1" width="13.85546875" style="53" customWidth="1"/>
    <col min="2" max="2" width="13.85546875" style="390" customWidth="1"/>
    <col min="3" max="3" width="42.85546875" style="390" bestFit="1" customWidth="1"/>
    <col min="4" max="4" width="28.140625" style="433" customWidth="1"/>
    <col min="5" max="5" width="28.140625" style="342" customWidth="1"/>
    <col min="6" max="6" width="15.28515625" style="343" customWidth="1"/>
    <col min="7" max="7" width="17.42578125" style="342" customWidth="1"/>
    <col min="8" max="8" width="18.140625" style="342" customWidth="1"/>
    <col min="9" max="9" width="22.42578125" style="342" customWidth="1"/>
    <col min="10" max="10" width="23" style="342" customWidth="1"/>
    <col min="11" max="11" width="12" style="17" customWidth="1"/>
    <col min="12" max="12" width="11.28515625" style="17" customWidth="1"/>
    <col min="13" max="13" width="8.85546875" style="53"/>
    <col min="14" max="14" width="10.140625" style="53" bestFit="1" customWidth="1"/>
    <col min="15" max="15" width="14.28515625" style="53" customWidth="1"/>
    <col min="16" max="16384" width="8.85546875" style="53"/>
  </cols>
  <sheetData>
    <row r="1" spans="1:14" s="2" customFormat="1" ht="38.25" customHeight="1" x14ac:dyDescent="0.3">
      <c r="A1" s="585"/>
      <c r="B1" s="586"/>
      <c r="C1" s="587"/>
      <c r="D1" s="564" t="s">
        <v>35</v>
      </c>
      <c r="E1" s="565"/>
      <c r="F1" s="565"/>
      <c r="G1" s="565"/>
      <c r="H1" s="565"/>
      <c r="I1" s="565"/>
      <c r="J1" s="566"/>
    </row>
    <row r="2" spans="1:14" s="2" customFormat="1" ht="38.25" customHeight="1" x14ac:dyDescent="0.3">
      <c r="A2" s="588"/>
      <c r="B2" s="589"/>
      <c r="C2" s="590"/>
      <c r="D2" s="567"/>
      <c r="E2" s="568"/>
      <c r="F2" s="568"/>
      <c r="G2" s="568"/>
      <c r="H2" s="568"/>
      <c r="I2" s="568"/>
      <c r="J2" s="569"/>
    </row>
    <row r="3" spans="1:14" s="2" customFormat="1" ht="38.25" customHeight="1" x14ac:dyDescent="0.3">
      <c r="A3" s="588"/>
      <c r="B3" s="589"/>
      <c r="C3" s="590"/>
      <c r="D3" s="567"/>
      <c r="E3" s="568"/>
      <c r="F3" s="568"/>
      <c r="G3" s="568"/>
      <c r="H3" s="568"/>
      <c r="I3" s="568"/>
      <c r="J3" s="569"/>
    </row>
    <row r="4" spans="1:14" s="2" customFormat="1" ht="38.25" customHeight="1" x14ac:dyDescent="0.3">
      <c r="A4" s="591"/>
      <c r="B4" s="592"/>
      <c r="C4" s="593"/>
      <c r="D4" s="570"/>
      <c r="E4" s="571"/>
      <c r="F4" s="571"/>
      <c r="G4" s="571"/>
      <c r="H4" s="571"/>
      <c r="I4" s="571"/>
      <c r="J4" s="572"/>
    </row>
    <row r="5" spans="1:14" s="2" customFormat="1" x14ac:dyDescent="0.3">
      <c r="A5" s="573"/>
      <c r="B5" s="578"/>
      <c r="C5" s="574"/>
      <c r="D5" s="594"/>
      <c r="E5" s="595"/>
      <c r="F5" s="349"/>
      <c r="G5" s="348"/>
      <c r="H5" s="348"/>
      <c r="I5" s="348"/>
      <c r="J5" s="350"/>
      <c r="K5" s="8"/>
      <c r="L5" s="8"/>
    </row>
    <row r="6" spans="1:14" s="64" customFormat="1" x14ac:dyDescent="0.3">
      <c r="A6" s="59"/>
      <c r="B6" s="380" t="s">
        <v>91</v>
      </c>
      <c r="C6" s="391" t="s">
        <v>92</v>
      </c>
      <c r="D6" s="404" t="s">
        <v>93</v>
      </c>
      <c r="E6" s="405" t="s">
        <v>94</v>
      </c>
      <c r="F6" s="406" t="s">
        <v>95</v>
      </c>
      <c r="G6" s="407" t="s">
        <v>96</v>
      </c>
      <c r="H6" s="407" t="s">
        <v>97</v>
      </c>
      <c r="I6" s="407" t="s">
        <v>98</v>
      </c>
      <c r="J6" s="408" t="s">
        <v>99</v>
      </c>
      <c r="K6" s="63"/>
      <c r="L6" s="63"/>
    </row>
    <row r="7" spans="1:14" s="2" customFormat="1" x14ac:dyDescent="0.3">
      <c r="A7" s="9"/>
      <c r="B7" s="381"/>
      <c r="C7" s="392"/>
      <c r="D7" s="409"/>
      <c r="E7" s="410"/>
      <c r="F7" s="411"/>
      <c r="G7" s="410"/>
      <c r="H7" s="410"/>
      <c r="I7" s="410"/>
      <c r="J7" s="412"/>
      <c r="K7" s="8"/>
      <c r="L7" s="8"/>
    </row>
    <row r="8" spans="1:14" s="2" customFormat="1" x14ac:dyDescent="0.3">
      <c r="A8" s="560" t="s">
        <v>5</v>
      </c>
      <c r="B8" s="561"/>
      <c r="C8" s="561"/>
      <c r="D8" s="413"/>
      <c r="E8" s="413"/>
      <c r="F8" s="414"/>
      <c r="G8" s="413"/>
      <c r="H8" s="413"/>
      <c r="I8" s="413"/>
      <c r="J8" s="415"/>
      <c r="K8" s="8"/>
      <c r="L8" s="8"/>
    </row>
    <row r="9" spans="1:14" s="17" customFormat="1" x14ac:dyDescent="0.3">
      <c r="A9" s="16" t="s">
        <v>922</v>
      </c>
      <c r="B9" s="377"/>
      <c r="C9" s="302"/>
      <c r="D9" s="342"/>
      <c r="E9" s="342"/>
      <c r="F9" s="343"/>
      <c r="G9" s="342"/>
      <c r="H9" s="342"/>
      <c r="I9" s="342"/>
      <c r="J9" s="344"/>
    </row>
    <row r="10" spans="1:14" s="17" customFormat="1" x14ac:dyDescent="0.3">
      <c r="A10" s="16"/>
      <c r="B10" s="337" t="s">
        <v>923</v>
      </c>
      <c r="C10" s="337" t="s">
        <v>924</v>
      </c>
      <c r="D10" s="338"/>
      <c r="E10" s="338">
        <v>2</v>
      </c>
      <c r="F10" s="339">
        <v>400</v>
      </c>
      <c r="G10" s="338">
        <v>800</v>
      </c>
      <c r="H10" s="338">
        <v>800</v>
      </c>
      <c r="I10" s="338">
        <v>224.2</v>
      </c>
      <c r="J10" s="340">
        <v>224.2</v>
      </c>
    </row>
    <row r="11" spans="1:14" s="17" customFormat="1" x14ac:dyDescent="0.3">
      <c r="A11" s="21"/>
      <c r="B11" s="302" t="s">
        <v>925</v>
      </c>
      <c r="C11" s="376" t="s">
        <v>926</v>
      </c>
      <c r="D11" s="342" t="s">
        <v>927</v>
      </c>
      <c r="E11" s="342">
        <v>3</v>
      </c>
      <c r="F11" s="343">
        <v>150</v>
      </c>
      <c r="G11" s="342">
        <v>450</v>
      </c>
      <c r="H11" s="342">
        <v>450</v>
      </c>
      <c r="I11" s="342"/>
      <c r="J11" s="344"/>
      <c r="N11" s="23"/>
    </row>
    <row r="12" spans="1:14" s="17" customFormat="1" x14ac:dyDescent="0.3">
      <c r="A12" s="21"/>
      <c r="B12" s="337" t="s">
        <v>928</v>
      </c>
      <c r="C12" s="375" t="s">
        <v>929</v>
      </c>
      <c r="D12" s="338" t="s">
        <v>930</v>
      </c>
      <c r="E12" s="338">
        <v>5</v>
      </c>
      <c r="F12" s="339">
        <v>50</v>
      </c>
      <c r="G12" s="338">
        <v>250</v>
      </c>
      <c r="H12" s="338">
        <v>250</v>
      </c>
      <c r="I12" s="338"/>
      <c r="J12" s="340"/>
      <c r="N12" s="23"/>
    </row>
    <row r="13" spans="1:14" s="17" customFormat="1" x14ac:dyDescent="0.3">
      <c r="A13" s="21"/>
      <c r="B13" s="302" t="s">
        <v>931</v>
      </c>
      <c r="C13" s="376" t="s">
        <v>932</v>
      </c>
      <c r="D13" s="342"/>
      <c r="E13" s="342">
        <v>20</v>
      </c>
      <c r="F13" s="343">
        <v>180</v>
      </c>
      <c r="G13" s="342">
        <v>3600</v>
      </c>
      <c r="H13" s="342">
        <v>3600</v>
      </c>
      <c r="I13" s="342"/>
      <c r="J13" s="344"/>
      <c r="L13" s="461"/>
      <c r="N13" s="23"/>
    </row>
    <row r="14" spans="1:14" s="17" customFormat="1" x14ac:dyDescent="0.3">
      <c r="A14" s="21" t="s">
        <v>9</v>
      </c>
      <c r="B14" s="337" t="s">
        <v>933</v>
      </c>
      <c r="C14" s="375" t="s">
        <v>934</v>
      </c>
      <c r="D14" s="338"/>
      <c r="E14" s="338">
        <v>500</v>
      </c>
      <c r="F14" s="339">
        <v>1</v>
      </c>
      <c r="G14" s="338">
        <v>500</v>
      </c>
      <c r="H14" s="338">
        <v>500</v>
      </c>
      <c r="I14" s="338"/>
      <c r="J14" s="340"/>
      <c r="N14" s="23"/>
    </row>
    <row r="15" spans="1:14" s="17" customFormat="1" x14ac:dyDescent="0.3">
      <c r="A15" s="21"/>
      <c r="B15" s="302" t="s">
        <v>935</v>
      </c>
      <c r="C15" s="376" t="s">
        <v>936</v>
      </c>
      <c r="D15" s="342" t="s">
        <v>937</v>
      </c>
      <c r="E15" s="342">
        <v>3</v>
      </c>
      <c r="F15" s="343">
        <v>150</v>
      </c>
      <c r="G15" s="342">
        <v>450</v>
      </c>
      <c r="H15" s="342">
        <v>450</v>
      </c>
      <c r="I15" s="342"/>
      <c r="J15" s="344"/>
      <c r="N15" s="23"/>
    </row>
    <row r="16" spans="1:14" s="17" customFormat="1" x14ac:dyDescent="0.3">
      <c r="A16" s="16"/>
      <c r="B16" s="337" t="s">
        <v>938</v>
      </c>
      <c r="C16" s="337" t="s">
        <v>936</v>
      </c>
      <c r="D16" s="338" t="s">
        <v>930</v>
      </c>
      <c r="E16" s="338">
        <v>5</v>
      </c>
      <c r="F16" s="339">
        <v>50</v>
      </c>
      <c r="G16" s="338">
        <v>250</v>
      </c>
      <c r="H16" s="338">
        <v>250</v>
      </c>
      <c r="I16" s="338"/>
      <c r="J16" s="340"/>
    </row>
    <row r="17" spans="1:15" s="17" customFormat="1" x14ac:dyDescent="0.3">
      <c r="A17" s="21"/>
      <c r="B17" s="302" t="s">
        <v>939</v>
      </c>
      <c r="C17" s="376" t="s">
        <v>940</v>
      </c>
      <c r="D17" s="342"/>
      <c r="E17" s="342">
        <v>0</v>
      </c>
      <c r="F17" s="343">
        <v>200</v>
      </c>
      <c r="G17" s="342">
        <v>0</v>
      </c>
      <c r="H17" s="342">
        <v>0</v>
      </c>
      <c r="I17" s="342"/>
      <c r="J17" s="344"/>
      <c r="N17" s="23"/>
    </row>
    <row r="18" spans="1:15" s="17" customFormat="1" x14ac:dyDescent="0.3">
      <c r="A18" s="21"/>
      <c r="B18" s="385" t="s">
        <v>941</v>
      </c>
      <c r="C18" s="393"/>
      <c r="D18" s="416"/>
      <c r="E18" s="416"/>
      <c r="F18" s="417"/>
      <c r="G18" s="416"/>
      <c r="H18" s="348">
        <f>SUM(H9:H17)</f>
        <v>6300</v>
      </c>
      <c r="I18" s="348">
        <f>SUM(I9:I17)</f>
        <v>224.2</v>
      </c>
      <c r="J18" s="350">
        <f>SUM(J9:J17)</f>
        <v>224.2</v>
      </c>
      <c r="N18" s="23"/>
    </row>
    <row r="19" spans="1:15" s="27" customFormat="1" x14ac:dyDescent="0.3">
      <c r="A19" s="16"/>
      <c r="B19" s="377"/>
      <c r="C19" s="377"/>
      <c r="D19" s="418"/>
      <c r="E19" s="418"/>
      <c r="F19" s="419"/>
      <c r="G19" s="418"/>
      <c r="H19" s="418"/>
      <c r="I19" s="418"/>
      <c r="J19" s="420"/>
      <c r="K19" s="22"/>
      <c r="L19" s="26"/>
      <c r="N19" s="28"/>
      <c r="O19" s="28"/>
    </row>
    <row r="20" spans="1:15" s="27" customFormat="1" x14ac:dyDescent="0.3">
      <c r="A20" s="16" t="s">
        <v>942</v>
      </c>
      <c r="B20" s="377"/>
      <c r="C20" s="302"/>
      <c r="D20" s="342"/>
      <c r="E20" s="342"/>
      <c r="F20" s="343"/>
      <c r="G20" s="342"/>
      <c r="H20" s="342"/>
      <c r="I20" s="342"/>
      <c r="J20" s="344"/>
      <c r="K20" s="22"/>
      <c r="L20" s="26"/>
      <c r="N20" s="28"/>
      <c r="O20" s="28"/>
    </row>
    <row r="21" spans="1:15" s="17" customFormat="1" x14ac:dyDescent="0.3">
      <c r="B21" s="377"/>
      <c r="C21" s="302"/>
      <c r="D21" s="342"/>
      <c r="E21" s="342"/>
      <c r="F21" s="343"/>
      <c r="G21" s="342"/>
      <c r="H21" s="342"/>
      <c r="I21" s="342"/>
      <c r="J21" s="344"/>
      <c r="N21" s="23"/>
    </row>
    <row r="22" spans="1:15" s="17" customFormat="1" x14ac:dyDescent="0.3">
      <c r="A22" s="21"/>
      <c r="B22" s="337" t="s">
        <v>943</v>
      </c>
      <c r="C22" s="337" t="s">
        <v>944</v>
      </c>
      <c r="D22" s="338"/>
      <c r="E22" s="338"/>
      <c r="F22" s="339"/>
      <c r="G22" s="338">
        <v>50</v>
      </c>
      <c r="H22" s="338">
        <v>50</v>
      </c>
      <c r="I22" s="338"/>
      <c r="J22" s="340"/>
      <c r="N22" s="23"/>
    </row>
    <row r="23" spans="1:15" s="17" customFormat="1" x14ac:dyDescent="0.3">
      <c r="A23" s="21"/>
      <c r="B23" s="302"/>
      <c r="C23" s="376"/>
      <c r="D23" s="342"/>
      <c r="E23" s="342"/>
      <c r="F23" s="343"/>
      <c r="G23" s="342"/>
      <c r="H23" s="342"/>
      <c r="I23" s="342"/>
      <c r="J23" s="344"/>
      <c r="N23" s="23"/>
    </row>
    <row r="24" spans="1:15" s="17" customFormat="1" x14ac:dyDescent="0.3">
      <c r="A24" s="16"/>
      <c r="B24" s="385" t="s">
        <v>945</v>
      </c>
      <c r="C24" s="347"/>
      <c r="D24" s="348"/>
      <c r="E24" s="348"/>
      <c r="F24" s="349"/>
      <c r="G24" s="348"/>
      <c r="H24" s="348">
        <f>SUM(H21:H23)</f>
        <v>50</v>
      </c>
      <c r="I24" s="348">
        <f>SUM(I21:I23)</f>
        <v>0</v>
      </c>
      <c r="J24" s="350">
        <f>SUM(J21:J23)</f>
        <v>0</v>
      </c>
      <c r="K24" s="22"/>
      <c r="L24" s="29"/>
      <c r="M24" s="22"/>
      <c r="N24" s="22"/>
      <c r="O24" s="23"/>
    </row>
    <row r="25" spans="1:15" s="17" customFormat="1" x14ac:dyDescent="0.3">
      <c r="A25" s="16"/>
      <c r="B25" s="377"/>
      <c r="C25" s="377"/>
      <c r="D25" s="418"/>
      <c r="E25" s="418"/>
      <c r="F25" s="419"/>
      <c r="G25" s="418"/>
      <c r="H25" s="418"/>
      <c r="I25" s="418"/>
      <c r="J25" s="420"/>
      <c r="K25" s="22"/>
      <c r="L25" s="29"/>
      <c r="M25" s="22"/>
      <c r="N25" s="22"/>
      <c r="O25" s="23"/>
    </row>
    <row r="26" spans="1:15" s="27" customFormat="1" x14ac:dyDescent="0.3">
      <c r="A26" s="16" t="s">
        <v>946</v>
      </c>
      <c r="B26" s="377"/>
      <c r="C26" s="302"/>
      <c r="D26" s="342"/>
      <c r="E26" s="342"/>
      <c r="F26" s="343"/>
      <c r="G26" s="342"/>
      <c r="H26" s="342"/>
      <c r="I26" s="342"/>
      <c r="J26" s="344"/>
      <c r="K26" s="22"/>
      <c r="L26" s="26"/>
      <c r="N26" s="461"/>
      <c r="O26" s="28"/>
    </row>
    <row r="27" spans="1:15" s="17" customFormat="1" x14ac:dyDescent="0.3">
      <c r="A27" s="21"/>
      <c r="B27" s="337" t="s">
        <v>947</v>
      </c>
      <c r="C27" s="375" t="s">
        <v>778</v>
      </c>
      <c r="D27" s="338"/>
      <c r="E27" s="338">
        <v>600</v>
      </c>
      <c r="F27" s="339">
        <v>1</v>
      </c>
      <c r="G27" s="338">
        <f>E27*F27</f>
        <v>600</v>
      </c>
      <c r="H27" s="338">
        <f>G27</f>
        <v>600</v>
      </c>
      <c r="I27" s="338"/>
      <c r="J27" s="340"/>
      <c r="L27" s="29"/>
      <c r="N27" s="23"/>
    </row>
    <row r="28" spans="1:15" s="17" customFormat="1" x14ac:dyDescent="0.3">
      <c r="A28" s="21"/>
      <c r="B28" s="385" t="s">
        <v>948</v>
      </c>
      <c r="C28" s="393"/>
      <c r="D28" s="416"/>
      <c r="E28" s="416"/>
      <c r="F28" s="417"/>
      <c r="G28" s="416"/>
      <c r="H28" s="348">
        <f>H27</f>
        <v>600</v>
      </c>
      <c r="I28" s="348">
        <f>SUM(I26:I26)</f>
        <v>0</v>
      </c>
      <c r="J28" s="350">
        <f>SUM(J26:J26)</f>
        <v>0</v>
      </c>
      <c r="K28" s="22"/>
      <c r="L28" s="29"/>
      <c r="N28" s="23"/>
      <c r="O28" s="23"/>
    </row>
    <row r="29" spans="1:15" s="17" customFormat="1" x14ac:dyDescent="0.3">
      <c r="A29" s="21"/>
      <c r="B29" s="377"/>
      <c r="C29" s="376"/>
      <c r="D29" s="342"/>
      <c r="E29" s="342"/>
      <c r="F29" s="343"/>
      <c r="G29" s="342"/>
      <c r="H29" s="418"/>
      <c r="I29" s="418"/>
      <c r="J29" s="420"/>
      <c r="K29" s="22"/>
      <c r="L29" s="29"/>
      <c r="N29" s="23"/>
      <c r="O29" s="23"/>
    </row>
    <row r="30" spans="1:15" s="17" customFormat="1" x14ac:dyDescent="0.3">
      <c r="A30" s="16" t="s">
        <v>949</v>
      </c>
      <c r="B30" s="377"/>
      <c r="C30" s="302"/>
      <c r="D30" s="342"/>
      <c r="E30" s="342"/>
      <c r="F30" s="343"/>
      <c r="G30" s="342"/>
      <c r="H30" s="342"/>
      <c r="I30" s="342"/>
      <c r="J30" s="344"/>
    </row>
    <row r="31" spans="1:15" s="17" customFormat="1" ht="15.95" customHeight="1" x14ac:dyDescent="0.3">
      <c r="A31" s="16"/>
      <c r="B31" s="337" t="s">
        <v>950</v>
      </c>
      <c r="C31" s="375" t="s">
        <v>951</v>
      </c>
      <c r="D31" s="421" t="s">
        <v>952</v>
      </c>
      <c r="E31" s="338">
        <v>30</v>
      </c>
      <c r="F31" s="339">
        <v>30</v>
      </c>
      <c r="G31" s="338">
        <f>F31*E31</f>
        <v>900</v>
      </c>
      <c r="H31" s="338">
        <v>900</v>
      </c>
      <c r="I31" s="338"/>
      <c r="J31" s="340"/>
    </row>
    <row r="32" spans="1:15" s="17" customFormat="1" ht="18.95" customHeight="1" x14ac:dyDescent="0.3">
      <c r="A32" s="21"/>
      <c r="B32" s="302" t="s">
        <v>953</v>
      </c>
      <c r="C32" s="376" t="s">
        <v>954</v>
      </c>
      <c r="D32" s="422" t="s">
        <v>955</v>
      </c>
      <c r="E32" s="342">
        <v>5</v>
      </c>
      <c r="F32" s="343">
        <v>300</v>
      </c>
      <c r="G32" s="342">
        <f>F32*E32</f>
        <v>1500</v>
      </c>
      <c r="H32" s="342">
        <f t="shared" ref="H32:H33" si="0">G32</f>
        <v>1500</v>
      </c>
      <c r="I32" s="342">
        <v>200.3</v>
      </c>
      <c r="J32" s="344">
        <v>200.3</v>
      </c>
      <c r="N32" s="23"/>
    </row>
    <row r="33" spans="1:15" s="17" customFormat="1" x14ac:dyDescent="0.3">
      <c r="A33" s="21"/>
      <c r="B33" s="337" t="s">
        <v>956</v>
      </c>
      <c r="C33" s="375" t="s">
        <v>957</v>
      </c>
      <c r="D33" s="421" t="s">
        <v>958</v>
      </c>
      <c r="E33" s="338">
        <v>1500</v>
      </c>
      <c r="F33" s="339">
        <v>1</v>
      </c>
      <c r="G33" s="338">
        <f t="shared" ref="G33" si="1">F33*E33</f>
        <v>1500</v>
      </c>
      <c r="H33" s="338">
        <f t="shared" si="0"/>
        <v>1500</v>
      </c>
      <c r="I33" s="338"/>
      <c r="J33" s="340"/>
      <c r="N33" s="23"/>
    </row>
    <row r="34" spans="1:15" s="17" customFormat="1" x14ac:dyDescent="0.3">
      <c r="A34" s="21"/>
      <c r="B34" s="385" t="s">
        <v>959</v>
      </c>
      <c r="C34" s="393"/>
      <c r="D34" s="416"/>
      <c r="E34" s="416"/>
      <c r="F34" s="417"/>
      <c r="G34" s="416"/>
      <c r="H34" s="348">
        <f>SUM(H30:H33)</f>
        <v>3900</v>
      </c>
      <c r="I34" s="348">
        <f>SUM(I30:I33)</f>
        <v>200.3</v>
      </c>
      <c r="J34" s="350">
        <f>SUM(J30:J33)</f>
        <v>200.3</v>
      </c>
      <c r="N34" s="23"/>
    </row>
    <row r="35" spans="1:15" s="17" customFormat="1" x14ac:dyDescent="0.3">
      <c r="A35" s="16"/>
      <c r="B35" s="377"/>
      <c r="C35" s="377"/>
      <c r="D35" s="418"/>
      <c r="E35" s="418"/>
      <c r="F35" s="419"/>
      <c r="G35" s="418"/>
      <c r="H35" s="418"/>
      <c r="I35" s="418"/>
      <c r="J35" s="420"/>
    </row>
    <row r="36" spans="1:15" s="17" customFormat="1" x14ac:dyDescent="0.3">
      <c r="A36" s="16" t="s">
        <v>960</v>
      </c>
      <c r="B36" s="377"/>
      <c r="C36" s="302"/>
      <c r="D36" s="342"/>
      <c r="E36" s="342"/>
      <c r="F36" s="343"/>
      <c r="G36" s="342"/>
      <c r="H36" s="342"/>
      <c r="I36" s="342"/>
      <c r="J36" s="344"/>
      <c r="N36" s="23"/>
    </row>
    <row r="37" spans="1:15" s="17" customFormat="1" x14ac:dyDescent="0.3">
      <c r="A37" s="27"/>
      <c r="B37" s="302" t="s">
        <v>961</v>
      </c>
      <c r="C37" s="302" t="s">
        <v>962</v>
      </c>
      <c r="D37" s="342" t="s">
        <v>963</v>
      </c>
      <c r="E37" s="342">
        <v>50</v>
      </c>
      <c r="F37" s="423">
        <v>80</v>
      </c>
      <c r="G37" s="342">
        <v>4000</v>
      </c>
      <c r="H37" s="342">
        <v>4000</v>
      </c>
      <c r="I37" s="342"/>
      <c r="J37" s="344"/>
      <c r="N37" s="23"/>
    </row>
    <row r="38" spans="1:15" s="17" customFormat="1" x14ac:dyDescent="0.3">
      <c r="A38" s="132"/>
      <c r="B38" s="337" t="s">
        <v>964</v>
      </c>
      <c r="C38" s="337" t="s">
        <v>965</v>
      </c>
      <c r="D38" s="338"/>
      <c r="E38" s="338">
        <v>5</v>
      </c>
      <c r="F38" s="424">
        <v>25</v>
      </c>
      <c r="G38" s="338">
        <v>125</v>
      </c>
      <c r="H38" s="338">
        <v>125</v>
      </c>
      <c r="I38" s="338"/>
      <c r="J38" s="340"/>
      <c r="L38" s="461"/>
      <c r="N38" s="23"/>
    </row>
    <row r="39" spans="1:15" s="17" customFormat="1" x14ac:dyDescent="0.3">
      <c r="B39" s="302" t="s">
        <v>966</v>
      </c>
      <c r="C39" s="376" t="s">
        <v>967</v>
      </c>
      <c r="D39" s="342"/>
      <c r="E39" s="342">
        <v>15</v>
      </c>
      <c r="F39" s="423">
        <v>30</v>
      </c>
      <c r="G39" s="342">
        <v>450</v>
      </c>
      <c r="H39" s="342">
        <v>450</v>
      </c>
      <c r="I39" s="342"/>
      <c r="J39" s="344"/>
      <c r="N39" s="23"/>
    </row>
    <row r="40" spans="1:15" s="17" customFormat="1" x14ac:dyDescent="0.3">
      <c r="A40" s="21"/>
      <c r="B40" s="337" t="s">
        <v>968</v>
      </c>
      <c r="C40" s="337" t="s">
        <v>944</v>
      </c>
      <c r="D40" s="338" t="s">
        <v>969</v>
      </c>
      <c r="E40" s="338" t="s">
        <v>970</v>
      </c>
      <c r="F40" s="424"/>
      <c r="G40" s="338">
        <v>1000</v>
      </c>
      <c r="H40" s="338">
        <v>1000</v>
      </c>
      <c r="I40" s="338"/>
      <c r="J40" s="340"/>
      <c r="N40" s="23"/>
    </row>
    <row r="41" spans="1:15" s="17" customFormat="1" x14ac:dyDescent="0.3">
      <c r="A41" s="21"/>
      <c r="B41" s="302"/>
      <c r="C41" s="376"/>
      <c r="D41" s="342"/>
      <c r="E41" s="342"/>
      <c r="F41" s="343"/>
      <c r="G41" s="342"/>
      <c r="H41" s="342"/>
      <c r="I41" s="342"/>
      <c r="J41" s="344"/>
      <c r="K41" s="22"/>
      <c r="L41" s="29"/>
      <c r="M41" s="22"/>
      <c r="N41" s="22"/>
      <c r="O41" s="23"/>
    </row>
    <row r="42" spans="1:15" s="17" customFormat="1" x14ac:dyDescent="0.3">
      <c r="A42" s="21"/>
      <c r="B42" s="385" t="s">
        <v>971</v>
      </c>
      <c r="C42" s="393"/>
      <c r="D42" s="416"/>
      <c r="E42" s="416"/>
      <c r="F42" s="417"/>
      <c r="G42" s="416"/>
      <c r="H42" s="348">
        <f>SUM(H36:H40)</f>
        <v>5575</v>
      </c>
      <c r="I42" s="348">
        <f>SUM(I36:I40)</f>
        <v>0</v>
      </c>
      <c r="J42" s="350">
        <f>SUM(J36:J40)</f>
        <v>0</v>
      </c>
    </row>
    <row r="43" spans="1:15" s="17" customFormat="1" x14ac:dyDescent="0.3">
      <c r="A43" s="21"/>
      <c r="B43" s="377"/>
      <c r="C43" s="376"/>
      <c r="D43" s="342"/>
      <c r="E43" s="342"/>
      <c r="F43" s="343"/>
      <c r="G43" s="342"/>
      <c r="H43" s="418"/>
      <c r="I43" s="418"/>
      <c r="J43" s="420"/>
    </row>
    <row r="44" spans="1:15" s="17" customFormat="1" x14ac:dyDescent="0.3">
      <c r="A44" s="16" t="s">
        <v>972</v>
      </c>
      <c r="B44" s="377"/>
      <c r="C44" s="302"/>
      <c r="D44" s="342"/>
      <c r="E44" s="342"/>
      <c r="F44" s="343"/>
      <c r="G44" s="342"/>
      <c r="H44" s="342"/>
      <c r="I44" s="342"/>
      <c r="J44" s="344"/>
      <c r="N44" s="23"/>
    </row>
    <row r="45" spans="1:15" s="17" customFormat="1" x14ac:dyDescent="0.3">
      <c r="A45" s="16"/>
      <c r="B45" s="337" t="s">
        <v>973</v>
      </c>
      <c r="C45" s="337" t="s">
        <v>974</v>
      </c>
      <c r="D45" s="338"/>
      <c r="E45" s="338">
        <v>25</v>
      </c>
      <c r="F45" s="339">
        <v>32</v>
      </c>
      <c r="G45" s="338">
        <f>E45*F45</f>
        <v>800</v>
      </c>
      <c r="H45" s="338">
        <f>G45</f>
        <v>800</v>
      </c>
      <c r="I45" s="338">
        <v>5379.4</v>
      </c>
      <c r="J45" s="340">
        <v>5379.4</v>
      </c>
      <c r="N45" s="23"/>
    </row>
    <row r="46" spans="1:15" s="17" customFormat="1" x14ac:dyDescent="0.3">
      <c r="A46" s="21"/>
      <c r="B46" s="302" t="s">
        <v>975</v>
      </c>
      <c r="C46" s="376" t="s">
        <v>976</v>
      </c>
      <c r="D46" s="342" t="s">
        <v>9</v>
      </c>
      <c r="E46" s="342">
        <v>30</v>
      </c>
      <c r="F46" s="343">
        <v>20</v>
      </c>
      <c r="G46" s="342">
        <f t="shared" ref="G46:G52" si="2">E46*F46</f>
        <v>600</v>
      </c>
      <c r="H46" s="342">
        <f t="shared" ref="H46:H52" si="3">G46</f>
        <v>600</v>
      </c>
      <c r="I46" s="342"/>
      <c r="J46" s="344"/>
      <c r="L46" s="461"/>
      <c r="N46" s="23"/>
    </row>
    <row r="47" spans="1:15" s="17" customFormat="1" x14ac:dyDescent="0.3">
      <c r="A47" s="21"/>
      <c r="B47" s="337" t="s">
        <v>977</v>
      </c>
      <c r="C47" s="375" t="s">
        <v>978</v>
      </c>
      <c r="D47" s="338"/>
      <c r="E47" s="338">
        <v>5</v>
      </c>
      <c r="F47" s="339">
        <v>110</v>
      </c>
      <c r="G47" s="338">
        <f t="shared" si="2"/>
        <v>550</v>
      </c>
      <c r="H47" s="338">
        <f t="shared" si="3"/>
        <v>550</v>
      </c>
      <c r="I47" s="338"/>
      <c r="J47" s="340"/>
      <c r="N47" s="23"/>
    </row>
    <row r="48" spans="1:15" s="17" customFormat="1" x14ac:dyDescent="0.3">
      <c r="A48" s="21"/>
      <c r="B48" s="302" t="s">
        <v>979</v>
      </c>
      <c r="C48" s="376" t="s">
        <v>980</v>
      </c>
      <c r="D48" s="342"/>
      <c r="E48" s="342">
        <v>5</v>
      </c>
      <c r="F48" s="343">
        <v>160</v>
      </c>
      <c r="G48" s="342">
        <f t="shared" si="2"/>
        <v>800</v>
      </c>
      <c r="H48" s="342">
        <f t="shared" si="3"/>
        <v>800</v>
      </c>
      <c r="I48" s="342"/>
      <c r="J48" s="344"/>
      <c r="N48" s="23"/>
    </row>
    <row r="49" spans="1:14" s="17" customFormat="1" x14ac:dyDescent="0.3">
      <c r="A49" s="21" t="s">
        <v>9</v>
      </c>
      <c r="B49" s="337" t="s">
        <v>981</v>
      </c>
      <c r="C49" s="375" t="s">
        <v>982</v>
      </c>
      <c r="D49" s="338"/>
      <c r="E49" s="338">
        <v>10</v>
      </c>
      <c r="F49" s="339">
        <v>30</v>
      </c>
      <c r="G49" s="338">
        <f t="shared" si="2"/>
        <v>300</v>
      </c>
      <c r="H49" s="338">
        <f t="shared" si="3"/>
        <v>300</v>
      </c>
      <c r="I49" s="338"/>
      <c r="J49" s="340"/>
      <c r="N49" s="23"/>
    </row>
    <row r="50" spans="1:14" s="17" customFormat="1" x14ac:dyDescent="0.3">
      <c r="A50" s="21"/>
      <c r="B50" s="302" t="s">
        <v>983</v>
      </c>
      <c r="C50" s="376" t="s">
        <v>984</v>
      </c>
      <c r="D50" s="342"/>
      <c r="E50" s="342">
        <v>15</v>
      </c>
      <c r="F50" s="343">
        <v>150</v>
      </c>
      <c r="G50" s="342">
        <f t="shared" si="2"/>
        <v>2250</v>
      </c>
      <c r="H50" s="342">
        <f t="shared" si="3"/>
        <v>2250</v>
      </c>
      <c r="I50" s="342"/>
      <c r="J50" s="344"/>
      <c r="N50" s="23"/>
    </row>
    <row r="51" spans="1:14" s="17" customFormat="1" x14ac:dyDescent="0.3">
      <c r="A51" s="16"/>
      <c r="B51" s="337" t="s">
        <v>985</v>
      </c>
      <c r="C51" s="375" t="s">
        <v>986</v>
      </c>
      <c r="D51" s="338"/>
      <c r="E51" s="338">
        <v>5</v>
      </c>
      <c r="F51" s="339">
        <v>75</v>
      </c>
      <c r="G51" s="338">
        <f t="shared" si="2"/>
        <v>375</v>
      </c>
      <c r="H51" s="338">
        <f t="shared" si="3"/>
        <v>375</v>
      </c>
      <c r="I51" s="338"/>
      <c r="J51" s="340"/>
      <c r="N51" s="23"/>
    </row>
    <row r="52" spans="1:14" s="17" customFormat="1" x14ac:dyDescent="0.3">
      <c r="A52" s="21"/>
      <c r="B52" s="302" t="s">
        <v>987</v>
      </c>
      <c r="C52" s="376" t="s">
        <v>988</v>
      </c>
      <c r="D52" s="342"/>
      <c r="E52" s="342">
        <v>5</v>
      </c>
      <c r="F52" s="343">
        <v>110</v>
      </c>
      <c r="G52" s="342">
        <f t="shared" si="2"/>
        <v>550</v>
      </c>
      <c r="H52" s="342">
        <f t="shared" si="3"/>
        <v>550</v>
      </c>
      <c r="I52" s="342"/>
      <c r="J52" s="344"/>
    </row>
    <row r="53" spans="1:14" s="17" customFormat="1" x14ac:dyDescent="0.3">
      <c r="A53" s="21"/>
      <c r="B53" s="385" t="s">
        <v>989</v>
      </c>
      <c r="C53" s="393"/>
      <c r="D53" s="416"/>
      <c r="E53" s="416"/>
      <c r="F53" s="417"/>
      <c r="G53" s="416"/>
      <c r="H53" s="348">
        <f>SUM(H44:H52)</f>
        <v>6225</v>
      </c>
      <c r="I53" s="348">
        <f>SUM(I44:I52)</f>
        <v>5379.4</v>
      </c>
      <c r="J53" s="350">
        <f>SUM(J44:J52)</f>
        <v>5379.4</v>
      </c>
      <c r="N53" s="23"/>
    </row>
    <row r="54" spans="1:14" s="17" customFormat="1" x14ac:dyDescent="0.3">
      <c r="A54" s="21"/>
      <c r="B54" s="377"/>
      <c r="C54" s="376"/>
      <c r="D54" s="342"/>
      <c r="E54" s="342"/>
      <c r="F54" s="343"/>
      <c r="G54" s="342"/>
      <c r="H54" s="418"/>
      <c r="I54" s="418"/>
      <c r="J54" s="420"/>
    </row>
    <row r="55" spans="1:14" s="17" customFormat="1" x14ac:dyDescent="0.3">
      <c r="A55" s="16" t="s">
        <v>990</v>
      </c>
      <c r="B55" s="377"/>
      <c r="C55" s="302"/>
      <c r="D55" s="342"/>
      <c r="E55" s="342"/>
      <c r="F55" s="343"/>
      <c r="G55" s="342"/>
      <c r="H55" s="342"/>
      <c r="I55" s="342"/>
      <c r="J55" s="344"/>
      <c r="N55" s="23"/>
    </row>
    <row r="56" spans="1:14" s="17" customFormat="1" x14ac:dyDescent="0.3">
      <c r="A56" s="16"/>
      <c r="B56" s="337"/>
      <c r="C56" s="337"/>
      <c r="D56" s="338"/>
      <c r="E56" s="338"/>
      <c r="F56" s="339"/>
      <c r="G56" s="338">
        <f>E56*F56</f>
        <v>0</v>
      </c>
      <c r="H56" s="338">
        <f>G56*1.13</f>
        <v>0</v>
      </c>
      <c r="I56" s="338"/>
      <c r="J56" s="340"/>
      <c r="N56" s="23"/>
    </row>
    <row r="57" spans="1:14" s="17" customFormat="1" x14ac:dyDescent="0.3">
      <c r="A57" s="21"/>
      <c r="B57" s="385" t="s">
        <v>991</v>
      </c>
      <c r="C57" s="393"/>
      <c r="D57" s="416"/>
      <c r="E57" s="416"/>
      <c r="F57" s="417"/>
      <c r="G57" s="416"/>
      <c r="H57" s="348">
        <f>SUM(H55:H56)</f>
        <v>0</v>
      </c>
      <c r="I57" s="348">
        <f>SUM(I55:I56)</f>
        <v>0</v>
      </c>
      <c r="J57" s="350">
        <f>SUM(J55:J56)</f>
        <v>0</v>
      </c>
    </row>
    <row r="58" spans="1:14" s="17" customFormat="1" x14ac:dyDescent="0.3">
      <c r="A58" s="21"/>
      <c r="B58" s="377"/>
      <c r="C58" s="376"/>
      <c r="D58" s="342"/>
      <c r="E58" s="342"/>
      <c r="F58" s="343"/>
      <c r="G58" s="342"/>
      <c r="H58" s="418"/>
      <c r="I58" s="418"/>
      <c r="J58" s="420"/>
    </row>
    <row r="59" spans="1:14" s="17" customFormat="1" x14ac:dyDescent="0.3">
      <c r="A59" s="16" t="s">
        <v>992</v>
      </c>
      <c r="B59" s="377"/>
      <c r="C59" s="302"/>
      <c r="D59" s="342"/>
      <c r="E59" s="342"/>
      <c r="F59" s="343"/>
      <c r="G59" s="342"/>
      <c r="H59" s="342"/>
      <c r="I59" s="342"/>
      <c r="J59" s="344"/>
      <c r="N59" s="23"/>
    </row>
    <row r="60" spans="1:14" s="17" customFormat="1" x14ac:dyDescent="0.3">
      <c r="A60" s="38" t="s">
        <v>993</v>
      </c>
      <c r="B60" s="377"/>
      <c r="C60" s="302"/>
      <c r="D60" s="342"/>
      <c r="E60" s="342"/>
      <c r="F60" s="343"/>
      <c r="G60" s="342"/>
      <c r="H60" s="342"/>
      <c r="I60" s="342"/>
      <c r="J60" s="344"/>
      <c r="N60" s="23"/>
    </row>
    <row r="61" spans="1:14" s="17" customFormat="1" x14ac:dyDescent="0.3">
      <c r="A61" s="38"/>
      <c r="B61" s="337" t="s">
        <v>994</v>
      </c>
      <c r="C61" s="337" t="s">
        <v>995</v>
      </c>
      <c r="D61" s="338" t="s">
        <v>996</v>
      </c>
      <c r="E61" s="338">
        <v>15</v>
      </c>
      <c r="F61" s="339">
        <v>10</v>
      </c>
      <c r="G61" s="338">
        <f>E61*F61</f>
        <v>150</v>
      </c>
      <c r="H61" s="338">
        <v>150</v>
      </c>
      <c r="I61" s="338"/>
      <c r="J61" s="340"/>
      <c r="L61" s="461"/>
      <c r="N61" s="23"/>
    </row>
    <row r="62" spans="1:14" s="17" customFormat="1" x14ac:dyDescent="0.3">
      <c r="A62" s="38" t="s">
        <v>997</v>
      </c>
      <c r="B62" s="377"/>
      <c r="C62" s="302"/>
      <c r="D62" s="342"/>
      <c r="E62" s="342"/>
      <c r="F62" s="343"/>
      <c r="G62" s="342"/>
      <c r="H62" s="342"/>
      <c r="I62" s="342"/>
      <c r="J62" s="344"/>
      <c r="N62" s="23"/>
    </row>
    <row r="63" spans="1:14" s="17" customFormat="1" x14ac:dyDescent="0.3">
      <c r="A63" s="38"/>
      <c r="B63" s="337" t="s">
        <v>998</v>
      </c>
      <c r="C63" s="375" t="s">
        <v>999</v>
      </c>
      <c r="D63" s="338"/>
      <c r="E63" s="338">
        <v>45</v>
      </c>
      <c r="F63" s="339">
        <v>35</v>
      </c>
      <c r="G63" s="338">
        <f>E63*F63</f>
        <v>1575</v>
      </c>
      <c r="H63" s="338">
        <v>1575</v>
      </c>
      <c r="I63" s="338"/>
      <c r="J63" s="340"/>
      <c r="N63" s="23"/>
    </row>
    <row r="64" spans="1:14" s="17" customFormat="1" x14ac:dyDescent="0.3">
      <c r="A64" s="38" t="s">
        <v>1000</v>
      </c>
      <c r="B64" s="377"/>
      <c r="C64" s="302"/>
      <c r="D64" s="342"/>
      <c r="E64" s="342"/>
      <c r="F64" s="343"/>
      <c r="G64" s="342"/>
      <c r="H64" s="342"/>
      <c r="I64" s="302"/>
      <c r="J64" s="425"/>
      <c r="N64" s="23"/>
    </row>
    <row r="65" spans="1:14" s="17" customFormat="1" x14ac:dyDescent="0.3">
      <c r="A65" s="21"/>
      <c r="B65" s="337" t="s">
        <v>1001</v>
      </c>
      <c r="C65" s="375" t="s">
        <v>1002</v>
      </c>
      <c r="D65" s="338"/>
      <c r="E65" s="338">
        <v>2</v>
      </c>
      <c r="F65" s="339">
        <v>30</v>
      </c>
      <c r="G65" s="338">
        <f>E65*F65</f>
        <v>60</v>
      </c>
      <c r="H65" s="338">
        <v>60</v>
      </c>
      <c r="I65" s="338"/>
      <c r="J65" s="340"/>
      <c r="N65" s="23"/>
    </row>
    <row r="66" spans="1:14" s="17" customFormat="1" x14ac:dyDescent="0.3">
      <c r="A66" s="21"/>
      <c r="B66" s="385" t="s">
        <v>1003</v>
      </c>
      <c r="C66" s="393"/>
      <c r="D66" s="416"/>
      <c r="E66" s="416"/>
      <c r="F66" s="417"/>
      <c r="G66" s="416"/>
      <c r="H66" s="348">
        <f>SUM(H59:H65)</f>
        <v>1785</v>
      </c>
      <c r="I66" s="348">
        <f>SUM(I59:I65)</f>
        <v>0</v>
      </c>
      <c r="J66" s="350">
        <f>SUM(J59:J65)</f>
        <v>0</v>
      </c>
      <c r="N66" s="23"/>
    </row>
    <row r="67" spans="1:14" s="17" customFormat="1" x14ac:dyDescent="0.3">
      <c r="A67" s="21"/>
      <c r="B67" s="377"/>
      <c r="C67" s="376"/>
      <c r="D67" s="342"/>
      <c r="E67" s="342"/>
      <c r="F67" s="343"/>
      <c r="G67" s="342"/>
      <c r="H67" s="418"/>
      <c r="I67" s="418"/>
      <c r="J67" s="420"/>
    </row>
    <row r="68" spans="1:14" s="17" customFormat="1" x14ac:dyDescent="0.3">
      <c r="A68" s="16" t="s">
        <v>1004</v>
      </c>
      <c r="B68" s="377"/>
      <c r="C68" s="302"/>
      <c r="D68" s="342"/>
      <c r="E68" s="342"/>
      <c r="F68" s="343"/>
      <c r="G68" s="342"/>
      <c r="H68" s="342"/>
      <c r="I68" s="342"/>
      <c r="J68" s="344"/>
      <c r="N68" s="23"/>
    </row>
    <row r="69" spans="1:14" s="17" customFormat="1" x14ac:dyDescent="0.3">
      <c r="A69" s="38" t="s">
        <v>1005</v>
      </c>
      <c r="B69" s="377"/>
      <c r="C69" s="302"/>
      <c r="D69" s="342"/>
      <c r="E69" s="342"/>
      <c r="F69" s="343"/>
      <c r="G69" s="342"/>
      <c r="H69" s="342"/>
      <c r="I69" s="342"/>
      <c r="J69" s="344"/>
      <c r="N69" s="23"/>
    </row>
    <row r="70" spans="1:14" s="17" customFormat="1" x14ac:dyDescent="0.3">
      <c r="A70" s="16"/>
      <c r="B70" s="337" t="s">
        <v>1006</v>
      </c>
      <c r="C70" s="337" t="s">
        <v>1007</v>
      </c>
      <c r="D70" s="338" t="s">
        <v>1008</v>
      </c>
      <c r="E70" s="338">
        <v>250</v>
      </c>
      <c r="F70" s="339">
        <v>2</v>
      </c>
      <c r="G70" s="338">
        <f>E70*F70</f>
        <v>500</v>
      </c>
      <c r="H70" s="338">
        <f>G70*1.13</f>
        <v>565</v>
      </c>
      <c r="I70" s="338"/>
      <c r="J70" s="340"/>
      <c r="L70" s="461"/>
      <c r="N70" s="23"/>
    </row>
    <row r="71" spans="1:14" s="17" customFormat="1" x14ac:dyDescent="0.3">
      <c r="A71" s="21"/>
      <c r="B71" s="302" t="s">
        <v>1009</v>
      </c>
      <c r="C71" s="376" t="s">
        <v>1010</v>
      </c>
      <c r="D71" s="342" t="s">
        <v>1011</v>
      </c>
      <c r="E71" s="342">
        <v>8.49</v>
      </c>
      <c r="F71" s="343">
        <v>4</v>
      </c>
      <c r="G71" s="342">
        <f t="shared" ref="G71:G73" si="4">E71*F71</f>
        <v>33.96</v>
      </c>
      <c r="H71" s="342">
        <f t="shared" ref="H71:H73" si="5">G71*1.13</f>
        <v>38.3748</v>
      </c>
      <c r="I71" s="342"/>
      <c r="J71" s="344"/>
      <c r="N71" s="23"/>
    </row>
    <row r="72" spans="1:14" s="17" customFormat="1" x14ac:dyDescent="0.3">
      <c r="A72" s="21"/>
      <c r="B72" s="337" t="s">
        <v>1012</v>
      </c>
      <c r="C72" s="375" t="s">
        <v>1013</v>
      </c>
      <c r="D72" s="338" t="s">
        <v>1014</v>
      </c>
      <c r="E72" s="338">
        <v>50</v>
      </c>
      <c r="F72" s="339">
        <v>1</v>
      </c>
      <c r="G72" s="338">
        <f t="shared" si="4"/>
        <v>50</v>
      </c>
      <c r="H72" s="338">
        <f t="shared" si="5"/>
        <v>56.499999999999993</v>
      </c>
      <c r="I72" s="338">
        <v>288.94</v>
      </c>
      <c r="J72" s="340">
        <v>288.94</v>
      </c>
      <c r="N72" s="23"/>
    </row>
    <row r="73" spans="1:14" s="17" customFormat="1" x14ac:dyDescent="0.3">
      <c r="A73" s="21"/>
      <c r="B73" s="302"/>
      <c r="C73" s="376" t="s">
        <v>1015</v>
      </c>
      <c r="D73" s="342" t="s">
        <v>1016</v>
      </c>
      <c r="E73" s="342">
        <v>40</v>
      </c>
      <c r="F73" s="343">
        <v>1</v>
      </c>
      <c r="G73" s="342">
        <f t="shared" si="4"/>
        <v>40</v>
      </c>
      <c r="H73" s="342">
        <f t="shared" si="5"/>
        <v>45.199999999999996</v>
      </c>
      <c r="I73" s="342"/>
      <c r="J73" s="344"/>
      <c r="N73" s="23"/>
    </row>
    <row r="74" spans="1:14" s="17" customFormat="1" x14ac:dyDescent="0.3">
      <c r="A74" s="38" t="s">
        <v>1017</v>
      </c>
      <c r="B74" s="377"/>
      <c r="C74" s="302"/>
      <c r="D74" s="342"/>
      <c r="E74" s="342"/>
      <c r="F74" s="343"/>
      <c r="G74" s="342"/>
      <c r="H74" s="342"/>
      <c r="I74" s="342"/>
      <c r="J74" s="344"/>
      <c r="N74" s="23"/>
    </row>
    <row r="75" spans="1:14" s="17" customFormat="1" x14ac:dyDescent="0.3">
      <c r="A75" s="21"/>
      <c r="B75" s="337" t="s">
        <v>1018</v>
      </c>
      <c r="C75" s="337" t="s">
        <v>1019</v>
      </c>
      <c r="D75" s="338" t="s">
        <v>1020</v>
      </c>
      <c r="E75" s="338">
        <v>250</v>
      </c>
      <c r="F75" s="339">
        <v>2</v>
      </c>
      <c r="G75" s="338">
        <f>E75*F75</f>
        <v>500</v>
      </c>
      <c r="H75" s="338">
        <f>G75*1.13</f>
        <v>565</v>
      </c>
      <c r="I75" s="338"/>
      <c r="J75" s="340"/>
      <c r="L75" s="461"/>
      <c r="N75" s="23"/>
    </row>
    <row r="76" spans="1:14" s="17" customFormat="1" x14ac:dyDescent="0.3">
      <c r="A76" s="21"/>
      <c r="B76" s="302" t="s">
        <v>1021</v>
      </c>
      <c r="C76" s="376" t="s">
        <v>1022</v>
      </c>
      <c r="D76" s="342" t="s">
        <v>1023</v>
      </c>
      <c r="E76" s="342">
        <v>10</v>
      </c>
      <c r="F76" s="343">
        <v>4</v>
      </c>
      <c r="G76" s="342">
        <f t="shared" ref="G76:G78" si="6">E76*F76</f>
        <v>40</v>
      </c>
      <c r="H76" s="342">
        <f t="shared" ref="H76:H78" si="7">G76*1.13</f>
        <v>45.199999999999996</v>
      </c>
      <c r="I76" s="342"/>
      <c r="J76" s="344"/>
      <c r="N76" s="23"/>
    </row>
    <row r="77" spans="1:14" s="17" customFormat="1" x14ac:dyDescent="0.3">
      <c r="A77" s="21"/>
      <c r="B77" s="337" t="s">
        <v>1024</v>
      </c>
      <c r="C77" s="375" t="s">
        <v>1013</v>
      </c>
      <c r="D77" s="338" t="s">
        <v>1014</v>
      </c>
      <c r="E77" s="338">
        <v>50</v>
      </c>
      <c r="F77" s="339">
        <v>1</v>
      </c>
      <c r="G77" s="338">
        <f t="shared" si="6"/>
        <v>50</v>
      </c>
      <c r="H77" s="338">
        <f t="shared" si="7"/>
        <v>56.499999999999993</v>
      </c>
      <c r="I77" s="338"/>
      <c r="J77" s="340"/>
      <c r="N77" s="23"/>
    </row>
    <row r="78" spans="1:14" s="17" customFormat="1" x14ac:dyDescent="0.3">
      <c r="A78" s="21"/>
      <c r="B78" s="302"/>
      <c r="C78" s="376" t="s">
        <v>1025</v>
      </c>
      <c r="D78" s="342" t="s">
        <v>1016</v>
      </c>
      <c r="E78" s="342">
        <v>40</v>
      </c>
      <c r="F78" s="343">
        <v>1</v>
      </c>
      <c r="G78" s="342">
        <f t="shared" si="6"/>
        <v>40</v>
      </c>
      <c r="H78" s="342">
        <f t="shared" si="7"/>
        <v>45.199999999999996</v>
      </c>
      <c r="I78" s="342"/>
      <c r="J78" s="344"/>
      <c r="N78" s="23"/>
    </row>
    <row r="79" spans="1:14" s="17" customFormat="1" x14ac:dyDescent="0.3">
      <c r="A79" s="38" t="s">
        <v>1026</v>
      </c>
      <c r="B79" s="377"/>
      <c r="C79" s="302"/>
      <c r="D79" s="342"/>
      <c r="E79" s="342"/>
      <c r="F79" s="343"/>
      <c r="G79" s="342"/>
      <c r="H79" s="342"/>
      <c r="I79" s="342"/>
      <c r="J79" s="344"/>
      <c r="N79" s="23"/>
    </row>
    <row r="80" spans="1:14" s="17" customFormat="1" x14ac:dyDescent="0.3">
      <c r="A80" s="38"/>
      <c r="B80" s="337" t="s">
        <v>1027</v>
      </c>
      <c r="C80" s="337" t="s">
        <v>1019</v>
      </c>
      <c r="D80" s="338" t="s">
        <v>1020</v>
      </c>
      <c r="E80" s="338">
        <v>100</v>
      </c>
      <c r="F80" s="339">
        <v>2</v>
      </c>
      <c r="G80" s="338">
        <f>E80*F80</f>
        <v>200</v>
      </c>
      <c r="H80" s="338">
        <f>G80*1.13</f>
        <v>225.99999999999997</v>
      </c>
      <c r="I80" s="338"/>
      <c r="J80" s="340"/>
      <c r="N80" s="23"/>
    </row>
    <row r="81" spans="1:14" s="17" customFormat="1" x14ac:dyDescent="0.3">
      <c r="A81" s="21"/>
      <c r="B81" s="302" t="s">
        <v>1028</v>
      </c>
      <c r="C81" s="376" t="s">
        <v>1022</v>
      </c>
      <c r="D81" s="342" t="s">
        <v>1023</v>
      </c>
      <c r="E81" s="342">
        <v>10</v>
      </c>
      <c r="F81" s="343">
        <v>2</v>
      </c>
      <c r="G81" s="342">
        <f t="shared" ref="G81:G83" si="8">E81*F81</f>
        <v>20</v>
      </c>
      <c r="H81" s="342">
        <f t="shared" ref="H81:H83" si="9">G81*1.13</f>
        <v>22.599999999999998</v>
      </c>
      <c r="I81" s="342"/>
      <c r="J81" s="344"/>
      <c r="N81" s="23"/>
    </row>
    <row r="82" spans="1:14" s="17" customFormat="1" x14ac:dyDescent="0.3">
      <c r="A82" s="21"/>
      <c r="B82" s="337" t="s">
        <v>1029</v>
      </c>
      <c r="C82" s="375" t="s">
        <v>1013</v>
      </c>
      <c r="D82" s="338" t="s">
        <v>1014</v>
      </c>
      <c r="E82" s="338">
        <v>30</v>
      </c>
      <c r="F82" s="339">
        <v>1</v>
      </c>
      <c r="G82" s="338">
        <f t="shared" si="8"/>
        <v>30</v>
      </c>
      <c r="H82" s="338">
        <f t="shared" si="9"/>
        <v>33.9</v>
      </c>
      <c r="I82" s="338"/>
      <c r="J82" s="340"/>
      <c r="N82" s="23"/>
    </row>
    <row r="83" spans="1:14" s="17" customFormat="1" x14ac:dyDescent="0.3">
      <c r="A83" s="21"/>
      <c r="B83" s="302" t="s">
        <v>1030</v>
      </c>
      <c r="C83" s="376" t="s">
        <v>1025</v>
      </c>
      <c r="D83" s="342" t="s">
        <v>1016</v>
      </c>
      <c r="E83" s="342">
        <v>40</v>
      </c>
      <c r="F83" s="343">
        <v>1</v>
      </c>
      <c r="G83" s="342">
        <f t="shared" si="8"/>
        <v>40</v>
      </c>
      <c r="H83" s="342">
        <f t="shared" si="9"/>
        <v>45.199999999999996</v>
      </c>
      <c r="I83" s="342"/>
      <c r="J83" s="344"/>
      <c r="N83" s="23"/>
    </row>
    <row r="84" spans="1:14" s="17" customFormat="1" x14ac:dyDescent="0.3">
      <c r="A84" s="21"/>
      <c r="B84" s="302"/>
      <c r="C84" s="376" t="s">
        <v>1655</v>
      </c>
      <c r="D84" s="342" t="s">
        <v>1656</v>
      </c>
      <c r="E84" s="342"/>
      <c r="F84" s="343"/>
      <c r="G84" s="342"/>
      <c r="H84" s="342"/>
      <c r="I84" s="342">
        <v>296</v>
      </c>
      <c r="J84" s="344">
        <v>296</v>
      </c>
      <c r="N84" s="23"/>
    </row>
    <row r="85" spans="1:14" s="17" customFormat="1" x14ac:dyDescent="0.3">
      <c r="A85" s="21"/>
      <c r="B85" s="302"/>
      <c r="C85" s="376"/>
      <c r="D85" s="342" t="s">
        <v>1657</v>
      </c>
      <c r="E85" s="342"/>
      <c r="F85" s="343"/>
      <c r="G85" s="342"/>
      <c r="H85" s="342"/>
      <c r="I85" s="342">
        <v>200</v>
      </c>
      <c r="J85" s="344">
        <v>200</v>
      </c>
      <c r="N85" s="23"/>
    </row>
    <row r="86" spans="1:14" s="17" customFormat="1" x14ac:dyDescent="0.3">
      <c r="A86" s="21"/>
      <c r="B86" s="385" t="s">
        <v>1031</v>
      </c>
      <c r="C86" s="393"/>
      <c r="D86" s="416"/>
      <c r="E86" s="416"/>
      <c r="F86" s="417"/>
      <c r="G86" s="416"/>
      <c r="H86" s="348">
        <f>SUM(H68:H83)</f>
        <v>1744.6748000000002</v>
      </c>
      <c r="I86" s="348">
        <f>SUM(I68:I85)</f>
        <v>784.94</v>
      </c>
      <c r="J86" s="350">
        <f>SUM(J68:J85)</f>
        <v>784.94</v>
      </c>
      <c r="L86" s="29"/>
      <c r="N86" s="23"/>
    </row>
    <row r="87" spans="1:14" s="17" customFormat="1" x14ac:dyDescent="0.3">
      <c r="A87" s="21"/>
      <c r="B87" s="377"/>
      <c r="C87" s="376"/>
      <c r="D87" s="342"/>
      <c r="E87" s="342"/>
      <c r="F87" s="343"/>
      <c r="G87" s="342"/>
      <c r="H87" s="418"/>
      <c r="I87" s="418"/>
      <c r="J87" s="420"/>
      <c r="L87" s="29"/>
      <c r="N87" s="23"/>
    </row>
    <row r="88" spans="1:14" s="17" customFormat="1" x14ac:dyDescent="0.3">
      <c r="A88" s="16" t="s">
        <v>1032</v>
      </c>
      <c r="B88" s="377"/>
      <c r="C88" s="302"/>
      <c r="D88" s="342"/>
      <c r="E88" s="342"/>
      <c r="F88" s="343"/>
      <c r="G88" s="342"/>
      <c r="H88" s="342"/>
      <c r="I88" s="342"/>
      <c r="J88" s="344"/>
      <c r="L88" s="29"/>
      <c r="N88" s="23"/>
    </row>
    <row r="89" spans="1:14" s="17" customFormat="1" x14ac:dyDescent="0.3">
      <c r="A89" s="16" t="s">
        <v>341</v>
      </c>
      <c r="B89" s="377"/>
      <c r="C89" s="302"/>
      <c r="D89" s="342"/>
      <c r="E89" s="342"/>
      <c r="F89" s="343"/>
      <c r="G89" s="342"/>
      <c r="H89" s="342"/>
      <c r="I89" s="342"/>
      <c r="J89" s="344"/>
      <c r="L89" s="29"/>
      <c r="N89" s="23"/>
    </row>
    <row r="90" spans="1:14" s="17" customFormat="1" x14ac:dyDescent="0.3">
      <c r="A90" s="16"/>
      <c r="B90" s="337" t="s">
        <v>1033</v>
      </c>
      <c r="C90" s="337" t="s">
        <v>1034</v>
      </c>
      <c r="D90" s="338" t="s">
        <v>1035</v>
      </c>
      <c r="E90" s="338">
        <v>15</v>
      </c>
      <c r="F90" s="339">
        <v>10</v>
      </c>
      <c r="G90" s="338">
        <f>E90*F90</f>
        <v>150</v>
      </c>
      <c r="H90" s="338">
        <f>G90</f>
        <v>150</v>
      </c>
      <c r="I90" s="338"/>
      <c r="J90" s="340"/>
      <c r="L90" s="29"/>
      <c r="N90" s="23"/>
    </row>
    <row r="91" spans="1:14" s="17" customFormat="1" x14ac:dyDescent="0.3">
      <c r="A91" s="21"/>
      <c r="B91" s="302" t="s">
        <v>1036</v>
      </c>
      <c r="C91" s="376" t="s">
        <v>1037</v>
      </c>
      <c r="D91" s="342" t="s">
        <v>1035</v>
      </c>
      <c r="E91" s="342">
        <v>5</v>
      </c>
      <c r="F91" s="343">
        <v>20</v>
      </c>
      <c r="G91" s="342">
        <f t="shared" ref="G91:G93" si="10">E91*F91</f>
        <v>100</v>
      </c>
      <c r="H91" s="342">
        <f t="shared" ref="H91:H93" si="11">G91</f>
        <v>100</v>
      </c>
      <c r="I91" s="342"/>
      <c r="J91" s="344"/>
      <c r="L91" s="29"/>
      <c r="N91" s="23"/>
    </row>
    <row r="92" spans="1:14" s="17" customFormat="1" x14ac:dyDescent="0.3">
      <c r="A92" s="21"/>
      <c r="B92" s="337" t="s">
        <v>1038</v>
      </c>
      <c r="C92" s="375" t="s">
        <v>1039</v>
      </c>
      <c r="D92" s="338" t="s">
        <v>1040</v>
      </c>
      <c r="E92" s="338">
        <v>15</v>
      </c>
      <c r="F92" s="339">
        <v>120</v>
      </c>
      <c r="G92" s="338">
        <f t="shared" si="10"/>
        <v>1800</v>
      </c>
      <c r="H92" s="338">
        <f t="shared" si="11"/>
        <v>1800</v>
      </c>
      <c r="I92" s="338">
        <v>455.7</v>
      </c>
      <c r="J92" s="340">
        <v>455.7</v>
      </c>
      <c r="L92" s="29"/>
      <c r="N92" s="23"/>
    </row>
    <row r="93" spans="1:14" s="17" customFormat="1" x14ac:dyDescent="0.3">
      <c r="A93" s="21"/>
      <c r="B93" s="302" t="s">
        <v>1041</v>
      </c>
      <c r="C93" s="376" t="s">
        <v>1042</v>
      </c>
      <c r="D93" s="342" t="s">
        <v>1040</v>
      </c>
      <c r="E93" s="342">
        <v>15</v>
      </c>
      <c r="F93" s="343">
        <v>120</v>
      </c>
      <c r="G93" s="342">
        <f t="shared" si="10"/>
        <v>1800</v>
      </c>
      <c r="H93" s="342">
        <f t="shared" si="11"/>
        <v>1800</v>
      </c>
      <c r="I93" s="342"/>
      <c r="J93" s="344"/>
      <c r="L93" s="29"/>
      <c r="N93" s="23"/>
    </row>
    <row r="94" spans="1:14" s="17" customFormat="1" x14ac:dyDescent="0.3">
      <c r="A94" s="189" t="s">
        <v>604</v>
      </c>
      <c r="B94" s="386"/>
      <c r="C94" s="398"/>
      <c r="D94" s="444"/>
      <c r="E94" s="444"/>
      <c r="F94" s="445"/>
      <c r="G94" s="444"/>
      <c r="H94" s="444"/>
      <c r="I94" s="444"/>
      <c r="J94" s="462"/>
      <c r="L94" s="29"/>
      <c r="N94" s="23"/>
    </row>
    <row r="95" spans="1:14" s="17" customFormat="1" x14ac:dyDescent="0.3">
      <c r="A95" s="257"/>
      <c r="B95" s="460" t="s">
        <v>1043</v>
      </c>
      <c r="C95" s="399" t="s">
        <v>1044</v>
      </c>
      <c r="D95" s="446" t="s">
        <v>1045</v>
      </c>
      <c r="E95" s="446">
        <v>3</v>
      </c>
      <c r="F95" s="447">
        <v>90</v>
      </c>
      <c r="G95" s="446">
        <v>270</v>
      </c>
      <c r="H95" s="446">
        <v>270</v>
      </c>
      <c r="I95" s="446"/>
      <c r="J95" s="463"/>
      <c r="L95" s="29"/>
      <c r="N95" s="23"/>
    </row>
    <row r="96" spans="1:14" s="17" customFormat="1" x14ac:dyDescent="0.3">
      <c r="A96" s="16" t="s">
        <v>1046</v>
      </c>
      <c r="B96" s="377"/>
      <c r="C96" s="302"/>
      <c r="D96" s="342"/>
      <c r="E96" s="342"/>
      <c r="F96" s="343"/>
      <c r="G96" s="342"/>
      <c r="H96" s="342"/>
      <c r="I96" s="342"/>
      <c r="J96" s="344"/>
      <c r="L96" s="29"/>
      <c r="N96" s="23"/>
    </row>
    <row r="97" spans="1:14" s="17" customFormat="1" x14ac:dyDescent="0.3">
      <c r="A97" s="21"/>
      <c r="B97" s="337" t="s">
        <v>1047</v>
      </c>
      <c r="C97" s="375" t="s">
        <v>1048</v>
      </c>
      <c r="D97" s="338"/>
      <c r="E97" s="338">
        <v>2</v>
      </c>
      <c r="F97" s="339">
        <v>100</v>
      </c>
      <c r="G97" s="338">
        <f t="shared" ref="G97" si="12">E97*F97</f>
        <v>200</v>
      </c>
      <c r="H97" s="338">
        <f>G97</f>
        <v>200</v>
      </c>
      <c r="I97" s="338"/>
      <c r="J97" s="340"/>
      <c r="L97" s="29"/>
      <c r="N97" s="23"/>
    </row>
    <row r="98" spans="1:14" s="17" customFormat="1" x14ac:dyDescent="0.3">
      <c r="A98" s="21"/>
      <c r="B98" s="385" t="s">
        <v>1049</v>
      </c>
      <c r="C98" s="393"/>
      <c r="D98" s="416"/>
      <c r="E98" s="416"/>
      <c r="F98" s="417"/>
      <c r="G98" s="426"/>
      <c r="H98" s="427">
        <f>SUM(H88:H94)</f>
        <v>3850</v>
      </c>
      <c r="I98" s="348">
        <f>SUM(I88:I94)</f>
        <v>455.7</v>
      </c>
      <c r="J98" s="350">
        <f>SUM(J88:J94)</f>
        <v>455.7</v>
      </c>
      <c r="L98" s="29"/>
      <c r="N98" s="23"/>
    </row>
    <row r="99" spans="1:14" s="17" customFormat="1" x14ac:dyDescent="0.3">
      <c r="A99" s="16"/>
      <c r="B99" s="377"/>
      <c r="C99" s="377"/>
      <c r="D99" s="418"/>
      <c r="E99" s="418"/>
      <c r="F99" s="419"/>
      <c r="G99" s="418"/>
      <c r="H99" s="418"/>
      <c r="I99" s="418"/>
      <c r="J99" s="420"/>
      <c r="L99" s="29"/>
      <c r="N99" s="23"/>
    </row>
    <row r="100" spans="1:14" s="17" customFormat="1" x14ac:dyDescent="0.3">
      <c r="A100" s="16" t="s">
        <v>1050</v>
      </c>
      <c r="B100" s="377"/>
      <c r="C100" s="302"/>
      <c r="D100" s="342"/>
      <c r="E100" s="342"/>
      <c r="F100" s="343"/>
      <c r="G100" s="342"/>
      <c r="H100" s="342"/>
      <c r="I100" s="342"/>
      <c r="J100" s="344"/>
      <c r="L100" s="29"/>
      <c r="N100" s="23"/>
    </row>
    <row r="101" spans="1:14" s="17" customFormat="1" x14ac:dyDescent="0.3">
      <c r="A101" s="464" t="s">
        <v>1051</v>
      </c>
      <c r="B101" s="377"/>
      <c r="C101" s="302"/>
      <c r="D101" s="342"/>
      <c r="E101" s="342"/>
      <c r="F101" s="343"/>
      <c r="G101" s="342"/>
      <c r="H101" s="342"/>
      <c r="I101" s="342"/>
      <c r="J101" s="344"/>
      <c r="L101" s="29"/>
      <c r="N101" s="23"/>
    </row>
    <row r="102" spans="1:14" s="17" customFormat="1" x14ac:dyDescent="0.3">
      <c r="A102" s="465"/>
      <c r="B102" s="337" t="s">
        <v>1052</v>
      </c>
      <c r="C102" s="337" t="s">
        <v>1053</v>
      </c>
      <c r="D102" s="338" t="s">
        <v>1054</v>
      </c>
      <c r="E102" s="338">
        <v>2.5</v>
      </c>
      <c r="F102" s="339">
        <v>20</v>
      </c>
      <c r="G102" s="338">
        <f>E102*F102</f>
        <v>50</v>
      </c>
      <c r="H102" s="338">
        <f>G102*1.13</f>
        <v>56.499999999999993</v>
      </c>
      <c r="I102" s="338"/>
      <c r="J102" s="340"/>
      <c r="L102" s="29"/>
      <c r="N102" s="23"/>
    </row>
    <row r="103" spans="1:14" s="17" customFormat="1" x14ac:dyDescent="0.3">
      <c r="A103" s="38" t="s">
        <v>1055</v>
      </c>
      <c r="B103" s="377"/>
      <c r="C103" s="302"/>
      <c r="D103" s="342"/>
      <c r="E103" s="342"/>
      <c r="F103" s="343"/>
      <c r="G103" s="342"/>
      <c r="H103" s="342"/>
      <c r="I103" s="342"/>
      <c r="J103" s="344"/>
      <c r="L103" s="29"/>
      <c r="N103" s="23"/>
    </row>
    <row r="104" spans="1:14" s="17" customFormat="1" x14ac:dyDescent="0.3">
      <c r="A104" s="21"/>
      <c r="B104" s="337" t="s">
        <v>1056</v>
      </c>
      <c r="C104" s="375" t="s">
        <v>1053</v>
      </c>
      <c r="D104" s="338" t="s">
        <v>1057</v>
      </c>
      <c r="E104" s="338">
        <v>15</v>
      </c>
      <c r="F104" s="339">
        <v>10</v>
      </c>
      <c r="G104" s="338">
        <f>E104*F104</f>
        <v>150</v>
      </c>
      <c r="H104" s="338">
        <f>G104*1.13</f>
        <v>169.49999999999997</v>
      </c>
      <c r="I104" s="338"/>
      <c r="J104" s="340"/>
      <c r="L104" s="29"/>
      <c r="N104" s="23"/>
    </row>
    <row r="105" spans="1:14" s="17" customFormat="1" x14ac:dyDescent="0.3">
      <c r="A105" s="16"/>
      <c r="B105" s="385" t="s">
        <v>1058</v>
      </c>
      <c r="C105" s="347"/>
      <c r="D105" s="348"/>
      <c r="E105" s="348"/>
      <c r="F105" s="349"/>
      <c r="G105" s="348"/>
      <c r="H105" s="348">
        <f>SUM(H101:H104)</f>
        <v>225.99999999999997</v>
      </c>
      <c r="I105" s="348">
        <f>SUM(I101:I104)</f>
        <v>0</v>
      </c>
      <c r="J105" s="350">
        <f>SUM(J101:J104)</f>
        <v>0</v>
      </c>
      <c r="L105" s="29"/>
      <c r="N105" s="23"/>
    </row>
    <row r="106" spans="1:14" s="17" customFormat="1" x14ac:dyDescent="0.3">
      <c r="A106" s="21"/>
      <c r="B106" s="377"/>
      <c r="C106" s="376"/>
      <c r="D106" s="342"/>
      <c r="E106" s="342"/>
      <c r="F106" s="343"/>
      <c r="G106" s="342"/>
      <c r="H106" s="418"/>
      <c r="I106" s="418"/>
      <c r="J106" s="420"/>
      <c r="L106" s="29"/>
      <c r="N106" s="23"/>
    </row>
    <row r="107" spans="1:14" s="17" customFormat="1" x14ac:dyDescent="0.3">
      <c r="A107" s="16"/>
      <c r="B107" s="377"/>
      <c r="C107" s="377" t="s">
        <v>45</v>
      </c>
      <c r="D107" s="418"/>
      <c r="E107" s="418"/>
      <c r="F107" s="419"/>
      <c r="G107" s="418"/>
      <c r="H107" s="418">
        <f>H105+H24+H18+H28+H34+H42+H53+H57+H66+H86+H98</f>
        <v>30255.674800000001</v>
      </c>
      <c r="I107" s="418">
        <f>I105+I24+I18+I28+I34+I42+I53+I57+I66+I86+I98</f>
        <v>7044.54</v>
      </c>
      <c r="J107" s="420">
        <f>J105+J24+J18+J28+J34+J42+J53+J57+J66+J86+J98</f>
        <v>7044.54</v>
      </c>
      <c r="L107" s="29"/>
      <c r="N107" s="23"/>
    </row>
    <row r="108" spans="1:14" s="17" customFormat="1" x14ac:dyDescent="0.3">
      <c r="A108" s="16"/>
      <c r="B108" s="377"/>
      <c r="C108" s="377"/>
      <c r="D108" s="418"/>
      <c r="E108" s="418"/>
      <c r="F108" s="419"/>
      <c r="G108" s="418"/>
      <c r="H108" s="418"/>
      <c r="I108" s="418"/>
      <c r="J108" s="420"/>
      <c r="L108" s="29"/>
      <c r="N108" s="23"/>
    </row>
    <row r="109" spans="1:14" s="17" customFormat="1" x14ac:dyDescent="0.3">
      <c r="A109" s="560" t="s">
        <v>46</v>
      </c>
      <c r="B109" s="561"/>
      <c r="C109" s="561"/>
      <c r="D109" s="413"/>
      <c r="E109" s="428"/>
      <c r="F109" s="429"/>
      <c r="G109" s="428"/>
      <c r="H109" s="428"/>
      <c r="I109" s="428"/>
      <c r="J109" s="415"/>
      <c r="L109" s="29"/>
      <c r="N109" s="23"/>
    </row>
    <row r="110" spans="1:14" s="17" customFormat="1" x14ac:dyDescent="0.3">
      <c r="A110" s="16" t="s">
        <v>922</v>
      </c>
      <c r="B110" s="377"/>
      <c r="C110" s="302"/>
      <c r="D110" s="342"/>
      <c r="E110" s="342"/>
      <c r="F110" s="343"/>
      <c r="G110" s="342"/>
      <c r="H110" s="342"/>
      <c r="I110" s="342"/>
      <c r="J110" s="344"/>
      <c r="L110" s="29"/>
      <c r="N110" s="23"/>
    </row>
    <row r="111" spans="1:14" s="17" customFormat="1" x14ac:dyDescent="0.3">
      <c r="A111" s="38" t="s">
        <v>1059</v>
      </c>
      <c r="B111" s="377"/>
      <c r="C111" s="302"/>
      <c r="D111" s="422"/>
      <c r="E111" s="342"/>
      <c r="F111" s="343"/>
      <c r="G111" s="342"/>
      <c r="H111" s="342"/>
      <c r="I111" s="342"/>
      <c r="J111" s="344"/>
      <c r="L111" s="29"/>
      <c r="N111" s="23"/>
    </row>
    <row r="112" spans="1:14" s="17" customFormat="1" x14ac:dyDescent="0.3">
      <c r="B112" s="337" t="s">
        <v>1060</v>
      </c>
      <c r="C112" s="375" t="s">
        <v>1061</v>
      </c>
      <c r="D112" s="421" t="s">
        <v>1062</v>
      </c>
      <c r="E112" s="338">
        <v>18.989999999999998</v>
      </c>
      <c r="F112" s="339">
        <v>3</v>
      </c>
      <c r="G112" s="338">
        <f t="shared" ref="G112:G148" si="13">F112*E112</f>
        <v>56.97</v>
      </c>
      <c r="H112" s="430">
        <f t="shared" ref="H112:H148" si="14">G112*1.13</f>
        <v>64.376099999999994</v>
      </c>
      <c r="I112" s="338"/>
      <c r="J112" s="340"/>
      <c r="L112" s="29"/>
      <c r="N112" s="23"/>
    </row>
    <row r="113" spans="1:14" s="17" customFormat="1" x14ac:dyDescent="0.3">
      <c r="A113" s="53"/>
      <c r="B113" s="302" t="s">
        <v>1063</v>
      </c>
      <c r="C113" s="376" t="s">
        <v>1064</v>
      </c>
      <c r="D113" s="422" t="s">
        <v>1065</v>
      </c>
      <c r="E113" s="342">
        <v>110</v>
      </c>
      <c r="F113" s="343">
        <v>1</v>
      </c>
      <c r="G113" s="342">
        <f t="shared" si="13"/>
        <v>110</v>
      </c>
      <c r="H113" s="431">
        <f t="shared" si="14"/>
        <v>124.29999999999998</v>
      </c>
      <c r="I113" s="342"/>
      <c r="J113" s="344"/>
      <c r="L113" s="29"/>
      <c r="N113" s="23"/>
    </row>
    <row r="114" spans="1:14" s="17" customFormat="1" x14ac:dyDescent="0.3">
      <c r="A114" s="38"/>
      <c r="B114" s="337" t="s">
        <v>1066</v>
      </c>
      <c r="C114" s="375" t="s">
        <v>1067</v>
      </c>
      <c r="D114" s="421" t="s">
        <v>1068</v>
      </c>
      <c r="E114" s="338">
        <v>12.99</v>
      </c>
      <c r="F114" s="339">
        <v>10</v>
      </c>
      <c r="G114" s="338">
        <f t="shared" si="13"/>
        <v>129.9</v>
      </c>
      <c r="H114" s="430">
        <f t="shared" si="14"/>
        <v>146.78700000000001</v>
      </c>
      <c r="I114" s="338"/>
      <c r="J114" s="340"/>
      <c r="L114" s="29"/>
      <c r="N114" s="23"/>
    </row>
    <row r="115" spans="1:14" s="17" customFormat="1" x14ac:dyDescent="0.3">
      <c r="A115" s="38"/>
      <c r="B115" s="302" t="s">
        <v>1069</v>
      </c>
      <c r="C115" s="376" t="s">
        <v>1070</v>
      </c>
      <c r="D115" s="422" t="s">
        <v>1071</v>
      </c>
      <c r="E115" s="342">
        <v>15.99</v>
      </c>
      <c r="F115" s="343">
        <v>1</v>
      </c>
      <c r="G115" s="342">
        <f t="shared" si="13"/>
        <v>15.99</v>
      </c>
      <c r="H115" s="431">
        <f t="shared" si="14"/>
        <v>18.0687</v>
      </c>
      <c r="I115" s="342"/>
      <c r="J115" s="344"/>
      <c r="L115" s="29"/>
      <c r="N115" s="23"/>
    </row>
    <row r="116" spans="1:14" s="17" customFormat="1" x14ac:dyDescent="0.3">
      <c r="A116" s="38"/>
      <c r="B116" s="337" t="s">
        <v>1072</v>
      </c>
      <c r="C116" s="375" t="s">
        <v>1073</v>
      </c>
      <c r="D116" s="421" t="s">
        <v>1074</v>
      </c>
      <c r="E116" s="338">
        <v>3</v>
      </c>
      <c r="F116" s="339">
        <v>17</v>
      </c>
      <c r="G116" s="338">
        <f t="shared" si="13"/>
        <v>51</v>
      </c>
      <c r="H116" s="430">
        <f t="shared" si="14"/>
        <v>57.629999999999995</v>
      </c>
      <c r="I116" s="338"/>
      <c r="J116" s="432"/>
      <c r="L116" s="29"/>
      <c r="N116" s="23"/>
    </row>
    <row r="117" spans="1:14" s="17" customFormat="1" x14ac:dyDescent="0.3">
      <c r="A117" s="38"/>
      <c r="B117" s="302" t="s">
        <v>1075</v>
      </c>
      <c r="C117" s="376" t="s">
        <v>1076</v>
      </c>
      <c r="D117" s="422" t="s">
        <v>1077</v>
      </c>
      <c r="E117" s="342">
        <v>3</v>
      </c>
      <c r="F117" s="343">
        <v>5</v>
      </c>
      <c r="G117" s="342">
        <f t="shared" si="13"/>
        <v>15</v>
      </c>
      <c r="H117" s="433">
        <f t="shared" si="14"/>
        <v>16.95</v>
      </c>
      <c r="I117" s="342"/>
      <c r="J117" s="344"/>
      <c r="L117" s="29"/>
      <c r="N117" s="23"/>
    </row>
    <row r="118" spans="1:14" s="17" customFormat="1" x14ac:dyDescent="0.3">
      <c r="A118" s="38"/>
      <c r="B118" s="337" t="s">
        <v>1078</v>
      </c>
      <c r="C118" s="375" t="s">
        <v>1079</v>
      </c>
      <c r="D118" s="421" t="s">
        <v>1080</v>
      </c>
      <c r="E118" s="338">
        <v>12.18</v>
      </c>
      <c r="F118" s="339">
        <v>1</v>
      </c>
      <c r="G118" s="338">
        <f t="shared" si="13"/>
        <v>12.18</v>
      </c>
      <c r="H118" s="430">
        <f t="shared" si="14"/>
        <v>13.763399999999999</v>
      </c>
      <c r="I118" s="338"/>
      <c r="J118" s="340"/>
      <c r="L118" s="29"/>
      <c r="N118" s="23"/>
    </row>
    <row r="119" spans="1:14" s="17" customFormat="1" x14ac:dyDescent="0.3">
      <c r="A119" s="38"/>
      <c r="B119" s="302" t="s">
        <v>1081</v>
      </c>
      <c r="C119" s="376" t="s">
        <v>1082</v>
      </c>
      <c r="D119" s="422" t="s">
        <v>1080</v>
      </c>
      <c r="E119" s="342">
        <v>8.1300000000000008</v>
      </c>
      <c r="F119" s="343">
        <v>2</v>
      </c>
      <c r="G119" s="342">
        <f t="shared" si="13"/>
        <v>16.260000000000002</v>
      </c>
      <c r="H119" s="431">
        <f t="shared" si="14"/>
        <v>18.373799999999999</v>
      </c>
      <c r="I119" s="342"/>
      <c r="J119" s="344"/>
      <c r="L119" s="29"/>
      <c r="N119" s="23"/>
    </row>
    <row r="120" spans="1:14" s="17" customFormat="1" ht="15.95" customHeight="1" x14ac:dyDescent="0.3">
      <c r="A120" s="38"/>
      <c r="B120" s="337" t="s">
        <v>1083</v>
      </c>
      <c r="C120" s="375" t="s">
        <v>1084</v>
      </c>
      <c r="D120" s="421" t="s">
        <v>1085</v>
      </c>
      <c r="E120" s="338">
        <v>13.51</v>
      </c>
      <c r="F120" s="339">
        <v>1</v>
      </c>
      <c r="G120" s="338">
        <f t="shared" si="13"/>
        <v>13.51</v>
      </c>
      <c r="H120" s="430">
        <f t="shared" si="14"/>
        <v>15.266299999999998</v>
      </c>
      <c r="I120" s="338"/>
      <c r="J120" s="432"/>
      <c r="L120" s="29"/>
      <c r="N120" s="23"/>
    </row>
    <row r="121" spans="1:14" s="17" customFormat="1" ht="15.95" customHeight="1" x14ac:dyDescent="0.3">
      <c r="A121" s="21"/>
      <c r="B121" s="302" t="s">
        <v>1086</v>
      </c>
      <c r="C121" s="376" t="s">
        <v>1087</v>
      </c>
      <c r="D121" s="422" t="s">
        <v>1088</v>
      </c>
      <c r="E121" s="342">
        <v>20</v>
      </c>
      <c r="F121" s="343">
        <v>1</v>
      </c>
      <c r="G121" s="342">
        <f t="shared" si="13"/>
        <v>20</v>
      </c>
      <c r="H121" s="431">
        <f t="shared" si="14"/>
        <v>22.599999999999998</v>
      </c>
      <c r="I121" s="342"/>
      <c r="J121" s="344"/>
      <c r="L121" s="29"/>
      <c r="N121" s="23"/>
    </row>
    <row r="122" spans="1:14" s="17" customFormat="1" x14ac:dyDescent="0.3">
      <c r="A122" s="21"/>
      <c r="B122" s="337" t="s">
        <v>1089</v>
      </c>
      <c r="C122" s="375" t="s">
        <v>1090</v>
      </c>
      <c r="D122" s="421" t="s">
        <v>1091</v>
      </c>
      <c r="E122" s="338">
        <v>12.18</v>
      </c>
      <c r="F122" s="339">
        <v>8</v>
      </c>
      <c r="G122" s="338">
        <f t="shared" si="13"/>
        <v>97.44</v>
      </c>
      <c r="H122" s="430">
        <f t="shared" si="14"/>
        <v>110.10719999999999</v>
      </c>
      <c r="I122" s="338"/>
      <c r="J122" s="340"/>
      <c r="L122" s="29"/>
      <c r="N122" s="23"/>
    </row>
    <row r="123" spans="1:14" s="17" customFormat="1" x14ac:dyDescent="0.3">
      <c r="A123" s="21"/>
      <c r="B123" s="302" t="s">
        <v>1092</v>
      </c>
      <c r="C123" s="302" t="s">
        <v>1093</v>
      </c>
      <c r="D123" s="422" t="s">
        <v>1094</v>
      </c>
      <c r="E123" s="342">
        <v>4.33</v>
      </c>
      <c r="F123" s="343">
        <v>7</v>
      </c>
      <c r="G123" s="342">
        <f t="shared" si="13"/>
        <v>30.310000000000002</v>
      </c>
      <c r="H123" s="431">
        <f t="shared" si="14"/>
        <v>34.250300000000003</v>
      </c>
      <c r="I123" s="342"/>
      <c r="J123" s="344"/>
      <c r="L123" s="29"/>
      <c r="N123" s="23"/>
    </row>
    <row r="124" spans="1:14" s="17" customFormat="1" x14ac:dyDescent="0.3">
      <c r="A124" s="21"/>
      <c r="B124" s="337" t="s">
        <v>1095</v>
      </c>
      <c r="C124" s="337" t="s">
        <v>608</v>
      </c>
      <c r="D124" s="421"/>
      <c r="E124" s="338">
        <v>20</v>
      </c>
      <c r="F124" s="339">
        <v>3</v>
      </c>
      <c r="G124" s="338">
        <f t="shared" si="13"/>
        <v>60</v>
      </c>
      <c r="H124" s="430">
        <f t="shared" si="14"/>
        <v>67.8</v>
      </c>
      <c r="I124" s="338"/>
      <c r="J124" s="432"/>
      <c r="L124" s="29"/>
      <c r="N124" s="23"/>
    </row>
    <row r="125" spans="1:14" s="17" customFormat="1" x14ac:dyDescent="0.3">
      <c r="A125" s="21"/>
      <c r="B125" s="302" t="s">
        <v>1096</v>
      </c>
      <c r="C125" s="382" t="s">
        <v>163</v>
      </c>
      <c r="D125" s="382" t="s">
        <v>1097</v>
      </c>
      <c r="E125" s="431">
        <v>10</v>
      </c>
      <c r="F125" s="382">
        <v>1</v>
      </c>
      <c r="G125" s="431">
        <v>10</v>
      </c>
      <c r="H125" s="431">
        <v>11.3</v>
      </c>
      <c r="I125" s="342"/>
      <c r="J125" s="434"/>
      <c r="L125" s="29"/>
      <c r="N125" s="23"/>
    </row>
    <row r="126" spans="1:14" s="17" customFormat="1" x14ac:dyDescent="0.3">
      <c r="A126" s="21"/>
      <c r="B126" s="337" t="s">
        <v>1098</v>
      </c>
      <c r="C126" s="383" t="s">
        <v>641</v>
      </c>
      <c r="D126" s="383" t="s">
        <v>1099</v>
      </c>
      <c r="E126" s="430">
        <v>0.05</v>
      </c>
      <c r="F126" s="383">
        <v>10</v>
      </c>
      <c r="G126" s="430">
        <v>0.5</v>
      </c>
      <c r="H126" s="430">
        <v>0.5</v>
      </c>
      <c r="I126" s="338"/>
      <c r="J126" s="432"/>
      <c r="L126" s="29"/>
      <c r="N126" s="23"/>
    </row>
    <row r="127" spans="1:14" s="17" customFormat="1" x14ac:dyDescent="0.3">
      <c r="A127" s="38" t="s">
        <v>932</v>
      </c>
      <c r="B127" s="382"/>
      <c r="C127" s="382"/>
      <c r="D127" s="435"/>
      <c r="E127" s="431"/>
      <c r="F127" s="436"/>
      <c r="G127" s="342"/>
      <c r="H127" s="431"/>
      <c r="I127" s="342"/>
      <c r="J127" s="344"/>
      <c r="L127" s="29"/>
      <c r="N127" s="23"/>
    </row>
    <row r="128" spans="1:14" s="17" customFormat="1" x14ac:dyDescent="0.3">
      <c r="B128" s="337" t="s">
        <v>1100</v>
      </c>
      <c r="C128" s="337" t="s">
        <v>932</v>
      </c>
      <c r="D128" s="421" t="s">
        <v>1101</v>
      </c>
      <c r="E128" s="338">
        <v>2000</v>
      </c>
      <c r="F128" s="339">
        <v>1</v>
      </c>
      <c r="G128" s="338">
        <f t="shared" si="13"/>
        <v>2000</v>
      </c>
      <c r="H128" s="430">
        <f t="shared" si="14"/>
        <v>2260</v>
      </c>
      <c r="I128" s="338"/>
      <c r="J128" s="340"/>
      <c r="L128" s="29"/>
      <c r="N128" s="23"/>
    </row>
    <row r="129" spans="1:14" s="17" customFormat="1" x14ac:dyDescent="0.3">
      <c r="B129" s="302" t="s">
        <v>1102</v>
      </c>
      <c r="C129" s="302" t="s">
        <v>1103</v>
      </c>
      <c r="D129" s="422" t="s">
        <v>1104</v>
      </c>
      <c r="E129" s="342">
        <v>500</v>
      </c>
      <c r="F129" s="343">
        <v>1</v>
      </c>
      <c r="G129" s="342">
        <f t="shared" si="13"/>
        <v>500</v>
      </c>
      <c r="H129" s="431">
        <f>G129</f>
        <v>500</v>
      </c>
      <c r="I129" s="342"/>
      <c r="J129" s="344"/>
      <c r="L129" s="29"/>
      <c r="N129" s="23"/>
    </row>
    <row r="130" spans="1:14" s="17" customFormat="1" x14ac:dyDescent="0.3">
      <c r="A130" s="16"/>
      <c r="B130" s="337" t="s">
        <v>1105</v>
      </c>
      <c r="C130" s="337" t="s">
        <v>1106</v>
      </c>
      <c r="D130" s="421"/>
      <c r="E130" s="338">
        <v>100</v>
      </c>
      <c r="F130" s="339">
        <v>1</v>
      </c>
      <c r="G130" s="338">
        <f t="shared" si="13"/>
        <v>100</v>
      </c>
      <c r="H130" s="430">
        <f t="shared" si="14"/>
        <v>112.99999999999999</v>
      </c>
      <c r="I130" s="338"/>
      <c r="J130" s="432"/>
      <c r="L130" s="29"/>
      <c r="N130" s="23"/>
    </row>
    <row r="131" spans="1:14" s="17" customFormat="1" x14ac:dyDescent="0.3">
      <c r="A131" s="16"/>
      <c r="B131" s="302" t="s">
        <v>1107</v>
      </c>
      <c r="C131" s="302" t="s">
        <v>1108</v>
      </c>
      <c r="D131" s="422"/>
      <c r="E131" s="342">
        <v>59.17</v>
      </c>
      <c r="F131" s="343">
        <v>1</v>
      </c>
      <c r="G131" s="342">
        <f t="shared" si="13"/>
        <v>59.17</v>
      </c>
      <c r="H131" s="431">
        <f t="shared" si="14"/>
        <v>66.862099999999998</v>
      </c>
      <c r="I131" s="342"/>
      <c r="J131" s="344"/>
      <c r="L131" s="29"/>
      <c r="N131" s="23"/>
    </row>
    <row r="132" spans="1:14" s="17" customFormat="1" x14ac:dyDescent="0.3">
      <c r="A132" s="16"/>
      <c r="B132" s="337" t="s">
        <v>1109</v>
      </c>
      <c r="C132" s="337" t="s">
        <v>1110</v>
      </c>
      <c r="D132" s="421" t="s">
        <v>1111</v>
      </c>
      <c r="E132" s="338">
        <v>130</v>
      </c>
      <c r="F132" s="339">
        <v>5</v>
      </c>
      <c r="G132" s="338">
        <f t="shared" si="13"/>
        <v>650</v>
      </c>
      <c r="H132" s="430">
        <f t="shared" si="14"/>
        <v>734.49999999999989</v>
      </c>
      <c r="I132" s="338"/>
      <c r="J132" s="340"/>
      <c r="L132" s="29"/>
      <c r="N132" s="23"/>
    </row>
    <row r="133" spans="1:14" s="17" customFormat="1" ht="34.5" x14ac:dyDescent="0.3">
      <c r="A133" s="16"/>
      <c r="B133" s="302" t="s">
        <v>1112</v>
      </c>
      <c r="C133" s="302" t="s">
        <v>1113</v>
      </c>
      <c r="D133" s="422" t="s">
        <v>1114</v>
      </c>
      <c r="E133" s="342">
        <v>100</v>
      </c>
      <c r="F133" s="343">
        <v>5</v>
      </c>
      <c r="G133" s="342">
        <f t="shared" si="13"/>
        <v>500</v>
      </c>
      <c r="H133" s="431">
        <f>G133</f>
        <v>500</v>
      </c>
      <c r="I133" s="342"/>
      <c r="J133" s="344"/>
      <c r="L133" s="29"/>
      <c r="N133" s="23"/>
    </row>
    <row r="134" spans="1:14" s="17" customFormat="1" ht="15.95" customHeight="1" x14ac:dyDescent="0.3">
      <c r="A134" s="16"/>
      <c r="B134" s="337" t="s">
        <v>1115</v>
      </c>
      <c r="C134" s="337" t="s">
        <v>1116</v>
      </c>
      <c r="D134" s="421" t="s">
        <v>1117</v>
      </c>
      <c r="E134" s="338">
        <v>12.75</v>
      </c>
      <c r="F134" s="339">
        <v>14</v>
      </c>
      <c r="G134" s="338">
        <f t="shared" si="13"/>
        <v>178.5</v>
      </c>
      <c r="H134" s="430">
        <f t="shared" si="14"/>
        <v>201.70499999999998</v>
      </c>
      <c r="I134" s="338"/>
      <c r="J134" s="340"/>
      <c r="L134" s="29"/>
      <c r="N134" s="23"/>
    </row>
    <row r="135" spans="1:14" s="17" customFormat="1" ht="15.95" customHeight="1" x14ac:dyDescent="0.3">
      <c r="A135" s="16"/>
      <c r="B135" s="378"/>
      <c r="C135" s="382" t="s">
        <v>316</v>
      </c>
      <c r="D135" s="435" t="s">
        <v>1118</v>
      </c>
      <c r="E135" s="431">
        <v>11.95</v>
      </c>
      <c r="F135" s="436">
        <v>1</v>
      </c>
      <c r="G135" s="342">
        <f t="shared" si="13"/>
        <v>11.95</v>
      </c>
      <c r="H135" s="431">
        <f t="shared" si="14"/>
        <v>13.503499999999997</v>
      </c>
      <c r="I135" s="342"/>
      <c r="J135" s="344"/>
      <c r="L135" s="29"/>
      <c r="N135" s="23"/>
    </row>
    <row r="136" spans="1:14" s="17" customFormat="1" x14ac:dyDescent="0.3">
      <c r="A136" s="38" t="s">
        <v>929</v>
      </c>
      <c r="B136" s="302"/>
      <c r="C136" s="376"/>
      <c r="D136" s="422"/>
      <c r="E136" s="342"/>
      <c r="F136" s="343"/>
      <c r="G136" s="342"/>
      <c r="H136" s="431"/>
      <c r="I136" s="302"/>
      <c r="J136" s="425"/>
      <c r="L136" s="29"/>
      <c r="N136" s="23"/>
    </row>
    <row r="137" spans="1:14" s="17" customFormat="1" x14ac:dyDescent="0.3">
      <c r="B137" s="337" t="s">
        <v>1119</v>
      </c>
      <c r="C137" s="337" t="s">
        <v>1120</v>
      </c>
      <c r="D137" s="421"/>
      <c r="E137" s="338">
        <v>250</v>
      </c>
      <c r="F137" s="339">
        <v>1</v>
      </c>
      <c r="G137" s="338">
        <f t="shared" si="13"/>
        <v>250</v>
      </c>
      <c r="H137" s="430">
        <f t="shared" si="14"/>
        <v>282.5</v>
      </c>
      <c r="I137" s="338"/>
      <c r="J137" s="432"/>
      <c r="L137" s="29"/>
      <c r="N137" s="23"/>
    </row>
    <row r="138" spans="1:14" s="17" customFormat="1" x14ac:dyDescent="0.3">
      <c r="A138" s="16"/>
      <c r="B138" s="302" t="s">
        <v>1121</v>
      </c>
      <c r="C138" s="382" t="s">
        <v>1122</v>
      </c>
      <c r="D138" s="435" t="s">
        <v>1123</v>
      </c>
      <c r="E138" s="431">
        <v>11.8</v>
      </c>
      <c r="F138" s="436">
        <v>1</v>
      </c>
      <c r="G138" s="342">
        <f t="shared" si="13"/>
        <v>11.8</v>
      </c>
      <c r="H138" s="431">
        <f t="shared" si="14"/>
        <v>13.334</v>
      </c>
      <c r="I138" s="342"/>
      <c r="J138" s="344"/>
      <c r="L138" s="29"/>
      <c r="N138" s="23"/>
    </row>
    <row r="139" spans="1:14" s="17" customFormat="1" ht="15.95" customHeight="1" x14ac:dyDescent="0.3">
      <c r="A139" s="16"/>
      <c r="B139" s="337" t="s">
        <v>1124</v>
      </c>
      <c r="C139" s="394" t="s">
        <v>316</v>
      </c>
      <c r="D139" s="437" t="s">
        <v>1118</v>
      </c>
      <c r="E139" s="438">
        <v>11.95</v>
      </c>
      <c r="F139" s="439">
        <v>1</v>
      </c>
      <c r="G139" s="338">
        <f t="shared" si="13"/>
        <v>11.95</v>
      </c>
      <c r="H139" s="438">
        <f t="shared" si="14"/>
        <v>13.503499999999997</v>
      </c>
      <c r="I139" s="338"/>
      <c r="J139" s="340"/>
      <c r="L139" s="29"/>
      <c r="N139" s="23"/>
    </row>
    <row r="140" spans="1:14" s="17" customFormat="1" x14ac:dyDescent="0.3">
      <c r="A140" s="16"/>
      <c r="B140" s="302" t="s">
        <v>1125</v>
      </c>
      <c r="C140" s="390" t="s">
        <v>1126</v>
      </c>
      <c r="D140" s="440"/>
      <c r="E140" s="433">
        <v>100</v>
      </c>
      <c r="F140" s="441">
        <v>1</v>
      </c>
      <c r="G140" s="342">
        <f>F140*E140</f>
        <v>100</v>
      </c>
      <c r="H140" s="433">
        <f t="shared" si="14"/>
        <v>112.99999999999999</v>
      </c>
      <c r="I140" s="342"/>
      <c r="J140" s="344"/>
      <c r="L140" s="29"/>
      <c r="N140" s="23"/>
    </row>
    <row r="141" spans="1:14" s="17" customFormat="1" x14ac:dyDescent="0.3">
      <c r="A141" s="38" t="s">
        <v>936</v>
      </c>
      <c r="B141" s="302"/>
      <c r="C141" s="376"/>
      <c r="D141" s="422"/>
      <c r="E141" s="342"/>
      <c r="F141" s="343"/>
      <c r="G141" s="342"/>
      <c r="H141" s="431"/>
      <c r="I141" s="342"/>
      <c r="J141" s="344"/>
      <c r="L141" s="29"/>
      <c r="N141" s="23"/>
    </row>
    <row r="142" spans="1:14" s="17" customFormat="1" x14ac:dyDescent="0.3">
      <c r="B142" s="337" t="s">
        <v>1127</v>
      </c>
      <c r="C142" s="337" t="s">
        <v>1120</v>
      </c>
      <c r="D142" s="421"/>
      <c r="E142" s="338">
        <v>250</v>
      </c>
      <c r="F142" s="339">
        <v>1</v>
      </c>
      <c r="G142" s="338">
        <f t="shared" ref="G142:G144" si="15">F142*E142</f>
        <v>250</v>
      </c>
      <c r="H142" s="430">
        <f t="shared" ref="H142:H146" si="16">G142*1.13</f>
        <v>282.5</v>
      </c>
      <c r="I142" s="338"/>
      <c r="J142" s="432"/>
      <c r="L142" s="29"/>
      <c r="N142" s="23"/>
    </row>
    <row r="143" spans="1:14" s="17" customFormat="1" x14ac:dyDescent="0.3">
      <c r="A143" s="16"/>
      <c r="B143" s="302" t="s">
        <v>1128</v>
      </c>
      <c r="C143" s="382" t="s">
        <v>1122</v>
      </c>
      <c r="D143" s="435" t="s">
        <v>1123</v>
      </c>
      <c r="E143" s="431">
        <v>11.8</v>
      </c>
      <c r="F143" s="436">
        <v>1</v>
      </c>
      <c r="G143" s="342">
        <f t="shared" si="15"/>
        <v>11.8</v>
      </c>
      <c r="H143" s="431">
        <f t="shared" si="16"/>
        <v>13.334</v>
      </c>
      <c r="I143" s="342"/>
      <c r="J143" s="344"/>
      <c r="L143" s="29"/>
      <c r="N143" s="23"/>
    </row>
    <row r="144" spans="1:14" s="17" customFormat="1" ht="15.95" customHeight="1" x14ac:dyDescent="0.3">
      <c r="A144" s="16"/>
      <c r="B144" s="337" t="s">
        <v>1129</v>
      </c>
      <c r="C144" s="383" t="s">
        <v>316</v>
      </c>
      <c r="D144" s="442" t="s">
        <v>1118</v>
      </c>
      <c r="E144" s="430">
        <v>11.95</v>
      </c>
      <c r="F144" s="443">
        <v>1</v>
      </c>
      <c r="G144" s="338">
        <f t="shared" si="15"/>
        <v>11.95</v>
      </c>
      <c r="H144" s="430">
        <f t="shared" si="16"/>
        <v>13.503499999999997</v>
      </c>
      <c r="I144" s="338"/>
      <c r="J144" s="340"/>
      <c r="L144" s="29"/>
      <c r="N144" s="23"/>
    </row>
    <row r="145" spans="1:14" s="17" customFormat="1" x14ac:dyDescent="0.3">
      <c r="A145" s="16"/>
      <c r="B145" s="302" t="s">
        <v>1130</v>
      </c>
      <c r="C145" s="390" t="s">
        <v>1126</v>
      </c>
      <c r="D145" s="440"/>
      <c r="E145" s="433">
        <v>100</v>
      </c>
      <c r="F145" s="441">
        <v>1</v>
      </c>
      <c r="G145" s="342">
        <f>F145*E145</f>
        <v>100</v>
      </c>
      <c r="H145" s="433">
        <f t="shared" si="16"/>
        <v>112.99999999999999</v>
      </c>
      <c r="I145" s="342"/>
      <c r="J145" s="344"/>
      <c r="L145" s="29"/>
      <c r="N145" s="23"/>
    </row>
    <row r="146" spans="1:14" s="17" customFormat="1" x14ac:dyDescent="0.3">
      <c r="A146" s="16"/>
      <c r="B146" s="337" t="s">
        <v>1131</v>
      </c>
      <c r="C146" s="383" t="s">
        <v>1132</v>
      </c>
      <c r="D146" s="442"/>
      <c r="E146" s="430">
        <v>200</v>
      </c>
      <c r="F146" s="443">
        <v>1</v>
      </c>
      <c r="G146" s="338">
        <f>E146*F146</f>
        <v>200</v>
      </c>
      <c r="H146" s="430">
        <f t="shared" si="16"/>
        <v>225.99999999999997</v>
      </c>
      <c r="I146" s="338"/>
      <c r="J146" s="432"/>
      <c r="L146" s="29"/>
      <c r="N146" s="23"/>
    </row>
    <row r="147" spans="1:14" s="17" customFormat="1" x14ac:dyDescent="0.3">
      <c r="A147" s="38" t="s">
        <v>940</v>
      </c>
      <c r="B147" s="382"/>
      <c r="C147" s="382"/>
      <c r="D147" s="435"/>
      <c r="E147" s="431"/>
      <c r="F147" s="436"/>
      <c r="G147" s="342"/>
      <c r="H147" s="431"/>
      <c r="I147" s="342"/>
      <c r="J147" s="344"/>
      <c r="L147" s="29"/>
      <c r="N147" s="23"/>
    </row>
    <row r="148" spans="1:14" s="17" customFormat="1" x14ac:dyDescent="0.3">
      <c r="B148" s="337" t="s">
        <v>1133</v>
      </c>
      <c r="C148" s="337" t="s">
        <v>1134</v>
      </c>
      <c r="D148" s="421" t="s">
        <v>1135</v>
      </c>
      <c r="E148" s="338">
        <v>0</v>
      </c>
      <c r="F148" s="339">
        <v>1</v>
      </c>
      <c r="G148" s="338">
        <f t="shared" si="13"/>
        <v>0</v>
      </c>
      <c r="H148" s="430">
        <f t="shared" si="14"/>
        <v>0</v>
      </c>
      <c r="I148" s="338"/>
      <c r="J148" s="340"/>
      <c r="L148" s="29"/>
      <c r="N148" s="23"/>
    </row>
    <row r="149" spans="1:14" s="17" customFormat="1" x14ac:dyDescent="0.3">
      <c r="A149" s="21"/>
      <c r="B149" s="385" t="s">
        <v>1136</v>
      </c>
      <c r="C149" s="395"/>
      <c r="D149" s="348"/>
      <c r="E149" s="348"/>
      <c r="F149" s="349"/>
      <c r="G149" s="348"/>
      <c r="H149" s="348">
        <f>SUM(H112:H148)</f>
        <v>6182.3183999999983</v>
      </c>
      <c r="I149" s="348">
        <f>SUM(I112:I148)</f>
        <v>0</v>
      </c>
      <c r="J149" s="350">
        <f>SUM(J112:J148)</f>
        <v>0</v>
      </c>
      <c r="L149" s="29"/>
      <c r="N149" s="23"/>
    </row>
    <row r="150" spans="1:14" s="17" customFormat="1" x14ac:dyDescent="0.3">
      <c r="A150" s="21"/>
      <c r="B150" s="377"/>
      <c r="C150" s="396"/>
      <c r="D150" s="418"/>
      <c r="E150" s="418"/>
      <c r="F150" s="419"/>
      <c r="G150" s="418"/>
      <c r="H150" s="418"/>
      <c r="I150" s="418"/>
      <c r="J150" s="420"/>
      <c r="L150" s="29"/>
      <c r="N150" s="23"/>
    </row>
    <row r="151" spans="1:14" s="17" customFormat="1" x14ac:dyDescent="0.3">
      <c r="A151" s="16" t="s">
        <v>942</v>
      </c>
      <c r="B151" s="377"/>
      <c r="C151" s="302"/>
      <c r="D151" s="342"/>
      <c r="E151" s="342"/>
      <c r="F151" s="343"/>
      <c r="G151" s="342"/>
      <c r="H151" s="342"/>
      <c r="I151" s="342"/>
      <c r="J151" s="344"/>
      <c r="L151" s="29"/>
      <c r="N151" s="23"/>
    </row>
    <row r="152" spans="1:14" s="17" customFormat="1" x14ac:dyDescent="0.3">
      <c r="A152" s="21"/>
      <c r="B152" s="337" t="s">
        <v>1137</v>
      </c>
      <c r="C152" s="375" t="s">
        <v>1138</v>
      </c>
      <c r="D152" s="338"/>
      <c r="E152" s="338">
        <v>600</v>
      </c>
      <c r="F152" s="339">
        <v>1</v>
      </c>
      <c r="G152" s="338">
        <f>E152*F152</f>
        <v>600</v>
      </c>
      <c r="H152" s="338">
        <f>G152*1.13</f>
        <v>677.99999999999989</v>
      </c>
      <c r="I152" s="338">
        <v>779.08</v>
      </c>
      <c r="J152" s="340">
        <v>779.08</v>
      </c>
      <c r="L152" s="29"/>
      <c r="N152" s="23"/>
    </row>
    <row r="153" spans="1:14" s="17" customFormat="1" x14ac:dyDescent="0.3">
      <c r="A153" s="21"/>
      <c r="B153" s="302" t="s">
        <v>1139</v>
      </c>
      <c r="C153" s="376" t="s">
        <v>1140</v>
      </c>
      <c r="D153" s="342" t="s">
        <v>1141</v>
      </c>
      <c r="E153" s="342">
        <v>0</v>
      </c>
      <c r="F153" s="343">
        <v>1</v>
      </c>
      <c r="G153" s="342">
        <f t="shared" ref="G153:G169" si="17">E153*F153</f>
        <v>0</v>
      </c>
      <c r="H153" s="342">
        <f t="shared" ref="H153:H169" si="18">G153*1.13</f>
        <v>0</v>
      </c>
      <c r="I153" s="342"/>
      <c r="J153" s="344"/>
      <c r="L153" s="29"/>
      <c r="N153" s="23"/>
    </row>
    <row r="154" spans="1:14" s="17" customFormat="1" x14ac:dyDescent="0.3">
      <c r="A154" s="21"/>
      <c r="B154" s="337" t="s">
        <v>1142</v>
      </c>
      <c r="C154" s="375" t="s">
        <v>1143</v>
      </c>
      <c r="D154" s="338" t="s">
        <v>1144</v>
      </c>
      <c r="E154" s="338">
        <v>29.99</v>
      </c>
      <c r="F154" s="339">
        <v>2</v>
      </c>
      <c r="G154" s="338">
        <f t="shared" si="17"/>
        <v>59.98</v>
      </c>
      <c r="H154" s="338">
        <f t="shared" si="18"/>
        <v>67.777399999999986</v>
      </c>
      <c r="I154" s="338">
        <f>112.96+169.5</f>
        <v>282.45999999999998</v>
      </c>
      <c r="J154" s="340">
        <f>112.96+169.5</f>
        <v>282.45999999999998</v>
      </c>
      <c r="L154" s="29"/>
      <c r="N154" s="23"/>
    </row>
    <row r="155" spans="1:14" s="17" customFormat="1" x14ac:dyDescent="0.3">
      <c r="A155" s="21"/>
      <c r="B155" s="302" t="s">
        <v>1145</v>
      </c>
      <c r="C155" s="376" t="s">
        <v>1146</v>
      </c>
      <c r="D155" s="342" t="s">
        <v>1144</v>
      </c>
      <c r="E155" s="342">
        <v>19.989999999999998</v>
      </c>
      <c r="F155" s="343">
        <v>2</v>
      </c>
      <c r="G155" s="342">
        <f t="shared" si="17"/>
        <v>39.979999999999997</v>
      </c>
      <c r="H155" s="342">
        <f t="shared" si="18"/>
        <v>45.177399999999992</v>
      </c>
      <c r="I155" s="342"/>
      <c r="J155" s="344"/>
      <c r="L155" s="29"/>
      <c r="N155" s="23"/>
    </row>
    <row r="156" spans="1:14" s="17" customFormat="1" x14ac:dyDescent="0.3">
      <c r="A156" s="21"/>
      <c r="B156" s="337" t="s">
        <v>1147</v>
      </c>
      <c r="C156" s="375" t="s">
        <v>1148</v>
      </c>
      <c r="D156" s="338" t="s">
        <v>1149</v>
      </c>
      <c r="E156" s="338">
        <v>2</v>
      </c>
      <c r="F156" s="339">
        <v>3</v>
      </c>
      <c r="G156" s="338">
        <f t="shared" si="17"/>
        <v>6</v>
      </c>
      <c r="H156" s="338">
        <f t="shared" si="18"/>
        <v>6.7799999999999994</v>
      </c>
      <c r="I156" s="338"/>
      <c r="J156" s="432"/>
      <c r="L156" s="29"/>
      <c r="N156" s="23"/>
    </row>
    <row r="157" spans="1:14" s="17" customFormat="1" x14ac:dyDescent="0.3">
      <c r="A157" s="21"/>
      <c r="B157" s="302" t="s">
        <v>1150</v>
      </c>
      <c r="C157" s="376" t="s">
        <v>1151</v>
      </c>
      <c r="D157" s="342" t="s">
        <v>1149</v>
      </c>
      <c r="E157" s="342">
        <v>3</v>
      </c>
      <c r="F157" s="343">
        <v>3</v>
      </c>
      <c r="G157" s="342">
        <f t="shared" si="17"/>
        <v>9</v>
      </c>
      <c r="H157" s="342">
        <f t="shared" si="18"/>
        <v>10.169999999999998</v>
      </c>
      <c r="I157" s="342"/>
      <c r="J157" s="434"/>
      <c r="L157" s="29"/>
      <c r="N157" s="23"/>
    </row>
    <row r="158" spans="1:14" s="17" customFormat="1" ht="15.95" customHeight="1" x14ac:dyDescent="0.3">
      <c r="A158" s="21"/>
      <c r="B158" s="337" t="s">
        <v>1152</v>
      </c>
      <c r="C158" s="375" t="s">
        <v>1153</v>
      </c>
      <c r="D158" s="421" t="s">
        <v>1154</v>
      </c>
      <c r="E158" s="338">
        <v>127.8</v>
      </c>
      <c r="F158" s="339">
        <v>1</v>
      </c>
      <c r="G158" s="338">
        <f t="shared" si="17"/>
        <v>127.8</v>
      </c>
      <c r="H158" s="338">
        <f t="shared" si="18"/>
        <v>144.41399999999999</v>
      </c>
      <c r="I158" s="338"/>
      <c r="J158" s="432"/>
      <c r="L158" s="29"/>
      <c r="N158" s="23"/>
    </row>
    <row r="159" spans="1:14" s="17" customFormat="1" x14ac:dyDescent="0.3">
      <c r="A159" s="21"/>
      <c r="B159" s="302" t="s">
        <v>1155</v>
      </c>
      <c r="C159" s="376" t="s">
        <v>1156</v>
      </c>
      <c r="D159" s="422" t="s">
        <v>1157</v>
      </c>
      <c r="E159" s="342">
        <v>10</v>
      </c>
      <c r="F159" s="343">
        <v>2</v>
      </c>
      <c r="G159" s="342">
        <f t="shared" si="17"/>
        <v>20</v>
      </c>
      <c r="H159" s="342">
        <f t="shared" si="18"/>
        <v>22.599999999999998</v>
      </c>
      <c r="I159" s="342"/>
      <c r="J159" s="344"/>
      <c r="L159" s="29"/>
      <c r="N159" s="23"/>
    </row>
    <row r="160" spans="1:14" s="17" customFormat="1" x14ac:dyDescent="0.3">
      <c r="A160" s="21"/>
      <c r="B160" s="337" t="s">
        <v>1158</v>
      </c>
      <c r="C160" s="375" t="s">
        <v>1159</v>
      </c>
      <c r="D160" s="421"/>
      <c r="E160" s="338">
        <v>0.85</v>
      </c>
      <c r="F160" s="339">
        <v>40</v>
      </c>
      <c r="G160" s="338">
        <f t="shared" si="17"/>
        <v>34</v>
      </c>
      <c r="H160" s="338">
        <f t="shared" si="18"/>
        <v>38.419999999999995</v>
      </c>
      <c r="I160" s="338"/>
      <c r="J160" s="340"/>
      <c r="L160" s="29"/>
      <c r="N160" s="23"/>
    </row>
    <row r="161" spans="1:15" s="17" customFormat="1" x14ac:dyDescent="0.3">
      <c r="A161" s="21"/>
      <c r="B161" s="302" t="s">
        <v>1160</v>
      </c>
      <c r="C161" s="376" t="s">
        <v>1161</v>
      </c>
      <c r="D161" s="422"/>
      <c r="E161" s="342">
        <v>8</v>
      </c>
      <c r="F161" s="343">
        <v>10</v>
      </c>
      <c r="G161" s="342">
        <f t="shared" si="17"/>
        <v>80</v>
      </c>
      <c r="H161" s="342">
        <f t="shared" si="18"/>
        <v>90.399999999999991</v>
      </c>
      <c r="I161" s="342"/>
      <c r="J161" s="344"/>
      <c r="L161" s="29"/>
      <c r="N161" s="23"/>
    </row>
    <row r="162" spans="1:15" s="17" customFormat="1" x14ac:dyDescent="0.3">
      <c r="A162" s="21"/>
      <c r="B162" s="337" t="s">
        <v>1162</v>
      </c>
      <c r="C162" s="466" t="s">
        <v>1163</v>
      </c>
      <c r="D162" s="421" t="s">
        <v>1164</v>
      </c>
      <c r="E162" s="421">
        <v>8</v>
      </c>
      <c r="F162" s="467">
        <v>10</v>
      </c>
      <c r="G162" s="338">
        <f t="shared" si="17"/>
        <v>80</v>
      </c>
      <c r="H162" s="338">
        <f t="shared" si="18"/>
        <v>90.399999999999991</v>
      </c>
      <c r="I162" s="338"/>
      <c r="J162" s="340"/>
      <c r="L162" s="29"/>
      <c r="N162" s="23"/>
    </row>
    <row r="163" spans="1:15" s="17" customFormat="1" ht="15.95" customHeight="1" x14ac:dyDescent="0.3">
      <c r="A163" s="21"/>
      <c r="B163" s="302" t="s">
        <v>1165</v>
      </c>
      <c r="C163" s="468" t="s">
        <v>1166</v>
      </c>
      <c r="D163" s="422" t="s">
        <v>1167</v>
      </c>
      <c r="E163" s="422">
        <v>0</v>
      </c>
      <c r="F163" s="469">
        <v>1</v>
      </c>
      <c r="G163" s="342">
        <f t="shared" si="17"/>
        <v>0</v>
      </c>
      <c r="H163" s="342">
        <f t="shared" si="18"/>
        <v>0</v>
      </c>
      <c r="I163" s="342"/>
      <c r="J163" s="344"/>
      <c r="L163" s="29"/>
      <c r="N163" s="23"/>
    </row>
    <row r="164" spans="1:15" s="17" customFormat="1" x14ac:dyDescent="0.3">
      <c r="A164" s="21"/>
      <c r="B164" s="337" t="s">
        <v>1168</v>
      </c>
      <c r="C164" s="466" t="s">
        <v>1169</v>
      </c>
      <c r="D164" s="421" t="s">
        <v>1170</v>
      </c>
      <c r="E164" s="421">
        <v>0.39</v>
      </c>
      <c r="F164" s="467">
        <v>400</v>
      </c>
      <c r="G164" s="338">
        <f t="shared" si="17"/>
        <v>156</v>
      </c>
      <c r="H164" s="338">
        <f t="shared" si="18"/>
        <v>176.27999999999997</v>
      </c>
      <c r="I164" s="338"/>
      <c r="J164" s="340"/>
      <c r="L164" s="29"/>
      <c r="N164" s="23"/>
    </row>
    <row r="165" spans="1:15" s="17" customFormat="1" ht="15.95" customHeight="1" x14ac:dyDescent="0.3">
      <c r="A165" s="21"/>
      <c r="B165" s="302" t="s">
        <v>1171</v>
      </c>
      <c r="C165" s="376" t="s">
        <v>1172</v>
      </c>
      <c r="D165" s="422" t="s">
        <v>1173</v>
      </c>
      <c r="E165" s="342">
        <v>100</v>
      </c>
      <c r="F165" s="343">
        <v>1</v>
      </c>
      <c r="G165" s="342">
        <f t="shared" si="17"/>
        <v>100</v>
      </c>
      <c r="H165" s="342">
        <f t="shared" si="18"/>
        <v>112.99999999999999</v>
      </c>
      <c r="I165" s="342"/>
      <c r="J165" s="344"/>
      <c r="L165" s="29"/>
      <c r="N165" s="23"/>
    </row>
    <row r="166" spans="1:15" s="17" customFormat="1" x14ac:dyDescent="0.3">
      <c r="A166" s="21"/>
      <c r="B166" s="337" t="s">
        <v>1174</v>
      </c>
      <c r="C166" s="375" t="s">
        <v>1175</v>
      </c>
      <c r="D166" s="421" t="s">
        <v>1176</v>
      </c>
      <c r="E166" s="338">
        <v>25</v>
      </c>
      <c r="F166" s="339">
        <v>1</v>
      </c>
      <c r="G166" s="338">
        <f t="shared" si="17"/>
        <v>25</v>
      </c>
      <c r="H166" s="338">
        <f t="shared" si="18"/>
        <v>28.249999999999996</v>
      </c>
      <c r="I166" s="338"/>
      <c r="J166" s="340"/>
      <c r="L166" s="29"/>
      <c r="N166" s="23"/>
    </row>
    <row r="167" spans="1:15" s="17" customFormat="1" x14ac:dyDescent="0.3">
      <c r="A167" s="21"/>
      <c r="B167" s="302" t="s">
        <v>1177</v>
      </c>
      <c r="C167" s="376" t="s">
        <v>1178</v>
      </c>
      <c r="D167" s="422" t="s">
        <v>1179</v>
      </c>
      <c r="E167" s="342">
        <v>200</v>
      </c>
      <c r="F167" s="343">
        <v>1</v>
      </c>
      <c r="G167" s="342">
        <f t="shared" si="17"/>
        <v>200</v>
      </c>
      <c r="H167" s="342">
        <f t="shared" si="18"/>
        <v>225.99999999999997</v>
      </c>
      <c r="I167" s="342">
        <f>9.32+185.23</f>
        <v>194.54999999999998</v>
      </c>
      <c r="J167" s="344">
        <f>9.32+185.23</f>
        <v>194.54999999999998</v>
      </c>
      <c r="L167" s="29"/>
      <c r="N167" s="23"/>
    </row>
    <row r="168" spans="1:15" s="27" customFormat="1" x14ac:dyDescent="0.3">
      <c r="A168" s="21"/>
      <c r="B168" s="337" t="s">
        <v>1180</v>
      </c>
      <c r="C168" s="375" t="s">
        <v>1181</v>
      </c>
      <c r="D168" s="421"/>
      <c r="E168" s="338">
        <v>53</v>
      </c>
      <c r="F168" s="339">
        <v>1</v>
      </c>
      <c r="G168" s="338">
        <f t="shared" si="17"/>
        <v>53</v>
      </c>
      <c r="H168" s="338">
        <f t="shared" si="18"/>
        <v>59.889999999999993</v>
      </c>
      <c r="I168" s="338"/>
      <c r="J168" s="340"/>
      <c r="K168" s="22"/>
      <c r="L168" s="26"/>
      <c r="N168" s="461"/>
      <c r="O168" s="28"/>
    </row>
    <row r="169" spans="1:15" s="17" customFormat="1" x14ac:dyDescent="0.3">
      <c r="A169" s="21"/>
      <c r="B169" s="302" t="s">
        <v>1182</v>
      </c>
      <c r="C169" s="376" t="s">
        <v>1183</v>
      </c>
      <c r="D169" s="422" t="s">
        <v>1184</v>
      </c>
      <c r="E169" s="342">
        <v>0</v>
      </c>
      <c r="F169" s="343">
        <v>1</v>
      </c>
      <c r="G169" s="342">
        <f t="shared" si="17"/>
        <v>0</v>
      </c>
      <c r="H169" s="342">
        <f t="shared" si="18"/>
        <v>0</v>
      </c>
      <c r="I169" s="342"/>
      <c r="J169" s="344"/>
      <c r="L169" s="29"/>
      <c r="N169" s="23"/>
    </row>
    <row r="170" spans="1:15" s="17" customFormat="1" x14ac:dyDescent="0.3">
      <c r="A170" s="21"/>
      <c r="B170" s="337" t="s">
        <v>1185</v>
      </c>
      <c r="C170" s="375"/>
      <c r="D170" s="338"/>
      <c r="E170" s="338"/>
      <c r="F170" s="339"/>
      <c r="G170" s="338"/>
      <c r="H170" s="338"/>
      <c r="I170" s="338"/>
      <c r="J170" s="340"/>
      <c r="L170" s="29"/>
      <c r="N170" s="23"/>
    </row>
    <row r="171" spans="1:15" s="17" customFormat="1" x14ac:dyDescent="0.3">
      <c r="A171" s="21"/>
      <c r="B171" s="385" t="s">
        <v>1186</v>
      </c>
      <c r="C171" s="395"/>
      <c r="D171" s="348"/>
      <c r="E171" s="348"/>
      <c r="F171" s="349"/>
      <c r="G171" s="348"/>
      <c r="H171" s="348">
        <f>SUM(H152:H170)</f>
        <v>1797.5588</v>
      </c>
      <c r="I171" s="348">
        <f>SUM(I152:I170)</f>
        <v>1256.0899999999999</v>
      </c>
      <c r="J171" s="350">
        <f>SUM(J152:J170)</f>
        <v>1256.0899999999999</v>
      </c>
      <c r="L171" s="29"/>
      <c r="N171" s="23"/>
    </row>
    <row r="172" spans="1:15" s="17" customFormat="1" x14ac:dyDescent="0.3">
      <c r="A172" s="21"/>
      <c r="B172" s="377"/>
      <c r="C172" s="396"/>
      <c r="D172" s="418"/>
      <c r="E172" s="418"/>
      <c r="F172" s="419"/>
      <c r="G172" s="418"/>
      <c r="H172" s="418"/>
      <c r="I172" s="418"/>
      <c r="J172" s="420"/>
      <c r="L172" s="29"/>
      <c r="N172" s="23"/>
    </row>
    <row r="173" spans="1:15" s="17" customFormat="1" x14ac:dyDescent="0.3">
      <c r="A173" s="16" t="s">
        <v>1187</v>
      </c>
      <c r="B173" s="377"/>
      <c r="C173" s="302"/>
      <c r="D173" s="342"/>
      <c r="E173" s="342"/>
      <c r="F173" s="343"/>
      <c r="G173" s="342"/>
      <c r="H173" s="342"/>
      <c r="I173" s="342"/>
      <c r="J173" s="344"/>
      <c r="L173" s="29"/>
      <c r="N173" s="23"/>
    </row>
    <row r="174" spans="1:15" s="17" customFormat="1" x14ac:dyDescent="0.3">
      <c r="A174" s="21"/>
      <c r="B174" s="337" t="s">
        <v>1188</v>
      </c>
      <c r="C174" s="375" t="s">
        <v>1189</v>
      </c>
      <c r="D174" s="338" t="s">
        <v>1190</v>
      </c>
      <c r="E174" s="338">
        <v>7</v>
      </c>
      <c r="F174" s="339">
        <v>14</v>
      </c>
      <c r="G174" s="338">
        <f>E174*F174</f>
        <v>98</v>
      </c>
      <c r="H174" s="338">
        <f>G174*1.13</f>
        <v>110.74</v>
      </c>
      <c r="I174" s="338">
        <v>83.06</v>
      </c>
      <c r="J174" s="340">
        <v>83.06</v>
      </c>
      <c r="L174" s="29"/>
      <c r="N174" s="23"/>
    </row>
    <row r="175" spans="1:15" s="17" customFormat="1" x14ac:dyDescent="0.3">
      <c r="A175" s="21"/>
      <c r="B175" s="302" t="s">
        <v>1191</v>
      </c>
      <c r="C175" s="376" t="s">
        <v>1192</v>
      </c>
      <c r="D175" s="342" t="s">
        <v>1193</v>
      </c>
      <c r="E175" s="342">
        <v>3.99</v>
      </c>
      <c r="F175" s="343">
        <v>6</v>
      </c>
      <c r="G175" s="342">
        <f t="shared" ref="G175:G182" si="19">E175*F175</f>
        <v>23.94</v>
      </c>
      <c r="H175" s="342">
        <f t="shared" ref="H175:H182" si="20">G175*1.13</f>
        <v>27.052199999999999</v>
      </c>
      <c r="I175" s="342"/>
      <c r="J175" s="344"/>
      <c r="L175" s="29"/>
      <c r="N175" s="23"/>
    </row>
    <row r="176" spans="1:15" s="17" customFormat="1" x14ac:dyDescent="0.3">
      <c r="A176" s="21"/>
      <c r="B176" s="337" t="s">
        <v>1194</v>
      </c>
      <c r="C176" s="375" t="s">
        <v>1195</v>
      </c>
      <c r="D176" s="338" t="s">
        <v>1196</v>
      </c>
      <c r="E176" s="338">
        <v>4.5</v>
      </c>
      <c r="F176" s="339">
        <v>2</v>
      </c>
      <c r="G176" s="338">
        <f t="shared" si="19"/>
        <v>9</v>
      </c>
      <c r="H176" s="338">
        <f t="shared" si="20"/>
        <v>10.169999999999998</v>
      </c>
      <c r="I176" s="338">
        <v>2.25</v>
      </c>
      <c r="J176" s="340">
        <v>2.25</v>
      </c>
      <c r="L176" s="29"/>
      <c r="N176" s="23"/>
    </row>
    <row r="177" spans="1:15" s="17" customFormat="1" x14ac:dyDescent="0.3">
      <c r="A177" s="21"/>
      <c r="B177" s="302" t="s">
        <v>1197</v>
      </c>
      <c r="C177" s="376" t="s">
        <v>641</v>
      </c>
      <c r="D177" s="342" t="s">
        <v>1198</v>
      </c>
      <c r="E177" s="342">
        <v>0.05</v>
      </c>
      <c r="F177" s="343">
        <v>50</v>
      </c>
      <c r="G177" s="342">
        <f t="shared" si="19"/>
        <v>2.5</v>
      </c>
      <c r="H177" s="342">
        <f t="shared" si="20"/>
        <v>2.8249999999999997</v>
      </c>
      <c r="I177" s="342"/>
      <c r="J177" s="344"/>
      <c r="L177" s="29"/>
      <c r="N177" s="23"/>
    </row>
    <row r="178" spans="1:15" s="17" customFormat="1" x14ac:dyDescent="0.3">
      <c r="A178" s="21"/>
      <c r="B178" s="337" t="s">
        <v>1199</v>
      </c>
      <c r="C178" s="375" t="s">
        <v>1200</v>
      </c>
      <c r="D178" s="338" t="s">
        <v>1201</v>
      </c>
      <c r="E178" s="338">
        <v>140</v>
      </c>
      <c r="F178" s="339">
        <v>1</v>
      </c>
      <c r="G178" s="338">
        <f t="shared" si="19"/>
        <v>140</v>
      </c>
      <c r="H178" s="338">
        <f t="shared" si="20"/>
        <v>158.19999999999999</v>
      </c>
      <c r="I178" s="338">
        <v>11.3</v>
      </c>
      <c r="J178" s="432">
        <v>11.3</v>
      </c>
      <c r="L178" s="29"/>
      <c r="N178" s="23"/>
    </row>
    <row r="179" spans="1:15" s="17" customFormat="1" x14ac:dyDescent="0.3">
      <c r="A179" s="21"/>
      <c r="B179" s="302" t="s">
        <v>1202</v>
      </c>
      <c r="C179" s="376" t="s">
        <v>908</v>
      </c>
      <c r="D179" s="342" t="s">
        <v>1203</v>
      </c>
      <c r="E179" s="342">
        <v>65</v>
      </c>
      <c r="F179" s="343">
        <v>1</v>
      </c>
      <c r="G179" s="342">
        <f t="shared" si="19"/>
        <v>65</v>
      </c>
      <c r="H179" s="342">
        <f t="shared" si="20"/>
        <v>73.449999999999989</v>
      </c>
      <c r="I179" s="342"/>
      <c r="J179" s="344"/>
      <c r="L179" s="29"/>
      <c r="N179" s="23"/>
    </row>
    <row r="180" spans="1:15" s="17" customFormat="1" x14ac:dyDescent="0.3">
      <c r="A180" s="21"/>
      <c r="B180" s="337" t="s">
        <v>1204</v>
      </c>
      <c r="C180" s="375" t="s">
        <v>1205</v>
      </c>
      <c r="D180" s="338" t="s">
        <v>1206</v>
      </c>
      <c r="E180" s="338">
        <v>70</v>
      </c>
      <c r="F180" s="339">
        <v>1</v>
      </c>
      <c r="G180" s="338">
        <f t="shared" si="19"/>
        <v>70</v>
      </c>
      <c r="H180" s="338">
        <f>G180*1.13</f>
        <v>79.099999999999994</v>
      </c>
      <c r="I180" s="338">
        <f>77.97+27.46</f>
        <v>105.43</v>
      </c>
      <c r="J180" s="340">
        <f>77.97+27.46</f>
        <v>105.43</v>
      </c>
      <c r="L180" s="29"/>
      <c r="N180" s="23"/>
    </row>
    <row r="181" spans="1:15" s="17" customFormat="1" x14ac:dyDescent="0.3">
      <c r="A181" s="21"/>
      <c r="B181" s="302" t="s">
        <v>1207</v>
      </c>
      <c r="C181" s="376" t="s">
        <v>604</v>
      </c>
      <c r="D181" s="342" t="s">
        <v>1208</v>
      </c>
      <c r="E181" s="342">
        <v>119.96</v>
      </c>
      <c r="F181" s="343">
        <v>1</v>
      </c>
      <c r="G181" s="342">
        <f t="shared" si="19"/>
        <v>119.96</v>
      </c>
      <c r="H181" s="342">
        <f>G181*1.13</f>
        <v>135.55479999999997</v>
      </c>
      <c r="I181" s="342">
        <f>90.4+224.43</f>
        <v>314.83000000000004</v>
      </c>
      <c r="J181" s="344">
        <f>90.4+224.43</f>
        <v>314.83000000000004</v>
      </c>
      <c r="L181" s="29"/>
      <c r="N181" s="23"/>
    </row>
    <row r="182" spans="1:15" s="17" customFormat="1" x14ac:dyDescent="0.3">
      <c r="A182" s="21"/>
      <c r="B182" s="337" t="s">
        <v>1209</v>
      </c>
      <c r="C182" s="375" t="s">
        <v>1210</v>
      </c>
      <c r="D182" s="338" t="s">
        <v>1211</v>
      </c>
      <c r="E182" s="338">
        <v>2.57</v>
      </c>
      <c r="F182" s="339">
        <v>1</v>
      </c>
      <c r="G182" s="338">
        <f t="shared" si="19"/>
        <v>2.57</v>
      </c>
      <c r="H182" s="338">
        <f t="shared" si="20"/>
        <v>2.9040999999999997</v>
      </c>
      <c r="I182" s="338"/>
      <c r="J182" s="432"/>
      <c r="L182" s="29"/>
      <c r="N182" s="23"/>
    </row>
    <row r="183" spans="1:15" s="27" customFormat="1" x14ac:dyDescent="0.3">
      <c r="A183" s="21"/>
      <c r="B183" s="385" t="s">
        <v>1212</v>
      </c>
      <c r="C183" s="395"/>
      <c r="D183" s="348"/>
      <c r="E183" s="348"/>
      <c r="F183" s="349"/>
      <c r="G183" s="348"/>
      <c r="H183" s="348">
        <f>SUM(H174:H182)</f>
        <v>599.99609999999984</v>
      </c>
      <c r="I183" s="348">
        <f>SUM(I174:I182)</f>
        <v>516.87000000000012</v>
      </c>
      <c r="J183" s="350">
        <f>SUM(J174:J182)</f>
        <v>516.87000000000012</v>
      </c>
      <c r="K183" s="22"/>
      <c r="L183" s="26"/>
      <c r="N183" s="461"/>
      <c r="O183" s="28"/>
    </row>
    <row r="184" spans="1:15" s="27" customFormat="1" x14ac:dyDescent="0.3">
      <c r="A184" s="21"/>
      <c r="B184" s="377"/>
      <c r="C184" s="396"/>
      <c r="D184" s="418"/>
      <c r="E184" s="418"/>
      <c r="F184" s="419"/>
      <c r="G184" s="418"/>
      <c r="H184" s="418"/>
      <c r="I184" s="418"/>
      <c r="J184" s="420"/>
      <c r="K184" s="22"/>
      <c r="L184" s="26"/>
      <c r="N184" s="461"/>
      <c r="O184" s="28"/>
    </row>
    <row r="185" spans="1:15" s="17" customFormat="1" x14ac:dyDescent="0.3">
      <c r="A185" s="16" t="s">
        <v>949</v>
      </c>
      <c r="B185" s="377"/>
      <c r="C185" s="302"/>
      <c r="D185" s="342"/>
      <c r="E185" s="342"/>
      <c r="F185" s="343"/>
      <c r="G185" s="342"/>
      <c r="H185" s="342"/>
      <c r="I185" s="342"/>
      <c r="J185" s="344"/>
      <c r="L185" s="29"/>
      <c r="N185" s="23"/>
    </row>
    <row r="186" spans="1:15" s="17" customFormat="1" ht="15.95" customHeight="1" x14ac:dyDescent="0.3">
      <c r="A186" s="21"/>
      <c r="B186" s="337" t="s">
        <v>1213</v>
      </c>
      <c r="C186" s="337" t="s">
        <v>951</v>
      </c>
      <c r="D186" s="421" t="s">
        <v>952</v>
      </c>
      <c r="E186" s="338">
        <v>20</v>
      </c>
      <c r="F186" s="339">
        <v>30</v>
      </c>
      <c r="G186" s="338">
        <f>E186*F186</f>
        <v>600</v>
      </c>
      <c r="H186" s="338">
        <f>G186</f>
        <v>600</v>
      </c>
      <c r="I186" s="338"/>
      <c r="J186" s="340"/>
      <c r="L186" s="29"/>
      <c r="N186" s="23"/>
    </row>
    <row r="187" spans="1:15" s="17" customFormat="1" x14ac:dyDescent="0.3">
      <c r="A187" s="21"/>
      <c r="B187" s="302" t="s">
        <v>1214</v>
      </c>
      <c r="C187" s="376" t="s">
        <v>1215</v>
      </c>
      <c r="D187" s="422" t="s">
        <v>1216</v>
      </c>
      <c r="E187" s="342">
        <v>50</v>
      </c>
      <c r="F187" s="343">
        <v>1</v>
      </c>
      <c r="G187" s="342">
        <v>50</v>
      </c>
      <c r="H187" s="342">
        <v>50</v>
      </c>
      <c r="I187" s="342"/>
      <c r="J187" s="344"/>
      <c r="L187" s="29"/>
      <c r="N187" s="23"/>
    </row>
    <row r="188" spans="1:15" s="17" customFormat="1" ht="15.95" customHeight="1" x14ac:dyDescent="0.3">
      <c r="A188" s="21"/>
      <c r="B188" s="337" t="s">
        <v>1217</v>
      </c>
      <c r="C188" s="375" t="s">
        <v>1218</v>
      </c>
      <c r="D188" s="421" t="s">
        <v>1219</v>
      </c>
      <c r="E188" s="338">
        <v>22.6</v>
      </c>
      <c r="F188" s="339">
        <v>1</v>
      </c>
      <c r="G188" s="338">
        <v>22.6</v>
      </c>
      <c r="H188" s="338">
        <v>22.6</v>
      </c>
      <c r="I188" s="338">
        <v>11.3</v>
      </c>
      <c r="J188" s="340">
        <v>11.3</v>
      </c>
      <c r="L188" s="29"/>
      <c r="N188" s="23"/>
    </row>
    <row r="189" spans="1:15" s="17" customFormat="1" ht="15.95" customHeight="1" x14ac:dyDescent="0.3">
      <c r="A189" s="21"/>
      <c r="B189" s="302" t="s">
        <v>1220</v>
      </c>
      <c r="C189" s="376" t="s">
        <v>1221</v>
      </c>
      <c r="D189" s="422" t="s">
        <v>1222</v>
      </c>
      <c r="E189" s="342">
        <v>153</v>
      </c>
      <c r="F189" s="343">
        <v>1</v>
      </c>
      <c r="G189" s="342">
        <v>153</v>
      </c>
      <c r="H189" s="342">
        <v>153</v>
      </c>
      <c r="I189" s="342">
        <v>138.99</v>
      </c>
      <c r="J189" s="344">
        <v>138.99</v>
      </c>
      <c r="L189" s="29"/>
      <c r="N189" s="23"/>
    </row>
    <row r="190" spans="1:15" s="17" customFormat="1" ht="15.95" customHeight="1" x14ac:dyDescent="0.3">
      <c r="A190" s="21"/>
      <c r="B190" s="302" t="s">
        <v>1650</v>
      </c>
      <c r="C190" s="376" t="s">
        <v>1087</v>
      </c>
      <c r="D190" s="422" t="s">
        <v>1651</v>
      </c>
      <c r="E190" s="342">
        <v>14.11</v>
      </c>
      <c r="F190" s="343">
        <v>1</v>
      </c>
      <c r="G190" s="342">
        <f>E190*F190</f>
        <v>14.11</v>
      </c>
      <c r="H190" s="342">
        <f>F190*G190</f>
        <v>14.11</v>
      </c>
      <c r="I190" s="342">
        <v>14.11</v>
      </c>
      <c r="J190" s="344">
        <v>14.11</v>
      </c>
      <c r="L190" s="29"/>
      <c r="N190" s="23"/>
    </row>
    <row r="191" spans="1:15" s="17" customFormat="1" x14ac:dyDescent="0.3">
      <c r="A191" s="21"/>
      <c r="B191" s="385" t="s">
        <v>1223</v>
      </c>
      <c r="C191" s="395"/>
      <c r="D191" s="348"/>
      <c r="E191" s="348"/>
      <c r="F191" s="349"/>
      <c r="G191" s="348"/>
      <c r="H191" s="348">
        <f>SUM(H186:H190)</f>
        <v>839.71</v>
      </c>
      <c r="I191" s="348">
        <f>SUM(I186:I189)</f>
        <v>150.29000000000002</v>
      </c>
      <c r="J191" s="350">
        <f>SUM(J186:J189)</f>
        <v>150.29000000000002</v>
      </c>
      <c r="L191" s="29"/>
      <c r="N191" s="23"/>
    </row>
    <row r="192" spans="1:15" s="17" customFormat="1" x14ac:dyDescent="0.3">
      <c r="A192" s="21"/>
      <c r="B192" s="377"/>
      <c r="C192" s="396"/>
      <c r="D192" s="418"/>
      <c r="E192" s="418"/>
      <c r="F192" s="419"/>
      <c r="G192" s="418"/>
      <c r="H192" s="418"/>
      <c r="I192" s="418"/>
      <c r="J192" s="420"/>
      <c r="L192" s="29"/>
      <c r="N192" s="23"/>
    </row>
    <row r="193" spans="1:14" s="17" customFormat="1" x14ac:dyDescent="0.3">
      <c r="A193" s="16" t="s">
        <v>960</v>
      </c>
      <c r="B193" s="377"/>
      <c r="C193" s="302"/>
      <c r="D193" s="342"/>
      <c r="E193" s="342"/>
      <c r="F193" s="343"/>
      <c r="G193" s="342"/>
      <c r="H193" s="342"/>
      <c r="I193" s="342"/>
      <c r="J193" s="344"/>
      <c r="L193" s="29"/>
      <c r="N193" s="23"/>
    </row>
    <row r="194" spans="1:14" s="17" customFormat="1" x14ac:dyDescent="0.3">
      <c r="A194" s="16"/>
      <c r="B194" s="337" t="s">
        <v>1224</v>
      </c>
      <c r="C194" s="337" t="s">
        <v>1225</v>
      </c>
      <c r="D194" s="338" t="s">
        <v>1226</v>
      </c>
      <c r="E194" s="338">
        <v>100</v>
      </c>
      <c r="F194" s="339">
        <v>10</v>
      </c>
      <c r="G194" s="338">
        <v>1130</v>
      </c>
      <c r="H194" s="338">
        <v>1130</v>
      </c>
      <c r="I194" s="338"/>
      <c r="J194" s="340"/>
      <c r="L194" s="29"/>
      <c r="N194" s="23"/>
    </row>
    <row r="195" spans="1:14" s="17" customFormat="1" x14ac:dyDescent="0.3">
      <c r="A195" s="21"/>
      <c r="B195" s="302" t="s">
        <v>1227</v>
      </c>
      <c r="C195" s="376" t="s">
        <v>1228</v>
      </c>
      <c r="D195" s="342" t="s">
        <v>1229</v>
      </c>
      <c r="E195" s="342">
        <v>20</v>
      </c>
      <c r="F195" s="343">
        <v>20</v>
      </c>
      <c r="G195" s="342">
        <v>400</v>
      </c>
      <c r="H195" s="342">
        <v>400</v>
      </c>
      <c r="I195" s="342"/>
      <c r="J195" s="344"/>
      <c r="L195" s="29"/>
      <c r="N195" s="23"/>
    </row>
    <row r="196" spans="1:14" s="17" customFormat="1" x14ac:dyDescent="0.3">
      <c r="A196" s="21"/>
      <c r="B196" s="337" t="s">
        <v>1230</v>
      </c>
      <c r="C196" s="375" t="s">
        <v>1231</v>
      </c>
      <c r="D196" s="338" t="s">
        <v>1232</v>
      </c>
      <c r="E196" s="338"/>
      <c r="F196" s="339"/>
      <c r="G196" s="338">
        <v>50</v>
      </c>
      <c r="H196" s="338">
        <v>50</v>
      </c>
      <c r="I196" s="338"/>
      <c r="J196" s="340"/>
      <c r="L196" s="29"/>
      <c r="N196" s="23"/>
    </row>
    <row r="197" spans="1:14" s="17" customFormat="1" x14ac:dyDescent="0.3">
      <c r="A197" s="21"/>
      <c r="B197" s="302" t="s">
        <v>1233</v>
      </c>
      <c r="C197" s="376" t="s">
        <v>1234</v>
      </c>
      <c r="D197" s="342" t="s">
        <v>1235</v>
      </c>
      <c r="E197" s="342">
        <v>5</v>
      </c>
      <c r="F197" s="343">
        <v>20</v>
      </c>
      <c r="G197" s="342">
        <v>100</v>
      </c>
      <c r="H197" s="342">
        <v>113</v>
      </c>
      <c r="I197" s="342"/>
      <c r="J197" s="344"/>
      <c r="L197" s="29"/>
      <c r="N197" s="23"/>
    </row>
    <row r="198" spans="1:14" s="17" customFormat="1" x14ac:dyDescent="0.3">
      <c r="A198" s="21"/>
      <c r="B198" s="337" t="s">
        <v>1236</v>
      </c>
      <c r="C198" s="375" t="s">
        <v>1237</v>
      </c>
      <c r="D198" s="338" t="s">
        <v>1238</v>
      </c>
      <c r="E198" s="338">
        <v>50</v>
      </c>
      <c r="F198" s="339">
        <v>1</v>
      </c>
      <c r="G198" s="338">
        <v>50</v>
      </c>
      <c r="H198" s="338">
        <v>50</v>
      </c>
      <c r="I198" s="338"/>
      <c r="J198" s="340"/>
      <c r="L198" s="29"/>
      <c r="N198" s="23"/>
    </row>
    <row r="199" spans="1:14" s="17" customFormat="1" x14ac:dyDescent="0.3">
      <c r="A199" s="21"/>
      <c r="B199" s="302" t="s">
        <v>1239</v>
      </c>
      <c r="C199" s="376" t="s">
        <v>1240</v>
      </c>
      <c r="D199" s="342" t="s">
        <v>1241</v>
      </c>
      <c r="E199" s="342"/>
      <c r="F199" s="343"/>
      <c r="G199" s="342">
        <v>535</v>
      </c>
      <c r="H199" s="342">
        <v>535</v>
      </c>
      <c r="I199" s="342"/>
      <c r="J199" s="434"/>
      <c r="L199" s="29"/>
      <c r="N199" s="23"/>
    </row>
    <row r="200" spans="1:14" s="17" customFormat="1" x14ac:dyDescent="0.3">
      <c r="A200" s="21"/>
      <c r="B200" s="337" t="s">
        <v>1242</v>
      </c>
      <c r="C200" s="375" t="s">
        <v>1243</v>
      </c>
      <c r="D200" s="338" t="s">
        <v>1244</v>
      </c>
      <c r="E200" s="338">
        <v>1217</v>
      </c>
      <c r="F200" s="339">
        <v>2</v>
      </c>
      <c r="G200" s="338">
        <f>1217*2</f>
        <v>2434</v>
      </c>
      <c r="H200" s="338">
        <f>G200*1.13</f>
        <v>2750.4199999999996</v>
      </c>
      <c r="I200" s="338"/>
      <c r="J200" s="340"/>
      <c r="L200" s="29"/>
      <c r="N200" s="23"/>
    </row>
    <row r="201" spans="1:14" s="17" customFormat="1" x14ac:dyDescent="0.3">
      <c r="A201" s="21"/>
      <c r="B201" s="302" t="s">
        <v>1245</v>
      </c>
      <c r="C201" s="376" t="s">
        <v>1246</v>
      </c>
      <c r="D201" s="342" t="s">
        <v>1247</v>
      </c>
      <c r="E201" s="342">
        <v>15</v>
      </c>
      <c r="F201" s="343">
        <v>30</v>
      </c>
      <c r="G201" s="342">
        <v>450</v>
      </c>
      <c r="H201" s="342">
        <v>450</v>
      </c>
      <c r="I201" s="342"/>
      <c r="J201" s="344"/>
      <c r="L201" s="29"/>
      <c r="N201" s="23"/>
    </row>
    <row r="202" spans="1:14" s="17" customFormat="1" x14ac:dyDescent="0.3">
      <c r="A202" s="21"/>
      <c r="B202" s="337" t="s">
        <v>1248</v>
      </c>
      <c r="C202" s="375" t="s">
        <v>1249</v>
      </c>
      <c r="D202" s="338" t="s">
        <v>1250</v>
      </c>
      <c r="E202" s="338">
        <v>5</v>
      </c>
      <c r="F202" s="339">
        <v>6</v>
      </c>
      <c r="G202" s="338">
        <v>30</v>
      </c>
      <c r="H202" s="338">
        <v>30</v>
      </c>
      <c r="I202" s="470"/>
      <c r="J202" s="471"/>
      <c r="L202" s="29"/>
      <c r="N202" s="23"/>
    </row>
    <row r="203" spans="1:14" s="17" customFormat="1" x14ac:dyDescent="0.3">
      <c r="A203" s="21"/>
      <c r="B203" s="302" t="s">
        <v>1251</v>
      </c>
      <c r="C203" s="376" t="s">
        <v>1252</v>
      </c>
      <c r="D203" s="342" t="s">
        <v>1253</v>
      </c>
      <c r="E203" s="342">
        <v>1</v>
      </c>
      <c r="F203" s="343">
        <v>30</v>
      </c>
      <c r="G203" s="342">
        <v>30</v>
      </c>
      <c r="H203" s="342">
        <v>30</v>
      </c>
      <c r="I203" s="342"/>
      <c r="J203" s="344"/>
      <c r="L203" s="29"/>
      <c r="N203" s="23"/>
    </row>
    <row r="204" spans="1:14" s="17" customFormat="1" x14ac:dyDescent="0.3">
      <c r="A204" s="21"/>
      <c r="B204" s="472" t="s">
        <v>1254</v>
      </c>
      <c r="C204" s="473" t="s">
        <v>1255</v>
      </c>
      <c r="D204" s="474"/>
      <c r="E204" s="474"/>
      <c r="F204" s="474"/>
      <c r="G204" s="475">
        <v>36.58</v>
      </c>
      <c r="H204" s="475">
        <v>36.58</v>
      </c>
      <c r="I204" s="474"/>
      <c r="J204" s="476"/>
      <c r="L204" s="29"/>
      <c r="N204" s="23"/>
    </row>
    <row r="205" spans="1:14" s="17" customFormat="1" x14ac:dyDescent="0.3">
      <c r="A205" s="21"/>
      <c r="B205" s="385" t="s">
        <v>1256</v>
      </c>
      <c r="C205" s="395"/>
      <c r="D205" s="348"/>
      <c r="E205" s="348"/>
      <c r="F205" s="349"/>
      <c r="G205" s="348"/>
      <c r="H205" s="348">
        <f>SUM(H194:H204)</f>
        <v>5575</v>
      </c>
      <c r="I205" s="348">
        <f>SUM(I194:I204)</f>
        <v>0</v>
      </c>
      <c r="J205" s="350">
        <f>SUM(J194:J204)</f>
        <v>0</v>
      </c>
      <c r="L205" s="29"/>
      <c r="N205" s="23"/>
    </row>
    <row r="206" spans="1:14" s="17" customFormat="1" x14ac:dyDescent="0.3">
      <c r="A206" s="21"/>
      <c r="B206" s="377"/>
      <c r="C206" s="396"/>
      <c r="D206" s="418"/>
      <c r="E206" s="418"/>
      <c r="F206" s="419"/>
      <c r="G206" s="418"/>
      <c r="H206" s="418"/>
      <c r="I206" s="418"/>
      <c r="J206" s="420"/>
      <c r="L206" s="29"/>
      <c r="N206" s="23"/>
    </row>
    <row r="207" spans="1:14" s="17" customFormat="1" x14ac:dyDescent="0.3">
      <c r="A207" s="16" t="s">
        <v>972</v>
      </c>
      <c r="B207" s="377"/>
      <c r="C207" s="302"/>
      <c r="D207" s="342"/>
      <c r="E207" s="342"/>
      <c r="F207" s="343"/>
      <c r="G207" s="342"/>
      <c r="H207" s="342"/>
      <c r="I207" s="342"/>
      <c r="J207" s="344"/>
      <c r="L207" s="29"/>
      <c r="N207" s="23"/>
    </row>
    <row r="208" spans="1:14" s="17" customFormat="1" x14ac:dyDescent="0.3">
      <c r="A208" s="38" t="s">
        <v>974</v>
      </c>
      <c r="B208" s="377"/>
      <c r="C208" s="302"/>
      <c r="D208" s="342"/>
      <c r="E208" s="342"/>
      <c r="F208" s="343"/>
      <c r="G208" s="342"/>
      <c r="H208" s="342"/>
      <c r="I208" s="342"/>
      <c r="J208" s="344"/>
      <c r="L208" s="29"/>
      <c r="N208" s="23"/>
    </row>
    <row r="209" spans="1:14" s="17" customFormat="1" x14ac:dyDescent="0.3">
      <c r="A209" s="38"/>
      <c r="B209" s="337" t="s">
        <v>1257</v>
      </c>
      <c r="C209" s="375" t="s">
        <v>1258</v>
      </c>
      <c r="D209" s="338" t="s">
        <v>1259</v>
      </c>
      <c r="E209" s="338">
        <v>480</v>
      </c>
      <c r="F209" s="339">
        <v>1</v>
      </c>
      <c r="G209" s="338">
        <f>E209*F209</f>
        <v>480</v>
      </c>
      <c r="H209" s="338">
        <f>G209*1.13</f>
        <v>542.4</v>
      </c>
      <c r="I209" s="338">
        <v>526.58000000000004</v>
      </c>
      <c r="J209" s="340">
        <v>526.58000000000004</v>
      </c>
      <c r="L209" s="29"/>
      <c r="N209" s="23"/>
    </row>
    <row r="210" spans="1:14" s="17" customFormat="1" x14ac:dyDescent="0.3">
      <c r="A210" s="38"/>
      <c r="B210" s="302" t="s">
        <v>1260</v>
      </c>
      <c r="C210" s="376" t="s">
        <v>1261</v>
      </c>
      <c r="D210" s="342" t="s">
        <v>1262</v>
      </c>
      <c r="E210" s="342">
        <v>300</v>
      </c>
      <c r="F210" s="343">
        <v>1</v>
      </c>
      <c r="G210" s="342">
        <f t="shared" ref="G210:G212" si="21">E210*F210</f>
        <v>300</v>
      </c>
      <c r="H210" s="342">
        <f t="shared" ref="H210:H212" si="22">G210*1.13</f>
        <v>338.99999999999994</v>
      </c>
      <c r="I210" s="342">
        <v>230.8</v>
      </c>
      <c r="J210" s="344">
        <v>230.8</v>
      </c>
      <c r="L210" s="29"/>
      <c r="N210" s="23"/>
    </row>
    <row r="211" spans="1:14" s="17" customFormat="1" x14ac:dyDescent="0.3">
      <c r="A211" s="38"/>
      <c r="B211" s="337" t="s">
        <v>1263</v>
      </c>
      <c r="C211" s="375" t="s">
        <v>1264</v>
      </c>
      <c r="D211" s="338" t="s">
        <v>1265</v>
      </c>
      <c r="E211" s="338">
        <v>12</v>
      </c>
      <c r="F211" s="339">
        <v>11</v>
      </c>
      <c r="G211" s="338">
        <f t="shared" si="21"/>
        <v>132</v>
      </c>
      <c r="H211" s="338">
        <f t="shared" si="22"/>
        <v>149.16</v>
      </c>
      <c r="I211" s="338">
        <v>162.72</v>
      </c>
      <c r="J211" s="340">
        <v>162.72</v>
      </c>
      <c r="L211" s="29"/>
      <c r="N211" s="23"/>
    </row>
    <row r="212" spans="1:14" s="17" customFormat="1" x14ac:dyDescent="0.3">
      <c r="A212" s="38"/>
      <c r="B212" s="302" t="s">
        <v>1266</v>
      </c>
      <c r="C212" s="376" t="s">
        <v>1267</v>
      </c>
      <c r="D212" s="342" t="s">
        <v>1268</v>
      </c>
      <c r="E212" s="342">
        <v>4.99</v>
      </c>
      <c r="F212" s="343">
        <v>15</v>
      </c>
      <c r="G212" s="342">
        <f t="shared" si="21"/>
        <v>74.850000000000009</v>
      </c>
      <c r="H212" s="342">
        <f t="shared" si="22"/>
        <v>84.580500000000001</v>
      </c>
      <c r="I212" s="342"/>
      <c r="J212" s="344"/>
      <c r="L212" s="29"/>
      <c r="N212" s="23"/>
    </row>
    <row r="213" spans="1:14" s="17" customFormat="1" x14ac:dyDescent="0.3">
      <c r="A213" s="38" t="s">
        <v>1269</v>
      </c>
      <c r="B213" s="377"/>
      <c r="C213" s="302"/>
      <c r="D213" s="342"/>
      <c r="E213" s="342"/>
      <c r="F213" s="343"/>
      <c r="G213" s="342"/>
      <c r="H213" s="342"/>
      <c r="I213" s="342"/>
      <c r="J213" s="344"/>
      <c r="L213" s="29"/>
      <c r="N213" s="23"/>
    </row>
    <row r="214" spans="1:14" s="17" customFormat="1" x14ac:dyDescent="0.3">
      <c r="A214" s="38"/>
      <c r="B214" s="337" t="s">
        <v>1270</v>
      </c>
      <c r="C214" s="375" t="s">
        <v>602</v>
      </c>
      <c r="D214" s="338"/>
      <c r="E214" s="338">
        <v>300</v>
      </c>
      <c r="F214" s="339">
        <v>1</v>
      </c>
      <c r="G214" s="338">
        <f>E214*F214</f>
        <v>300</v>
      </c>
      <c r="H214" s="338">
        <f>G214*1.13</f>
        <v>338.99999999999994</v>
      </c>
      <c r="I214" s="338"/>
      <c r="J214" s="340"/>
      <c r="L214" s="29"/>
      <c r="N214" s="23"/>
    </row>
    <row r="215" spans="1:14" s="17" customFormat="1" x14ac:dyDescent="0.3">
      <c r="A215" s="38"/>
      <c r="B215" s="302" t="s">
        <v>1271</v>
      </c>
      <c r="C215" s="376" t="s">
        <v>1106</v>
      </c>
      <c r="D215" s="342"/>
      <c r="E215" s="342">
        <v>200</v>
      </c>
      <c r="F215" s="343">
        <v>1</v>
      </c>
      <c r="G215" s="342">
        <f t="shared" ref="G215:G216" si="23">E215*F215</f>
        <v>200</v>
      </c>
      <c r="H215" s="342">
        <f>G215</f>
        <v>200</v>
      </c>
      <c r="I215" s="342"/>
      <c r="J215" s="344"/>
      <c r="L215" s="29"/>
      <c r="N215" s="23"/>
    </row>
    <row r="216" spans="1:14" s="17" customFormat="1" x14ac:dyDescent="0.3">
      <c r="A216" s="38"/>
      <c r="B216" s="337" t="s">
        <v>1272</v>
      </c>
      <c r="C216" s="375" t="s">
        <v>1273</v>
      </c>
      <c r="D216" s="338"/>
      <c r="E216" s="338">
        <v>50</v>
      </c>
      <c r="F216" s="339">
        <v>1</v>
      </c>
      <c r="G216" s="338">
        <f t="shared" si="23"/>
        <v>50</v>
      </c>
      <c r="H216" s="338">
        <f t="shared" ref="H216" si="24">G216*1.13</f>
        <v>56.499999999999993</v>
      </c>
      <c r="I216" s="338"/>
      <c r="J216" s="340"/>
      <c r="L216" s="29"/>
      <c r="N216" s="23"/>
    </row>
    <row r="217" spans="1:14" s="17" customFormat="1" x14ac:dyDescent="0.3">
      <c r="A217" s="38" t="s">
        <v>986</v>
      </c>
      <c r="B217" s="377"/>
      <c r="C217" s="302"/>
      <c r="D217" s="342"/>
      <c r="E217" s="342"/>
      <c r="F217" s="343"/>
      <c r="G217" s="342"/>
      <c r="H217" s="342"/>
      <c r="I217" s="342"/>
      <c r="J217" s="344"/>
      <c r="L217" s="29"/>
      <c r="N217" s="23"/>
    </row>
    <row r="218" spans="1:14" s="17" customFormat="1" x14ac:dyDescent="0.3">
      <c r="A218" s="38"/>
      <c r="B218" s="337" t="s">
        <v>1274</v>
      </c>
      <c r="C218" s="397" t="s">
        <v>1275</v>
      </c>
      <c r="D218" s="338" t="s">
        <v>1276</v>
      </c>
      <c r="E218" s="338">
        <v>100</v>
      </c>
      <c r="F218" s="339">
        <v>1</v>
      </c>
      <c r="G218" s="338">
        <f t="shared" ref="G218:G220" si="25">E218*F218</f>
        <v>100</v>
      </c>
      <c r="H218" s="338">
        <f t="shared" ref="H218:H219" si="26">G218*1.13</f>
        <v>112.99999999999999</v>
      </c>
      <c r="I218" s="338"/>
      <c r="J218" s="340"/>
      <c r="L218" s="29"/>
      <c r="N218" s="23"/>
    </row>
    <row r="219" spans="1:14" s="17" customFormat="1" x14ac:dyDescent="0.3">
      <c r="A219" s="38"/>
      <c r="B219" s="302" t="s">
        <v>1277</v>
      </c>
      <c r="C219" s="302" t="s">
        <v>1278</v>
      </c>
      <c r="D219" s="342" t="s">
        <v>1279</v>
      </c>
      <c r="E219" s="342">
        <v>7</v>
      </c>
      <c r="F219" s="343">
        <v>20</v>
      </c>
      <c r="G219" s="342">
        <f t="shared" si="25"/>
        <v>140</v>
      </c>
      <c r="H219" s="342">
        <f t="shared" si="26"/>
        <v>158.19999999999999</v>
      </c>
      <c r="I219" s="342"/>
      <c r="J219" s="344"/>
      <c r="L219" s="29"/>
      <c r="N219" s="23"/>
    </row>
    <row r="220" spans="1:14" s="17" customFormat="1" x14ac:dyDescent="0.3">
      <c r="A220" s="38"/>
      <c r="B220" s="337" t="s">
        <v>1280</v>
      </c>
      <c r="C220" s="337" t="s">
        <v>608</v>
      </c>
      <c r="D220" s="338" t="s">
        <v>1281</v>
      </c>
      <c r="E220" s="338">
        <v>20</v>
      </c>
      <c r="F220" s="339">
        <v>5</v>
      </c>
      <c r="G220" s="338">
        <f t="shared" si="25"/>
        <v>100</v>
      </c>
      <c r="H220" s="338">
        <f>G220</f>
        <v>100</v>
      </c>
      <c r="I220" s="338"/>
      <c r="J220" s="340"/>
      <c r="L220" s="29"/>
      <c r="N220" s="23"/>
    </row>
    <row r="221" spans="1:14" s="17" customFormat="1" x14ac:dyDescent="0.3">
      <c r="A221" s="38" t="s">
        <v>988</v>
      </c>
      <c r="B221" s="377"/>
      <c r="C221" s="302"/>
      <c r="D221" s="342"/>
      <c r="E221" s="342"/>
      <c r="F221" s="343"/>
      <c r="G221" s="342"/>
      <c r="H221" s="342"/>
      <c r="I221" s="342"/>
      <c r="J221" s="344"/>
      <c r="L221" s="29"/>
      <c r="N221" s="23"/>
    </row>
    <row r="222" spans="1:14" s="17" customFormat="1" x14ac:dyDescent="0.3">
      <c r="A222" s="38"/>
      <c r="B222" s="337" t="s">
        <v>1282</v>
      </c>
      <c r="C222" s="397" t="s">
        <v>1275</v>
      </c>
      <c r="D222" s="338" t="s">
        <v>1283</v>
      </c>
      <c r="E222" s="338">
        <v>0</v>
      </c>
      <c r="F222" s="339">
        <v>0</v>
      </c>
      <c r="G222" s="338">
        <f t="shared" ref="G222:G223" si="27">E222*F222</f>
        <v>0</v>
      </c>
      <c r="H222" s="338">
        <f t="shared" ref="H222:H223" si="28">G222*1.13</f>
        <v>0</v>
      </c>
      <c r="I222" s="338"/>
      <c r="J222" s="340"/>
      <c r="L222" s="29"/>
      <c r="N222" s="23"/>
    </row>
    <row r="223" spans="1:14" s="17" customFormat="1" x14ac:dyDescent="0.3">
      <c r="A223" s="38" t="s">
        <v>9</v>
      </c>
      <c r="B223" s="302" t="s">
        <v>1284</v>
      </c>
      <c r="C223" s="302" t="s">
        <v>359</v>
      </c>
      <c r="D223" s="342"/>
      <c r="E223" s="342">
        <v>50</v>
      </c>
      <c r="F223" s="343">
        <v>1</v>
      </c>
      <c r="G223" s="342">
        <f t="shared" si="27"/>
        <v>50</v>
      </c>
      <c r="H223" s="342">
        <f t="shared" si="28"/>
        <v>56.499999999999993</v>
      </c>
      <c r="I223" s="342"/>
      <c r="J223" s="344"/>
      <c r="L223" s="29"/>
      <c r="N223" s="23"/>
    </row>
    <row r="224" spans="1:14" s="17" customFormat="1" x14ac:dyDescent="0.3">
      <c r="A224" s="38"/>
      <c r="B224" s="302"/>
      <c r="C224" s="302" t="s">
        <v>1679</v>
      </c>
      <c r="D224" s="342"/>
      <c r="E224" s="342"/>
      <c r="F224" s="343"/>
      <c r="G224" s="342"/>
      <c r="H224" s="342"/>
      <c r="I224" s="342">
        <v>14.66</v>
      </c>
      <c r="J224" s="344">
        <v>14.66</v>
      </c>
      <c r="L224" s="29"/>
      <c r="N224" s="23"/>
    </row>
    <row r="225" spans="1:15" s="17" customFormat="1" x14ac:dyDescent="0.3">
      <c r="A225" s="38" t="s">
        <v>1285</v>
      </c>
      <c r="B225" s="377"/>
      <c r="C225" s="302"/>
      <c r="D225" s="342"/>
      <c r="E225" s="342"/>
      <c r="F225" s="343"/>
      <c r="G225" s="342"/>
      <c r="H225" s="342"/>
      <c r="I225" s="342"/>
      <c r="J225" s="344"/>
      <c r="L225" s="29"/>
      <c r="N225" s="23"/>
    </row>
    <row r="226" spans="1:15" s="17" customFormat="1" x14ac:dyDescent="0.3">
      <c r="A226" s="38"/>
      <c r="B226" s="337" t="s">
        <v>1286</v>
      </c>
      <c r="C226" s="337" t="s">
        <v>1287</v>
      </c>
      <c r="D226" s="338" t="s">
        <v>1288</v>
      </c>
      <c r="E226" s="338">
        <v>15</v>
      </c>
      <c r="F226" s="339">
        <v>1</v>
      </c>
      <c r="G226" s="338">
        <f t="shared" ref="G226:G229" si="29">E226*F226</f>
        <v>15</v>
      </c>
      <c r="H226" s="338">
        <f>G226</f>
        <v>15</v>
      </c>
      <c r="I226" s="338"/>
      <c r="J226" s="340"/>
      <c r="L226" s="29"/>
      <c r="N226" s="23"/>
    </row>
    <row r="227" spans="1:15" s="17" customFormat="1" x14ac:dyDescent="0.3">
      <c r="A227" s="38"/>
      <c r="B227" s="302" t="s">
        <v>1289</v>
      </c>
      <c r="C227" s="302" t="s">
        <v>1275</v>
      </c>
      <c r="D227" s="342" t="s">
        <v>1283</v>
      </c>
      <c r="E227" s="342">
        <v>0</v>
      </c>
      <c r="F227" s="343">
        <v>0</v>
      </c>
      <c r="G227" s="342">
        <f t="shared" si="29"/>
        <v>0</v>
      </c>
      <c r="H227" s="342">
        <f t="shared" ref="H227:H228" si="30">G227*1.13</f>
        <v>0</v>
      </c>
      <c r="I227" s="342"/>
      <c r="J227" s="344"/>
      <c r="L227" s="29"/>
      <c r="N227" s="23"/>
    </row>
    <row r="228" spans="1:15" s="17" customFormat="1" x14ac:dyDescent="0.3">
      <c r="A228" s="38"/>
      <c r="B228" s="337" t="s">
        <v>1290</v>
      </c>
      <c r="C228" s="337" t="s">
        <v>608</v>
      </c>
      <c r="D228" s="338"/>
      <c r="E228" s="338">
        <v>50</v>
      </c>
      <c r="F228" s="339">
        <v>1</v>
      </c>
      <c r="G228" s="338">
        <f t="shared" si="29"/>
        <v>50</v>
      </c>
      <c r="H228" s="338">
        <f t="shared" si="30"/>
        <v>56.499999999999993</v>
      </c>
      <c r="I228" s="338"/>
      <c r="J228" s="340"/>
      <c r="L228" s="29"/>
      <c r="N228" s="23"/>
    </row>
    <row r="229" spans="1:15" s="17" customFormat="1" x14ac:dyDescent="0.3">
      <c r="A229" s="38"/>
      <c r="B229" s="302" t="s">
        <v>1291</v>
      </c>
      <c r="C229" s="302" t="s">
        <v>1292</v>
      </c>
      <c r="D229" s="342"/>
      <c r="E229" s="342">
        <v>10</v>
      </c>
      <c r="F229" s="343">
        <v>1</v>
      </c>
      <c r="G229" s="342">
        <f t="shared" si="29"/>
        <v>10</v>
      </c>
      <c r="H229" s="342">
        <f>G229</f>
        <v>10</v>
      </c>
      <c r="I229" s="342"/>
      <c r="J229" s="344"/>
      <c r="L229" s="29"/>
      <c r="N229" s="23"/>
    </row>
    <row r="230" spans="1:15" s="17" customFormat="1" x14ac:dyDescent="0.3">
      <c r="A230" s="38" t="s">
        <v>984</v>
      </c>
      <c r="B230" s="302"/>
      <c r="C230" s="302"/>
      <c r="D230" s="342"/>
      <c r="E230" s="342"/>
      <c r="F230" s="343"/>
      <c r="G230" s="342"/>
      <c r="H230" s="342"/>
      <c r="I230" s="342"/>
      <c r="J230" s="344"/>
      <c r="L230" s="29"/>
      <c r="N230" s="23"/>
    </row>
    <row r="231" spans="1:15" s="17" customFormat="1" x14ac:dyDescent="0.3">
      <c r="A231" s="38"/>
      <c r="B231" s="337" t="s">
        <v>1293</v>
      </c>
      <c r="C231" s="337" t="s">
        <v>1294</v>
      </c>
      <c r="D231" s="338"/>
      <c r="E231" s="338">
        <v>5.5</v>
      </c>
      <c r="F231" s="339">
        <v>150</v>
      </c>
      <c r="G231" s="338">
        <f t="shared" ref="G231" si="31">E231*F231</f>
        <v>825</v>
      </c>
      <c r="H231" s="338">
        <f t="shared" ref="H231" si="32">G231*1.13</f>
        <v>932.24999999999989</v>
      </c>
      <c r="I231" s="338">
        <v>863.77</v>
      </c>
      <c r="J231" s="340">
        <v>863.77</v>
      </c>
      <c r="L231" s="29"/>
      <c r="N231" s="23"/>
    </row>
    <row r="232" spans="1:15" s="17" customFormat="1" x14ac:dyDescent="0.3">
      <c r="A232" s="38"/>
      <c r="B232" s="337"/>
      <c r="C232" s="337" t="s">
        <v>1678</v>
      </c>
      <c r="D232" s="338"/>
      <c r="E232" s="338"/>
      <c r="F232" s="339"/>
      <c r="G232" s="338"/>
      <c r="H232" s="338"/>
      <c r="I232" s="338">
        <v>108.42</v>
      </c>
      <c r="J232" s="340">
        <v>108.42</v>
      </c>
      <c r="L232" s="29"/>
      <c r="N232" s="23"/>
    </row>
    <row r="233" spans="1:15" s="17" customFormat="1" x14ac:dyDescent="0.3">
      <c r="A233" s="38" t="s">
        <v>1295</v>
      </c>
      <c r="B233" s="302"/>
      <c r="C233" s="302"/>
      <c r="D233" s="342"/>
      <c r="E233" s="342"/>
      <c r="F233" s="343"/>
      <c r="G233" s="342"/>
      <c r="H233" s="342"/>
      <c r="I233" s="342"/>
      <c r="J233" s="344"/>
      <c r="L233" s="29"/>
      <c r="N233" s="23"/>
    </row>
    <row r="234" spans="1:15" s="17" customFormat="1" x14ac:dyDescent="0.3">
      <c r="A234" s="38"/>
      <c r="B234" s="337" t="s">
        <v>1296</v>
      </c>
      <c r="C234" s="337" t="s">
        <v>1267</v>
      </c>
      <c r="D234" s="338" t="s">
        <v>1297</v>
      </c>
      <c r="E234" s="338">
        <v>5.99</v>
      </c>
      <c r="F234" s="339">
        <v>20</v>
      </c>
      <c r="G234" s="338">
        <f t="shared" ref="G234:G239" si="33">E234*F234</f>
        <v>119.80000000000001</v>
      </c>
      <c r="H234" s="338">
        <f t="shared" ref="H234:H239" si="34">G234*1.13</f>
        <v>135.374</v>
      </c>
      <c r="I234" s="338">
        <v>50.85</v>
      </c>
      <c r="J234" s="340">
        <v>50.85</v>
      </c>
      <c r="L234" s="29"/>
      <c r="N234" s="23"/>
    </row>
    <row r="235" spans="1:15" s="17" customFormat="1" x14ac:dyDescent="0.3">
      <c r="A235" s="38"/>
      <c r="B235" s="302" t="s">
        <v>1298</v>
      </c>
      <c r="C235" s="302" t="s">
        <v>1299</v>
      </c>
      <c r="D235" s="342"/>
      <c r="E235" s="342">
        <v>200</v>
      </c>
      <c r="F235" s="343">
        <v>1</v>
      </c>
      <c r="G235" s="342">
        <f t="shared" si="33"/>
        <v>200</v>
      </c>
      <c r="H235" s="342">
        <f t="shared" si="34"/>
        <v>225.99999999999997</v>
      </c>
      <c r="I235" s="342">
        <v>40.54</v>
      </c>
      <c r="J235" s="344"/>
      <c r="L235" s="29"/>
      <c r="N235" s="23"/>
    </row>
    <row r="236" spans="1:15" s="27" customFormat="1" x14ac:dyDescent="0.3">
      <c r="A236" s="38"/>
      <c r="B236" s="337" t="s">
        <v>1300</v>
      </c>
      <c r="C236" s="337" t="s">
        <v>1301</v>
      </c>
      <c r="D236" s="338" t="s">
        <v>1297</v>
      </c>
      <c r="E236" s="338">
        <v>4.79</v>
      </c>
      <c r="F236" s="339">
        <v>4</v>
      </c>
      <c r="G236" s="338">
        <f t="shared" si="33"/>
        <v>19.16</v>
      </c>
      <c r="H236" s="338">
        <f t="shared" si="34"/>
        <v>21.650799999999997</v>
      </c>
      <c r="I236" s="338"/>
      <c r="J236" s="340"/>
      <c r="K236" s="22"/>
      <c r="L236" s="26"/>
      <c r="N236" s="461"/>
      <c r="O236" s="28"/>
    </row>
    <row r="237" spans="1:15" s="27" customFormat="1" x14ac:dyDescent="0.3">
      <c r="A237" s="38"/>
      <c r="B237" s="302" t="s">
        <v>1302</v>
      </c>
      <c r="C237" s="302" t="s">
        <v>1218</v>
      </c>
      <c r="D237" s="342"/>
      <c r="E237" s="342">
        <v>35</v>
      </c>
      <c r="F237" s="343">
        <v>1</v>
      </c>
      <c r="G237" s="342">
        <f t="shared" si="33"/>
        <v>35</v>
      </c>
      <c r="H237" s="342">
        <f t="shared" si="34"/>
        <v>39.549999999999997</v>
      </c>
      <c r="I237" s="342">
        <v>67.8</v>
      </c>
      <c r="J237" s="344">
        <v>67.8</v>
      </c>
      <c r="K237" s="22"/>
      <c r="L237" s="26"/>
      <c r="N237" s="461"/>
      <c r="O237" s="28"/>
    </row>
    <row r="238" spans="1:15" s="17" customFormat="1" x14ac:dyDescent="0.3">
      <c r="A238" s="38"/>
      <c r="B238" s="337" t="s">
        <v>1303</v>
      </c>
      <c r="C238" s="337" t="s">
        <v>910</v>
      </c>
      <c r="D238" s="338"/>
      <c r="E238" s="338">
        <v>12.99</v>
      </c>
      <c r="F238" s="339">
        <v>2</v>
      </c>
      <c r="G238" s="338">
        <f t="shared" si="33"/>
        <v>25.98</v>
      </c>
      <c r="H238" s="338">
        <f t="shared" si="34"/>
        <v>29.357399999999998</v>
      </c>
      <c r="I238" s="338"/>
      <c r="J238" s="340"/>
      <c r="L238" s="29"/>
      <c r="N238" s="23"/>
    </row>
    <row r="239" spans="1:15" s="17" customFormat="1" x14ac:dyDescent="0.3">
      <c r="A239" s="38"/>
      <c r="B239" s="302" t="s">
        <v>1304</v>
      </c>
      <c r="C239" s="302" t="s">
        <v>1305</v>
      </c>
      <c r="D239" s="342"/>
      <c r="E239" s="342">
        <v>75</v>
      </c>
      <c r="F239" s="343">
        <v>1</v>
      </c>
      <c r="G239" s="342">
        <f t="shared" si="33"/>
        <v>75</v>
      </c>
      <c r="H239" s="342">
        <f t="shared" si="34"/>
        <v>84.749999999999986</v>
      </c>
      <c r="I239" s="342"/>
      <c r="J239" s="344"/>
      <c r="L239" s="29"/>
      <c r="N239" s="23"/>
    </row>
    <row r="240" spans="1:15" s="17" customFormat="1" x14ac:dyDescent="0.3">
      <c r="A240" s="38" t="s">
        <v>1306</v>
      </c>
      <c r="B240" s="302"/>
      <c r="C240" s="302"/>
      <c r="D240" s="342"/>
      <c r="E240" s="342"/>
      <c r="F240" s="343"/>
      <c r="G240" s="342"/>
      <c r="H240" s="342"/>
      <c r="I240" s="342"/>
      <c r="J240" s="344"/>
      <c r="L240" s="29"/>
      <c r="N240" s="23"/>
    </row>
    <row r="241" spans="1:15" s="17" customFormat="1" x14ac:dyDescent="0.3">
      <c r="A241" s="16"/>
      <c r="B241" s="337" t="s">
        <v>1307</v>
      </c>
      <c r="C241" s="375" t="s">
        <v>1308</v>
      </c>
      <c r="D241" s="338"/>
      <c r="E241" s="338">
        <v>45</v>
      </c>
      <c r="F241" s="339">
        <v>12</v>
      </c>
      <c r="G241" s="338">
        <f t="shared" ref="G241:G245" si="35">E241*F241</f>
        <v>540</v>
      </c>
      <c r="H241" s="338">
        <f t="shared" ref="H241:H244" si="36">G241*1.13</f>
        <v>610.19999999999993</v>
      </c>
      <c r="I241" s="338">
        <v>551.21</v>
      </c>
      <c r="J241" s="340">
        <v>551.21</v>
      </c>
      <c r="L241" s="29"/>
      <c r="N241" s="23"/>
    </row>
    <row r="242" spans="1:15" s="17" customFormat="1" x14ac:dyDescent="0.3">
      <c r="A242" s="16"/>
      <c r="B242" s="302" t="s">
        <v>1309</v>
      </c>
      <c r="C242" s="376" t="s">
        <v>1310</v>
      </c>
      <c r="D242" s="342" t="s">
        <v>1311</v>
      </c>
      <c r="E242" s="342">
        <v>0.25</v>
      </c>
      <c r="F242" s="343">
        <v>75</v>
      </c>
      <c r="G242" s="342">
        <f t="shared" si="35"/>
        <v>18.75</v>
      </c>
      <c r="H242" s="342">
        <f t="shared" si="36"/>
        <v>21.187499999999996</v>
      </c>
      <c r="I242" s="342">
        <v>40.700000000000003</v>
      </c>
      <c r="J242" s="344">
        <v>40.700000000000003</v>
      </c>
      <c r="L242" s="29"/>
      <c r="N242" s="23"/>
    </row>
    <row r="243" spans="1:15" s="17" customFormat="1" x14ac:dyDescent="0.3">
      <c r="A243" s="16"/>
      <c r="B243" s="337" t="s">
        <v>1312</v>
      </c>
      <c r="C243" s="375" t="s">
        <v>1313</v>
      </c>
      <c r="D243" s="338"/>
      <c r="E243" s="338">
        <v>1</v>
      </c>
      <c r="F243" s="339">
        <v>50</v>
      </c>
      <c r="G243" s="338">
        <f t="shared" si="35"/>
        <v>50</v>
      </c>
      <c r="H243" s="338">
        <f t="shared" si="36"/>
        <v>56.499999999999993</v>
      </c>
      <c r="I243" s="338">
        <v>11.8</v>
      </c>
      <c r="J243" s="340">
        <v>11.8</v>
      </c>
      <c r="L243" s="29"/>
      <c r="N243" s="23"/>
    </row>
    <row r="244" spans="1:15" s="17" customFormat="1" x14ac:dyDescent="0.3">
      <c r="A244" s="16"/>
      <c r="B244" s="302" t="s">
        <v>1314</v>
      </c>
      <c r="C244" s="376" t="s">
        <v>1315</v>
      </c>
      <c r="D244" s="342" t="s">
        <v>1316</v>
      </c>
      <c r="E244" s="342">
        <v>22.16</v>
      </c>
      <c r="F244" s="343">
        <v>2</v>
      </c>
      <c r="G244" s="342">
        <f t="shared" si="35"/>
        <v>44.32</v>
      </c>
      <c r="H244" s="342">
        <f t="shared" si="36"/>
        <v>50.081599999999995</v>
      </c>
      <c r="I244" s="342"/>
      <c r="J244" s="344"/>
      <c r="L244" s="29"/>
      <c r="N244" s="23"/>
    </row>
    <row r="245" spans="1:15" s="17" customFormat="1" x14ac:dyDescent="0.3">
      <c r="A245" s="16"/>
      <c r="B245" s="337" t="s">
        <v>1317</v>
      </c>
      <c r="C245" s="375" t="s">
        <v>1318</v>
      </c>
      <c r="D245" s="338"/>
      <c r="E245" s="338">
        <v>30</v>
      </c>
      <c r="F245" s="339">
        <v>1</v>
      </c>
      <c r="G245" s="338">
        <f t="shared" si="35"/>
        <v>30</v>
      </c>
      <c r="H245" s="338">
        <f>G245</f>
        <v>30</v>
      </c>
      <c r="I245" s="338">
        <v>19.690000000000001</v>
      </c>
      <c r="J245" s="340">
        <v>19.690000000000001</v>
      </c>
      <c r="L245" s="29"/>
      <c r="N245" s="23"/>
    </row>
    <row r="246" spans="1:15" s="17" customFormat="1" x14ac:dyDescent="0.3">
      <c r="A246" s="16"/>
      <c r="B246" s="337"/>
      <c r="C246" s="375" t="s">
        <v>1680</v>
      </c>
      <c r="D246" s="338"/>
      <c r="E246" s="338"/>
      <c r="F246" s="339"/>
      <c r="G246" s="338"/>
      <c r="H246" s="338"/>
      <c r="I246" s="338">
        <f>19.15+82.83</f>
        <v>101.97999999999999</v>
      </c>
      <c r="J246" s="340">
        <f>19.15+82.83</f>
        <v>101.97999999999999</v>
      </c>
      <c r="L246" s="29"/>
      <c r="N246" s="23"/>
    </row>
    <row r="247" spans="1:15" s="17" customFormat="1" x14ac:dyDescent="0.3">
      <c r="A247" s="21"/>
      <c r="B247" s="385" t="s">
        <v>1319</v>
      </c>
      <c r="C247" s="395"/>
      <c r="D247" s="348"/>
      <c r="E247" s="348"/>
      <c r="F247" s="349"/>
      <c r="G247" s="348"/>
      <c r="H247" s="348">
        <f>SUM(H209:H245)</f>
        <v>4456.7418000000007</v>
      </c>
      <c r="I247" s="348">
        <f>SUM(I209:I246)</f>
        <v>2791.5200000000004</v>
      </c>
      <c r="J247" s="350">
        <f>SUM(J209:J246)</f>
        <v>2750.9800000000005</v>
      </c>
      <c r="L247" s="29"/>
      <c r="N247" s="23"/>
    </row>
    <row r="248" spans="1:15" s="17" customFormat="1" x14ac:dyDescent="0.3">
      <c r="A248" s="21"/>
      <c r="B248" s="302"/>
      <c r="C248" s="376"/>
      <c r="D248" s="342"/>
      <c r="E248" s="342"/>
      <c r="F248" s="343"/>
      <c r="G248" s="342"/>
      <c r="H248" s="342"/>
      <c r="I248" s="342"/>
      <c r="J248" s="344"/>
      <c r="L248" s="29"/>
      <c r="N248" s="23"/>
    </row>
    <row r="249" spans="1:15" s="27" customFormat="1" x14ac:dyDescent="0.3">
      <c r="A249" s="16" t="s">
        <v>990</v>
      </c>
      <c r="B249" s="377"/>
      <c r="C249" s="302"/>
      <c r="D249" s="342"/>
      <c r="E249" s="342"/>
      <c r="F249" s="343"/>
      <c r="G249" s="342"/>
      <c r="H249" s="342"/>
      <c r="I249" s="342"/>
      <c r="J249" s="344"/>
      <c r="K249" s="22"/>
      <c r="L249" s="26"/>
      <c r="N249" s="461"/>
      <c r="O249" s="28"/>
    </row>
    <row r="250" spans="1:15" s="17" customFormat="1" x14ac:dyDescent="0.3">
      <c r="A250" s="38" t="s">
        <v>1320</v>
      </c>
      <c r="B250" s="377"/>
      <c r="C250" s="302"/>
      <c r="D250" s="342"/>
      <c r="E250" s="342"/>
      <c r="F250" s="343"/>
      <c r="G250" s="342"/>
      <c r="H250" s="342"/>
      <c r="I250" s="342"/>
      <c r="J250" s="344"/>
      <c r="L250" s="29"/>
      <c r="N250" s="23"/>
    </row>
    <row r="251" spans="1:15" s="17" customFormat="1" x14ac:dyDescent="0.3">
      <c r="A251" s="21"/>
      <c r="B251" s="337" t="s">
        <v>1321</v>
      </c>
      <c r="C251" s="375" t="s">
        <v>1322</v>
      </c>
      <c r="D251" s="338" t="s">
        <v>9</v>
      </c>
      <c r="E251" s="338">
        <v>150</v>
      </c>
      <c r="F251" s="339">
        <v>1</v>
      </c>
      <c r="G251" s="338">
        <f>E251*F251</f>
        <v>150</v>
      </c>
      <c r="H251" s="338">
        <f>G251*1.13</f>
        <v>169.49999999999997</v>
      </c>
      <c r="I251" s="338">
        <v>100.88</v>
      </c>
      <c r="J251" s="340">
        <v>100.88</v>
      </c>
      <c r="L251" s="29"/>
      <c r="N251" s="23"/>
    </row>
    <row r="252" spans="1:15" s="17" customFormat="1" x14ac:dyDescent="0.3">
      <c r="A252" s="21"/>
      <c r="B252" s="302" t="s">
        <v>1323</v>
      </c>
      <c r="C252" s="376" t="s">
        <v>1324</v>
      </c>
      <c r="D252" s="342" t="s">
        <v>1325</v>
      </c>
      <c r="E252" s="342">
        <v>50</v>
      </c>
      <c r="F252" s="343">
        <v>1</v>
      </c>
      <c r="G252" s="342">
        <f t="shared" ref="G252:G256" si="37">E252*F252</f>
        <v>50</v>
      </c>
      <c r="H252" s="342">
        <f t="shared" ref="H252:H256" si="38">G252*1.13</f>
        <v>56.499999999999993</v>
      </c>
      <c r="I252" s="342">
        <v>108.32</v>
      </c>
      <c r="J252" s="344">
        <v>108.32</v>
      </c>
      <c r="L252" s="29"/>
      <c r="N252" s="23"/>
    </row>
    <row r="253" spans="1:15" s="17" customFormat="1" x14ac:dyDescent="0.3">
      <c r="A253" s="21"/>
      <c r="B253" s="337" t="s">
        <v>1326</v>
      </c>
      <c r="C253" s="375" t="s">
        <v>1327</v>
      </c>
      <c r="D253" s="337" t="s">
        <v>1328</v>
      </c>
      <c r="E253" s="338">
        <v>0</v>
      </c>
      <c r="F253" s="339">
        <v>1</v>
      </c>
      <c r="G253" s="338">
        <f t="shared" si="37"/>
        <v>0</v>
      </c>
      <c r="H253" s="338">
        <f t="shared" si="38"/>
        <v>0</v>
      </c>
      <c r="I253" s="338"/>
      <c r="J253" s="340"/>
      <c r="L253" s="29"/>
      <c r="N253" s="23"/>
    </row>
    <row r="254" spans="1:15" s="17" customFormat="1" x14ac:dyDescent="0.3">
      <c r="A254" s="21"/>
      <c r="B254" s="302" t="s">
        <v>1329</v>
      </c>
      <c r="C254" s="376" t="s">
        <v>1330</v>
      </c>
      <c r="D254" s="342" t="s">
        <v>1331</v>
      </c>
      <c r="E254" s="342">
        <v>0</v>
      </c>
      <c r="F254" s="343">
        <v>1</v>
      </c>
      <c r="G254" s="342">
        <f t="shared" si="37"/>
        <v>0</v>
      </c>
      <c r="H254" s="342">
        <f t="shared" si="38"/>
        <v>0</v>
      </c>
      <c r="I254" s="342"/>
      <c r="J254" s="344"/>
      <c r="L254" s="29"/>
      <c r="N254" s="23"/>
    </row>
    <row r="255" spans="1:15" s="17" customFormat="1" x14ac:dyDescent="0.3">
      <c r="A255" s="21"/>
      <c r="B255" s="337" t="s">
        <v>1332</v>
      </c>
      <c r="C255" s="375" t="s">
        <v>1333</v>
      </c>
      <c r="D255" s="338"/>
      <c r="E255" s="338">
        <v>20</v>
      </c>
      <c r="F255" s="339">
        <v>1</v>
      </c>
      <c r="G255" s="338">
        <f t="shared" si="37"/>
        <v>20</v>
      </c>
      <c r="H255" s="338">
        <f t="shared" si="38"/>
        <v>22.599999999999998</v>
      </c>
      <c r="I255" s="338"/>
      <c r="J255" s="432"/>
      <c r="L255" s="29"/>
      <c r="N255" s="23"/>
    </row>
    <row r="256" spans="1:15" s="17" customFormat="1" x14ac:dyDescent="0.3">
      <c r="A256" s="21"/>
      <c r="B256" s="302" t="s">
        <v>1334</v>
      </c>
      <c r="C256" s="376" t="s">
        <v>1335</v>
      </c>
      <c r="D256" s="342" t="s">
        <v>1336</v>
      </c>
      <c r="E256" s="342">
        <v>30</v>
      </c>
      <c r="F256" s="343">
        <v>1</v>
      </c>
      <c r="G256" s="342">
        <f t="shared" si="37"/>
        <v>30</v>
      </c>
      <c r="H256" s="342">
        <f t="shared" si="38"/>
        <v>33.9</v>
      </c>
      <c r="I256" s="342"/>
      <c r="J256" s="344"/>
      <c r="L256" s="29"/>
      <c r="N256" s="23"/>
    </row>
    <row r="257" spans="1:14" s="17" customFormat="1" x14ac:dyDescent="0.3">
      <c r="A257" s="38" t="s">
        <v>1337</v>
      </c>
      <c r="B257" s="377"/>
      <c r="C257" s="302"/>
      <c r="D257" s="342" t="s">
        <v>1338</v>
      </c>
      <c r="E257" s="342"/>
      <c r="F257" s="343"/>
      <c r="G257" s="342"/>
      <c r="H257" s="342"/>
      <c r="I257" s="342"/>
      <c r="J257" s="344"/>
      <c r="L257" s="29"/>
      <c r="N257" s="23"/>
    </row>
    <row r="258" spans="1:14" s="17" customFormat="1" x14ac:dyDescent="0.3">
      <c r="A258" s="38"/>
      <c r="B258" s="337" t="s">
        <v>1339</v>
      </c>
      <c r="C258" s="375" t="s">
        <v>1335</v>
      </c>
      <c r="D258" s="338" t="s">
        <v>1340</v>
      </c>
      <c r="E258" s="338">
        <v>30</v>
      </c>
      <c r="F258" s="339">
        <v>1</v>
      </c>
      <c r="G258" s="338">
        <f>E258*F258</f>
        <v>30</v>
      </c>
      <c r="H258" s="338">
        <f>G258*1.13</f>
        <v>33.9</v>
      </c>
      <c r="I258" s="338"/>
      <c r="J258" s="432"/>
      <c r="L258" s="29"/>
      <c r="N258" s="23"/>
    </row>
    <row r="259" spans="1:14" s="17" customFormat="1" x14ac:dyDescent="0.3">
      <c r="A259" s="38"/>
      <c r="B259" s="302" t="s">
        <v>1341</v>
      </c>
      <c r="C259" s="376" t="s">
        <v>1342</v>
      </c>
      <c r="D259" s="342" t="s">
        <v>1343</v>
      </c>
      <c r="E259" s="342">
        <v>0</v>
      </c>
      <c r="F259" s="343">
        <v>1</v>
      </c>
      <c r="G259" s="342">
        <f t="shared" ref="G259" si="39">E259*F259</f>
        <v>0</v>
      </c>
      <c r="H259" s="342">
        <f t="shared" ref="H259" si="40">G259*1.13</f>
        <v>0</v>
      </c>
      <c r="I259" s="342"/>
      <c r="J259" s="344"/>
      <c r="L259" s="29"/>
      <c r="N259" s="23"/>
    </row>
    <row r="260" spans="1:14" s="17" customFormat="1" x14ac:dyDescent="0.3">
      <c r="A260" s="38" t="s">
        <v>1344</v>
      </c>
      <c r="B260" s="377"/>
      <c r="C260" s="302"/>
      <c r="D260" s="342"/>
      <c r="E260" s="342"/>
      <c r="F260" s="343"/>
      <c r="G260" s="342"/>
      <c r="H260" s="342"/>
      <c r="I260" s="342"/>
      <c r="J260" s="344"/>
      <c r="L260" s="29"/>
      <c r="N260" s="23"/>
    </row>
    <row r="261" spans="1:14" s="17" customFormat="1" x14ac:dyDescent="0.3">
      <c r="A261" s="38"/>
      <c r="B261" s="337" t="s">
        <v>1345</v>
      </c>
      <c r="C261" s="375" t="s">
        <v>1335</v>
      </c>
      <c r="D261" s="338" t="s">
        <v>1346</v>
      </c>
      <c r="E261" s="338">
        <v>20</v>
      </c>
      <c r="F261" s="339">
        <v>1</v>
      </c>
      <c r="G261" s="338">
        <f>E261*F261</f>
        <v>20</v>
      </c>
      <c r="H261" s="338">
        <f>G261*1.13</f>
        <v>22.599999999999998</v>
      </c>
      <c r="I261" s="338"/>
      <c r="J261" s="340"/>
      <c r="L261" s="29"/>
      <c r="N261" s="23"/>
    </row>
    <row r="262" spans="1:14" s="17" customFormat="1" x14ac:dyDescent="0.3">
      <c r="A262" s="38"/>
      <c r="B262" s="302" t="s">
        <v>1347</v>
      </c>
      <c r="C262" s="376" t="s">
        <v>339</v>
      </c>
      <c r="D262" s="342"/>
      <c r="E262" s="342">
        <v>3</v>
      </c>
      <c r="F262" s="343">
        <v>35</v>
      </c>
      <c r="G262" s="342">
        <f t="shared" ref="G262" si="41">E262*F262</f>
        <v>105</v>
      </c>
      <c r="H262" s="342">
        <f t="shared" ref="H262" si="42">G262*1.13</f>
        <v>118.64999999999999</v>
      </c>
      <c r="I262" s="342"/>
      <c r="J262" s="344"/>
      <c r="L262" s="29"/>
      <c r="N262" s="23"/>
    </row>
    <row r="263" spans="1:14" s="17" customFormat="1" x14ac:dyDescent="0.3">
      <c r="A263" s="256" t="s">
        <v>1348</v>
      </c>
      <c r="B263" s="386"/>
      <c r="C263" s="398"/>
      <c r="D263" s="444"/>
      <c r="E263" s="444"/>
      <c r="F263" s="445"/>
      <c r="G263" s="444"/>
      <c r="H263" s="444"/>
      <c r="I263" s="342"/>
      <c r="J263" s="344"/>
      <c r="L263" s="29"/>
      <c r="N263" s="23"/>
    </row>
    <row r="264" spans="1:14" s="17" customFormat="1" x14ac:dyDescent="0.3">
      <c r="A264" s="256"/>
      <c r="B264" s="460" t="s">
        <v>1349</v>
      </c>
      <c r="C264" s="399" t="s">
        <v>1350</v>
      </c>
      <c r="D264" s="446" t="s">
        <v>1351</v>
      </c>
      <c r="E264" s="446">
        <v>6</v>
      </c>
      <c r="F264" s="447">
        <v>3</v>
      </c>
      <c r="G264" s="446">
        <f>E264*F264</f>
        <v>18</v>
      </c>
      <c r="H264" s="338">
        <f>G264*1.13</f>
        <v>20.339999999999996</v>
      </c>
      <c r="I264" s="338"/>
      <c r="J264" s="432"/>
      <c r="L264" s="29"/>
      <c r="N264" s="23"/>
    </row>
    <row r="265" spans="1:14" s="17" customFormat="1" x14ac:dyDescent="0.3">
      <c r="A265" s="256"/>
      <c r="B265" s="398" t="s">
        <v>1352</v>
      </c>
      <c r="C265" s="400" t="s">
        <v>231</v>
      </c>
      <c r="D265" s="444" t="s">
        <v>1353</v>
      </c>
      <c r="E265" s="444">
        <v>5.5</v>
      </c>
      <c r="F265" s="445">
        <v>6</v>
      </c>
      <c r="G265" s="342">
        <f t="shared" ref="G265" si="43">E265*F265</f>
        <v>33</v>
      </c>
      <c r="H265" s="342">
        <f t="shared" ref="H265" si="44">G265*1.13</f>
        <v>37.29</v>
      </c>
      <c r="I265" s="342"/>
      <c r="J265" s="344"/>
      <c r="L265" s="29"/>
      <c r="N265" s="23"/>
    </row>
    <row r="266" spans="1:14" s="17" customFormat="1" x14ac:dyDescent="0.3">
      <c r="A266" s="21"/>
      <c r="B266" s="385" t="s">
        <v>1354</v>
      </c>
      <c r="C266" s="395"/>
      <c r="D266" s="348"/>
      <c r="E266" s="348"/>
      <c r="F266" s="349"/>
      <c r="G266" s="348"/>
      <c r="H266" s="348">
        <f>SUM(H251:H265)</f>
        <v>515.27999999999986</v>
      </c>
      <c r="I266" s="348">
        <f>SUM(I251:I265)</f>
        <v>209.2</v>
      </c>
      <c r="J266" s="350">
        <f>SUM(J251:J265)</f>
        <v>209.2</v>
      </c>
      <c r="L266" s="29"/>
      <c r="N266" s="23"/>
    </row>
    <row r="267" spans="1:14" s="17" customFormat="1" x14ac:dyDescent="0.3">
      <c r="A267" s="21"/>
      <c r="B267" s="377"/>
      <c r="C267" s="396"/>
      <c r="D267" s="418"/>
      <c r="E267" s="418"/>
      <c r="F267" s="419"/>
      <c r="G267" s="418"/>
      <c r="H267" s="418"/>
      <c r="I267" s="418"/>
      <c r="J267" s="420"/>
      <c r="L267" s="29"/>
      <c r="N267" s="23"/>
    </row>
    <row r="268" spans="1:14" s="17" customFormat="1" x14ac:dyDescent="0.3">
      <c r="A268" s="16" t="s">
        <v>992</v>
      </c>
      <c r="B268" s="377"/>
      <c r="C268" s="302"/>
      <c r="D268" s="342"/>
      <c r="E268" s="342"/>
      <c r="F268" s="343"/>
      <c r="G268" s="342"/>
      <c r="H268" s="342"/>
      <c r="I268" s="342"/>
      <c r="J268" s="344"/>
      <c r="L268" s="29"/>
      <c r="N268" s="23"/>
    </row>
    <row r="269" spans="1:14" s="17" customFormat="1" x14ac:dyDescent="0.3">
      <c r="A269" s="38" t="s">
        <v>993</v>
      </c>
      <c r="B269" s="377"/>
      <c r="C269" s="302"/>
      <c r="D269" s="342"/>
      <c r="E269" s="342"/>
      <c r="F269" s="343"/>
      <c r="G269" s="342"/>
      <c r="H269" s="342"/>
      <c r="I269" s="302"/>
      <c r="J269" s="425"/>
      <c r="L269" s="29"/>
      <c r="N269" s="23"/>
    </row>
    <row r="270" spans="1:14" s="17" customFormat="1" x14ac:dyDescent="0.3">
      <c r="A270" s="21"/>
      <c r="B270" s="337" t="s">
        <v>1355</v>
      </c>
      <c r="C270" s="375" t="s">
        <v>1356</v>
      </c>
      <c r="D270" s="338"/>
      <c r="E270" s="338">
        <v>0</v>
      </c>
      <c r="F270" s="339">
        <v>1</v>
      </c>
      <c r="G270" s="338">
        <f>E270*F270</f>
        <v>0</v>
      </c>
      <c r="H270" s="338">
        <f>G270*1.13</f>
        <v>0</v>
      </c>
      <c r="I270" s="338"/>
      <c r="J270" s="340"/>
      <c r="L270" s="29"/>
      <c r="N270" s="23"/>
    </row>
    <row r="271" spans="1:14" s="17" customFormat="1" x14ac:dyDescent="0.3">
      <c r="A271" s="21"/>
      <c r="B271" s="302" t="s">
        <v>1357</v>
      </c>
      <c r="C271" s="376" t="s">
        <v>608</v>
      </c>
      <c r="D271" s="342"/>
      <c r="E271" s="342">
        <v>95</v>
      </c>
      <c r="F271" s="343">
        <v>1</v>
      </c>
      <c r="G271" s="342">
        <f t="shared" ref="G271:G273" si="45">E271*F271</f>
        <v>95</v>
      </c>
      <c r="H271" s="342">
        <v>100</v>
      </c>
      <c r="I271" s="342"/>
      <c r="J271" s="344"/>
      <c r="L271" s="29"/>
      <c r="N271" s="23"/>
    </row>
    <row r="272" spans="1:14" s="17" customFormat="1" x14ac:dyDescent="0.3">
      <c r="A272" s="21"/>
      <c r="B272" s="337" t="s">
        <v>1358</v>
      </c>
      <c r="C272" s="375" t="s">
        <v>1359</v>
      </c>
      <c r="D272" s="338"/>
      <c r="E272" s="338">
        <v>10</v>
      </c>
      <c r="F272" s="339">
        <v>1</v>
      </c>
      <c r="G272" s="338">
        <f t="shared" si="45"/>
        <v>10</v>
      </c>
      <c r="H272" s="338">
        <f t="shared" ref="H272" si="46">G272*1.13</f>
        <v>11.299999999999999</v>
      </c>
      <c r="I272" s="338"/>
      <c r="J272" s="340"/>
      <c r="L272" s="29"/>
      <c r="N272" s="23"/>
    </row>
    <row r="273" spans="1:15" s="17" customFormat="1" x14ac:dyDescent="0.3">
      <c r="A273" s="21"/>
      <c r="B273" s="302" t="s">
        <v>1360</v>
      </c>
      <c r="C273" s="376" t="s">
        <v>1361</v>
      </c>
      <c r="D273" s="342"/>
      <c r="E273" s="342">
        <v>70</v>
      </c>
      <c r="F273" s="343">
        <v>1</v>
      </c>
      <c r="G273" s="342">
        <f t="shared" si="45"/>
        <v>70</v>
      </c>
      <c r="H273" s="342">
        <v>70</v>
      </c>
      <c r="I273" s="342"/>
      <c r="J273" s="344"/>
      <c r="L273" s="29"/>
      <c r="N273" s="23"/>
    </row>
    <row r="274" spans="1:15" s="17" customFormat="1" x14ac:dyDescent="0.3">
      <c r="B274" s="337" t="s">
        <v>1362</v>
      </c>
      <c r="C274" s="337" t="s">
        <v>163</v>
      </c>
      <c r="D274" s="337" t="s">
        <v>1097</v>
      </c>
      <c r="E274" s="338">
        <v>10</v>
      </c>
      <c r="F274" s="337">
        <v>1</v>
      </c>
      <c r="G274" s="338">
        <f>E274*F274</f>
        <v>10</v>
      </c>
      <c r="H274" s="338">
        <f>G274*1.13</f>
        <v>11.299999999999999</v>
      </c>
      <c r="I274" s="337"/>
      <c r="J274" s="448"/>
      <c r="L274" s="29"/>
      <c r="N274" s="23"/>
    </row>
    <row r="275" spans="1:15" s="17" customFormat="1" x14ac:dyDescent="0.3">
      <c r="B275" s="302" t="s">
        <v>1363</v>
      </c>
      <c r="C275" s="302" t="s">
        <v>641</v>
      </c>
      <c r="D275" s="302" t="s">
        <v>1099</v>
      </c>
      <c r="E275" s="342">
        <v>0.05</v>
      </c>
      <c r="F275" s="302">
        <v>10</v>
      </c>
      <c r="G275" s="342">
        <f>E275*F275</f>
        <v>0.5</v>
      </c>
      <c r="H275" s="342">
        <f>G275*1</f>
        <v>0.5</v>
      </c>
      <c r="I275" s="302"/>
      <c r="J275" s="425"/>
      <c r="L275" s="29"/>
      <c r="N275" s="23"/>
    </row>
    <row r="276" spans="1:15" s="17" customFormat="1" x14ac:dyDescent="0.3">
      <c r="A276" s="38" t="s">
        <v>997</v>
      </c>
      <c r="B276" s="302"/>
      <c r="C276" s="302"/>
      <c r="D276" s="342"/>
      <c r="E276" s="342"/>
      <c r="F276" s="343"/>
      <c r="G276" s="342"/>
      <c r="H276" s="342"/>
      <c r="I276" s="342"/>
      <c r="J276" s="434"/>
      <c r="L276" s="29"/>
      <c r="N276" s="23"/>
    </row>
    <row r="277" spans="1:15" s="17" customFormat="1" x14ac:dyDescent="0.3">
      <c r="A277" s="38"/>
      <c r="B277" s="337" t="s">
        <v>1364</v>
      </c>
      <c r="C277" s="375" t="s">
        <v>1365</v>
      </c>
      <c r="D277" s="338"/>
      <c r="E277" s="338">
        <v>250</v>
      </c>
      <c r="F277" s="339">
        <v>1</v>
      </c>
      <c r="G277" s="338">
        <f>E277*F277</f>
        <v>250</v>
      </c>
      <c r="H277" s="338">
        <v>260</v>
      </c>
      <c r="I277" s="338"/>
      <c r="J277" s="340"/>
      <c r="L277" s="29"/>
      <c r="N277" s="23"/>
    </row>
    <row r="278" spans="1:15" s="17" customFormat="1" x14ac:dyDescent="0.3">
      <c r="A278" s="38"/>
      <c r="B278" s="302" t="s">
        <v>1366</v>
      </c>
      <c r="C278" s="376" t="s">
        <v>1367</v>
      </c>
      <c r="D278" s="342"/>
      <c r="E278" s="342">
        <v>28</v>
      </c>
      <c r="F278" s="343">
        <v>35</v>
      </c>
      <c r="G278" s="342">
        <f t="shared" ref="G278:G281" si="47">E278*F278</f>
        <v>980</v>
      </c>
      <c r="H278" s="342">
        <v>1000</v>
      </c>
      <c r="I278" s="342"/>
      <c r="J278" s="344"/>
      <c r="L278" s="29"/>
      <c r="N278" s="23"/>
    </row>
    <row r="279" spans="1:15" s="17" customFormat="1" x14ac:dyDescent="0.3">
      <c r="A279" s="38"/>
      <c r="B279" s="337" t="s">
        <v>1368</v>
      </c>
      <c r="C279" s="375" t="s">
        <v>1369</v>
      </c>
      <c r="D279" s="338" t="s">
        <v>1370</v>
      </c>
      <c r="E279" s="338">
        <v>60</v>
      </c>
      <c r="F279" s="339">
        <v>1</v>
      </c>
      <c r="G279" s="338">
        <f t="shared" si="47"/>
        <v>60</v>
      </c>
      <c r="H279" s="338">
        <v>60</v>
      </c>
      <c r="I279" s="338"/>
      <c r="J279" s="432"/>
      <c r="L279" s="29"/>
      <c r="N279" s="23"/>
    </row>
    <row r="280" spans="1:15" s="17" customFormat="1" x14ac:dyDescent="0.3">
      <c r="A280" s="38"/>
      <c r="B280" s="302" t="s">
        <v>1371</v>
      </c>
      <c r="C280" s="376" t="s">
        <v>608</v>
      </c>
      <c r="D280" s="342" t="s">
        <v>1372</v>
      </c>
      <c r="E280" s="342">
        <v>15</v>
      </c>
      <c r="F280" s="343">
        <v>2</v>
      </c>
      <c r="G280" s="342">
        <f t="shared" si="47"/>
        <v>30</v>
      </c>
      <c r="H280" s="342">
        <f t="shared" ref="H280:H281" si="48">G280*1.13</f>
        <v>33.9</v>
      </c>
      <c r="I280" s="342"/>
      <c r="J280" s="344"/>
      <c r="L280" s="29"/>
      <c r="N280" s="23"/>
    </row>
    <row r="281" spans="1:15" s="17" customFormat="1" x14ac:dyDescent="0.3">
      <c r="A281" s="38"/>
      <c r="B281" s="337" t="s">
        <v>1373</v>
      </c>
      <c r="C281" s="375" t="s">
        <v>347</v>
      </c>
      <c r="D281" s="338"/>
      <c r="E281" s="338">
        <v>19</v>
      </c>
      <c r="F281" s="339">
        <v>8</v>
      </c>
      <c r="G281" s="338">
        <f t="shared" si="47"/>
        <v>152</v>
      </c>
      <c r="H281" s="338">
        <f t="shared" si="48"/>
        <v>171.76</v>
      </c>
      <c r="I281" s="338"/>
      <c r="J281" s="432"/>
      <c r="L281" s="29"/>
      <c r="N281" s="23"/>
    </row>
    <row r="282" spans="1:15" s="17" customFormat="1" x14ac:dyDescent="0.3">
      <c r="A282" s="21"/>
      <c r="B282" s="302" t="s">
        <v>1374</v>
      </c>
      <c r="C282" s="302" t="s">
        <v>163</v>
      </c>
      <c r="D282" s="302" t="s">
        <v>1097</v>
      </c>
      <c r="E282" s="342">
        <v>10</v>
      </c>
      <c r="F282" s="302">
        <v>1</v>
      </c>
      <c r="G282" s="342">
        <f>E282*F282</f>
        <v>10</v>
      </c>
      <c r="H282" s="342">
        <f>G282*1.13</f>
        <v>11.299999999999999</v>
      </c>
      <c r="I282" s="342"/>
      <c r="J282" s="344"/>
      <c r="L282" s="29"/>
      <c r="N282" s="23"/>
    </row>
    <row r="283" spans="1:15" s="17" customFormat="1" x14ac:dyDescent="0.3">
      <c r="A283" s="21"/>
      <c r="B283" s="337" t="s">
        <v>1375</v>
      </c>
      <c r="C283" s="337" t="s">
        <v>641</v>
      </c>
      <c r="D283" s="337" t="s">
        <v>1099</v>
      </c>
      <c r="E283" s="338">
        <v>0.05</v>
      </c>
      <c r="F283" s="337">
        <v>10</v>
      </c>
      <c r="G283" s="338">
        <f>E283*F283</f>
        <v>0.5</v>
      </c>
      <c r="H283" s="338">
        <f>G283*1</f>
        <v>0.5</v>
      </c>
      <c r="I283" s="338"/>
      <c r="J283" s="432"/>
      <c r="L283" s="29"/>
      <c r="N283" s="23"/>
    </row>
    <row r="284" spans="1:15" s="17" customFormat="1" x14ac:dyDescent="0.3">
      <c r="A284" s="21"/>
      <c r="B284" s="302"/>
      <c r="C284" s="376"/>
      <c r="D284" s="342"/>
      <c r="E284" s="342"/>
      <c r="F284" s="343"/>
      <c r="G284" s="342">
        <f t="shared" ref="G284" si="49">E284*F284</f>
        <v>0</v>
      </c>
      <c r="H284" s="342">
        <f t="shared" ref="H284" si="50">G284*1.13</f>
        <v>0</v>
      </c>
      <c r="I284" s="342"/>
      <c r="J284" s="344"/>
      <c r="L284" s="29"/>
      <c r="N284" s="23"/>
    </row>
    <row r="285" spans="1:15" s="27" customFormat="1" x14ac:dyDescent="0.3">
      <c r="A285" s="21"/>
      <c r="B285" s="337"/>
      <c r="C285" s="375"/>
      <c r="D285" s="338"/>
      <c r="E285" s="338"/>
      <c r="F285" s="339"/>
      <c r="G285" s="338"/>
      <c r="H285" s="338"/>
      <c r="I285" s="338"/>
      <c r="J285" s="340"/>
      <c r="K285" s="22"/>
      <c r="L285" s="26"/>
      <c r="N285" s="461"/>
      <c r="O285" s="28"/>
    </row>
    <row r="286" spans="1:15" s="17" customFormat="1" x14ac:dyDescent="0.3">
      <c r="A286" s="21"/>
      <c r="B286" s="385" t="s">
        <v>1376</v>
      </c>
      <c r="C286" s="395"/>
      <c r="D286" s="348"/>
      <c r="E286" s="348"/>
      <c r="F286" s="349"/>
      <c r="G286" s="348"/>
      <c r="H286" s="348">
        <f>SUM(H269:H285)</f>
        <v>1730.56</v>
      </c>
      <c r="I286" s="348">
        <f>SUM(I270:I285)</f>
        <v>0</v>
      </c>
      <c r="J286" s="350">
        <f>SUM(J270:J285)</f>
        <v>0</v>
      </c>
      <c r="L286" s="29"/>
      <c r="N286" s="23"/>
    </row>
    <row r="287" spans="1:15" s="17" customFormat="1" x14ac:dyDescent="0.3">
      <c r="A287" s="21"/>
      <c r="B287" s="377"/>
      <c r="C287" s="396"/>
      <c r="D287" s="418"/>
      <c r="E287" s="418"/>
      <c r="F287" s="419"/>
      <c r="G287" s="418"/>
      <c r="H287" s="418"/>
      <c r="I287" s="418"/>
      <c r="J287" s="420"/>
      <c r="L287" s="29"/>
      <c r="N287" s="23"/>
    </row>
    <row r="288" spans="1:15" s="17" customFormat="1" x14ac:dyDescent="0.3">
      <c r="A288" s="16" t="s">
        <v>1004</v>
      </c>
      <c r="B288" s="377"/>
      <c r="C288" s="302"/>
      <c r="D288" s="342"/>
      <c r="E288" s="342"/>
      <c r="F288" s="343"/>
      <c r="G288" s="342"/>
      <c r="H288" s="342"/>
      <c r="I288" s="342"/>
      <c r="J288" s="344"/>
      <c r="L288" s="29"/>
      <c r="N288" s="23"/>
    </row>
    <row r="289" spans="1:15" s="17" customFormat="1" x14ac:dyDescent="0.3">
      <c r="A289" s="256" t="s">
        <v>1377</v>
      </c>
      <c r="B289" s="386"/>
      <c r="C289" s="398"/>
      <c r="D289" s="449"/>
      <c r="E289" s="444"/>
      <c r="F289" s="445"/>
      <c r="G289" s="444"/>
      <c r="H289" s="444"/>
      <c r="I289" s="444"/>
      <c r="J289" s="344"/>
      <c r="L289" s="29"/>
      <c r="N289" s="23"/>
    </row>
    <row r="290" spans="1:15" s="17" customFormat="1" x14ac:dyDescent="0.3">
      <c r="A290" s="257"/>
      <c r="B290" s="383" t="s">
        <v>1373</v>
      </c>
      <c r="C290" s="401" t="s">
        <v>1378</v>
      </c>
      <c r="D290" s="450" t="s">
        <v>1379</v>
      </c>
      <c r="E290" s="430">
        <v>200</v>
      </c>
      <c r="F290" s="443">
        <v>1</v>
      </c>
      <c r="G290" s="430">
        <f>E290*F290</f>
        <v>200</v>
      </c>
      <c r="H290" s="430">
        <f>G290*1.13</f>
        <v>225.99999999999997</v>
      </c>
      <c r="I290" s="430">
        <f>221.16+67.78</f>
        <v>288.94</v>
      </c>
      <c r="J290" s="340">
        <f>221.16+67.78</f>
        <v>288.94</v>
      </c>
      <c r="L290" s="29"/>
      <c r="N290" s="23"/>
    </row>
    <row r="291" spans="1:15" s="17" customFormat="1" x14ac:dyDescent="0.3">
      <c r="A291" s="271"/>
      <c r="B291" s="382" t="s">
        <v>1374</v>
      </c>
      <c r="C291" s="402" t="s">
        <v>311</v>
      </c>
      <c r="D291" s="431" t="s">
        <v>1380</v>
      </c>
      <c r="E291" s="431">
        <v>100</v>
      </c>
      <c r="F291" s="436">
        <v>1</v>
      </c>
      <c r="G291" s="431">
        <f t="shared" ref="G291:G292" si="51">E291*F291</f>
        <v>100</v>
      </c>
      <c r="H291" s="431">
        <f t="shared" ref="H291:H292" si="52">G291*1.13</f>
        <v>112.99999999999999</v>
      </c>
      <c r="I291" s="431">
        <f>49.45</f>
        <v>49.45</v>
      </c>
      <c r="J291" s="344">
        <f>49.45</f>
        <v>49.45</v>
      </c>
      <c r="L291" s="29"/>
      <c r="N291" s="23"/>
    </row>
    <row r="292" spans="1:15" s="17" customFormat="1" x14ac:dyDescent="0.3">
      <c r="A292" s="257"/>
      <c r="B292" s="383" t="s">
        <v>1375</v>
      </c>
      <c r="C292" s="401" t="s">
        <v>862</v>
      </c>
      <c r="D292" s="430" t="s">
        <v>1381</v>
      </c>
      <c r="E292" s="430">
        <v>150</v>
      </c>
      <c r="F292" s="443">
        <v>1</v>
      </c>
      <c r="G292" s="430">
        <f t="shared" si="51"/>
        <v>150</v>
      </c>
      <c r="H292" s="430">
        <f t="shared" si="52"/>
        <v>169.49999999999997</v>
      </c>
      <c r="I292" s="430"/>
      <c r="J292" s="340"/>
      <c r="L292" s="29"/>
      <c r="N292" s="23"/>
    </row>
    <row r="293" spans="1:15" s="17" customFormat="1" x14ac:dyDescent="0.3">
      <c r="A293" s="271"/>
      <c r="B293" s="382" t="s">
        <v>1382</v>
      </c>
      <c r="C293" s="402" t="s">
        <v>1383</v>
      </c>
      <c r="D293" s="431" t="s">
        <v>1384</v>
      </c>
      <c r="E293" s="431">
        <v>30</v>
      </c>
      <c r="F293" s="436">
        <v>1</v>
      </c>
      <c r="G293" s="431">
        <f>E293*F293</f>
        <v>30</v>
      </c>
      <c r="H293" s="431">
        <f>G293*1.13</f>
        <v>33.9</v>
      </c>
      <c r="I293" s="431"/>
      <c r="J293" s="434"/>
      <c r="L293" s="29"/>
      <c r="N293" s="23"/>
    </row>
    <row r="294" spans="1:15" s="17" customFormat="1" x14ac:dyDescent="0.3">
      <c r="A294" s="257"/>
      <c r="B294" s="383" t="s">
        <v>1385</v>
      </c>
      <c r="C294" s="337" t="s">
        <v>1386</v>
      </c>
      <c r="D294" s="337" t="s">
        <v>1387</v>
      </c>
      <c r="E294" s="338">
        <v>25</v>
      </c>
      <c r="F294" s="337">
        <v>2</v>
      </c>
      <c r="G294" s="430">
        <f t="shared" ref="G294:G300" si="53">E294*F294</f>
        <v>50</v>
      </c>
      <c r="H294" s="430">
        <f t="shared" ref="H294:H300" si="54">G294*1.13</f>
        <v>56.499999999999993</v>
      </c>
      <c r="I294" s="430"/>
      <c r="J294" s="340"/>
      <c r="L294" s="29"/>
      <c r="N294" s="23"/>
    </row>
    <row r="295" spans="1:15" s="17" customFormat="1" x14ac:dyDescent="0.3">
      <c r="A295" s="271"/>
      <c r="B295" s="382" t="s">
        <v>1388</v>
      </c>
      <c r="C295" s="402" t="s">
        <v>1011</v>
      </c>
      <c r="D295" s="431" t="s">
        <v>1389</v>
      </c>
      <c r="E295" s="431">
        <v>8.49</v>
      </c>
      <c r="F295" s="436">
        <v>4</v>
      </c>
      <c r="G295" s="431">
        <f t="shared" si="53"/>
        <v>33.96</v>
      </c>
      <c r="H295" s="431">
        <f t="shared" si="54"/>
        <v>38.3748</v>
      </c>
      <c r="I295" s="431"/>
      <c r="J295" s="344"/>
      <c r="L295" s="29"/>
      <c r="N295" s="23"/>
    </row>
    <row r="296" spans="1:15" s="17" customFormat="1" x14ac:dyDescent="0.3">
      <c r="A296" s="257"/>
      <c r="B296" s="383" t="s">
        <v>1390</v>
      </c>
      <c r="C296" s="401" t="s">
        <v>1391</v>
      </c>
      <c r="D296" s="450" t="s">
        <v>1392</v>
      </c>
      <c r="E296" s="430">
        <v>250</v>
      </c>
      <c r="F296" s="443">
        <v>2</v>
      </c>
      <c r="G296" s="430">
        <f t="shared" si="53"/>
        <v>500</v>
      </c>
      <c r="H296" s="430">
        <f t="shared" si="54"/>
        <v>565</v>
      </c>
      <c r="I296" s="430">
        <f>4.42</f>
        <v>4.42</v>
      </c>
      <c r="J296" s="340">
        <f>4.42</f>
        <v>4.42</v>
      </c>
      <c r="L296" s="29"/>
      <c r="N296" s="23"/>
    </row>
    <row r="297" spans="1:15" s="17" customFormat="1" x14ac:dyDescent="0.3">
      <c r="A297" s="271"/>
      <c r="B297" s="382" t="s">
        <v>1393</v>
      </c>
      <c r="C297" s="402" t="s">
        <v>1394</v>
      </c>
      <c r="D297" s="431" t="s">
        <v>1016</v>
      </c>
      <c r="E297" s="431">
        <v>40</v>
      </c>
      <c r="F297" s="436">
        <v>1</v>
      </c>
      <c r="G297" s="431">
        <f t="shared" si="53"/>
        <v>40</v>
      </c>
      <c r="H297" s="431">
        <f t="shared" si="54"/>
        <v>45.199999999999996</v>
      </c>
      <c r="I297" s="431"/>
      <c r="J297" s="344"/>
      <c r="L297" s="29"/>
      <c r="N297" s="23"/>
    </row>
    <row r="298" spans="1:15" s="17" customFormat="1" x14ac:dyDescent="0.3">
      <c r="A298" s="257"/>
      <c r="B298" s="383" t="s">
        <v>1395</v>
      </c>
      <c r="C298" s="401" t="s">
        <v>1396</v>
      </c>
      <c r="D298" s="430" t="s">
        <v>1397</v>
      </c>
      <c r="E298" s="430">
        <v>0</v>
      </c>
      <c r="F298" s="443">
        <v>100</v>
      </c>
      <c r="G298" s="430">
        <f t="shared" si="53"/>
        <v>0</v>
      </c>
      <c r="H298" s="430">
        <f t="shared" si="54"/>
        <v>0</v>
      </c>
      <c r="I298" s="430"/>
      <c r="J298" s="340"/>
      <c r="L298" s="29"/>
      <c r="N298" s="23"/>
    </row>
    <row r="299" spans="1:15" s="17" customFormat="1" x14ac:dyDescent="0.3">
      <c r="A299" s="271"/>
      <c r="B299" s="382" t="s">
        <v>1398</v>
      </c>
      <c r="C299" s="402" t="s">
        <v>1399</v>
      </c>
      <c r="D299" s="431" t="s">
        <v>1400</v>
      </c>
      <c r="E299" s="431">
        <v>250</v>
      </c>
      <c r="F299" s="436">
        <v>1</v>
      </c>
      <c r="G299" s="431">
        <f t="shared" si="53"/>
        <v>250</v>
      </c>
      <c r="H299" s="431">
        <f t="shared" si="54"/>
        <v>282.5</v>
      </c>
      <c r="I299" s="431"/>
      <c r="J299" s="344"/>
      <c r="L299" s="29"/>
      <c r="N299" s="23"/>
    </row>
    <row r="300" spans="1:15" s="17" customFormat="1" x14ac:dyDescent="0.3">
      <c r="A300" s="257"/>
      <c r="B300" s="383" t="s">
        <v>1401</v>
      </c>
      <c r="C300" s="401" t="s">
        <v>1402</v>
      </c>
      <c r="D300" s="430" t="s">
        <v>1403</v>
      </c>
      <c r="E300" s="430">
        <v>59</v>
      </c>
      <c r="F300" s="443">
        <v>1</v>
      </c>
      <c r="G300" s="430">
        <f t="shared" si="53"/>
        <v>59</v>
      </c>
      <c r="H300" s="430">
        <f t="shared" si="54"/>
        <v>66.669999999999987</v>
      </c>
      <c r="I300" s="430">
        <v>140.08000000000001</v>
      </c>
      <c r="J300" s="340">
        <v>140.08000000000001</v>
      </c>
      <c r="L300" s="29"/>
      <c r="N300" s="23"/>
    </row>
    <row r="301" spans="1:15" s="17" customFormat="1" x14ac:dyDescent="0.3">
      <c r="A301" s="257"/>
      <c r="B301" s="383"/>
      <c r="C301" s="401" t="s">
        <v>1682</v>
      </c>
      <c r="D301" s="430" t="s">
        <v>1664</v>
      </c>
      <c r="E301" s="430"/>
      <c r="F301" s="443"/>
      <c r="G301" s="430"/>
      <c r="H301" s="430"/>
      <c r="I301" s="430">
        <v>287</v>
      </c>
      <c r="J301" s="340">
        <v>287</v>
      </c>
      <c r="L301" s="29"/>
      <c r="N301" s="23"/>
    </row>
    <row r="302" spans="1:15" s="17" customFormat="1" x14ac:dyDescent="0.3">
      <c r="A302" s="38" t="s">
        <v>1404</v>
      </c>
      <c r="B302" s="377"/>
      <c r="C302" s="377"/>
      <c r="D302" s="418"/>
      <c r="E302" s="418"/>
      <c r="F302" s="419"/>
      <c r="G302" s="418"/>
      <c r="H302" s="418"/>
      <c r="I302" s="418"/>
      <c r="J302" s="420"/>
      <c r="L302" s="29"/>
      <c r="N302" s="23"/>
    </row>
    <row r="303" spans="1:15" s="17" customFormat="1" ht="15.95" customHeight="1" x14ac:dyDescent="0.3">
      <c r="B303" s="337" t="s">
        <v>1405</v>
      </c>
      <c r="C303" s="337" t="s">
        <v>1378</v>
      </c>
      <c r="D303" s="421" t="s">
        <v>1379</v>
      </c>
      <c r="E303" s="338">
        <v>200</v>
      </c>
      <c r="F303" s="339">
        <v>1</v>
      </c>
      <c r="G303" s="338">
        <f>E303*F303</f>
        <v>200</v>
      </c>
      <c r="H303" s="338">
        <f>G303*1.13</f>
        <v>225.99999999999997</v>
      </c>
      <c r="I303" s="338"/>
      <c r="J303" s="340"/>
      <c r="K303" s="22"/>
      <c r="L303" s="29"/>
      <c r="N303" s="23"/>
      <c r="O303" s="23"/>
    </row>
    <row r="304" spans="1:15" s="17" customFormat="1" x14ac:dyDescent="0.3">
      <c r="A304" s="38"/>
      <c r="B304" s="302" t="s">
        <v>1406</v>
      </c>
      <c r="C304" s="376" t="s">
        <v>311</v>
      </c>
      <c r="D304" s="342" t="s">
        <v>1407</v>
      </c>
      <c r="E304" s="342">
        <v>50</v>
      </c>
      <c r="F304" s="343">
        <v>1</v>
      </c>
      <c r="G304" s="342">
        <f t="shared" ref="G304:G305" si="55">E304*F304</f>
        <v>50</v>
      </c>
      <c r="H304" s="342">
        <f t="shared" ref="H304:H305" si="56">G304*1.13</f>
        <v>56.499999999999993</v>
      </c>
      <c r="I304" s="342">
        <v>52.78</v>
      </c>
      <c r="J304" s="344">
        <v>52.78</v>
      </c>
      <c r="K304" s="22"/>
      <c r="L304" s="29"/>
      <c r="N304" s="23"/>
      <c r="O304" s="23"/>
    </row>
    <row r="305" spans="1:15" s="17" customFormat="1" x14ac:dyDescent="0.3">
      <c r="A305" s="38"/>
      <c r="B305" s="337" t="s">
        <v>1408</v>
      </c>
      <c r="C305" s="375" t="s">
        <v>862</v>
      </c>
      <c r="D305" s="338" t="s">
        <v>1409</v>
      </c>
      <c r="E305" s="338">
        <v>100</v>
      </c>
      <c r="F305" s="339">
        <v>1</v>
      </c>
      <c r="G305" s="338">
        <f t="shared" si="55"/>
        <v>100</v>
      </c>
      <c r="H305" s="338">
        <f t="shared" si="56"/>
        <v>112.99999999999999</v>
      </c>
      <c r="I305" s="338"/>
      <c r="J305" s="340"/>
      <c r="K305" s="22"/>
      <c r="L305" s="29"/>
      <c r="N305" s="23"/>
      <c r="O305" s="23"/>
    </row>
    <row r="306" spans="1:15" s="17" customFormat="1" x14ac:dyDescent="0.3">
      <c r="A306" s="38"/>
      <c r="B306" s="302" t="s">
        <v>1410</v>
      </c>
      <c r="C306" s="376" t="s">
        <v>1383</v>
      </c>
      <c r="D306" s="342" t="s">
        <v>1384</v>
      </c>
      <c r="E306" s="342">
        <v>30</v>
      </c>
      <c r="F306" s="343">
        <v>1</v>
      </c>
      <c r="G306" s="342">
        <f>E306*F306</f>
        <v>30</v>
      </c>
      <c r="H306" s="342">
        <f>G306*1.13</f>
        <v>33.9</v>
      </c>
      <c r="I306" s="342"/>
      <c r="J306" s="344"/>
      <c r="K306" s="22"/>
      <c r="L306" s="29"/>
      <c r="N306" s="23"/>
      <c r="O306" s="23"/>
    </row>
    <row r="307" spans="1:15" s="17" customFormat="1" x14ac:dyDescent="0.3">
      <c r="A307" s="38"/>
      <c r="B307" s="337" t="s">
        <v>1411</v>
      </c>
      <c r="C307" s="375" t="s">
        <v>1386</v>
      </c>
      <c r="D307" s="338" t="s">
        <v>1387</v>
      </c>
      <c r="E307" s="338">
        <v>25</v>
      </c>
      <c r="F307" s="339">
        <v>2</v>
      </c>
      <c r="G307" s="338">
        <f t="shared" ref="G307:G313" si="57">E307*F307</f>
        <v>50</v>
      </c>
      <c r="H307" s="338">
        <f t="shared" ref="H307:H313" si="58">G307*1.13</f>
        <v>56.499999999999993</v>
      </c>
      <c r="I307" s="338">
        <v>49.12</v>
      </c>
      <c r="J307" s="340">
        <v>49.12</v>
      </c>
      <c r="K307" s="22"/>
      <c r="L307" s="29"/>
      <c r="N307" s="23"/>
      <c r="O307" s="23"/>
    </row>
    <row r="308" spans="1:15" s="17" customFormat="1" x14ac:dyDescent="0.3">
      <c r="A308" s="38"/>
      <c r="B308" s="302" t="s">
        <v>1412</v>
      </c>
      <c r="C308" s="376" t="s">
        <v>1011</v>
      </c>
      <c r="D308" s="342" t="s">
        <v>1389</v>
      </c>
      <c r="E308" s="342">
        <v>8.49</v>
      </c>
      <c r="F308" s="343">
        <v>4</v>
      </c>
      <c r="G308" s="342">
        <f t="shared" si="57"/>
        <v>33.96</v>
      </c>
      <c r="H308" s="342">
        <f t="shared" si="58"/>
        <v>38.3748</v>
      </c>
      <c r="I308" s="342"/>
      <c r="J308" s="344"/>
      <c r="K308" s="22"/>
      <c r="L308" s="29"/>
      <c r="N308" s="23"/>
      <c r="O308" s="23"/>
    </row>
    <row r="309" spans="1:15" s="17" customFormat="1" x14ac:dyDescent="0.3">
      <c r="A309" s="38"/>
      <c r="B309" s="337" t="s">
        <v>1413</v>
      </c>
      <c r="C309" s="375" t="s">
        <v>1391</v>
      </c>
      <c r="D309" s="338" t="s">
        <v>1392</v>
      </c>
      <c r="E309" s="338">
        <v>250</v>
      </c>
      <c r="F309" s="339">
        <v>2</v>
      </c>
      <c r="G309" s="338">
        <f t="shared" si="57"/>
        <v>500</v>
      </c>
      <c r="H309" s="338">
        <f t="shared" si="58"/>
        <v>565</v>
      </c>
      <c r="I309" s="338">
        <f>113.51+22.59</f>
        <v>136.1</v>
      </c>
      <c r="J309" s="340">
        <f>113.51+22.59</f>
        <v>136.1</v>
      </c>
      <c r="K309" s="22"/>
      <c r="L309" s="29"/>
      <c r="N309" s="23"/>
      <c r="O309" s="23"/>
    </row>
    <row r="310" spans="1:15" s="17" customFormat="1" x14ac:dyDescent="0.3">
      <c r="A310" s="38"/>
      <c r="B310" s="302" t="s">
        <v>1414</v>
      </c>
      <c r="C310" s="376" t="s">
        <v>1394</v>
      </c>
      <c r="D310" s="342" t="s">
        <v>1016</v>
      </c>
      <c r="E310" s="342">
        <v>40</v>
      </c>
      <c r="F310" s="343">
        <v>1</v>
      </c>
      <c r="G310" s="342">
        <f t="shared" si="57"/>
        <v>40</v>
      </c>
      <c r="H310" s="342">
        <f t="shared" si="58"/>
        <v>45.199999999999996</v>
      </c>
      <c r="I310" s="342"/>
      <c r="J310" s="344"/>
      <c r="K310" s="22"/>
      <c r="L310" s="29"/>
      <c r="N310" s="23"/>
      <c r="O310" s="23"/>
    </row>
    <row r="311" spans="1:15" s="17" customFormat="1" x14ac:dyDescent="0.3">
      <c r="A311" s="38"/>
      <c r="B311" s="337" t="s">
        <v>1415</v>
      </c>
      <c r="C311" s="375" t="s">
        <v>1396</v>
      </c>
      <c r="D311" s="338" t="s">
        <v>1397</v>
      </c>
      <c r="E311" s="338">
        <v>0</v>
      </c>
      <c r="F311" s="339">
        <v>100</v>
      </c>
      <c r="G311" s="338">
        <f t="shared" si="57"/>
        <v>0</v>
      </c>
      <c r="H311" s="338">
        <f t="shared" si="58"/>
        <v>0</v>
      </c>
      <c r="I311" s="338"/>
      <c r="J311" s="340"/>
      <c r="K311" s="22"/>
      <c r="L311" s="29"/>
      <c r="N311" s="23"/>
      <c r="O311" s="23"/>
    </row>
    <row r="312" spans="1:15" s="17" customFormat="1" x14ac:dyDescent="0.3">
      <c r="A312" s="21"/>
      <c r="B312" s="302" t="s">
        <v>1416</v>
      </c>
      <c r="C312" s="302" t="s">
        <v>1399</v>
      </c>
      <c r="D312" s="342" t="s">
        <v>1417</v>
      </c>
      <c r="E312" s="342">
        <v>250</v>
      </c>
      <c r="F312" s="343">
        <v>1</v>
      </c>
      <c r="G312" s="342">
        <f t="shared" si="57"/>
        <v>250</v>
      </c>
      <c r="H312" s="342">
        <f t="shared" si="58"/>
        <v>282.5</v>
      </c>
      <c r="I312" s="342"/>
      <c r="J312" s="344"/>
      <c r="K312" s="22"/>
    </row>
    <row r="313" spans="1:15" s="17" customFormat="1" x14ac:dyDescent="0.3">
      <c r="A313" s="21"/>
      <c r="B313" s="337" t="s">
        <v>1418</v>
      </c>
      <c r="C313" s="337" t="s">
        <v>1402</v>
      </c>
      <c r="D313" s="338" t="s">
        <v>1403</v>
      </c>
      <c r="E313" s="338">
        <v>59</v>
      </c>
      <c r="F313" s="339">
        <v>1</v>
      </c>
      <c r="G313" s="338">
        <f t="shared" si="57"/>
        <v>59</v>
      </c>
      <c r="H313" s="338">
        <f t="shared" si="58"/>
        <v>66.669999999999987</v>
      </c>
      <c r="I313" s="338">
        <v>140.08000000000001</v>
      </c>
      <c r="J313" s="340">
        <v>140.08000000000001</v>
      </c>
      <c r="K313" s="22"/>
    </row>
    <row r="314" spans="1:15" s="17" customFormat="1" x14ac:dyDescent="0.3">
      <c r="A314" s="21"/>
      <c r="B314" s="337"/>
      <c r="C314" s="337" t="s">
        <v>1681</v>
      </c>
      <c r="D314" s="338"/>
      <c r="E314" s="338"/>
      <c r="F314" s="339"/>
      <c r="G314" s="338"/>
      <c r="H314" s="338"/>
      <c r="I314" s="338">
        <v>200</v>
      </c>
      <c r="J314" s="340">
        <v>200</v>
      </c>
      <c r="K314" s="22"/>
    </row>
    <row r="315" spans="1:15" x14ac:dyDescent="0.3">
      <c r="A315" s="38" t="s">
        <v>1419</v>
      </c>
      <c r="B315" s="377"/>
      <c r="C315" s="302"/>
      <c r="D315" s="342"/>
      <c r="J315" s="344"/>
    </row>
    <row r="316" spans="1:15" s="17" customFormat="1" x14ac:dyDescent="0.3">
      <c r="A316" s="21"/>
      <c r="B316" s="337" t="s">
        <v>1420</v>
      </c>
      <c r="C316" s="375" t="s">
        <v>1421</v>
      </c>
      <c r="D316" s="338" t="s">
        <v>1380</v>
      </c>
      <c r="E316" s="338">
        <v>40</v>
      </c>
      <c r="F316" s="339">
        <v>2</v>
      </c>
      <c r="G316" s="338">
        <f t="shared" ref="G316:G323" si="59">E316*F316</f>
        <v>80</v>
      </c>
      <c r="H316" s="338">
        <f t="shared" ref="H316:H323" si="60">G316*1.13</f>
        <v>90.399999999999991</v>
      </c>
      <c r="I316" s="338"/>
      <c r="J316" s="340"/>
      <c r="K316" s="22"/>
      <c r="L316" s="29"/>
      <c r="N316" s="23"/>
      <c r="O316" s="23"/>
    </row>
    <row r="317" spans="1:15" s="17" customFormat="1" x14ac:dyDescent="0.3">
      <c r="A317" s="21"/>
      <c r="B317" s="302" t="s">
        <v>1422</v>
      </c>
      <c r="C317" s="302" t="s">
        <v>1391</v>
      </c>
      <c r="D317" s="342"/>
      <c r="E317" s="342">
        <v>100</v>
      </c>
      <c r="F317" s="343">
        <v>2</v>
      </c>
      <c r="G317" s="342">
        <f t="shared" si="59"/>
        <v>200</v>
      </c>
      <c r="H317" s="342">
        <f t="shared" si="60"/>
        <v>225.99999999999997</v>
      </c>
      <c r="I317" s="342"/>
      <c r="J317" s="344"/>
      <c r="K317" s="22"/>
      <c r="L317" s="29"/>
      <c r="N317" s="23"/>
      <c r="O317" s="23"/>
    </row>
    <row r="318" spans="1:15" s="17" customFormat="1" x14ac:dyDescent="0.3">
      <c r="A318" s="21"/>
      <c r="B318" s="337" t="s">
        <v>1423</v>
      </c>
      <c r="C318" s="337" t="s">
        <v>1011</v>
      </c>
      <c r="D318" s="338"/>
      <c r="E318" s="338">
        <v>8.7899999999999991</v>
      </c>
      <c r="F318" s="339">
        <v>2</v>
      </c>
      <c r="G318" s="338">
        <f t="shared" si="59"/>
        <v>17.579999999999998</v>
      </c>
      <c r="H318" s="338">
        <f t="shared" si="60"/>
        <v>19.865399999999998</v>
      </c>
      <c r="I318" s="338"/>
      <c r="J318" s="340"/>
      <c r="K318" s="22"/>
      <c r="L318" s="29"/>
      <c r="N318" s="23"/>
      <c r="O318" s="23"/>
    </row>
    <row r="319" spans="1:15" s="17" customFormat="1" x14ac:dyDescent="0.3">
      <c r="A319" s="21"/>
      <c r="B319" s="302" t="s">
        <v>1424</v>
      </c>
      <c r="C319" s="302" t="s">
        <v>1425</v>
      </c>
      <c r="D319" s="342"/>
      <c r="E319" s="342">
        <v>20</v>
      </c>
      <c r="F319" s="343">
        <v>2</v>
      </c>
      <c r="G319" s="342">
        <f t="shared" si="59"/>
        <v>40</v>
      </c>
      <c r="H319" s="342">
        <f t="shared" si="60"/>
        <v>45.199999999999996</v>
      </c>
      <c r="I319" s="342"/>
      <c r="J319" s="344"/>
      <c r="K319" s="22"/>
    </row>
    <row r="320" spans="1:15" s="17" customFormat="1" x14ac:dyDescent="0.3">
      <c r="A320" s="38"/>
      <c r="B320" s="337" t="s">
        <v>1426</v>
      </c>
      <c r="C320" s="337" t="s">
        <v>1427</v>
      </c>
      <c r="D320" s="338" t="s">
        <v>1384</v>
      </c>
      <c r="E320" s="338">
        <v>30</v>
      </c>
      <c r="F320" s="339">
        <v>1</v>
      </c>
      <c r="G320" s="338">
        <f t="shared" si="59"/>
        <v>30</v>
      </c>
      <c r="H320" s="338">
        <f t="shared" si="60"/>
        <v>33.9</v>
      </c>
      <c r="I320" s="338"/>
      <c r="J320" s="340"/>
      <c r="K320" s="22"/>
      <c r="L320" s="29"/>
      <c r="N320" s="23"/>
      <c r="O320" s="23"/>
    </row>
    <row r="321" spans="1:15" s="17" customFormat="1" x14ac:dyDescent="0.3">
      <c r="A321" s="21"/>
      <c r="B321" s="302" t="s">
        <v>1428</v>
      </c>
      <c r="C321" s="302" t="s">
        <v>1429</v>
      </c>
      <c r="D321" s="342"/>
      <c r="E321" s="342">
        <v>30</v>
      </c>
      <c r="F321" s="343">
        <v>1</v>
      </c>
      <c r="G321" s="342">
        <f t="shared" si="59"/>
        <v>30</v>
      </c>
      <c r="H321" s="342">
        <f t="shared" si="60"/>
        <v>33.9</v>
      </c>
      <c r="I321" s="342"/>
      <c r="J321" s="344"/>
      <c r="K321" s="22"/>
    </row>
    <row r="322" spans="1:15" s="17" customFormat="1" x14ac:dyDescent="0.3">
      <c r="A322" s="38"/>
      <c r="B322" s="337" t="s">
        <v>1430</v>
      </c>
      <c r="C322" s="337" t="s">
        <v>1399</v>
      </c>
      <c r="D322" s="338" t="s">
        <v>1417</v>
      </c>
      <c r="E322" s="338">
        <v>250</v>
      </c>
      <c r="F322" s="339">
        <v>1</v>
      </c>
      <c r="G322" s="338">
        <f t="shared" si="59"/>
        <v>250</v>
      </c>
      <c r="H322" s="338">
        <f t="shared" si="60"/>
        <v>282.5</v>
      </c>
      <c r="I322" s="338"/>
      <c r="J322" s="340"/>
      <c r="K322" s="22"/>
      <c r="L322" s="29"/>
      <c r="N322" s="23"/>
      <c r="O322" s="23"/>
    </row>
    <row r="323" spans="1:15" s="17" customFormat="1" x14ac:dyDescent="0.3">
      <c r="A323" s="21"/>
      <c r="B323" s="302" t="s">
        <v>1431</v>
      </c>
      <c r="C323" s="302" t="s">
        <v>1432</v>
      </c>
      <c r="D323" s="342" t="s">
        <v>1433</v>
      </c>
      <c r="E323" s="342">
        <v>39.99</v>
      </c>
      <c r="F323" s="343">
        <v>2</v>
      </c>
      <c r="G323" s="342">
        <f t="shared" si="59"/>
        <v>79.98</v>
      </c>
      <c r="H323" s="342">
        <f t="shared" si="60"/>
        <v>90.377399999999994</v>
      </c>
      <c r="I323" s="342"/>
      <c r="J323" s="344"/>
      <c r="K323" s="22"/>
    </row>
    <row r="324" spans="1:15" x14ac:dyDescent="0.3">
      <c r="A324" s="21"/>
      <c r="B324" s="385" t="s">
        <v>1434</v>
      </c>
      <c r="C324" s="395"/>
      <c r="D324" s="348"/>
      <c r="E324" s="348"/>
      <c r="F324" s="349"/>
      <c r="G324" s="348"/>
      <c r="H324" s="348">
        <f>SUM(H290:H323)</f>
        <v>3902.4324000000001</v>
      </c>
      <c r="I324" s="348">
        <f>SUM(I290:I323)</f>
        <v>1347.97</v>
      </c>
      <c r="J324" s="350">
        <f>SUM(J290:J323)</f>
        <v>1347.97</v>
      </c>
    </row>
    <row r="325" spans="1:15" x14ac:dyDescent="0.3">
      <c r="A325" s="21"/>
      <c r="B325" s="377"/>
      <c r="C325" s="396"/>
      <c r="D325" s="418"/>
      <c r="E325" s="418"/>
      <c r="F325" s="419"/>
      <c r="G325" s="418"/>
      <c r="H325" s="418"/>
      <c r="I325" s="418"/>
      <c r="J325" s="420"/>
    </row>
    <row r="326" spans="1:15" x14ac:dyDescent="0.3">
      <c r="A326" s="16" t="s">
        <v>1032</v>
      </c>
      <c r="B326" s="377"/>
      <c r="C326" s="302"/>
      <c r="D326" s="342"/>
      <c r="J326" s="344"/>
    </row>
    <row r="327" spans="1:15" x14ac:dyDescent="0.3">
      <c r="A327" s="38" t="s">
        <v>341</v>
      </c>
      <c r="B327" s="377"/>
      <c r="C327" s="302"/>
      <c r="D327" s="342"/>
      <c r="J327" s="344"/>
    </row>
    <row r="328" spans="1:15" x14ac:dyDescent="0.3">
      <c r="A328" s="38"/>
      <c r="B328" s="337" t="s">
        <v>1435</v>
      </c>
      <c r="C328" s="375" t="s">
        <v>1436</v>
      </c>
      <c r="D328" s="338"/>
      <c r="E328" s="338">
        <v>11</v>
      </c>
      <c r="F328" s="339">
        <v>120</v>
      </c>
      <c r="G328" s="338">
        <f>E328*F328</f>
        <v>1320</v>
      </c>
      <c r="H328" s="338">
        <f>G328*1.13</f>
        <v>1491.6</v>
      </c>
      <c r="I328" s="338">
        <v>1857.04</v>
      </c>
      <c r="J328" s="340">
        <v>1857.04</v>
      </c>
    </row>
    <row r="329" spans="1:15" x14ac:dyDescent="0.3">
      <c r="A329" s="38"/>
      <c r="B329" s="302" t="s">
        <v>1437</v>
      </c>
      <c r="C329" s="376" t="s">
        <v>1438</v>
      </c>
      <c r="D329" s="342" t="s">
        <v>1439</v>
      </c>
      <c r="E329" s="342">
        <v>9.3000000000000007</v>
      </c>
      <c r="F329" s="343">
        <v>120</v>
      </c>
      <c r="G329" s="342">
        <f t="shared" ref="G329:G331" si="61">E329*F329</f>
        <v>1116</v>
      </c>
      <c r="H329" s="342">
        <f t="shared" ref="H329:H331" si="62">G329*1.13</f>
        <v>1261.08</v>
      </c>
      <c r="J329" s="344"/>
    </row>
    <row r="330" spans="1:15" x14ac:dyDescent="0.3">
      <c r="A330" s="38"/>
      <c r="B330" s="337" t="s">
        <v>1440</v>
      </c>
      <c r="C330" s="375" t="s">
        <v>1441</v>
      </c>
      <c r="D330" s="338" t="s">
        <v>1442</v>
      </c>
      <c r="E330" s="338">
        <v>20</v>
      </c>
      <c r="F330" s="339">
        <v>10</v>
      </c>
      <c r="G330" s="338">
        <f t="shared" si="61"/>
        <v>200</v>
      </c>
      <c r="H330" s="338">
        <f t="shared" si="62"/>
        <v>225.99999999999997</v>
      </c>
      <c r="I330" s="338"/>
      <c r="J330" s="340"/>
    </row>
    <row r="331" spans="1:15" x14ac:dyDescent="0.3">
      <c r="A331" s="38"/>
      <c r="B331" s="302" t="s">
        <v>1443</v>
      </c>
      <c r="C331" s="376" t="s">
        <v>1444</v>
      </c>
      <c r="D331" s="342"/>
      <c r="E331" s="342">
        <v>8</v>
      </c>
      <c r="F331" s="343">
        <v>2</v>
      </c>
      <c r="G331" s="342">
        <f t="shared" si="61"/>
        <v>16</v>
      </c>
      <c r="H331" s="342">
        <f t="shared" si="62"/>
        <v>18.079999999999998</v>
      </c>
      <c r="J331" s="344"/>
    </row>
    <row r="332" spans="1:15" x14ac:dyDescent="0.3">
      <c r="A332" s="38" t="s">
        <v>604</v>
      </c>
      <c r="B332" s="377"/>
      <c r="C332" s="302"/>
      <c r="D332" s="342"/>
      <c r="J332" s="344"/>
    </row>
    <row r="333" spans="1:15" x14ac:dyDescent="0.3">
      <c r="A333" s="38"/>
      <c r="B333" s="337" t="s">
        <v>1445</v>
      </c>
      <c r="C333" s="375" t="s">
        <v>1446</v>
      </c>
      <c r="D333" s="338" t="s">
        <v>1447</v>
      </c>
      <c r="E333" s="338">
        <v>20</v>
      </c>
      <c r="F333" s="339">
        <v>8</v>
      </c>
      <c r="G333" s="338">
        <f>E333*F333</f>
        <v>160</v>
      </c>
      <c r="H333" s="338">
        <f>G333*1.13</f>
        <v>180.79999999999998</v>
      </c>
      <c r="I333" s="338">
        <f>23.93+20+7.96+6.87+3.08</f>
        <v>61.839999999999996</v>
      </c>
      <c r="J333" s="340">
        <f>23.93+20+7.96+6.87+3.08</f>
        <v>61.839999999999996</v>
      </c>
    </row>
    <row r="334" spans="1:15" x14ac:dyDescent="0.3">
      <c r="A334" s="38"/>
      <c r="B334" s="302" t="s">
        <v>1448</v>
      </c>
      <c r="C334" s="376" t="s">
        <v>1073</v>
      </c>
      <c r="D334" s="342" t="s">
        <v>1449</v>
      </c>
      <c r="E334" s="342">
        <v>3</v>
      </c>
      <c r="F334" s="343">
        <v>8</v>
      </c>
      <c r="G334" s="342">
        <f>E334*F334</f>
        <v>24</v>
      </c>
      <c r="H334" s="342">
        <f t="shared" ref="H334:H337" si="63">G334*1.13</f>
        <v>27.119999999999997</v>
      </c>
      <c r="J334" s="344"/>
    </row>
    <row r="335" spans="1:15" x14ac:dyDescent="0.3">
      <c r="A335" s="38"/>
      <c r="B335" s="337" t="s">
        <v>1450</v>
      </c>
      <c r="C335" s="375" t="s">
        <v>1451</v>
      </c>
      <c r="D335" s="338"/>
      <c r="E335" s="338">
        <v>5</v>
      </c>
      <c r="F335" s="339">
        <v>2</v>
      </c>
      <c r="G335" s="338">
        <f t="shared" ref="G335:G337" si="64">E335*F335</f>
        <v>10</v>
      </c>
      <c r="H335" s="338">
        <f t="shared" si="63"/>
        <v>11.299999999999999</v>
      </c>
      <c r="I335" s="338"/>
      <c r="J335" s="340"/>
    </row>
    <row r="336" spans="1:15" x14ac:dyDescent="0.3">
      <c r="A336" s="38"/>
      <c r="B336" s="302" t="s">
        <v>1452</v>
      </c>
      <c r="C336" s="376" t="s">
        <v>1084</v>
      </c>
      <c r="D336" s="342"/>
      <c r="E336" s="342">
        <v>10</v>
      </c>
      <c r="F336" s="343">
        <v>1</v>
      </c>
      <c r="G336" s="342">
        <f t="shared" si="64"/>
        <v>10</v>
      </c>
      <c r="H336" s="342">
        <f t="shared" si="63"/>
        <v>11.299999999999999</v>
      </c>
      <c r="J336" s="344"/>
    </row>
    <row r="337" spans="1:10" x14ac:dyDescent="0.3">
      <c r="A337" s="38"/>
      <c r="B337" s="337" t="s">
        <v>1453</v>
      </c>
      <c r="C337" s="375" t="s">
        <v>1454</v>
      </c>
      <c r="D337" s="338" t="s">
        <v>1455</v>
      </c>
      <c r="E337" s="338">
        <v>20</v>
      </c>
      <c r="F337" s="339">
        <v>1</v>
      </c>
      <c r="G337" s="338">
        <f t="shared" si="64"/>
        <v>20</v>
      </c>
      <c r="H337" s="338">
        <f t="shared" si="63"/>
        <v>22.599999999999998</v>
      </c>
      <c r="I337" s="338">
        <v>14.11</v>
      </c>
      <c r="J337" s="340">
        <v>14.11</v>
      </c>
    </row>
    <row r="338" spans="1:10" x14ac:dyDescent="0.3">
      <c r="A338" s="38" t="s">
        <v>1456</v>
      </c>
      <c r="B338" s="377"/>
      <c r="C338" s="302"/>
      <c r="D338" s="342"/>
      <c r="J338" s="344"/>
    </row>
    <row r="339" spans="1:10" x14ac:dyDescent="0.3">
      <c r="A339" s="38"/>
      <c r="B339" s="337" t="s">
        <v>1457</v>
      </c>
      <c r="C339" s="375" t="s">
        <v>356</v>
      </c>
      <c r="D339" s="338" t="s">
        <v>1458</v>
      </c>
      <c r="E339" s="338">
        <v>2</v>
      </c>
      <c r="F339" s="339">
        <v>50</v>
      </c>
      <c r="G339" s="338">
        <f t="shared" ref="G339:G343" si="65">E339*F339</f>
        <v>100</v>
      </c>
      <c r="H339" s="338">
        <f t="shared" ref="H339:H343" si="66">G339*1.13</f>
        <v>112.99999999999999</v>
      </c>
      <c r="I339" s="338"/>
      <c r="J339" s="340"/>
    </row>
    <row r="340" spans="1:10" x14ac:dyDescent="0.3">
      <c r="A340" s="38"/>
      <c r="B340" s="302" t="s">
        <v>1459</v>
      </c>
      <c r="C340" s="302" t="s">
        <v>1350</v>
      </c>
      <c r="D340" s="342"/>
      <c r="E340" s="342">
        <v>5</v>
      </c>
      <c r="F340" s="343">
        <v>2</v>
      </c>
      <c r="G340" s="342">
        <f t="shared" si="65"/>
        <v>10</v>
      </c>
      <c r="H340" s="342">
        <f t="shared" si="66"/>
        <v>11.299999999999999</v>
      </c>
      <c r="J340" s="344"/>
    </row>
    <row r="341" spans="1:10" x14ac:dyDescent="0.3">
      <c r="A341" s="38"/>
      <c r="B341" s="337" t="s">
        <v>1460</v>
      </c>
      <c r="C341" s="337" t="s">
        <v>745</v>
      </c>
      <c r="D341" s="338" t="s">
        <v>1461</v>
      </c>
      <c r="E341" s="338">
        <v>8</v>
      </c>
      <c r="F341" s="339">
        <v>8</v>
      </c>
      <c r="G341" s="338">
        <f t="shared" si="65"/>
        <v>64</v>
      </c>
      <c r="H341" s="338">
        <f t="shared" si="66"/>
        <v>72.319999999999993</v>
      </c>
      <c r="I341" s="338"/>
      <c r="J341" s="340"/>
    </row>
    <row r="342" spans="1:10" x14ac:dyDescent="0.3">
      <c r="A342" s="38"/>
      <c r="B342" s="302" t="s">
        <v>1462</v>
      </c>
      <c r="C342" s="302" t="s">
        <v>1463</v>
      </c>
      <c r="D342" s="342" t="s">
        <v>1464</v>
      </c>
      <c r="E342" s="342">
        <v>15</v>
      </c>
      <c r="F342" s="343">
        <v>1</v>
      </c>
      <c r="G342" s="342">
        <f t="shared" si="65"/>
        <v>15</v>
      </c>
      <c r="H342" s="342">
        <f t="shared" si="66"/>
        <v>16.95</v>
      </c>
      <c r="I342" s="342">
        <f>3.67+5.37+3.39</f>
        <v>12.43</v>
      </c>
      <c r="J342" s="344">
        <f>3.67+5.37+3.39</f>
        <v>12.43</v>
      </c>
    </row>
    <row r="343" spans="1:10" x14ac:dyDescent="0.3">
      <c r="A343" s="38"/>
      <c r="B343" s="337" t="s">
        <v>1465</v>
      </c>
      <c r="C343" s="337" t="s">
        <v>1466</v>
      </c>
      <c r="D343" s="338" t="s">
        <v>1458</v>
      </c>
      <c r="E343" s="338">
        <v>20</v>
      </c>
      <c r="F343" s="339">
        <v>1</v>
      </c>
      <c r="G343" s="338">
        <f t="shared" si="65"/>
        <v>20</v>
      </c>
      <c r="H343" s="338">
        <f t="shared" si="66"/>
        <v>22.599999999999998</v>
      </c>
      <c r="I343" s="338"/>
      <c r="J343" s="340"/>
    </row>
    <row r="344" spans="1:10" x14ac:dyDescent="0.3">
      <c r="A344" s="38" t="s">
        <v>1046</v>
      </c>
      <c r="B344" s="377"/>
      <c r="C344" s="302"/>
      <c r="D344" s="342"/>
      <c r="J344" s="344"/>
    </row>
    <row r="345" spans="1:10" x14ac:dyDescent="0.3">
      <c r="A345" s="38"/>
      <c r="B345" s="337" t="s">
        <v>1467</v>
      </c>
      <c r="C345" s="375" t="s">
        <v>1468</v>
      </c>
      <c r="D345" s="338"/>
      <c r="E345" s="338">
        <v>100</v>
      </c>
      <c r="F345" s="339">
        <v>1</v>
      </c>
      <c r="G345" s="338">
        <f t="shared" ref="G345:G346" si="67">E345*F345</f>
        <v>100</v>
      </c>
      <c r="H345" s="338">
        <f>G345</f>
        <v>100</v>
      </c>
      <c r="I345" s="338"/>
      <c r="J345" s="340"/>
    </row>
    <row r="346" spans="1:10" x14ac:dyDescent="0.3">
      <c r="A346" s="477"/>
      <c r="B346" s="302" t="s">
        <v>1469</v>
      </c>
      <c r="C346" s="302" t="s">
        <v>1470</v>
      </c>
      <c r="D346" s="342" t="s">
        <v>1471</v>
      </c>
      <c r="E346" s="342">
        <v>50</v>
      </c>
      <c r="F346" s="343">
        <v>1</v>
      </c>
      <c r="G346" s="342">
        <f t="shared" si="67"/>
        <v>50</v>
      </c>
      <c r="H346" s="342">
        <f>G346</f>
        <v>50</v>
      </c>
      <c r="J346" s="344"/>
    </row>
    <row r="347" spans="1:10" x14ac:dyDescent="0.3">
      <c r="A347" s="21"/>
      <c r="B347" s="385" t="s">
        <v>1472</v>
      </c>
      <c r="C347" s="395"/>
      <c r="D347" s="348"/>
      <c r="E347" s="348"/>
      <c r="F347" s="349"/>
      <c r="G347" s="348"/>
      <c r="H347" s="348">
        <f>SUM(H328:H346)</f>
        <v>3636.05</v>
      </c>
      <c r="I347" s="348">
        <f>SUM(I328:I346)</f>
        <v>1945.4199999999998</v>
      </c>
      <c r="J347" s="350">
        <f>SUM(J328:J346)</f>
        <v>1945.4199999999998</v>
      </c>
    </row>
    <row r="348" spans="1:10" x14ac:dyDescent="0.3">
      <c r="A348" s="21"/>
      <c r="B348" s="384"/>
      <c r="C348" s="396"/>
      <c r="D348" s="418"/>
      <c r="E348" s="418"/>
      <c r="F348" s="419"/>
      <c r="G348" s="418"/>
      <c r="H348" s="418"/>
      <c r="I348" s="418"/>
      <c r="J348" s="420"/>
    </row>
    <row r="349" spans="1:10" x14ac:dyDescent="0.3">
      <c r="A349" s="16" t="s">
        <v>1050</v>
      </c>
      <c r="B349" s="377"/>
      <c r="C349" s="302"/>
      <c r="D349" s="342"/>
      <c r="J349" s="344"/>
    </row>
    <row r="350" spans="1:10" x14ac:dyDescent="0.3">
      <c r="A350" s="38" t="s">
        <v>1051</v>
      </c>
      <c r="B350" s="377"/>
      <c r="C350" s="302"/>
      <c r="D350" s="342"/>
      <c r="J350" s="344"/>
    </row>
    <row r="351" spans="1:10" x14ac:dyDescent="0.3">
      <c r="A351" s="38"/>
      <c r="B351" s="337" t="s">
        <v>1473</v>
      </c>
      <c r="C351" s="375" t="s">
        <v>1474</v>
      </c>
      <c r="D351" s="338" t="s">
        <v>1475</v>
      </c>
      <c r="E351" s="338">
        <v>50</v>
      </c>
      <c r="F351" s="339">
        <v>1</v>
      </c>
      <c r="G351" s="338">
        <f>E351*F351</f>
        <v>50</v>
      </c>
      <c r="H351" s="338">
        <f>G351*1.13</f>
        <v>56.499999999999993</v>
      </c>
      <c r="I351" s="338">
        <v>0</v>
      </c>
      <c r="J351" s="340">
        <v>0</v>
      </c>
    </row>
    <row r="352" spans="1:10" x14ac:dyDescent="0.3">
      <c r="A352" s="38"/>
      <c r="B352" s="302" t="s">
        <v>1476</v>
      </c>
      <c r="C352" s="376" t="s">
        <v>1134</v>
      </c>
      <c r="D352" s="342" t="s">
        <v>1477</v>
      </c>
      <c r="E352" s="342">
        <v>0</v>
      </c>
      <c r="F352" s="343">
        <v>1</v>
      </c>
      <c r="G352" s="342">
        <f t="shared" ref="G352" si="68">E352*F352</f>
        <v>0</v>
      </c>
      <c r="H352" s="342">
        <f t="shared" ref="H352" si="69">G352*1.13</f>
        <v>0</v>
      </c>
      <c r="I352" s="342">
        <v>0</v>
      </c>
      <c r="J352" s="344">
        <v>0</v>
      </c>
    </row>
    <row r="353" spans="1:10" x14ac:dyDescent="0.3">
      <c r="A353" s="38" t="s">
        <v>1478</v>
      </c>
      <c r="B353" s="377"/>
      <c r="C353" s="302"/>
      <c r="D353" s="342"/>
      <c r="J353" s="344"/>
    </row>
    <row r="354" spans="1:10" x14ac:dyDescent="0.3">
      <c r="A354" s="38"/>
      <c r="B354" s="337" t="s">
        <v>1479</v>
      </c>
      <c r="C354" s="375" t="s">
        <v>1134</v>
      </c>
      <c r="D354" s="338" t="s">
        <v>1480</v>
      </c>
      <c r="E354" s="338">
        <v>0</v>
      </c>
      <c r="F354" s="339">
        <v>1</v>
      </c>
      <c r="G354" s="338">
        <f>E354*F354</f>
        <v>0</v>
      </c>
      <c r="H354" s="338">
        <f>G354*1.13</f>
        <v>0</v>
      </c>
      <c r="I354" s="338">
        <v>0</v>
      </c>
      <c r="J354" s="432">
        <v>0</v>
      </c>
    </row>
    <row r="355" spans="1:10" x14ac:dyDescent="0.3">
      <c r="A355" s="38"/>
      <c r="B355" s="302" t="s">
        <v>1481</v>
      </c>
      <c r="C355" s="376" t="s">
        <v>1240</v>
      </c>
      <c r="D355" s="342" t="s">
        <v>1482</v>
      </c>
      <c r="E355" s="342">
        <v>0</v>
      </c>
      <c r="F355" s="343">
        <v>1</v>
      </c>
      <c r="G355" s="342">
        <f t="shared" ref="G355" si="70">E355*F355</f>
        <v>0</v>
      </c>
      <c r="H355" s="342">
        <f t="shared" ref="H355" si="71">G355*1.13</f>
        <v>0</v>
      </c>
      <c r="I355" s="342">
        <v>0</v>
      </c>
      <c r="J355" s="344">
        <v>0</v>
      </c>
    </row>
    <row r="356" spans="1:10" x14ac:dyDescent="0.3">
      <c r="A356" s="38" t="s">
        <v>1483</v>
      </c>
      <c r="B356" s="377"/>
      <c r="C356" s="302"/>
      <c r="D356" s="342"/>
      <c r="J356" s="344"/>
    </row>
    <row r="357" spans="1:10" x14ac:dyDescent="0.3">
      <c r="A357" s="38"/>
      <c r="B357" s="337" t="s">
        <v>1484</v>
      </c>
      <c r="C357" s="375" t="s">
        <v>1240</v>
      </c>
      <c r="D357" s="338" t="s">
        <v>1485</v>
      </c>
      <c r="E357" s="338">
        <v>0</v>
      </c>
      <c r="F357" s="339">
        <v>1</v>
      </c>
      <c r="G357" s="338">
        <f t="shared" ref="G357:G359" si="72">E357*F357</f>
        <v>0</v>
      </c>
      <c r="H357" s="338">
        <f t="shared" ref="H357:H359" si="73">G357*1.13</f>
        <v>0</v>
      </c>
      <c r="I357" s="338">
        <v>0</v>
      </c>
      <c r="J357" s="340">
        <v>0</v>
      </c>
    </row>
    <row r="358" spans="1:10" x14ac:dyDescent="0.3">
      <c r="A358" s="38"/>
      <c r="B358" s="302" t="s">
        <v>1486</v>
      </c>
      <c r="C358" s="302" t="s">
        <v>1487</v>
      </c>
      <c r="D358" s="342" t="s">
        <v>1488</v>
      </c>
      <c r="E358" s="342">
        <v>0</v>
      </c>
      <c r="F358" s="343">
        <v>1</v>
      </c>
      <c r="G358" s="342">
        <f t="shared" si="72"/>
        <v>0</v>
      </c>
      <c r="H358" s="342">
        <f t="shared" si="73"/>
        <v>0</v>
      </c>
      <c r="I358" s="342">
        <v>0</v>
      </c>
      <c r="J358" s="344">
        <v>0</v>
      </c>
    </row>
    <row r="359" spans="1:10" x14ac:dyDescent="0.3">
      <c r="A359" s="38"/>
      <c r="B359" s="337" t="s">
        <v>1489</v>
      </c>
      <c r="C359" s="337" t="s">
        <v>1487</v>
      </c>
      <c r="D359" s="338" t="s">
        <v>1490</v>
      </c>
      <c r="E359" s="338">
        <v>0</v>
      </c>
      <c r="F359" s="339">
        <v>1</v>
      </c>
      <c r="G359" s="338">
        <f t="shared" si="72"/>
        <v>0</v>
      </c>
      <c r="H359" s="338">
        <f t="shared" si="73"/>
        <v>0</v>
      </c>
      <c r="I359" s="338">
        <v>0</v>
      </c>
      <c r="J359" s="340">
        <v>0</v>
      </c>
    </row>
    <row r="360" spans="1:10" x14ac:dyDescent="0.3">
      <c r="A360" s="38" t="s">
        <v>1055</v>
      </c>
      <c r="B360" s="377"/>
      <c r="C360" s="302"/>
      <c r="D360" s="342"/>
      <c r="J360" s="344"/>
    </row>
    <row r="361" spans="1:10" x14ac:dyDescent="0.3">
      <c r="A361" s="21"/>
      <c r="B361" s="337" t="s">
        <v>1491</v>
      </c>
      <c r="C361" s="375" t="s">
        <v>1134</v>
      </c>
      <c r="D361" s="338" t="s">
        <v>1492</v>
      </c>
      <c r="E361" s="338">
        <v>0</v>
      </c>
      <c r="F361" s="339">
        <v>1</v>
      </c>
      <c r="G361" s="338">
        <f t="shared" ref="G361:G363" si="74">E361*F361</f>
        <v>0</v>
      </c>
      <c r="H361" s="338">
        <f t="shared" ref="H361:H363" si="75">G361*1.13</f>
        <v>0</v>
      </c>
      <c r="I361" s="338">
        <v>0</v>
      </c>
      <c r="J361" s="340">
        <v>0</v>
      </c>
    </row>
    <row r="362" spans="1:10" x14ac:dyDescent="0.3">
      <c r="A362" s="21" t="s">
        <v>9</v>
      </c>
      <c r="B362" s="302" t="s">
        <v>1493</v>
      </c>
      <c r="C362" s="302" t="s">
        <v>604</v>
      </c>
      <c r="D362" s="342" t="s">
        <v>347</v>
      </c>
      <c r="E362" s="342">
        <v>20</v>
      </c>
      <c r="F362" s="343">
        <v>5</v>
      </c>
      <c r="G362" s="342">
        <f t="shared" si="74"/>
        <v>100</v>
      </c>
      <c r="H362" s="342">
        <f t="shared" si="75"/>
        <v>112.99999999999999</v>
      </c>
      <c r="I362" s="342">
        <v>0</v>
      </c>
      <c r="J362" s="344">
        <v>0</v>
      </c>
    </row>
    <row r="363" spans="1:10" x14ac:dyDescent="0.3">
      <c r="A363" s="21"/>
      <c r="B363" s="337" t="s">
        <v>1494</v>
      </c>
      <c r="C363" s="337" t="s">
        <v>604</v>
      </c>
      <c r="D363" s="338" t="s">
        <v>1495</v>
      </c>
      <c r="E363" s="338">
        <v>5</v>
      </c>
      <c r="F363" s="339">
        <v>10</v>
      </c>
      <c r="G363" s="338">
        <f t="shared" si="74"/>
        <v>50</v>
      </c>
      <c r="H363" s="338">
        <f t="shared" si="75"/>
        <v>56.499999999999993</v>
      </c>
      <c r="I363" s="338">
        <v>0</v>
      </c>
      <c r="J363" s="340">
        <v>0</v>
      </c>
    </row>
    <row r="364" spans="1:10" x14ac:dyDescent="0.3">
      <c r="A364" s="21"/>
      <c r="B364" s="385" t="s">
        <v>1496</v>
      </c>
      <c r="C364" s="395"/>
      <c r="D364" s="348"/>
      <c r="E364" s="348"/>
      <c r="F364" s="349"/>
      <c r="G364" s="348"/>
      <c r="H364" s="348">
        <f>SUM(H351:H363)</f>
        <v>225.99999999999997</v>
      </c>
      <c r="I364" s="348">
        <f>SUM(I350:I363)</f>
        <v>0</v>
      </c>
      <c r="J364" s="350">
        <f>SUM(J350:J363)</f>
        <v>0</v>
      </c>
    </row>
    <row r="365" spans="1:10" x14ac:dyDescent="0.3">
      <c r="A365" s="21"/>
      <c r="B365" s="377"/>
      <c r="C365" s="396"/>
      <c r="D365" s="418"/>
      <c r="E365" s="418"/>
      <c r="F365" s="419"/>
      <c r="G365" s="418"/>
      <c r="H365" s="418"/>
      <c r="I365" s="418"/>
      <c r="J365" s="420"/>
    </row>
    <row r="366" spans="1:10" x14ac:dyDescent="0.3">
      <c r="A366" s="21"/>
      <c r="B366" s="302"/>
      <c r="C366" s="377" t="s">
        <v>85</v>
      </c>
      <c r="D366" s="418"/>
      <c r="E366" s="418"/>
      <c r="F366" s="419"/>
      <c r="G366" s="418"/>
      <c r="H366" s="418">
        <f>H347+H324+H286+H266+H247+H205+H191+H183+H171+H364+H149</f>
        <v>29461.647499999999</v>
      </c>
      <c r="I366" s="418">
        <f>I347+I324+I286+I266+I247+I205+I191+I183+I171+I364+I149</f>
        <v>8217.36</v>
      </c>
      <c r="J366" s="420">
        <f>J347+J324+J286+J266+J247+J205+J191+J183+J171+J364+J149</f>
        <v>8176.82</v>
      </c>
    </row>
    <row r="367" spans="1:10" x14ac:dyDescent="0.3">
      <c r="A367" s="21"/>
      <c r="B367" s="302"/>
      <c r="C367" s="377"/>
      <c r="D367" s="418"/>
      <c r="E367" s="418"/>
      <c r="F367" s="419"/>
      <c r="G367" s="418"/>
      <c r="H367" s="418"/>
      <c r="I367" s="418"/>
      <c r="J367" s="420"/>
    </row>
    <row r="368" spans="1:10" ht="20.25" x14ac:dyDescent="0.35">
      <c r="A368" s="562" t="s">
        <v>86</v>
      </c>
      <c r="B368" s="563"/>
      <c r="C368" s="563"/>
      <c r="D368" s="451"/>
      <c r="E368" s="451"/>
      <c r="F368" s="452"/>
      <c r="G368" s="451"/>
      <c r="H368" s="451"/>
      <c r="I368" s="451"/>
      <c r="J368" s="453"/>
    </row>
    <row r="369" spans="1:10" ht="20.25" x14ac:dyDescent="0.35">
      <c r="A369" s="62"/>
      <c r="B369" s="387" t="s">
        <v>87</v>
      </c>
      <c r="C369" s="387"/>
      <c r="D369" s="454"/>
      <c r="E369" s="454"/>
      <c r="F369" s="454"/>
      <c r="G369" s="454"/>
      <c r="H369" s="454">
        <f>H107</f>
        <v>30255.674800000001</v>
      </c>
      <c r="I369" s="454">
        <f>I107</f>
        <v>7044.54</v>
      </c>
      <c r="J369" s="455">
        <f>J107</f>
        <v>7044.54</v>
      </c>
    </row>
    <row r="370" spans="1:10" ht="20.25" x14ac:dyDescent="0.35">
      <c r="A370" s="62"/>
      <c r="B370" s="388" t="s">
        <v>88</v>
      </c>
      <c r="C370" s="388"/>
      <c r="D370" s="456"/>
      <c r="E370" s="456"/>
      <c r="F370" s="456"/>
      <c r="G370" s="456"/>
      <c r="H370" s="456">
        <f>H366</f>
        <v>29461.647499999999</v>
      </c>
      <c r="I370" s="456">
        <f t="shared" ref="I370:J370" si="76">I366</f>
        <v>8217.36</v>
      </c>
      <c r="J370" s="457">
        <f t="shared" si="76"/>
        <v>8176.82</v>
      </c>
    </row>
    <row r="371" spans="1:10" ht="20.25" x14ac:dyDescent="0.35">
      <c r="A371" s="108"/>
      <c r="B371" s="389" t="s">
        <v>89</v>
      </c>
      <c r="C371" s="389"/>
      <c r="D371" s="458"/>
      <c r="E371" s="458"/>
      <c r="F371" s="458"/>
      <c r="G371" s="458"/>
      <c r="H371" s="458">
        <f>H369-H370</f>
        <v>794.02730000000156</v>
      </c>
      <c r="I371" s="458">
        <f t="shared" ref="I371:J371" si="77">I369-I370</f>
        <v>-1172.8200000000006</v>
      </c>
      <c r="J371" s="459">
        <f t="shared" si="77"/>
        <v>-1132.2799999999997</v>
      </c>
    </row>
    <row r="372" spans="1:10" x14ac:dyDescent="0.3">
      <c r="C372" s="403"/>
    </row>
  </sheetData>
  <mergeCells count="7">
    <mergeCell ref="A368:C368"/>
    <mergeCell ref="A1:C4"/>
    <mergeCell ref="D1:J4"/>
    <mergeCell ref="A5:C5"/>
    <mergeCell ref="D5:E5"/>
    <mergeCell ref="A8:C8"/>
    <mergeCell ref="A109:C109"/>
  </mergeCells>
  <pageMargins left="0" right="0" top="0" bottom="0" header="0" footer="0"/>
  <pageSetup orientation="portrait" horizontalDpi="4294967292" verticalDpi="4294967292"/>
  <headerFooter alignWithMargins="0"/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68"/>
  <sheetViews>
    <sheetView zoomScale="70" zoomScaleNormal="70" workbookViewId="0">
      <pane xSplit="3" ySplit="6" topLeftCell="F13" activePane="bottomRight" state="frozen"/>
      <selection pane="topRight" activeCell="C1" sqref="C1"/>
      <selection pane="bottomLeft" activeCell="A4" sqref="A4"/>
      <selection pane="bottomRight" activeCell="B52" sqref="B52"/>
    </sheetView>
  </sheetViews>
  <sheetFormatPr defaultColWidth="8.85546875" defaultRowHeight="17.25" x14ac:dyDescent="0.3"/>
  <cols>
    <col min="1" max="1" width="17.28515625" style="54" customWidth="1"/>
    <col min="2" max="2" width="13.85546875" style="129" customWidth="1"/>
    <col min="3" max="3" width="55.85546875" style="129" bestFit="1" customWidth="1"/>
    <col min="4" max="4" width="63.140625" style="131" bestFit="1" customWidth="1"/>
    <col min="5" max="5" width="28.140625" style="82" customWidth="1"/>
    <col min="6" max="6" width="15.28515625" style="83" customWidth="1"/>
    <col min="7" max="7" width="17.42578125" style="82" customWidth="1"/>
    <col min="8" max="8" width="19.28515625" style="82" customWidth="1"/>
    <col min="9" max="9" width="22.42578125" style="82" customWidth="1"/>
    <col min="10" max="10" width="23" style="82" customWidth="1"/>
    <col min="11" max="11" width="12" style="17" customWidth="1"/>
    <col min="12" max="12" width="11.28515625" style="17" customWidth="1"/>
    <col min="13" max="13" width="8.85546875" style="53"/>
    <col min="14" max="14" width="10.140625" style="53" bestFit="1" customWidth="1"/>
    <col min="15" max="15" width="14.28515625" style="53" customWidth="1"/>
    <col min="16" max="16384" width="8.85546875" style="53"/>
  </cols>
  <sheetData>
    <row r="1" spans="1:12" s="2" customFormat="1" ht="38.25" x14ac:dyDescent="0.3">
      <c r="A1" s="124"/>
      <c r="B1" s="502"/>
      <c r="C1" s="121"/>
      <c r="D1" s="564" t="s">
        <v>90</v>
      </c>
      <c r="E1" s="565"/>
      <c r="F1" s="565"/>
      <c r="G1" s="565"/>
      <c r="H1" s="565"/>
      <c r="I1" s="565"/>
      <c r="J1" s="566"/>
    </row>
    <row r="2" spans="1:12" s="2" customFormat="1" ht="38.25" x14ac:dyDescent="0.3">
      <c r="A2" s="4"/>
      <c r="B2" s="122"/>
      <c r="C2" s="122"/>
      <c r="D2" s="567"/>
      <c r="E2" s="568"/>
      <c r="F2" s="568"/>
      <c r="G2" s="568"/>
      <c r="H2" s="568"/>
      <c r="I2" s="568"/>
      <c r="J2" s="569"/>
    </row>
    <row r="3" spans="1:12" s="2" customFormat="1" ht="38.25" x14ac:dyDescent="0.3">
      <c r="A3" s="4"/>
      <c r="B3" s="122"/>
      <c r="C3" s="122"/>
      <c r="D3" s="567"/>
      <c r="E3" s="568"/>
      <c r="F3" s="568"/>
      <c r="G3" s="568"/>
      <c r="H3" s="568"/>
      <c r="I3" s="568"/>
      <c r="J3" s="569"/>
    </row>
    <row r="4" spans="1:12" s="2" customFormat="1" ht="38.25" x14ac:dyDescent="0.3">
      <c r="A4" s="6"/>
      <c r="B4" s="123"/>
      <c r="C4" s="123"/>
      <c r="D4" s="570"/>
      <c r="E4" s="571"/>
      <c r="F4" s="571"/>
      <c r="G4" s="571"/>
      <c r="H4" s="571"/>
      <c r="I4" s="571"/>
      <c r="J4" s="572"/>
    </row>
    <row r="5" spans="1:12" s="2" customFormat="1" x14ac:dyDescent="0.3">
      <c r="A5" s="573"/>
      <c r="B5" s="578"/>
      <c r="C5" s="574"/>
      <c r="D5" s="579"/>
      <c r="E5" s="580"/>
      <c r="F5" s="73"/>
      <c r="G5" s="68"/>
      <c r="H5" s="68"/>
      <c r="I5" s="68"/>
      <c r="J5" s="84"/>
      <c r="K5" s="8"/>
      <c r="L5" s="8"/>
    </row>
    <row r="6" spans="1:12" s="64" customFormat="1" x14ac:dyDescent="0.3">
      <c r="A6" s="59"/>
      <c r="B6" s="72" t="s">
        <v>91</v>
      </c>
      <c r="C6" s="70" t="s">
        <v>92</v>
      </c>
      <c r="D6" s="60" t="s">
        <v>93</v>
      </c>
      <c r="E6" s="61" t="s">
        <v>94</v>
      </c>
      <c r="F6" s="74" t="s">
        <v>95</v>
      </c>
      <c r="G6" s="87" t="s">
        <v>96</v>
      </c>
      <c r="H6" s="87" t="s">
        <v>97</v>
      </c>
      <c r="I6" s="87" t="s">
        <v>98</v>
      </c>
      <c r="J6" s="88" t="s">
        <v>99</v>
      </c>
      <c r="K6" s="63"/>
      <c r="L6" s="63"/>
    </row>
    <row r="7" spans="1:12" s="17" customFormat="1" x14ac:dyDescent="0.3">
      <c r="A7" s="9"/>
      <c r="B7" s="185"/>
      <c r="C7" s="185"/>
      <c r="D7" s="186"/>
      <c r="E7" s="186"/>
      <c r="F7" s="187"/>
      <c r="G7" s="186"/>
      <c r="H7" s="186"/>
      <c r="I7" s="186"/>
      <c r="J7" s="209"/>
    </row>
    <row r="8" spans="1:12" x14ac:dyDescent="0.3">
      <c r="A8" s="581" t="s">
        <v>5</v>
      </c>
      <c r="B8" s="582"/>
      <c r="C8" s="582"/>
      <c r="D8" s="35"/>
      <c r="E8" s="35"/>
      <c r="F8" s="78"/>
      <c r="G8" s="35"/>
      <c r="H8" s="35"/>
      <c r="I8" s="35"/>
      <c r="J8" s="36"/>
    </row>
    <row r="9" spans="1:12" x14ac:dyDescent="0.3">
      <c r="A9" s="189" t="s">
        <v>6</v>
      </c>
      <c r="B9" s="188"/>
      <c r="C9" s="190"/>
      <c r="D9" s="191"/>
      <c r="E9" s="191"/>
      <c r="F9" s="192"/>
      <c r="G9" s="191"/>
      <c r="H9" s="191"/>
      <c r="I9" s="191"/>
      <c r="J9" s="193"/>
    </row>
    <row r="10" spans="1:12" x14ac:dyDescent="0.3">
      <c r="A10" s="189" t="s">
        <v>48</v>
      </c>
      <c r="B10" s="185"/>
      <c r="C10" s="190"/>
      <c r="D10" s="191"/>
      <c r="E10" s="191"/>
      <c r="F10" s="192"/>
      <c r="G10" s="191"/>
      <c r="H10" s="191"/>
      <c r="I10" s="191"/>
      <c r="J10" s="193"/>
    </row>
    <row r="11" spans="1:12" x14ac:dyDescent="0.3">
      <c r="A11" s="189"/>
      <c r="B11" s="194" t="s">
        <v>100</v>
      </c>
      <c r="C11" s="194" t="s">
        <v>101</v>
      </c>
      <c r="D11" s="195" t="s">
        <v>102</v>
      </c>
      <c r="E11" s="195">
        <v>150</v>
      </c>
      <c r="F11" s="196">
        <v>18</v>
      </c>
      <c r="G11" s="195">
        <f>E11*F11</f>
        <v>2700</v>
      </c>
      <c r="H11" s="195">
        <f>G11</f>
        <v>2700</v>
      </c>
      <c r="I11" s="195">
        <v>850</v>
      </c>
      <c r="J11" s="197"/>
    </row>
    <row r="12" spans="1:12" x14ac:dyDescent="0.3">
      <c r="A12" s="495" t="s">
        <v>103</v>
      </c>
      <c r="B12" s="496"/>
      <c r="C12" s="270"/>
      <c r="D12" s="243"/>
      <c r="E12" s="243"/>
      <c r="F12" s="244"/>
      <c r="G12" s="243"/>
      <c r="H12" s="243"/>
      <c r="I12" s="243"/>
      <c r="J12" s="245"/>
    </row>
    <row r="13" spans="1:12" x14ac:dyDescent="0.3">
      <c r="A13" s="189"/>
      <c r="B13" s="194" t="s">
        <v>104</v>
      </c>
      <c r="C13" s="199" t="s">
        <v>105</v>
      </c>
      <c r="D13" s="195" t="s">
        <v>106</v>
      </c>
      <c r="E13" s="195">
        <v>0.05</v>
      </c>
      <c r="F13" s="196">
        <v>20000</v>
      </c>
      <c r="G13" s="195">
        <f t="shared" ref="G13:G35" si="0">E13*F13</f>
        <v>1000</v>
      </c>
      <c r="H13" s="195">
        <f t="shared" ref="H13:I35" si="1">G13</f>
        <v>1000</v>
      </c>
      <c r="I13" s="195">
        <f>4/3*3924.9</f>
        <v>5233.2</v>
      </c>
      <c r="J13" s="197"/>
    </row>
    <row r="14" spans="1:12" x14ac:dyDescent="0.3">
      <c r="A14" s="495"/>
      <c r="B14" s="242" t="s">
        <v>107</v>
      </c>
      <c r="C14" s="270" t="s">
        <v>1577</v>
      </c>
      <c r="D14" s="243" t="s">
        <v>106</v>
      </c>
      <c r="E14" s="243">
        <v>0.25</v>
      </c>
      <c r="F14" s="244">
        <v>1000</v>
      </c>
      <c r="G14" s="243">
        <f t="shared" si="0"/>
        <v>250</v>
      </c>
      <c r="H14" s="243">
        <f t="shared" si="1"/>
        <v>250</v>
      </c>
      <c r="I14" s="243"/>
      <c r="J14" s="245"/>
    </row>
    <row r="15" spans="1:12" x14ac:dyDescent="0.3">
      <c r="A15" s="189"/>
      <c r="B15" s="194"/>
      <c r="C15" s="199"/>
      <c r="D15" s="195" t="s">
        <v>9</v>
      </c>
      <c r="E15" s="195"/>
      <c r="F15" s="196"/>
      <c r="G15" s="195"/>
      <c r="H15" s="195"/>
      <c r="I15" s="195"/>
      <c r="J15" s="197"/>
    </row>
    <row r="16" spans="1:12" x14ac:dyDescent="0.3">
      <c r="A16" s="495" t="s">
        <v>10</v>
      </c>
      <c r="B16" s="242"/>
      <c r="C16" s="270"/>
      <c r="D16" s="243"/>
      <c r="E16" s="243"/>
      <c r="F16" s="244"/>
      <c r="G16" s="243"/>
      <c r="H16" s="243"/>
      <c r="I16" s="243"/>
      <c r="J16" s="245"/>
    </row>
    <row r="17" spans="1:10" x14ac:dyDescent="0.3">
      <c r="A17" s="189"/>
      <c r="B17" s="194" t="s">
        <v>108</v>
      </c>
      <c r="C17" s="199" t="s">
        <v>109</v>
      </c>
      <c r="D17" s="195" t="s">
        <v>110</v>
      </c>
      <c r="E17" s="195">
        <v>20</v>
      </c>
      <c r="F17" s="196">
        <v>15</v>
      </c>
      <c r="G17" s="195">
        <f t="shared" si="0"/>
        <v>300</v>
      </c>
      <c r="H17" s="195">
        <f t="shared" si="1"/>
        <v>300</v>
      </c>
      <c r="I17" s="195">
        <v>382.45</v>
      </c>
      <c r="J17" s="197">
        <v>382.45</v>
      </c>
    </row>
    <row r="18" spans="1:10" x14ac:dyDescent="0.3">
      <c r="A18" s="495" t="s">
        <v>11</v>
      </c>
      <c r="B18" s="496"/>
      <c r="C18" s="270"/>
      <c r="D18" s="243" t="s">
        <v>9</v>
      </c>
      <c r="E18" s="243"/>
      <c r="F18" s="244"/>
      <c r="G18" s="243"/>
      <c r="H18" s="243"/>
      <c r="I18" s="243"/>
      <c r="J18" s="245"/>
    </row>
    <row r="19" spans="1:10" x14ac:dyDescent="0.3">
      <c r="A19" s="189"/>
      <c r="B19" s="194" t="s">
        <v>111</v>
      </c>
      <c r="C19" s="199" t="s">
        <v>112</v>
      </c>
      <c r="D19" s="195" t="s">
        <v>113</v>
      </c>
      <c r="E19" s="195">
        <v>3110.18</v>
      </c>
      <c r="F19" s="196">
        <v>12</v>
      </c>
      <c r="G19" s="195">
        <f t="shared" si="0"/>
        <v>37322.159999999996</v>
      </c>
      <c r="H19" s="195">
        <f t="shared" si="1"/>
        <v>37322.159999999996</v>
      </c>
      <c r="I19" s="195">
        <f t="shared" si="1"/>
        <v>37322.159999999996</v>
      </c>
      <c r="J19" s="197"/>
    </row>
    <row r="20" spans="1:10" x14ac:dyDescent="0.3">
      <c r="A20" s="495" t="s">
        <v>12</v>
      </c>
      <c r="B20" s="496"/>
      <c r="C20" s="270"/>
      <c r="D20" s="243"/>
      <c r="E20" s="243"/>
      <c r="F20" s="244"/>
      <c r="G20" s="243"/>
      <c r="H20" s="243"/>
      <c r="I20" s="243"/>
      <c r="J20" s="245"/>
    </row>
    <row r="21" spans="1:10" x14ac:dyDescent="0.3">
      <c r="A21" s="189"/>
      <c r="B21" s="194" t="s">
        <v>114</v>
      </c>
      <c r="C21" s="199" t="s">
        <v>115</v>
      </c>
      <c r="D21" s="195" t="s">
        <v>116</v>
      </c>
      <c r="E21" s="195">
        <v>9040</v>
      </c>
      <c r="F21" s="196">
        <v>1</v>
      </c>
      <c r="G21" s="195">
        <f t="shared" si="0"/>
        <v>9040</v>
      </c>
      <c r="H21" s="195">
        <f t="shared" si="1"/>
        <v>9040</v>
      </c>
      <c r="I21" s="195">
        <v>9040</v>
      </c>
      <c r="J21" s="197">
        <v>9040</v>
      </c>
    </row>
    <row r="22" spans="1:10" x14ac:dyDescent="0.3">
      <c r="A22" s="495" t="s">
        <v>13</v>
      </c>
      <c r="B22" s="496"/>
      <c r="C22" s="496"/>
      <c r="D22" s="243"/>
      <c r="E22" s="243"/>
      <c r="F22" s="244"/>
      <c r="G22" s="243"/>
      <c r="H22" s="243"/>
      <c r="I22" s="243"/>
      <c r="J22" s="245"/>
    </row>
    <row r="23" spans="1:10" x14ac:dyDescent="0.3">
      <c r="A23" s="189"/>
      <c r="B23" s="194" t="s">
        <v>117</v>
      </c>
      <c r="C23" s="199" t="s">
        <v>118</v>
      </c>
      <c r="D23" s="195" t="s">
        <v>119</v>
      </c>
      <c r="E23" s="195">
        <f>58.73</f>
        <v>58.73</v>
      </c>
      <c r="F23" s="196">
        <v>2959</v>
      </c>
      <c r="G23" s="195">
        <f t="shared" si="0"/>
        <v>173782.06999999998</v>
      </c>
      <c r="H23" s="195">
        <f t="shared" si="1"/>
        <v>173782.06999999998</v>
      </c>
      <c r="I23" s="195">
        <v>166685.32</v>
      </c>
      <c r="J23" s="197">
        <v>166685.32</v>
      </c>
    </row>
    <row r="24" spans="1:10" x14ac:dyDescent="0.3">
      <c r="A24" s="495"/>
      <c r="B24" s="242" t="s">
        <v>120</v>
      </c>
      <c r="C24" s="270" t="s">
        <v>121</v>
      </c>
      <c r="D24" s="243" t="s">
        <v>122</v>
      </c>
      <c r="E24" s="243">
        <v>-5000</v>
      </c>
      <c r="F24" s="244">
        <v>1</v>
      </c>
      <c r="G24" s="243">
        <f t="shared" si="0"/>
        <v>-5000</v>
      </c>
      <c r="H24" s="243">
        <f t="shared" si="1"/>
        <v>-5000</v>
      </c>
      <c r="I24" s="243">
        <v>-5433</v>
      </c>
      <c r="J24" s="245">
        <v>-5433</v>
      </c>
    </row>
    <row r="25" spans="1:10" x14ac:dyDescent="0.3">
      <c r="A25" s="189"/>
      <c r="B25" s="194"/>
      <c r="C25" s="199"/>
      <c r="D25" s="195"/>
      <c r="E25" s="195"/>
      <c r="F25" s="196"/>
      <c r="G25" s="195"/>
      <c r="H25" s="195"/>
      <c r="I25" s="195"/>
      <c r="J25" s="197"/>
    </row>
    <row r="26" spans="1:10" x14ac:dyDescent="0.3">
      <c r="A26" s="495" t="s">
        <v>123</v>
      </c>
      <c r="B26" s="496"/>
      <c r="C26" s="496"/>
      <c r="D26" s="243"/>
      <c r="E26" s="243"/>
      <c r="F26" s="244"/>
      <c r="G26" s="243"/>
      <c r="H26" s="243"/>
      <c r="I26" s="243"/>
      <c r="J26" s="245"/>
    </row>
    <row r="27" spans="1:10" x14ac:dyDescent="0.3">
      <c r="A27" s="189"/>
      <c r="B27" s="194" t="s">
        <v>124</v>
      </c>
      <c r="C27" s="199" t="s">
        <v>125</v>
      </c>
      <c r="D27" s="195" t="s">
        <v>126</v>
      </c>
      <c r="E27" s="195">
        <v>10000</v>
      </c>
      <c r="F27" s="196">
        <v>1</v>
      </c>
      <c r="G27" s="195">
        <f t="shared" si="0"/>
        <v>10000</v>
      </c>
      <c r="H27" s="195">
        <f t="shared" si="1"/>
        <v>10000</v>
      </c>
      <c r="I27" s="195">
        <v>16525.8</v>
      </c>
      <c r="J27" s="197">
        <v>16525.8</v>
      </c>
    </row>
    <row r="28" spans="1:10" x14ac:dyDescent="0.3">
      <c r="A28" s="495"/>
      <c r="B28" s="242" t="s">
        <v>127</v>
      </c>
      <c r="C28" s="270" t="s">
        <v>128</v>
      </c>
      <c r="D28" s="243" t="s">
        <v>126</v>
      </c>
      <c r="E28" s="243">
        <v>16000</v>
      </c>
      <c r="F28" s="244">
        <v>1</v>
      </c>
      <c r="G28" s="243">
        <f t="shared" si="0"/>
        <v>16000</v>
      </c>
      <c r="H28" s="243">
        <f t="shared" si="1"/>
        <v>16000</v>
      </c>
      <c r="I28" s="243">
        <v>9877.5</v>
      </c>
      <c r="J28" s="245">
        <v>9877.5</v>
      </c>
    </row>
    <row r="29" spans="1:10" x14ac:dyDescent="0.3">
      <c r="A29" s="189"/>
      <c r="B29" s="194"/>
      <c r="C29" s="199"/>
      <c r="D29" s="195"/>
      <c r="E29" s="195"/>
      <c r="F29" s="196"/>
      <c r="G29" s="195"/>
      <c r="H29" s="195"/>
      <c r="I29" s="195"/>
      <c r="J29" s="197"/>
    </row>
    <row r="30" spans="1:10" x14ac:dyDescent="0.3">
      <c r="A30" s="495" t="s">
        <v>15</v>
      </c>
      <c r="B30" s="242"/>
      <c r="C30" s="270"/>
      <c r="D30" s="243"/>
      <c r="E30" s="243"/>
      <c r="F30" s="244"/>
      <c r="G30" s="243"/>
      <c r="H30" s="243"/>
      <c r="I30" s="243"/>
      <c r="J30" s="245"/>
    </row>
    <row r="31" spans="1:10" x14ac:dyDescent="0.3">
      <c r="A31" s="189"/>
      <c r="B31" s="194" t="s">
        <v>129</v>
      </c>
      <c r="C31" s="199" t="s">
        <v>130</v>
      </c>
      <c r="D31" s="195" t="s">
        <v>131</v>
      </c>
      <c r="E31" s="195">
        <v>10</v>
      </c>
      <c r="F31" s="196">
        <v>5</v>
      </c>
      <c r="G31" s="195">
        <f t="shared" si="0"/>
        <v>50</v>
      </c>
      <c r="H31" s="195">
        <f t="shared" si="1"/>
        <v>50</v>
      </c>
      <c r="I31" s="195">
        <v>65</v>
      </c>
      <c r="J31" s="197">
        <v>65</v>
      </c>
    </row>
    <row r="32" spans="1:10" x14ac:dyDescent="0.3">
      <c r="A32" s="495"/>
      <c r="B32" s="242"/>
      <c r="C32" s="270"/>
      <c r="D32" s="243"/>
      <c r="E32" s="243"/>
      <c r="F32" s="244"/>
      <c r="G32" s="243"/>
      <c r="H32" s="243"/>
      <c r="I32" s="243"/>
      <c r="J32" s="245"/>
    </row>
    <row r="33" spans="1:10" x14ac:dyDescent="0.3">
      <c r="A33" s="189"/>
      <c r="B33" s="194"/>
      <c r="C33" s="199"/>
      <c r="D33" s="195"/>
      <c r="E33" s="195"/>
      <c r="F33" s="196"/>
      <c r="G33" s="195"/>
      <c r="H33" s="195"/>
      <c r="I33" s="195"/>
      <c r="J33" s="197"/>
    </row>
    <row r="34" spans="1:10" x14ac:dyDescent="0.3">
      <c r="A34" s="495" t="s">
        <v>16</v>
      </c>
      <c r="B34" s="496"/>
      <c r="C34" s="270"/>
      <c r="D34" s="243"/>
      <c r="E34" s="243"/>
      <c r="F34" s="244"/>
      <c r="G34" s="243"/>
      <c r="H34" s="243"/>
      <c r="I34" s="243"/>
      <c r="J34" s="245"/>
    </row>
    <row r="35" spans="1:10" x14ac:dyDescent="0.3">
      <c r="A35" s="189"/>
      <c r="B35" s="194" t="s">
        <v>132</v>
      </c>
      <c r="C35" s="199" t="s">
        <v>133</v>
      </c>
      <c r="D35" s="195" t="s">
        <v>134</v>
      </c>
      <c r="E35" s="195">
        <v>15</v>
      </c>
      <c r="F35" s="196">
        <f>1800-150</f>
        <v>1650</v>
      </c>
      <c r="G35" s="195">
        <f t="shared" si="0"/>
        <v>24750</v>
      </c>
      <c r="H35" s="195">
        <f t="shared" si="1"/>
        <v>24750</v>
      </c>
      <c r="I35" s="195">
        <f>13010.25</f>
        <v>13010.25</v>
      </c>
      <c r="J35" s="197">
        <v>13010.25</v>
      </c>
    </row>
    <row r="36" spans="1:10" x14ac:dyDescent="0.3">
      <c r="A36" s="189" t="s">
        <v>1683</v>
      </c>
      <c r="B36" s="194"/>
      <c r="C36" s="199"/>
      <c r="D36" s="195"/>
      <c r="E36" s="195"/>
      <c r="F36" s="196"/>
      <c r="G36" s="195"/>
      <c r="H36" s="195"/>
      <c r="I36" s="195"/>
      <c r="J36" s="197"/>
    </row>
    <row r="37" spans="1:10" x14ac:dyDescent="0.3">
      <c r="A37" s="189"/>
      <c r="B37" s="194"/>
      <c r="C37" s="199" t="s">
        <v>1684</v>
      </c>
      <c r="D37" s="195"/>
      <c r="E37" s="195"/>
      <c r="F37" s="196"/>
      <c r="G37" s="195"/>
      <c r="H37" s="195"/>
      <c r="I37" s="195">
        <v>7772.12</v>
      </c>
      <c r="J37" s="197"/>
    </row>
    <row r="38" spans="1:10" x14ac:dyDescent="0.3">
      <c r="A38" s="189" t="s">
        <v>17</v>
      </c>
      <c r="B38" s="190"/>
      <c r="C38" s="198"/>
      <c r="D38" s="191"/>
      <c r="E38" s="191"/>
      <c r="F38" s="192"/>
      <c r="G38" s="191"/>
      <c r="H38" s="191"/>
      <c r="I38" s="191"/>
      <c r="J38" s="193"/>
    </row>
    <row r="39" spans="1:10" x14ac:dyDescent="0.3">
      <c r="A39" s="189"/>
      <c r="B39" s="194" t="s">
        <v>135</v>
      </c>
      <c r="C39" s="199" t="s">
        <v>136</v>
      </c>
      <c r="D39" s="195" t="s">
        <v>137</v>
      </c>
      <c r="E39" s="195">
        <v>22193.195</v>
      </c>
      <c r="F39" s="196">
        <v>1</v>
      </c>
      <c r="G39" s="195">
        <f>E39*F39</f>
        <v>22193.195</v>
      </c>
      <c r="H39" s="195">
        <f>G39</f>
        <v>22193.195</v>
      </c>
      <c r="I39" s="195"/>
      <c r="J39" s="197"/>
    </row>
    <row r="40" spans="1:10" x14ac:dyDescent="0.3">
      <c r="A40" s="189" t="s">
        <v>1653</v>
      </c>
      <c r="B40" s="194"/>
      <c r="C40" s="199"/>
      <c r="D40" s="195"/>
      <c r="E40" s="195"/>
      <c r="F40" s="196"/>
      <c r="G40" s="195"/>
      <c r="H40" s="195"/>
      <c r="I40" s="195"/>
      <c r="J40" s="197"/>
    </row>
    <row r="41" spans="1:10" x14ac:dyDescent="0.3">
      <c r="A41" s="189"/>
      <c r="B41" s="194"/>
      <c r="C41" s="199" t="s">
        <v>1654</v>
      </c>
      <c r="D41" s="195"/>
      <c r="E41" s="195"/>
      <c r="F41" s="196"/>
      <c r="G41" s="195"/>
      <c r="H41" s="195"/>
      <c r="I41" s="195">
        <v>2999.8</v>
      </c>
      <c r="J41" s="197"/>
    </row>
    <row r="42" spans="1:10" x14ac:dyDescent="0.3">
      <c r="A42" s="189"/>
      <c r="B42" s="201" t="s">
        <v>18</v>
      </c>
      <c r="C42" s="202"/>
      <c r="D42" s="203"/>
      <c r="E42" s="203"/>
      <c r="F42" s="204"/>
      <c r="G42" s="203"/>
      <c r="H42" s="205">
        <f>SUM(H10:H39)</f>
        <v>292387.42499999999</v>
      </c>
      <c r="I42" s="205">
        <f>SUM(I11:I39)</f>
        <v>261330.8</v>
      </c>
      <c r="J42" s="206">
        <f>SUM(J11:J39)</f>
        <v>210153.32</v>
      </c>
    </row>
    <row r="43" spans="1:10" x14ac:dyDescent="0.3">
      <c r="A43" s="189"/>
      <c r="B43" s="185"/>
      <c r="C43" s="185"/>
      <c r="D43" s="207"/>
      <c r="E43" s="207"/>
      <c r="F43" s="208"/>
      <c r="G43" s="207"/>
      <c r="H43" s="207"/>
      <c r="I43" s="207"/>
      <c r="J43" s="209"/>
    </row>
    <row r="44" spans="1:10" x14ac:dyDescent="0.3">
      <c r="A44" s="189" t="s">
        <v>138</v>
      </c>
      <c r="B44" s="188"/>
      <c r="C44" s="190"/>
      <c r="D44" s="191"/>
      <c r="E44" s="191"/>
      <c r="F44" s="192"/>
      <c r="G44" s="191"/>
      <c r="H44" s="191"/>
      <c r="I44" s="191"/>
      <c r="J44" s="193"/>
    </row>
    <row r="45" spans="1:10" x14ac:dyDescent="0.3">
      <c r="A45" s="189" t="s">
        <v>38</v>
      </c>
      <c r="B45" s="188"/>
      <c r="C45" s="190"/>
      <c r="D45" s="191"/>
      <c r="E45" s="191"/>
      <c r="F45" s="192"/>
      <c r="G45" s="191"/>
      <c r="H45" s="191"/>
      <c r="I45" s="191"/>
      <c r="J45" s="193"/>
    </row>
    <row r="46" spans="1:10" x14ac:dyDescent="0.3">
      <c r="A46" s="189"/>
      <c r="B46" s="194" t="s">
        <v>139</v>
      </c>
      <c r="C46" s="199" t="s">
        <v>140</v>
      </c>
      <c r="D46" s="195" t="s">
        <v>141</v>
      </c>
      <c r="E46" s="195">
        <v>750.94</v>
      </c>
      <c r="F46" s="196">
        <v>12</v>
      </c>
      <c r="G46" s="195">
        <f>E46*F46</f>
        <v>9011.2800000000007</v>
      </c>
      <c r="H46" s="195">
        <f>G46</f>
        <v>9011.2800000000007</v>
      </c>
      <c r="I46" s="195">
        <f>H46</f>
        <v>9011.2800000000007</v>
      </c>
      <c r="J46" s="197"/>
    </row>
    <row r="47" spans="1:10" x14ac:dyDescent="0.3">
      <c r="A47" s="189" t="s">
        <v>39</v>
      </c>
      <c r="B47" s="188"/>
      <c r="C47" s="188"/>
      <c r="D47" s="191"/>
      <c r="E47" s="191"/>
      <c r="F47" s="192"/>
      <c r="G47" s="373"/>
      <c r="H47" s="373"/>
      <c r="I47" s="191"/>
      <c r="J47" s="193"/>
    </row>
    <row r="48" spans="1:10" x14ac:dyDescent="0.3">
      <c r="A48" s="189"/>
      <c r="B48" s="194" t="s">
        <v>142</v>
      </c>
      <c r="C48" s="199" t="s">
        <v>143</v>
      </c>
      <c r="D48" s="195" t="s">
        <v>141</v>
      </c>
      <c r="E48" s="195">
        <v>3566.98</v>
      </c>
      <c r="F48" s="196">
        <v>12</v>
      </c>
      <c r="G48" s="195">
        <f t="shared" ref="G48:G57" si="2">E48*F48</f>
        <v>42803.76</v>
      </c>
      <c r="H48" s="195">
        <f t="shared" ref="H48:I57" si="3">G48</f>
        <v>42803.76</v>
      </c>
      <c r="I48" s="195">
        <f t="shared" si="3"/>
        <v>42803.76</v>
      </c>
      <c r="J48" s="197"/>
    </row>
    <row r="49" spans="1:10" x14ac:dyDescent="0.3">
      <c r="A49" s="189" t="s">
        <v>40</v>
      </c>
      <c r="B49" s="188"/>
      <c r="C49" s="198"/>
      <c r="D49" s="191"/>
      <c r="E49" s="191"/>
      <c r="F49" s="192"/>
      <c r="G49" s="373"/>
      <c r="H49" s="373"/>
      <c r="I49" s="191"/>
      <c r="J49" s="193"/>
    </row>
    <row r="50" spans="1:10" x14ac:dyDescent="0.3">
      <c r="A50" s="189"/>
      <c r="B50" s="194" t="s">
        <v>144</v>
      </c>
      <c r="C50" s="199" t="s">
        <v>145</v>
      </c>
      <c r="D50" s="195" t="s">
        <v>141</v>
      </c>
      <c r="E50" s="195">
        <v>1383.47</v>
      </c>
      <c r="F50" s="196">
        <v>12</v>
      </c>
      <c r="G50" s="195">
        <f t="shared" si="2"/>
        <v>16601.64</v>
      </c>
      <c r="H50" s="195">
        <f t="shared" si="3"/>
        <v>16601.64</v>
      </c>
      <c r="I50" s="195">
        <f t="shared" si="3"/>
        <v>16601.64</v>
      </c>
      <c r="J50" s="197"/>
    </row>
    <row r="51" spans="1:10" x14ac:dyDescent="0.3">
      <c r="A51" s="189" t="s">
        <v>41</v>
      </c>
      <c r="B51" s="188"/>
      <c r="C51" s="188"/>
      <c r="D51" s="191"/>
      <c r="E51" s="191"/>
      <c r="F51" s="192"/>
      <c r="G51" s="373"/>
      <c r="H51" s="373"/>
      <c r="I51" s="191"/>
      <c r="J51" s="193"/>
    </row>
    <row r="52" spans="1:10" x14ac:dyDescent="0.3">
      <c r="A52" s="189"/>
      <c r="B52" s="194" t="s">
        <v>146</v>
      </c>
      <c r="C52" s="199" t="s">
        <v>147</v>
      </c>
      <c r="D52" s="195" t="s">
        <v>141</v>
      </c>
      <c r="E52" s="195">
        <v>295.38</v>
      </c>
      <c r="F52" s="196">
        <v>12</v>
      </c>
      <c r="G52" s="195">
        <f t="shared" si="2"/>
        <v>3544.56</v>
      </c>
      <c r="H52" s="195">
        <f t="shared" si="3"/>
        <v>3544.56</v>
      </c>
      <c r="I52" s="195">
        <f t="shared" si="3"/>
        <v>3544.56</v>
      </c>
      <c r="J52" s="197"/>
    </row>
    <row r="53" spans="1:10" x14ac:dyDescent="0.3">
      <c r="A53" s="189" t="s">
        <v>42</v>
      </c>
      <c r="B53" s="188"/>
      <c r="C53" s="198"/>
      <c r="D53" s="191"/>
      <c r="E53" s="191"/>
      <c r="F53" s="192"/>
      <c r="G53" s="373"/>
      <c r="H53" s="373"/>
      <c r="I53" s="191"/>
      <c r="J53" s="193"/>
    </row>
    <row r="54" spans="1:10" x14ac:dyDescent="0.3">
      <c r="A54" s="189"/>
      <c r="B54" s="194" t="s">
        <v>148</v>
      </c>
      <c r="C54" s="199" t="s">
        <v>149</v>
      </c>
      <c r="D54" s="195" t="s">
        <v>141</v>
      </c>
      <c r="E54" s="195">
        <v>266.67</v>
      </c>
      <c r="F54" s="196">
        <v>12</v>
      </c>
      <c r="G54" s="195">
        <f t="shared" si="2"/>
        <v>3200.04</v>
      </c>
      <c r="H54" s="195">
        <f t="shared" si="3"/>
        <v>3200.04</v>
      </c>
      <c r="I54" s="195">
        <f t="shared" si="3"/>
        <v>3200.04</v>
      </c>
      <c r="J54" s="197"/>
    </row>
    <row r="55" spans="1:10" x14ac:dyDescent="0.3">
      <c r="A55" s="189" t="s">
        <v>43</v>
      </c>
      <c r="B55" s="188"/>
      <c r="C55" s="198"/>
      <c r="D55" s="191"/>
      <c r="E55" s="191"/>
      <c r="F55" s="192"/>
      <c r="G55" s="373"/>
      <c r="H55" s="373"/>
      <c r="I55" s="191"/>
      <c r="J55" s="193"/>
    </row>
    <row r="56" spans="1:10" x14ac:dyDescent="0.3">
      <c r="A56" s="189"/>
      <c r="B56" s="194" t="s">
        <v>150</v>
      </c>
      <c r="C56" s="199" t="s">
        <v>151</v>
      </c>
      <c r="D56" s="195" t="s">
        <v>141</v>
      </c>
      <c r="E56" s="195">
        <v>58.33</v>
      </c>
      <c r="F56" s="196">
        <v>12</v>
      </c>
      <c r="G56" s="195">
        <f t="shared" si="2"/>
        <v>699.96</v>
      </c>
      <c r="H56" s="195">
        <f t="shared" si="3"/>
        <v>699.96</v>
      </c>
      <c r="I56" s="195">
        <f>3548.39*4/3</f>
        <v>4731.1866666666665</v>
      </c>
      <c r="J56" s="197"/>
    </row>
    <row r="57" spans="1:10" x14ac:dyDescent="0.3">
      <c r="A57" s="189"/>
      <c r="B57" s="190" t="s">
        <v>152</v>
      </c>
      <c r="C57" s="198" t="s">
        <v>153</v>
      </c>
      <c r="D57" s="191" t="s">
        <v>154</v>
      </c>
      <c r="E57" s="191">
        <v>150</v>
      </c>
      <c r="F57" s="192">
        <v>12</v>
      </c>
      <c r="G57" s="243">
        <f t="shared" si="2"/>
        <v>1800</v>
      </c>
      <c r="H57" s="243">
        <f t="shared" si="3"/>
        <v>1800</v>
      </c>
      <c r="I57" s="191"/>
      <c r="J57" s="193"/>
    </row>
    <row r="58" spans="1:10" x14ac:dyDescent="0.3">
      <c r="A58" s="189"/>
      <c r="B58" s="194"/>
      <c r="C58" s="199"/>
      <c r="D58" s="195" t="s">
        <v>9</v>
      </c>
      <c r="E58" s="195"/>
      <c r="F58" s="196"/>
      <c r="G58" s="195"/>
      <c r="H58" s="195"/>
      <c r="I58" s="195"/>
      <c r="J58" s="197"/>
    </row>
    <row r="59" spans="1:10" x14ac:dyDescent="0.3">
      <c r="A59" s="189"/>
      <c r="B59" s="201" t="s">
        <v>44</v>
      </c>
      <c r="C59" s="202"/>
      <c r="D59" s="205"/>
      <c r="E59" s="205"/>
      <c r="F59" s="210"/>
      <c r="G59" s="205"/>
      <c r="H59" s="205">
        <f>SUM(H46:H57)</f>
        <v>77661.239999999991</v>
      </c>
      <c r="I59" s="205">
        <f t="shared" ref="I59:J59" si="4">SUM(I46:I57)</f>
        <v>79892.466666666645</v>
      </c>
      <c r="J59" s="206">
        <f t="shared" si="4"/>
        <v>0</v>
      </c>
    </row>
    <row r="60" spans="1:10" x14ac:dyDescent="0.3">
      <c r="A60" s="189"/>
      <c r="B60" s="185"/>
      <c r="C60" s="185"/>
      <c r="D60" s="207"/>
      <c r="E60" s="207"/>
      <c r="F60" s="208"/>
      <c r="G60" s="207"/>
      <c r="H60" s="207"/>
      <c r="I60" s="207"/>
      <c r="J60" s="209"/>
    </row>
    <row r="61" spans="1:10" ht="18.75" x14ac:dyDescent="0.35">
      <c r="A61" s="211"/>
      <c r="B61" s="212"/>
      <c r="C61" s="212" t="s">
        <v>45</v>
      </c>
      <c r="D61" s="213"/>
      <c r="E61" s="213"/>
      <c r="F61" s="214"/>
      <c r="G61" s="213"/>
      <c r="H61" s="213">
        <f>SUM(H42+H59)</f>
        <v>370048.66499999998</v>
      </c>
      <c r="I61" s="213">
        <f t="shared" ref="I61:J61" si="5">SUM(I42+I59)</f>
        <v>341223.2666666666</v>
      </c>
      <c r="J61" s="215">
        <f t="shared" si="5"/>
        <v>210153.32</v>
      </c>
    </row>
    <row r="62" spans="1:10" ht="18.75" x14ac:dyDescent="0.35">
      <c r="A62" s="211"/>
      <c r="B62" s="212"/>
      <c r="C62" s="212"/>
      <c r="D62" s="207"/>
      <c r="E62" s="207"/>
      <c r="F62" s="208"/>
      <c r="G62" s="207"/>
      <c r="H62" s="207"/>
      <c r="I62" s="207"/>
      <c r="J62" s="209"/>
    </row>
    <row r="63" spans="1:10" x14ac:dyDescent="0.3">
      <c r="A63" s="581" t="s">
        <v>46</v>
      </c>
      <c r="B63" s="582"/>
      <c r="C63" s="582"/>
      <c r="D63" s="35"/>
      <c r="E63" s="35"/>
      <c r="F63" s="78"/>
      <c r="G63" s="35"/>
      <c r="H63" s="35"/>
      <c r="I63" s="35"/>
      <c r="J63" s="36"/>
    </row>
    <row r="64" spans="1:10" x14ac:dyDescent="0.3">
      <c r="A64" s="189" t="s">
        <v>155</v>
      </c>
      <c r="B64" s="188"/>
      <c r="C64" s="190"/>
      <c r="D64" s="191"/>
      <c r="E64" s="191"/>
      <c r="F64" s="192"/>
      <c r="G64" s="191"/>
      <c r="H64" s="191"/>
      <c r="I64" s="191"/>
      <c r="J64" s="193"/>
    </row>
    <row r="65" spans="1:10" x14ac:dyDescent="0.3">
      <c r="A65" s="189" t="s">
        <v>48</v>
      </c>
      <c r="B65" s="185"/>
      <c r="C65" s="190"/>
      <c r="D65" s="191"/>
      <c r="E65" s="191"/>
      <c r="F65" s="192"/>
      <c r="G65" s="191"/>
      <c r="H65" s="191"/>
      <c r="I65" s="191"/>
      <c r="J65" s="193"/>
    </row>
    <row r="66" spans="1:10" x14ac:dyDescent="0.3">
      <c r="A66" s="189"/>
      <c r="B66" s="194" t="s">
        <v>156</v>
      </c>
      <c r="C66" s="199" t="s">
        <v>157</v>
      </c>
      <c r="D66" s="195" t="s">
        <v>158</v>
      </c>
      <c r="E66" s="195">
        <v>140</v>
      </c>
      <c r="F66" s="196">
        <v>18</v>
      </c>
      <c r="G66" s="195">
        <f>E66*F66</f>
        <v>2520</v>
      </c>
      <c r="H66" s="195">
        <f>G66*1.13</f>
        <v>2847.6</v>
      </c>
      <c r="I66" s="195">
        <v>1831.6</v>
      </c>
      <c r="J66" s="197"/>
    </row>
    <row r="67" spans="1:10" x14ac:dyDescent="0.3">
      <c r="A67" s="189" t="s">
        <v>49</v>
      </c>
      <c r="B67" s="188"/>
      <c r="C67" s="198"/>
      <c r="D67" s="191"/>
      <c r="E67" s="191"/>
      <c r="F67" s="192"/>
      <c r="G67" s="243"/>
      <c r="H67" s="243"/>
      <c r="I67" s="191"/>
      <c r="J67" s="193"/>
    </row>
    <row r="68" spans="1:10" x14ac:dyDescent="0.3">
      <c r="A68" s="189"/>
      <c r="B68" s="194" t="s">
        <v>159</v>
      </c>
      <c r="C68" s="199" t="s">
        <v>160</v>
      </c>
      <c r="D68" s="195" t="s">
        <v>161</v>
      </c>
      <c r="E68" s="195">
        <v>236</v>
      </c>
      <c r="F68" s="196">
        <v>12</v>
      </c>
      <c r="G68" s="195">
        <f t="shared" ref="G68:G82" si="6">E68*F68</f>
        <v>2832</v>
      </c>
      <c r="H68" s="195">
        <f t="shared" ref="H68:H80" si="7">G68*1.13</f>
        <v>3200.16</v>
      </c>
      <c r="I68" s="195">
        <f>728.33*4</f>
        <v>2913.32</v>
      </c>
      <c r="J68" s="197"/>
    </row>
    <row r="69" spans="1:10" x14ac:dyDescent="0.3">
      <c r="A69" s="189"/>
      <c r="B69" s="242" t="s">
        <v>162</v>
      </c>
      <c r="C69" s="198" t="s">
        <v>163</v>
      </c>
      <c r="D69" s="191" t="s">
        <v>164</v>
      </c>
      <c r="E69" s="191">
        <v>100</v>
      </c>
      <c r="F69" s="192">
        <v>12</v>
      </c>
      <c r="G69" s="243">
        <f t="shared" si="6"/>
        <v>1200</v>
      </c>
      <c r="H69" s="243">
        <f t="shared" si="7"/>
        <v>1355.9999999999998</v>
      </c>
      <c r="I69" s="191">
        <f>913.07*4/3</f>
        <v>1217.4266666666667</v>
      </c>
      <c r="J69" s="193"/>
    </row>
    <row r="70" spans="1:10" x14ac:dyDescent="0.3">
      <c r="A70" s="189"/>
      <c r="B70" s="194" t="s">
        <v>165</v>
      </c>
      <c r="C70" s="199" t="s">
        <v>1658</v>
      </c>
      <c r="D70" s="195" t="s">
        <v>166</v>
      </c>
      <c r="E70" s="195">
        <v>7.2999999999999995E-2</v>
      </c>
      <c r="F70" s="196">
        <v>20000</v>
      </c>
      <c r="G70" s="195">
        <f t="shared" si="6"/>
        <v>1460</v>
      </c>
      <c r="H70" s="195">
        <f t="shared" si="7"/>
        <v>1649.8</v>
      </c>
      <c r="I70" s="195">
        <f>2384.53*4/3</f>
        <v>3179.3733333333334</v>
      </c>
      <c r="J70" s="197"/>
    </row>
    <row r="71" spans="1:10" x14ac:dyDescent="0.3">
      <c r="A71" s="189"/>
      <c r="B71" s="242" t="s">
        <v>167</v>
      </c>
      <c r="C71" s="198" t="s">
        <v>1659</v>
      </c>
      <c r="D71" s="191" t="s">
        <v>166</v>
      </c>
      <c r="E71" s="191">
        <v>0.01</v>
      </c>
      <c r="F71" s="192">
        <v>85000</v>
      </c>
      <c r="G71" s="243">
        <f t="shared" si="6"/>
        <v>850</v>
      </c>
      <c r="H71" s="243">
        <f t="shared" si="7"/>
        <v>960.49999999999989</v>
      </c>
      <c r="I71" s="191"/>
      <c r="J71" s="193"/>
    </row>
    <row r="72" spans="1:10" x14ac:dyDescent="0.3">
      <c r="A72" s="189"/>
      <c r="B72" s="194"/>
      <c r="C72" s="199"/>
      <c r="D72" s="195"/>
      <c r="E72" s="195"/>
      <c r="F72" s="196"/>
      <c r="G72" s="195"/>
      <c r="H72" s="195"/>
      <c r="I72" s="195"/>
      <c r="J72" s="197"/>
    </row>
    <row r="73" spans="1:10" x14ac:dyDescent="0.3">
      <c r="A73" s="189" t="s">
        <v>10</v>
      </c>
      <c r="B73" s="190"/>
      <c r="C73" s="198"/>
      <c r="D73" s="191"/>
      <c r="E73" s="191"/>
      <c r="F73" s="192"/>
      <c r="G73" s="243"/>
      <c r="H73" s="243"/>
      <c r="I73" s="191"/>
      <c r="J73" s="193"/>
    </row>
    <row r="74" spans="1:10" x14ac:dyDescent="0.3">
      <c r="A74" s="189"/>
      <c r="B74" s="194" t="s">
        <v>168</v>
      </c>
      <c r="C74" s="199" t="s">
        <v>169</v>
      </c>
      <c r="D74" s="195" t="s">
        <v>170</v>
      </c>
      <c r="E74" s="195">
        <v>10</v>
      </c>
      <c r="F74" s="196">
        <v>12</v>
      </c>
      <c r="G74" s="195">
        <f t="shared" si="6"/>
        <v>120</v>
      </c>
      <c r="H74" s="195">
        <f>G74*1</f>
        <v>120</v>
      </c>
      <c r="I74" s="195">
        <v>110.85</v>
      </c>
      <c r="J74" s="197"/>
    </row>
    <row r="75" spans="1:10" x14ac:dyDescent="0.3">
      <c r="A75" s="189" t="s">
        <v>50</v>
      </c>
      <c r="B75" s="188"/>
      <c r="C75" s="198"/>
      <c r="D75" s="191"/>
      <c r="E75" s="191"/>
      <c r="F75" s="192"/>
      <c r="G75" s="243"/>
      <c r="H75" s="243"/>
      <c r="I75" s="191"/>
      <c r="J75" s="193"/>
    </row>
    <row r="76" spans="1:10" x14ac:dyDescent="0.3">
      <c r="A76" s="189"/>
      <c r="B76" s="194" t="s">
        <v>171</v>
      </c>
      <c r="C76" s="199" t="s">
        <v>172</v>
      </c>
      <c r="D76" s="195" t="s">
        <v>173</v>
      </c>
      <c r="E76" s="195">
        <v>1695</v>
      </c>
      <c r="F76" s="196">
        <v>1</v>
      </c>
      <c r="G76" s="195">
        <f t="shared" si="6"/>
        <v>1695</v>
      </c>
      <c r="H76" s="195">
        <f t="shared" si="7"/>
        <v>1915.35</v>
      </c>
      <c r="I76" s="195"/>
      <c r="J76" s="197"/>
    </row>
    <row r="77" spans="1:10" x14ac:dyDescent="0.3">
      <c r="A77" s="189" t="s">
        <v>51</v>
      </c>
      <c r="B77" s="188"/>
      <c r="C77" s="198"/>
      <c r="D77" s="191"/>
      <c r="E77" s="191"/>
      <c r="F77" s="192"/>
      <c r="G77" s="243"/>
      <c r="H77" s="243"/>
      <c r="I77" s="191"/>
      <c r="J77" s="193"/>
    </row>
    <row r="78" spans="1:10" x14ac:dyDescent="0.3">
      <c r="A78" s="189"/>
      <c r="B78" s="194" t="s">
        <v>174</v>
      </c>
      <c r="C78" s="199" t="s">
        <v>175</v>
      </c>
      <c r="D78" s="195" t="s">
        <v>176</v>
      </c>
      <c r="E78" s="195">
        <v>11000</v>
      </c>
      <c r="F78" s="196">
        <v>1</v>
      </c>
      <c r="G78" s="195">
        <f t="shared" si="6"/>
        <v>11000</v>
      </c>
      <c r="H78" s="195">
        <f t="shared" si="7"/>
        <v>12429.999999999998</v>
      </c>
      <c r="I78" s="195">
        <v>12719.01</v>
      </c>
      <c r="J78" s="197">
        <v>12719.01</v>
      </c>
    </row>
    <row r="79" spans="1:10" x14ac:dyDescent="0.3">
      <c r="A79" s="189" t="s">
        <v>52</v>
      </c>
      <c r="B79" s="188"/>
      <c r="C79" s="198"/>
      <c r="D79" s="191"/>
      <c r="E79" s="191"/>
      <c r="F79" s="192"/>
      <c r="G79" s="243"/>
      <c r="H79" s="243"/>
      <c r="I79" s="191"/>
      <c r="J79" s="193"/>
    </row>
    <row r="80" spans="1:10" x14ac:dyDescent="0.3">
      <c r="A80" s="189"/>
      <c r="B80" s="194" t="s">
        <v>177</v>
      </c>
      <c r="C80" s="199" t="s">
        <v>178</v>
      </c>
      <c r="D80" s="195" t="s">
        <v>176</v>
      </c>
      <c r="E80" s="195">
        <v>10.5</v>
      </c>
      <c r="F80" s="196">
        <v>795</v>
      </c>
      <c r="G80" s="195">
        <f t="shared" si="6"/>
        <v>8347.5</v>
      </c>
      <c r="H80" s="195">
        <f t="shared" si="7"/>
        <v>9432.6749999999993</v>
      </c>
      <c r="I80" s="195">
        <v>9432.6749999999993</v>
      </c>
      <c r="J80" s="197"/>
    </row>
    <row r="81" spans="1:10" x14ac:dyDescent="0.3">
      <c r="A81" s="189" t="s">
        <v>53</v>
      </c>
      <c r="B81" s="190"/>
      <c r="C81" s="198"/>
      <c r="D81" s="191"/>
      <c r="E81" s="191"/>
      <c r="F81" s="192"/>
      <c r="G81" s="243"/>
      <c r="H81" s="243"/>
      <c r="I81" s="191"/>
      <c r="J81" s="193"/>
    </row>
    <row r="82" spans="1:10" x14ac:dyDescent="0.3">
      <c r="A82" s="189"/>
      <c r="B82" s="194" t="s">
        <v>179</v>
      </c>
      <c r="C82" s="199" t="s">
        <v>180</v>
      </c>
      <c r="D82" s="195" t="s">
        <v>176</v>
      </c>
      <c r="E82" s="195">
        <v>14.86</v>
      </c>
      <c r="F82" s="196">
        <v>1800</v>
      </c>
      <c r="G82" s="195">
        <f t="shared" si="6"/>
        <v>26748</v>
      </c>
      <c r="H82" s="195">
        <f>G82*1</f>
        <v>26748</v>
      </c>
      <c r="I82" s="195">
        <f>12448.09</f>
        <v>12448.09</v>
      </c>
      <c r="J82" s="197"/>
    </row>
    <row r="83" spans="1:10" x14ac:dyDescent="0.3">
      <c r="A83" s="495"/>
      <c r="B83" s="242"/>
      <c r="C83" s="270"/>
      <c r="D83" s="243"/>
      <c r="E83" s="243"/>
      <c r="F83" s="244"/>
      <c r="G83" s="243"/>
      <c r="H83" s="243"/>
      <c r="I83" s="243"/>
      <c r="J83" s="245"/>
    </row>
    <row r="84" spans="1:10" x14ac:dyDescent="0.3">
      <c r="A84" s="189"/>
      <c r="B84" s="201" t="s">
        <v>181</v>
      </c>
      <c r="C84" s="202"/>
      <c r="D84" s="205"/>
      <c r="E84" s="205"/>
      <c r="F84" s="210"/>
      <c r="G84" s="205"/>
      <c r="H84" s="205">
        <f>SUM(H66:H82)</f>
        <v>60660.084999999992</v>
      </c>
      <c r="I84" s="205">
        <f t="shared" ref="I84:J84" si="8">SUM(I66:I82)</f>
        <v>43852.345000000001</v>
      </c>
      <c r="J84" s="206">
        <f t="shared" si="8"/>
        <v>12719.01</v>
      </c>
    </row>
    <row r="85" spans="1:10" x14ac:dyDescent="0.3">
      <c r="A85" s="189"/>
      <c r="B85" s="185"/>
      <c r="C85" s="185"/>
      <c r="D85" s="207"/>
      <c r="E85" s="207"/>
      <c r="F85" s="208"/>
      <c r="G85" s="207"/>
      <c r="H85" s="207"/>
      <c r="I85" s="207"/>
      <c r="J85" s="209"/>
    </row>
    <row r="86" spans="1:10" x14ac:dyDescent="0.3">
      <c r="A86" s="189" t="s">
        <v>58</v>
      </c>
      <c r="B86" s="188"/>
      <c r="C86" s="190"/>
      <c r="D86" s="191"/>
      <c r="E86" s="191"/>
      <c r="F86" s="192"/>
      <c r="G86" s="191"/>
      <c r="H86" s="191"/>
      <c r="I86" s="191"/>
      <c r="J86" s="193"/>
    </row>
    <row r="87" spans="1:10" x14ac:dyDescent="0.3">
      <c r="A87" s="189" t="s">
        <v>59</v>
      </c>
      <c r="B87" s="188"/>
      <c r="C87" s="190"/>
      <c r="D87" s="191"/>
      <c r="E87" s="191"/>
      <c r="F87" s="192"/>
      <c r="G87" s="191"/>
      <c r="H87" s="191"/>
      <c r="I87" s="191"/>
      <c r="J87" s="193"/>
    </row>
    <row r="88" spans="1:10" x14ac:dyDescent="0.3">
      <c r="A88" s="189"/>
      <c r="B88" s="194" t="s">
        <v>182</v>
      </c>
      <c r="C88" s="199" t="s">
        <v>183</v>
      </c>
      <c r="D88" s="195" t="s">
        <v>184</v>
      </c>
      <c r="E88" s="195">
        <v>50</v>
      </c>
      <c r="F88" s="196">
        <v>13</v>
      </c>
      <c r="G88" s="195">
        <f>E88*F88</f>
        <v>650</v>
      </c>
      <c r="H88" s="195">
        <v>650</v>
      </c>
      <c r="I88" s="195">
        <v>750</v>
      </c>
      <c r="J88" s="197">
        <v>750</v>
      </c>
    </row>
    <row r="89" spans="1:10" x14ac:dyDescent="0.3">
      <c r="A89" s="189"/>
      <c r="B89" s="242" t="s">
        <v>185</v>
      </c>
      <c r="C89" s="198" t="s">
        <v>186</v>
      </c>
      <c r="D89" s="191" t="s">
        <v>187</v>
      </c>
      <c r="E89" s="191">
        <v>17.100000000000001</v>
      </c>
      <c r="F89" s="192">
        <v>560</v>
      </c>
      <c r="G89" s="243">
        <f t="shared" ref="G89:G101" si="9">E89*F89</f>
        <v>9576</v>
      </c>
      <c r="H89" s="191">
        <v>9577.57</v>
      </c>
      <c r="I89" s="191">
        <v>9577.57</v>
      </c>
      <c r="J89" s="193"/>
    </row>
    <row r="90" spans="1:10" x14ac:dyDescent="0.3">
      <c r="A90" s="189"/>
      <c r="B90" s="194" t="s">
        <v>188</v>
      </c>
      <c r="C90" s="199" t="s">
        <v>189</v>
      </c>
      <c r="D90" s="195" t="s">
        <v>187</v>
      </c>
      <c r="E90" s="195">
        <v>17.100000000000001</v>
      </c>
      <c r="F90" s="196">
        <v>560</v>
      </c>
      <c r="G90" s="195">
        <f t="shared" si="9"/>
        <v>9576</v>
      </c>
      <c r="H90" s="195">
        <v>9576</v>
      </c>
      <c r="I90" s="195">
        <v>9576</v>
      </c>
      <c r="J90" s="197"/>
    </row>
    <row r="91" spans="1:10" x14ac:dyDescent="0.3">
      <c r="A91" s="189"/>
      <c r="B91" s="242" t="s">
        <v>190</v>
      </c>
      <c r="C91" s="198" t="s">
        <v>191</v>
      </c>
      <c r="D91" s="191" t="s">
        <v>187</v>
      </c>
      <c r="E91" s="191">
        <v>17.100000000000001</v>
      </c>
      <c r="F91" s="192">
        <v>560</v>
      </c>
      <c r="G91" s="243">
        <f t="shared" si="9"/>
        <v>9576</v>
      </c>
      <c r="H91" s="191">
        <v>9576</v>
      </c>
      <c r="I91" s="191">
        <v>9576</v>
      </c>
      <c r="J91" s="193"/>
    </row>
    <row r="92" spans="1:10" x14ac:dyDescent="0.3">
      <c r="A92" s="189"/>
      <c r="B92" s="194"/>
      <c r="C92" s="199"/>
      <c r="D92" s="195"/>
      <c r="E92" s="195"/>
      <c r="F92" s="196"/>
      <c r="G92" s="195"/>
      <c r="H92" s="195"/>
      <c r="I92" s="195"/>
      <c r="J92" s="197"/>
    </row>
    <row r="93" spans="1:10" x14ac:dyDescent="0.3">
      <c r="A93" s="189" t="s">
        <v>60</v>
      </c>
      <c r="B93" s="190"/>
      <c r="C93" s="198"/>
      <c r="D93" s="191"/>
      <c r="E93" s="191"/>
      <c r="F93" s="192"/>
      <c r="G93" s="243"/>
      <c r="H93" s="191"/>
      <c r="I93" s="191"/>
      <c r="J93" s="193"/>
    </row>
    <row r="94" spans="1:10" x14ac:dyDescent="0.3">
      <c r="A94" s="189"/>
      <c r="B94" s="194" t="s">
        <v>192</v>
      </c>
      <c r="C94" s="199" t="s">
        <v>193</v>
      </c>
      <c r="D94" s="195" t="s">
        <v>194</v>
      </c>
      <c r="E94" s="195">
        <v>88.2</v>
      </c>
      <c r="F94" s="196">
        <v>8</v>
      </c>
      <c r="G94" s="195">
        <f t="shared" si="9"/>
        <v>705.6</v>
      </c>
      <c r="H94" s="195">
        <v>797.33</v>
      </c>
      <c r="I94" s="195">
        <v>797.33</v>
      </c>
      <c r="J94" s="197"/>
    </row>
    <row r="95" spans="1:10" x14ac:dyDescent="0.3">
      <c r="A95" s="189" t="s">
        <v>61</v>
      </c>
      <c r="B95" s="190"/>
      <c r="C95" s="198"/>
      <c r="D95" s="191"/>
      <c r="E95" s="191"/>
      <c r="F95" s="192"/>
      <c r="G95" s="243"/>
      <c r="H95" s="191"/>
      <c r="I95" s="191"/>
      <c r="J95" s="193"/>
    </row>
    <row r="96" spans="1:10" x14ac:dyDescent="0.3">
      <c r="A96" s="189"/>
      <c r="B96" s="194" t="s">
        <v>195</v>
      </c>
      <c r="C96" s="199" t="s">
        <v>196</v>
      </c>
      <c r="D96" s="195" t="s">
        <v>194</v>
      </c>
      <c r="E96" s="195">
        <v>150.38999999999999</v>
      </c>
      <c r="F96" s="196">
        <v>8</v>
      </c>
      <c r="G96" s="195">
        <f t="shared" si="9"/>
        <v>1203.1199999999999</v>
      </c>
      <c r="H96" s="195">
        <v>1203.1199999999999</v>
      </c>
      <c r="I96" s="195">
        <v>1203.1199999999999</v>
      </c>
      <c r="J96" s="197"/>
    </row>
    <row r="97" spans="1:11" x14ac:dyDescent="0.3">
      <c r="A97" s="189" t="s">
        <v>197</v>
      </c>
      <c r="B97" s="188"/>
      <c r="C97" s="188"/>
      <c r="D97" s="191"/>
      <c r="E97" s="191"/>
      <c r="F97" s="192"/>
      <c r="G97" s="243"/>
      <c r="H97" s="191"/>
      <c r="I97" s="191"/>
      <c r="J97" s="193"/>
    </row>
    <row r="98" spans="1:11" x14ac:dyDescent="0.3">
      <c r="A98" s="189"/>
      <c r="B98" s="194" t="s">
        <v>198</v>
      </c>
      <c r="C98" s="199" t="s">
        <v>199</v>
      </c>
      <c r="D98" s="195" t="s">
        <v>200</v>
      </c>
      <c r="E98" s="195">
        <v>5000</v>
      </c>
      <c r="F98" s="196">
        <v>1</v>
      </c>
      <c r="G98" s="195">
        <f t="shared" si="9"/>
        <v>5000</v>
      </c>
      <c r="H98" s="195">
        <v>5000</v>
      </c>
      <c r="I98" s="195">
        <v>5000</v>
      </c>
      <c r="J98" s="197"/>
    </row>
    <row r="99" spans="1:11" x14ac:dyDescent="0.3">
      <c r="A99" s="189"/>
      <c r="B99" s="242" t="s">
        <v>201</v>
      </c>
      <c r="C99" s="190" t="s">
        <v>202</v>
      </c>
      <c r="D99" s="191" t="s">
        <v>203</v>
      </c>
      <c r="E99" s="191">
        <v>1774.5</v>
      </c>
      <c r="F99" s="192">
        <v>1</v>
      </c>
      <c r="G99" s="243">
        <f t="shared" si="9"/>
        <v>1774.5</v>
      </c>
      <c r="H99" s="191">
        <v>1774.5</v>
      </c>
      <c r="I99" s="191">
        <v>1774.5</v>
      </c>
      <c r="J99" s="193"/>
    </row>
    <row r="100" spans="1:11" x14ac:dyDescent="0.3">
      <c r="A100" s="189"/>
      <c r="B100" s="194" t="s">
        <v>204</v>
      </c>
      <c r="C100" s="194" t="s">
        <v>205</v>
      </c>
      <c r="D100" s="195"/>
      <c r="E100" s="195">
        <v>1000</v>
      </c>
      <c r="F100" s="196">
        <v>1</v>
      </c>
      <c r="G100" s="195">
        <f t="shared" si="9"/>
        <v>1000</v>
      </c>
      <c r="H100" s="195">
        <f>G100</f>
        <v>1000</v>
      </c>
      <c r="I100" s="195">
        <v>1000</v>
      </c>
      <c r="J100" s="197"/>
    </row>
    <row r="101" spans="1:11" x14ac:dyDescent="0.3">
      <c r="A101" s="189"/>
      <c r="B101" s="242" t="s">
        <v>206</v>
      </c>
      <c r="C101" s="190" t="s">
        <v>207</v>
      </c>
      <c r="D101" s="191"/>
      <c r="E101" s="191">
        <v>1000</v>
      </c>
      <c r="F101" s="192">
        <v>1</v>
      </c>
      <c r="G101" s="243">
        <f t="shared" si="9"/>
        <v>1000</v>
      </c>
      <c r="H101" s="191">
        <v>1000</v>
      </c>
      <c r="I101" s="191">
        <v>1240.8599999999999</v>
      </c>
      <c r="J101" s="193"/>
    </row>
    <row r="102" spans="1:11" x14ac:dyDescent="0.3">
      <c r="A102" s="189"/>
      <c r="B102" s="238"/>
      <c r="C102" s="238"/>
      <c r="D102" s="239"/>
      <c r="E102" s="239"/>
      <c r="F102" s="240"/>
      <c r="G102" s="239"/>
      <c r="H102" s="239"/>
      <c r="I102" s="239"/>
      <c r="J102" s="241"/>
    </row>
    <row r="103" spans="1:11" x14ac:dyDescent="0.3">
      <c r="A103" s="189"/>
      <c r="B103" s="201" t="s">
        <v>63</v>
      </c>
      <c r="C103" s="202"/>
      <c r="D103" s="205"/>
      <c r="E103" s="205"/>
      <c r="F103" s="210"/>
      <c r="G103" s="205"/>
      <c r="H103" s="205">
        <f>SUM(H88:H101)</f>
        <v>40154.520000000004</v>
      </c>
      <c r="I103" s="205">
        <f t="shared" ref="I103:J103" si="10">SUM(I88:I101)</f>
        <v>40495.380000000005</v>
      </c>
      <c r="J103" s="206">
        <f t="shared" si="10"/>
        <v>750</v>
      </c>
    </row>
    <row r="104" spans="1:11" x14ac:dyDescent="0.3">
      <c r="A104" s="189"/>
      <c r="B104" s="190"/>
      <c r="C104" s="190"/>
      <c r="D104" s="191"/>
      <c r="E104" s="191"/>
      <c r="F104" s="192"/>
      <c r="G104" s="191"/>
      <c r="H104" s="191"/>
      <c r="I104" s="191"/>
      <c r="J104" s="193"/>
    </row>
    <row r="105" spans="1:11" x14ac:dyDescent="0.3">
      <c r="A105" s="189" t="s">
        <v>64</v>
      </c>
      <c r="B105" s="188"/>
      <c r="C105" s="188"/>
      <c r="D105" s="191"/>
      <c r="E105" s="191"/>
      <c r="F105" s="192"/>
      <c r="G105" s="191"/>
      <c r="H105" s="191"/>
      <c r="I105" s="191"/>
      <c r="J105" s="193"/>
    </row>
    <row r="106" spans="1:11" x14ac:dyDescent="0.3">
      <c r="A106" s="189" t="s">
        <v>65</v>
      </c>
      <c r="B106" s="188"/>
      <c r="C106" s="190"/>
      <c r="D106" s="191"/>
      <c r="E106" s="191"/>
      <c r="F106" s="192"/>
      <c r="G106" s="191"/>
      <c r="H106" s="191"/>
      <c r="I106" s="191"/>
      <c r="J106" s="193"/>
    </row>
    <row r="107" spans="1:11" x14ac:dyDescent="0.3">
      <c r="A107" s="189"/>
      <c r="B107" s="194" t="s">
        <v>208</v>
      </c>
      <c r="C107" s="199" t="s">
        <v>209</v>
      </c>
      <c r="D107" s="195" t="s">
        <v>210</v>
      </c>
      <c r="E107" s="195">
        <v>35</v>
      </c>
      <c r="F107" s="196">
        <v>450</v>
      </c>
      <c r="G107" s="195">
        <f>E107*F107</f>
        <v>15750</v>
      </c>
      <c r="H107" s="195">
        <v>17797.5</v>
      </c>
      <c r="I107" s="195">
        <f>8681.24*12/9</f>
        <v>11574.986666666668</v>
      </c>
      <c r="J107" s="197"/>
    </row>
    <row r="108" spans="1:11" x14ac:dyDescent="0.3">
      <c r="A108" s="189"/>
      <c r="B108" s="242" t="s">
        <v>211</v>
      </c>
      <c r="C108" s="198" t="s">
        <v>212</v>
      </c>
      <c r="D108" s="191" t="s">
        <v>213</v>
      </c>
      <c r="E108" s="191">
        <v>2600</v>
      </c>
      <c r="F108" s="192">
        <v>1</v>
      </c>
      <c r="G108" s="243">
        <f t="shared" ref="G108:G158" si="11">E108*F108</f>
        <v>2600</v>
      </c>
      <c r="H108" s="191">
        <v>2938</v>
      </c>
      <c r="I108" s="191">
        <v>2938</v>
      </c>
      <c r="J108" s="193"/>
    </row>
    <row r="109" spans="1:11" x14ac:dyDescent="0.3">
      <c r="A109" s="189"/>
      <c r="B109" s="194"/>
      <c r="C109" s="199"/>
      <c r="D109" s="195"/>
      <c r="E109" s="195"/>
      <c r="F109" s="196"/>
      <c r="G109" s="195"/>
      <c r="H109" s="195"/>
      <c r="I109" s="195"/>
      <c r="J109" s="197"/>
      <c r="K109" s="373"/>
    </row>
    <row r="110" spans="1:11" x14ac:dyDescent="0.3">
      <c r="A110" s="189" t="s">
        <v>214</v>
      </c>
      <c r="B110" s="188"/>
      <c r="C110" s="188"/>
      <c r="D110" s="191"/>
      <c r="E110" s="191"/>
      <c r="F110" s="192"/>
      <c r="G110" s="243"/>
      <c r="H110" s="191"/>
      <c r="I110" s="191"/>
      <c r="J110" s="193"/>
      <c r="K110" s="373"/>
    </row>
    <row r="111" spans="1:11" x14ac:dyDescent="0.3">
      <c r="A111" s="189"/>
      <c r="B111" s="194" t="s">
        <v>215</v>
      </c>
      <c r="C111" s="194" t="s">
        <v>216</v>
      </c>
      <c r="D111" s="195" t="s">
        <v>217</v>
      </c>
      <c r="E111" s="195">
        <v>53013.82</v>
      </c>
      <c r="F111" s="196">
        <v>1</v>
      </c>
      <c r="G111" s="195">
        <f t="shared" si="11"/>
        <v>53013.82</v>
      </c>
      <c r="H111" s="195">
        <v>53013.82</v>
      </c>
      <c r="I111" s="195">
        <v>67200</v>
      </c>
      <c r="J111" s="197">
        <v>67200</v>
      </c>
      <c r="K111" s="373"/>
    </row>
    <row r="112" spans="1:11" x14ac:dyDescent="0.3">
      <c r="A112" s="189"/>
      <c r="B112" s="242" t="s">
        <v>218</v>
      </c>
      <c r="C112" s="190" t="s">
        <v>216</v>
      </c>
      <c r="D112" s="191" t="s">
        <v>219</v>
      </c>
      <c r="E112" s="191">
        <v>12954.18</v>
      </c>
      <c r="F112" s="192">
        <v>1</v>
      </c>
      <c r="G112" s="243">
        <f t="shared" si="11"/>
        <v>12954.18</v>
      </c>
      <c r="H112" s="191">
        <v>12954.18</v>
      </c>
      <c r="I112" s="191"/>
      <c r="J112" s="193"/>
      <c r="K112" s="373"/>
    </row>
    <row r="113" spans="1:11" x14ac:dyDescent="0.3">
      <c r="A113" s="189"/>
      <c r="B113" s="194" t="s">
        <v>220</v>
      </c>
      <c r="C113" s="194" t="s">
        <v>221</v>
      </c>
      <c r="D113" s="195" t="s">
        <v>222</v>
      </c>
      <c r="E113" s="195">
        <v>1473.7</v>
      </c>
      <c r="F113" s="196">
        <v>1</v>
      </c>
      <c r="G113" s="195">
        <f t="shared" si="11"/>
        <v>1473.7</v>
      </c>
      <c r="H113" s="195">
        <f>G113</f>
        <v>1473.7</v>
      </c>
      <c r="I113" s="195">
        <v>1473.7</v>
      </c>
      <c r="J113" s="197"/>
      <c r="K113" s="373"/>
    </row>
    <row r="114" spans="1:11" x14ac:dyDescent="0.3">
      <c r="A114" s="189" t="s">
        <v>67</v>
      </c>
      <c r="B114" s="190"/>
      <c r="C114" s="190"/>
      <c r="D114" s="191"/>
      <c r="E114" s="191"/>
      <c r="F114" s="192"/>
      <c r="G114" s="243"/>
      <c r="H114" s="191"/>
      <c r="I114" s="191"/>
      <c r="J114" s="193"/>
      <c r="K114" s="373"/>
    </row>
    <row r="115" spans="1:11" x14ac:dyDescent="0.3">
      <c r="A115" s="216"/>
      <c r="B115" s="194" t="s">
        <v>223</v>
      </c>
      <c r="C115" s="194" t="s">
        <v>224</v>
      </c>
      <c r="D115" s="195" t="s">
        <v>225</v>
      </c>
      <c r="E115" s="195">
        <v>1690</v>
      </c>
      <c r="F115" s="196">
        <v>12</v>
      </c>
      <c r="G115" s="195">
        <f t="shared" si="11"/>
        <v>20280</v>
      </c>
      <c r="H115" s="195">
        <v>20280</v>
      </c>
      <c r="I115" s="195">
        <v>20280</v>
      </c>
      <c r="J115" s="197"/>
    </row>
    <row r="116" spans="1:11" x14ac:dyDescent="0.3">
      <c r="A116" s="189" t="s">
        <v>68</v>
      </c>
      <c r="B116" s="188"/>
      <c r="C116" s="188"/>
      <c r="D116" s="191"/>
      <c r="E116" s="191"/>
      <c r="F116" s="192"/>
      <c r="G116" s="243"/>
      <c r="H116" s="191"/>
      <c r="I116" s="191"/>
      <c r="J116" s="193"/>
    </row>
    <row r="117" spans="1:11" x14ac:dyDescent="0.3">
      <c r="A117" s="216"/>
      <c r="B117" s="194" t="s">
        <v>226</v>
      </c>
      <c r="C117" s="194" t="s">
        <v>227</v>
      </c>
      <c r="D117" s="195" t="s">
        <v>228</v>
      </c>
      <c r="E117" s="195">
        <v>385</v>
      </c>
      <c r="F117" s="196">
        <v>12</v>
      </c>
      <c r="G117" s="195">
        <f t="shared" si="11"/>
        <v>4620</v>
      </c>
      <c r="H117" s="195">
        <v>4620</v>
      </c>
      <c r="I117" s="195">
        <f>4482.9*12/9</f>
        <v>5977.2</v>
      </c>
      <c r="J117" s="197"/>
    </row>
    <row r="118" spans="1:11" x14ac:dyDescent="0.3">
      <c r="A118" s="216"/>
      <c r="B118" s="190" t="s">
        <v>229</v>
      </c>
      <c r="C118" s="190" t="s">
        <v>227</v>
      </c>
      <c r="D118" s="191" t="s">
        <v>230</v>
      </c>
      <c r="E118" s="191">
        <v>55</v>
      </c>
      <c r="F118" s="192">
        <v>12</v>
      </c>
      <c r="G118" s="243">
        <f t="shared" si="11"/>
        <v>660</v>
      </c>
      <c r="H118" s="191">
        <v>660</v>
      </c>
      <c r="I118" s="191"/>
      <c r="J118" s="193"/>
    </row>
    <row r="119" spans="1:11" x14ac:dyDescent="0.3">
      <c r="A119" s="216"/>
      <c r="B119" s="194"/>
      <c r="C119" s="194"/>
      <c r="D119" s="195"/>
      <c r="E119" s="195"/>
      <c r="F119" s="196"/>
      <c r="G119" s="195"/>
      <c r="H119" s="195"/>
      <c r="I119" s="195"/>
      <c r="J119" s="197"/>
    </row>
    <row r="120" spans="1:11" x14ac:dyDescent="0.3">
      <c r="A120" s="189" t="s">
        <v>231</v>
      </c>
      <c r="B120" s="190"/>
      <c r="C120" s="190"/>
      <c r="D120" s="191"/>
      <c r="E120" s="191"/>
      <c r="F120" s="192"/>
      <c r="G120" s="243"/>
      <c r="H120" s="191"/>
      <c r="I120" s="191"/>
      <c r="J120" s="193"/>
    </row>
    <row r="121" spans="1:11" x14ac:dyDescent="0.3">
      <c r="A121" s="216"/>
      <c r="B121" s="194" t="s">
        <v>232</v>
      </c>
      <c r="C121" s="194" t="s">
        <v>233</v>
      </c>
      <c r="D121" s="195" t="s">
        <v>234</v>
      </c>
      <c r="E121" s="195">
        <v>3855.6</v>
      </c>
      <c r="F121" s="196">
        <v>1</v>
      </c>
      <c r="G121" s="195">
        <f t="shared" si="11"/>
        <v>3855.6</v>
      </c>
      <c r="H121" s="195">
        <v>3855.6</v>
      </c>
      <c r="I121" s="195">
        <v>4000</v>
      </c>
      <c r="J121" s="197">
        <v>4000</v>
      </c>
    </row>
    <row r="122" spans="1:11" x14ac:dyDescent="0.3">
      <c r="A122" s="216"/>
      <c r="B122" s="190" t="s">
        <v>235</v>
      </c>
      <c r="C122" s="190" t="s">
        <v>236</v>
      </c>
      <c r="D122" s="191" t="s">
        <v>237</v>
      </c>
      <c r="E122" s="191">
        <v>1279.8</v>
      </c>
      <c r="F122" s="192">
        <v>1</v>
      </c>
      <c r="G122" s="243">
        <f t="shared" si="11"/>
        <v>1279.8</v>
      </c>
      <c r="H122" s="191">
        <v>1279.8</v>
      </c>
      <c r="I122" s="191">
        <v>1279.8</v>
      </c>
      <c r="J122" s="193"/>
    </row>
    <row r="123" spans="1:11" x14ac:dyDescent="0.3">
      <c r="A123" s="216"/>
      <c r="B123" s="194"/>
      <c r="C123" s="194"/>
      <c r="D123" s="195"/>
      <c r="E123" s="195"/>
      <c r="F123" s="196"/>
      <c r="G123" s="195"/>
      <c r="H123" s="195"/>
      <c r="I123" s="195"/>
      <c r="J123" s="197"/>
    </row>
    <row r="124" spans="1:11" x14ac:dyDescent="0.3">
      <c r="A124" s="189" t="s">
        <v>70</v>
      </c>
      <c r="B124" s="190"/>
      <c r="C124" s="190"/>
      <c r="D124" s="191"/>
      <c r="E124" s="191"/>
      <c r="F124" s="192"/>
      <c r="G124" s="243"/>
      <c r="H124" s="191"/>
      <c r="I124" s="191"/>
      <c r="J124" s="193"/>
    </row>
    <row r="125" spans="1:11" x14ac:dyDescent="0.3">
      <c r="A125" s="189"/>
      <c r="B125" s="242" t="s">
        <v>238</v>
      </c>
      <c r="C125" s="190" t="s">
        <v>239</v>
      </c>
      <c r="D125" s="191" t="s">
        <v>240</v>
      </c>
      <c r="E125" s="191">
        <v>88.69</v>
      </c>
      <c r="F125" s="192">
        <v>12</v>
      </c>
      <c r="G125" s="243">
        <f t="shared" si="11"/>
        <v>1064.28</v>
      </c>
      <c r="H125" s="191">
        <v>1202.5999999999999</v>
      </c>
      <c r="I125" s="191"/>
      <c r="J125" s="193"/>
    </row>
    <row r="126" spans="1:11" x14ac:dyDescent="0.3">
      <c r="A126" s="216"/>
      <c r="B126" s="194" t="s">
        <v>241</v>
      </c>
      <c r="C126" s="194" t="s">
        <v>242</v>
      </c>
      <c r="D126" s="195" t="s">
        <v>243</v>
      </c>
      <c r="E126" s="217">
        <v>1.9449999999999999E-2</v>
      </c>
      <c r="F126" s="194">
        <v>79200</v>
      </c>
      <c r="G126" s="195">
        <f t="shared" si="11"/>
        <v>1540.4399999999998</v>
      </c>
      <c r="H126" s="195">
        <v>1740.7</v>
      </c>
      <c r="I126" s="195"/>
      <c r="J126" s="197"/>
    </row>
    <row r="127" spans="1:11" x14ac:dyDescent="0.3">
      <c r="A127" s="189"/>
      <c r="B127" s="242" t="s">
        <v>244</v>
      </c>
      <c r="C127" s="190" t="s">
        <v>242</v>
      </c>
      <c r="D127" s="191" t="s">
        <v>245</v>
      </c>
      <c r="E127" s="218">
        <v>9.7000000000000003E-2</v>
      </c>
      <c r="F127" s="192">
        <v>732</v>
      </c>
      <c r="G127" s="243">
        <f t="shared" si="11"/>
        <v>71.004000000000005</v>
      </c>
      <c r="H127" s="191">
        <v>80.23</v>
      </c>
      <c r="I127" s="191"/>
      <c r="J127" s="193"/>
    </row>
    <row r="128" spans="1:11" x14ac:dyDescent="0.3">
      <c r="A128" s="216"/>
      <c r="B128" s="194" t="s">
        <v>246</v>
      </c>
      <c r="C128" s="194" t="s">
        <v>247</v>
      </c>
      <c r="D128" s="195" t="s">
        <v>248</v>
      </c>
      <c r="E128" s="195">
        <v>30</v>
      </c>
      <c r="F128" s="196">
        <v>4</v>
      </c>
      <c r="G128" s="195">
        <f t="shared" si="11"/>
        <v>120</v>
      </c>
      <c r="H128" s="195">
        <f>F128*G128</f>
        <v>480</v>
      </c>
      <c r="I128" s="195">
        <f>3656.83*12/9</f>
        <v>4875.7733333333335</v>
      </c>
      <c r="J128" s="197"/>
    </row>
    <row r="129" spans="1:10" x14ac:dyDescent="0.3">
      <c r="A129" s="189"/>
      <c r="B129" s="190"/>
      <c r="C129" s="190"/>
      <c r="D129" s="191"/>
      <c r="E129" s="191"/>
      <c r="F129" s="192"/>
      <c r="G129" s="243"/>
      <c r="H129" s="191"/>
      <c r="I129" s="191"/>
      <c r="J129" s="193"/>
    </row>
    <row r="130" spans="1:10" x14ac:dyDescent="0.3">
      <c r="A130" s="189"/>
      <c r="B130" s="194"/>
      <c r="C130" s="194"/>
      <c r="D130" s="195"/>
      <c r="E130" s="195"/>
      <c r="F130" s="196"/>
      <c r="G130" s="195"/>
      <c r="H130" s="195"/>
      <c r="I130" s="195"/>
      <c r="J130" s="197"/>
    </row>
    <row r="131" spans="1:10" x14ac:dyDescent="0.3">
      <c r="A131" s="189"/>
      <c r="B131" s="201" t="s">
        <v>71</v>
      </c>
      <c r="C131" s="202"/>
      <c r="D131" s="205"/>
      <c r="E131" s="205"/>
      <c r="F131" s="210"/>
      <c r="G131" s="503"/>
      <c r="H131" s="205">
        <f>SUM(H107:H130)</f>
        <v>122376.13</v>
      </c>
      <c r="I131" s="205">
        <f t="shared" ref="I131:J131" si="12">SUM(I107:I130)</f>
        <v>119599.45999999999</v>
      </c>
      <c r="J131" s="206">
        <f t="shared" si="12"/>
        <v>71200</v>
      </c>
    </row>
    <row r="132" spans="1:10" x14ac:dyDescent="0.3">
      <c r="A132" s="189"/>
      <c r="B132" s="190"/>
      <c r="C132" s="190"/>
      <c r="D132" s="191"/>
      <c r="E132" s="191"/>
      <c r="F132" s="192"/>
      <c r="G132" s="243"/>
      <c r="H132" s="191"/>
      <c r="I132" s="191"/>
      <c r="J132" s="193"/>
    </row>
    <row r="133" spans="1:10" x14ac:dyDescent="0.3">
      <c r="A133" s="189" t="s">
        <v>72</v>
      </c>
      <c r="B133" s="188"/>
      <c r="C133" s="190"/>
      <c r="D133" s="191"/>
      <c r="E133" s="191"/>
      <c r="F133" s="192"/>
      <c r="G133" s="243"/>
      <c r="H133" s="191"/>
      <c r="I133" s="191"/>
      <c r="J133" s="193"/>
    </row>
    <row r="134" spans="1:10" x14ac:dyDescent="0.3">
      <c r="A134" s="189" t="s">
        <v>73</v>
      </c>
      <c r="B134" s="185"/>
      <c r="C134" s="190"/>
      <c r="D134" s="191"/>
      <c r="E134" s="191"/>
      <c r="F134" s="192"/>
      <c r="G134" s="243"/>
      <c r="H134" s="191"/>
      <c r="I134" s="191"/>
      <c r="J134" s="193"/>
    </row>
    <row r="135" spans="1:10" x14ac:dyDescent="0.3">
      <c r="A135" s="189"/>
      <c r="B135" s="194" t="s">
        <v>249</v>
      </c>
      <c r="C135" s="199" t="s">
        <v>250</v>
      </c>
      <c r="D135" s="195" t="s">
        <v>251</v>
      </c>
      <c r="E135" s="195">
        <v>6</v>
      </c>
      <c r="F135" s="196">
        <v>5</v>
      </c>
      <c r="G135" s="195">
        <f t="shared" si="11"/>
        <v>30</v>
      </c>
      <c r="H135" s="195">
        <v>30</v>
      </c>
      <c r="I135" s="195">
        <v>13.53</v>
      </c>
      <c r="J135" s="197"/>
    </row>
    <row r="136" spans="1:10" x14ac:dyDescent="0.3">
      <c r="A136" s="189" t="s">
        <v>74</v>
      </c>
      <c r="B136" s="190"/>
      <c r="C136" s="190"/>
      <c r="D136" s="191"/>
      <c r="E136" s="191"/>
      <c r="F136" s="192"/>
      <c r="G136" s="243"/>
      <c r="H136" s="191"/>
      <c r="I136" s="191"/>
      <c r="J136" s="193"/>
    </row>
    <row r="137" spans="1:10" x14ac:dyDescent="0.3">
      <c r="A137" s="189"/>
      <c r="B137" s="194" t="s">
        <v>252</v>
      </c>
      <c r="C137" s="194" t="s">
        <v>253</v>
      </c>
      <c r="D137" s="195" t="s">
        <v>254</v>
      </c>
      <c r="E137" s="195">
        <v>38.619999999999997</v>
      </c>
      <c r="F137" s="196">
        <v>12</v>
      </c>
      <c r="G137" s="195">
        <f t="shared" si="11"/>
        <v>463.43999999999994</v>
      </c>
      <c r="H137" s="195">
        <v>523.69000000000005</v>
      </c>
      <c r="I137" s="195">
        <v>113.61</v>
      </c>
      <c r="J137" s="197"/>
    </row>
    <row r="138" spans="1:10" x14ac:dyDescent="0.3">
      <c r="A138" s="495" t="s">
        <v>75</v>
      </c>
      <c r="B138" s="242"/>
      <c r="C138" s="242"/>
      <c r="D138" s="243"/>
      <c r="E138" s="243"/>
      <c r="F138" s="244"/>
      <c r="G138" s="243"/>
      <c r="H138" s="243"/>
      <c r="I138" s="243"/>
      <c r="J138" s="245"/>
    </row>
    <row r="139" spans="1:10" x14ac:dyDescent="0.3">
      <c r="A139" s="189"/>
      <c r="B139" s="194" t="s">
        <v>255</v>
      </c>
      <c r="C139" s="194" t="s">
        <v>1572</v>
      </c>
      <c r="D139" s="195"/>
      <c r="E139" s="195">
        <v>500</v>
      </c>
      <c r="F139" s="196">
        <v>1</v>
      </c>
      <c r="G139" s="195">
        <f>E139*F139</f>
        <v>500</v>
      </c>
      <c r="H139" s="195">
        <f>G139*1.13</f>
        <v>565</v>
      </c>
      <c r="I139" s="195">
        <f>3615.7</f>
        <v>3615.7</v>
      </c>
      <c r="J139" s="197"/>
    </row>
    <row r="140" spans="1:10" x14ac:dyDescent="0.3">
      <c r="A140" s="189" t="s">
        <v>76</v>
      </c>
      <c r="B140" s="188"/>
      <c r="C140" s="190"/>
      <c r="D140" s="191"/>
      <c r="E140" s="191"/>
      <c r="F140" s="192"/>
      <c r="G140" s="243"/>
      <c r="H140" s="191"/>
      <c r="I140" s="191"/>
      <c r="J140" s="193"/>
    </row>
    <row r="141" spans="1:10" x14ac:dyDescent="0.3">
      <c r="A141" s="189"/>
      <c r="B141" s="194" t="s">
        <v>258</v>
      </c>
      <c r="C141" s="194" t="s">
        <v>256</v>
      </c>
      <c r="D141" s="195" t="s">
        <v>257</v>
      </c>
      <c r="E141" s="195">
        <v>68.5</v>
      </c>
      <c r="F141" s="196">
        <v>12</v>
      </c>
      <c r="G141" s="195">
        <f t="shared" si="11"/>
        <v>822</v>
      </c>
      <c r="H141" s="195">
        <v>822</v>
      </c>
      <c r="I141" s="195">
        <v>426.69</v>
      </c>
      <c r="J141" s="197"/>
    </row>
    <row r="142" spans="1:10" x14ac:dyDescent="0.3">
      <c r="A142" s="189" t="s">
        <v>77</v>
      </c>
      <c r="B142" s="188"/>
      <c r="C142" s="190"/>
      <c r="D142" s="191"/>
      <c r="E142" s="191"/>
      <c r="F142" s="192"/>
      <c r="G142" s="243"/>
      <c r="H142" s="191"/>
      <c r="I142" s="191"/>
      <c r="J142" s="193"/>
    </row>
    <row r="143" spans="1:10" x14ac:dyDescent="0.3">
      <c r="A143" s="189"/>
      <c r="B143" s="194" t="s">
        <v>261</v>
      </c>
      <c r="C143" s="194" t="s">
        <v>259</v>
      </c>
      <c r="D143" s="195" t="s">
        <v>260</v>
      </c>
      <c r="E143" s="195">
        <v>40</v>
      </c>
      <c r="F143" s="196">
        <v>12</v>
      </c>
      <c r="G143" s="195">
        <f t="shared" si="11"/>
        <v>480</v>
      </c>
      <c r="H143" s="195">
        <v>542.4</v>
      </c>
      <c r="I143" s="195">
        <f>340.98*4/3</f>
        <v>454.64000000000004</v>
      </c>
      <c r="J143" s="197"/>
    </row>
    <row r="144" spans="1:10" x14ac:dyDescent="0.3">
      <c r="A144" s="189" t="s">
        <v>78</v>
      </c>
      <c r="B144" s="188"/>
      <c r="C144" s="190"/>
      <c r="D144" s="191"/>
      <c r="E144" s="191"/>
      <c r="F144" s="192"/>
      <c r="G144" s="243"/>
      <c r="H144" s="191"/>
      <c r="I144" s="191"/>
      <c r="J144" s="193"/>
    </row>
    <row r="145" spans="1:10" x14ac:dyDescent="0.3">
      <c r="A145" s="189"/>
      <c r="B145" s="238" t="s">
        <v>268</v>
      </c>
      <c r="C145" s="238" t="s">
        <v>262</v>
      </c>
      <c r="D145" s="239" t="s">
        <v>263</v>
      </c>
      <c r="E145" s="239">
        <v>750</v>
      </c>
      <c r="F145" s="240">
        <v>1</v>
      </c>
      <c r="G145" s="195">
        <f t="shared" si="11"/>
        <v>750</v>
      </c>
      <c r="H145" s="239">
        <f>G145+9.5</f>
        <v>759.5</v>
      </c>
      <c r="I145" s="239"/>
      <c r="J145" s="241"/>
    </row>
    <row r="146" spans="1:10" x14ac:dyDescent="0.3">
      <c r="A146" s="189"/>
      <c r="B146" s="242" t="s">
        <v>1573</v>
      </c>
      <c r="C146" s="242" t="s">
        <v>264</v>
      </c>
      <c r="D146" s="243" t="s">
        <v>265</v>
      </c>
      <c r="E146" s="243">
        <v>478.91</v>
      </c>
      <c r="F146" s="244">
        <v>2</v>
      </c>
      <c r="G146" s="243">
        <f t="shared" si="11"/>
        <v>957.82</v>
      </c>
      <c r="H146" s="243">
        <v>957.81</v>
      </c>
      <c r="I146" s="243">
        <v>1356.73</v>
      </c>
      <c r="J146" s="245"/>
    </row>
    <row r="147" spans="1:10" x14ac:dyDescent="0.3">
      <c r="A147" s="189"/>
      <c r="B147" s="238" t="s">
        <v>1574</v>
      </c>
      <c r="C147" s="238" t="s">
        <v>266</v>
      </c>
      <c r="D147" s="239" t="s">
        <v>263</v>
      </c>
      <c r="E147" s="239">
        <v>1250</v>
      </c>
      <c r="F147" s="240">
        <v>1</v>
      </c>
      <c r="G147" s="195">
        <f t="shared" si="11"/>
        <v>1250</v>
      </c>
      <c r="H147" s="239">
        <f>G147*1.13</f>
        <v>1412.4999999999998</v>
      </c>
      <c r="I147" s="239">
        <v>1412.4999999999998</v>
      </c>
      <c r="J147" s="241"/>
    </row>
    <row r="148" spans="1:10" x14ac:dyDescent="0.3">
      <c r="A148" s="189"/>
      <c r="B148" s="242" t="s">
        <v>1575</v>
      </c>
      <c r="C148" s="91" t="s">
        <v>267</v>
      </c>
      <c r="D148" s="91" t="s">
        <v>263</v>
      </c>
      <c r="E148" s="82">
        <v>1808</v>
      </c>
      <c r="F148" s="91">
        <v>1</v>
      </c>
      <c r="G148" s="243">
        <f t="shared" si="11"/>
        <v>1808</v>
      </c>
      <c r="H148" s="82">
        <f>G148*1</f>
        <v>1808</v>
      </c>
      <c r="I148" s="82">
        <v>1808</v>
      </c>
      <c r="J148" s="246"/>
    </row>
    <row r="149" spans="1:10" x14ac:dyDescent="0.3">
      <c r="A149" s="189" t="s">
        <v>79</v>
      </c>
      <c r="B149" s="185"/>
      <c r="C149" s="190"/>
      <c r="D149" s="191"/>
      <c r="E149" s="191"/>
      <c r="F149" s="192"/>
      <c r="G149" s="243"/>
      <c r="H149" s="191"/>
      <c r="I149" s="191"/>
      <c r="J149" s="193"/>
    </row>
    <row r="150" spans="1:10" x14ac:dyDescent="0.3">
      <c r="A150" s="189"/>
      <c r="B150" s="194" t="s">
        <v>271</v>
      </c>
      <c r="C150" s="194" t="s">
        <v>269</v>
      </c>
      <c r="D150" s="195" t="s">
        <v>270</v>
      </c>
      <c r="E150" s="195">
        <v>0.5</v>
      </c>
      <c r="F150" s="196">
        <v>2000</v>
      </c>
      <c r="G150" s="195">
        <f t="shared" si="11"/>
        <v>1000</v>
      </c>
      <c r="H150" s="195">
        <v>1000</v>
      </c>
      <c r="I150" s="195">
        <f>(2001.7-1473.7)*4/3</f>
        <v>704</v>
      </c>
      <c r="J150" s="197"/>
    </row>
    <row r="151" spans="1:10" x14ac:dyDescent="0.3">
      <c r="A151" s="189" t="s">
        <v>80</v>
      </c>
      <c r="B151" s="188"/>
      <c r="C151" s="190"/>
      <c r="D151" s="191"/>
      <c r="E151" s="191"/>
      <c r="F151" s="192"/>
      <c r="G151" s="243"/>
      <c r="H151" s="191"/>
      <c r="I151" s="191"/>
      <c r="J151" s="193"/>
    </row>
    <row r="152" spans="1:10" x14ac:dyDescent="0.3">
      <c r="A152" s="189"/>
      <c r="B152" s="194" t="s">
        <v>274</v>
      </c>
      <c r="C152" s="194" t="s">
        <v>272</v>
      </c>
      <c r="D152" s="195" t="s">
        <v>273</v>
      </c>
      <c r="E152" s="195">
        <v>475</v>
      </c>
      <c r="F152" s="196">
        <v>1</v>
      </c>
      <c r="G152" s="195">
        <f t="shared" si="11"/>
        <v>475</v>
      </c>
      <c r="H152" s="195">
        <v>536.75</v>
      </c>
      <c r="I152" s="195"/>
      <c r="J152" s="197"/>
    </row>
    <row r="153" spans="1:10" x14ac:dyDescent="0.3">
      <c r="A153" s="189" t="s">
        <v>81</v>
      </c>
      <c r="B153" s="188"/>
      <c r="C153" s="190"/>
      <c r="D153" s="191"/>
      <c r="E153" s="191"/>
      <c r="F153" s="192"/>
      <c r="G153" s="243"/>
      <c r="H153" s="191"/>
      <c r="I153" s="191"/>
      <c r="J153" s="193"/>
    </row>
    <row r="154" spans="1:10" x14ac:dyDescent="0.3">
      <c r="A154" s="189"/>
      <c r="B154" s="194" t="s">
        <v>277</v>
      </c>
      <c r="C154" s="194" t="s">
        <v>275</v>
      </c>
      <c r="D154" s="195" t="s">
        <v>276</v>
      </c>
      <c r="E154" s="195">
        <v>164.4</v>
      </c>
      <c r="F154" s="196">
        <v>1</v>
      </c>
      <c r="G154" s="195">
        <f t="shared" si="11"/>
        <v>164.4</v>
      </c>
      <c r="H154" s="195">
        <v>164.4</v>
      </c>
      <c r="I154" s="195">
        <f>I17-I74</f>
        <v>271.60000000000002</v>
      </c>
      <c r="J154" s="197"/>
    </row>
    <row r="155" spans="1:10" x14ac:dyDescent="0.3">
      <c r="A155" s="189" t="s">
        <v>82</v>
      </c>
      <c r="B155" s="188"/>
      <c r="C155" s="190"/>
      <c r="D155" s="191"/>
      <c r="E155" s="191"/>
      <c r="F155" s="192"/>
      <c r="G155" s="243"/>
      <c r="H155" s="191"/>
      <c r="I155" s="191"/>
      <c r="J155" s="193"/>
    </row>
    <row r="156" spans="1:10" x14ac:dyDescent="0.3">
      <c r="A156" s="189"/>
      <c r="B156" s="194" t="s">
        <v>280</v>
      </c>
      <c r="C156" s="194" t="s">
        <v>278</v>
      </c>
      <c r="D156" s="195"/>
      <c r="E156" s="195">
        <v>0</v>
      </c>
      <c r="F156" s="196">
        <v>1</v>
      </c>
      <c r="G156" s="195">
        <f t="shared" si="11"/>
        <v>0</v>
      </c>
      <c r="H156" s="195">
        <v>0</v>
      </c>
      <c r="I156" s="195"/>
      <c r="J156" s="197"/>
    </row>
    <row r="157" spans="1:10" x14ac:dyDescent="0.3">
      <c r="A157" s="189" t="s">
        <v>279</v>
      </c>
      <c r="B157" s="188"/>
      <c r="C157" s="190"/>
      <c r="D157" s="191"/>
      <c r="E157" s="191"/>
      <c r="F157" s="192"/>
      <c r="G157" s="243"/>
      <c r="H157" s="191"/>
      <c r="I157" s="191"/>
      <c r="J157" s="193"/>
    </row>
    <row r="158" spans="1:10" x14ac:dyDescent="0.3">
      <c r="A158" s="189"/>
      <c r="B158" s="194" t="s">
        <v>1576</v>
      </c>
      <c r="C158" s="194" t="s">
        <v>281</v>
      </c>
      <c r="D158" s="195" t="s">
        <v>282</v>
      </c>
      <c r="E158" s="195">
        <v>15000</v>
      </c>
      <c r="F158" s="196">
        <v>1</v>
      </c>
      <c r="G158" s="195">
        <f t="shared" si="11"/>
        <v>15000</v>
      </c>
      <c r="H158" s="195">
        <f>G158</f>
        <v>15000</v>
      </c>
      <c r="I158" s="195">
        <v>15000</v>
      </c>
      <c r="J158" s="197"/>
    </row>
    <row r="159" spans="1:10" x14ac:dyDescent="0.3">
      <c r="A159" s="189"/>
      <c r="B159" s="185"/>
      <c r="C159" s="190"/>
      <c r="D159" s="191"/>
      <c r="E159" s="191"/>
      <c r="F159" s="192"/>
      <c r="G159" s="243"/>
      <c r="H159" s="191"/>
      <c r="I159" s="191"/>
      <c r="J159" s="193"/>
    </row>
    <row r="160" spans="1:10" x14ac:dyDescent="0.3">
      <c r="A160" s="189"/>
      <c r="B160" s="194"/>
      <c r="C160" s="194"/>
      <c r="D160" s="195"/>
      <c r="E160" s="195"/>
      <c r="F160" s="196"/>
      <c r="G160" s="195"/>
      <c r="H160" s="195"/>
      <c r="I160" s="195"/>
      <c r="J160" s="197"/>
    </row>
    <row r="161" spans="1:10" x14ac:dyDescent="0.3">
      <c r="A161" s="189"/>
      <c r="B161" s="201" t="s">
        <v>84</v>
      </c>
      <c r="C161" s="202"/>
      <c r="D161" s="205"/>
      <c r="E161" s="205"/>
      <c r="F161" s="210"/>
      <c r="G161" s="205"/>
      <c r="H161" s="205">
        <f>SUM(H135:H160)</f>
        <v>24122.05</v>
      </c>
      <c r="I161" s="205">
        <f t="shared" ref="I161:J161" si="13">SUM(I135:I160)</f>
        <v>25177</v>
      </c>
      <c r="J161" s="206">
        <f t="shared" si="13"/>
        <v>0</v>
      </c>
    </row>
    <row r="162" spans="1:10" x14ac:dyDescent="0.3">
      <c r="A162" s="219"/>
      <c r="B162" s="220"/>
      <c r="C162" s="200"/>
      <c r="D162" s="207"/>
      <c r="E162" s="207"/>
      <c r="F162" s="208"/>
      <c r="G162" s="207"/>
      <c r="H162" s="207"/>
      <c r="I162" s="207"/>
      <c r="J162" s="209"/>
    </row>
    <row r="163" spans="1:10" ht="18.75" x14ac:dyDescent="0.35">
      <c r="A163" s="221"/>
      <c r="B163" s="222"/>
      <c r="C163" s="223" t="s">
        <v>85</v>
      </c>
      <c r="D163" s="213"/>
      <c r="E163" s="213"/>
      <c r="F163" s="214"/>
      <c r="G163" s="213"/>
      <c r="H163" s="213">
        <f>SUM(H84+H103+H131+H161)</f>
        <v>247312.78499999997</v>
      </c>
      <c r="I163" s="213">
        <f t="shared" ref="I163:J163" si="14">SUM(I84+I103+I131+I161)</f>
        <v>229124.185</v>
      </c>
      <c r="J163" s="215">
        <f t="shared" si="14"/>
        <v>84669.01</v>
      </c>
    </row>
    <row r="164" spans="1:10" ht="18.75" x14ac:dyDescent="0.35">
      <c r="A164" s="221"/>
      <c r="B164" s="222"/>
      <c r="C164" s="223"/>
      <c r="D164" s="213"/>
      <c r="E164" s="213"/>
      <c r="F164" s="214"/>
      <c r="G164" s="213"/>
      <c r="H164" s="213"/>
      <c r="I164" s="213"/>
      <c r="J164" s="215"/>
    </row>
    <row r="165" spans="1:10" ht="20.25" x14ac:dyDescent="0.35">
      <c r="A165" s="576" t="s">
        <v>86</v>
      </c>
      <c r="B165" s="577"/>
      <c r="C165" s="577"/>
      <c r="D165" s="224"/>
      <c r="E165" s="224"/>
      <c r="F165" s="225"/>
      <c r="G165" s="224"/>
      <c r="H165" s="224"/>
      <c r="I165" s="224"/>
      <c r="J165" s="545"/>
    </row>
    <row r="166" spans="1:10" ht="20.25" x14ac:dyDescent="0.35">
      <c r="A166" s="227"/>
      <c r="B166" s="228" t="s">
        <v>87</v>
      </c>
      <c r="C166" s="228"/>
      <c r="D166" s="229"/>
      <c r="E166" s="229"/>
      <c r="F166" s="229"/>
      <c r="G166" s="229"/>
      <c r="H166" s="229">
        <f>H61</f>
        <v>370048.66499999998</v>
      </c>
      <c r="I166" s="229">
        <f t="shared" ref="I166:J166" si="15">I61</f>
        <v>341223.2666666666</v>
      </c>
      <c r="J166" s="546">
        <f t="shared" si="15"/>
        <v>210153.32</v>
      </c>
    </row>
    <row r="167" spans="1:10" ht="20.25" x14ac:dyDescent="0.35">
      <c r="A167" s="227"/>
      <c r="B167" s="231" t="s">
        <v>88</v>
      </c>
      <c r="C167" s="231"/>
      <c r="D167" s="232"/>
      <c r="E167" s="232"/>
      <c r="F167" s="232"/>
      <c r="G167" s="232"/>
      <c r="H167" s="232">
        <f>H163</f>
        <v>247312.78499999997</v>
      </c>
      <c r="I167" s="232">
        <f t="shared" ref="I167:J167" si="16">I163</f>
        <v>229124.185</v>
      </c>
      <c r="J167" s="233">
        <f t="shared" si="16"/>
        <v>84669.01</v>
      </c>
    </row>
    <row r="168" spans="1:10" ht="20.25" x14ac:dyDescent="0.35">
      <c r="A168" s="234"/>
      <c r="B168" s="235" t="s">
        <v>89</v>
      </c>
      <c r="C168" s="235"/>
      <c r="D168" s="236"/>
      <c r="E168" s="236"/>
      <c r="F168" s="236"/>
      <c r="G168" s="236"/>
      <c r="H168" s="236">
        <f>H166-H167</f>
        <v>122735.88</v>
      </c>
      <c r="I168" s="236">
        <f t="shared" ref="I168:J168" si="17">I166-I167</f>
        <v>112099.08166666661</v>
      </c>
      <c r="J168" s="237">
        <f t="shared" si="17"/>
        <v>125484.31000000001</v>
      </c>
    </row>
  </sheetData>
  <mergeCells count="6">
    <mergeCell ref="A165:C165"/>
    <mergeCell ref="D1:J4"/>
    <mergeCell ref="A5:C5"/>
    <mergeCell ref="D5:E5"/>
    <mergeCell ref="A8:C8"/>
    <mergeCell ref="A63:C63"/>
  </mergeCells>
  <pageMargins left="0" right="0" top="0" bottom="0" header="0" footer="0"/>
  <pageSetup orientation="portrait" horizontalDpi="4294967292" verticalDpi="4294967292" r:id="rId1"/>
  <headerFooter alignWithMargins="0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zoomScale="75" zoomScaleNormal="75" workbookViewId="0">
      <pane xSplit="3" ySplit="6" topLeftCell="G16" activePane="bottomRight" state="frozen"/>
      <selection pane="topRight" activeCell="C1" sqref="C1"/>
      <selection pane="bottomLeft" activeCell="A4" sqref="A4"/>
      <selection pane="bottomRight" activeCell="J27" sqref="J27"/>
    </sheetView>
  </sheetViews>
  <sheetFormatPr defaultColWidth="8.85546875" defaultRowHeight="17.25" x14ac:dyDescent="0.3"/>
  <cols>
    <col min="1" max="1" width="22.7109375" style="53" bestFit="1" customWidth="1"/>
    <col min="2" max="2" width="13.85546875" style="129" customWidth="1"/>
    <col min="3" max="3" width="42.85546875" style="129" bestFit="1" customWidth="1"/>
    <col min="4" max="4" width="43.28515625" style="55" bestFit="1" customWidth="1"/>
    <col min="5" max="5" width="28.140625" style="18" customWidth="1"/>
    <col min="6" max="6" width="15.28515625" style="77" customWidth="1"/>
    <col min="7" max="7" width="17.42578125" style="18" customWidth="1"/>
    <col min="8" max="8" width="18.140625" style="18" customWidth="1"/>
    <col min="9" max="9" width="22.42578125" style="18" customWidth="1"/>
    <col min="10" max="10" width="23" style="18" customWidth="1"/>
    <col min="11" max="11" width="12" style="17" customWidth="1"/>
    <col min="12" max="12" width="11.28515625" style="17" customWidth="1"/>
    <col min="13" max="13" width="8.85546875" style="53"/>
    <col min="14" max="14" width="10.140625" style="53" bestFit="1" customWidth="1"/>
    <col min="15" max="15" width="14.28515625" style="53" customWidth="1"/>
    <col min="16" max="16384" width="8.85546875" style="53"/>
  </cols>
  <sheetData>
    <row r="1" spans="1:15" s="2" customFormat="1" ht="38.25" x14ac:dyDescent="0.3">
      <c r="A1" s="119"/>
      <c r="B1" s="531"/>
      <c r="C1" s="121"/>
      <c r="D1" s="564" t="s">
        <v>283</v>
      </c>
      <c r="E1" s="565"/>
      <c r="F1" s="565"/>
      <c r="G1" s="565"/>
      <c r="H1" s="565"/>
      <c r="I1" s="565"/>
      <c r="J1" s="566"/>
    </row>
    <row r="2" spans="1:15" s="2" customFormat="1" ht="38.25" x14ac:dyDescent="0.3">
      <c r="A2" s="4"/>
      <c r="B2" s="534"/>
      <c r="C2" s="122"/>
      <c r="D2" s="567"/>
      <c r="E2" s="568"/>
      <c r="F2" s="568"/>
      <c r="G2" s="568"/>
      <c r="H2" s="568"/>
      <c r="I2" s="568"/>
      <c r="J2" s="569"/>
    </row>
    <row r="3" spans="1:15" s="2" customFormat="1" ht="38.25" x14ac:dyDescent="0.3">
      <c r="A3" s="4"/>
      <c r="B3" s="534"/>
      <c r="C3" s="122"/>
      <c r="D3" s="567"/>
      <c r="E3" s="568"/>
      <c r="F3" s="568"/>
      <c r="G3" s="568"/>
      <c r="H3" s="568"/>
      <c r="I3" s="568"/>
      <c r="J3" s="569"/>
    </row>
    <row r="4" spans="1:15" s="2" customFormat="1" ht="38.25" x14ac:dyDescent="0.3">
      <c r="A4" s="6"/>
      <c r="B4" s="535"/>
      <c r="C4" s="123"/>
      <c r="D4" s="570"/>
      <c r="E4" s="571"/>
      <c r="F4" s="571"/>
      <c r="G4" s="571"/>
      <c r="H4" s="571"/>
      <c r="I4" s="571"/>
      <c r="J4" s="572"/>
    </row>
    <row r="5" spans="1:15" s="2" customFormat="1" x14ac:dyDescent="0.3">
      <c r="A5" s="573"/>
      <c r="B5" s="578"/>
      <c r="C5" s="574"/>
      <c r="D5" s="579"/>
      <c r="E5" s="580"/>
      <c r="F5" s="73"/>
      <c r="G5" s="68"/>
      <c r="H5" s="68"/>
      <c r="I5" s="68"/>
      <c r="J5" s="69"/>
      <c r="K5" s="8"/>
      <c r="L5" s="8"/>
    </row>
    <row r="6" spans="1:15" s="64" customFormat="1" x14ac:dyDescent="0.3">
      <c r="A6" s="59"/>
      <c r="B6" s="320" t="s">
        <v>91</v>
      </c>
      <c r="C6" s="70" t="s">
        <v>92</v>
      </c>
      <c r="D6" s="60" t="s">
        <v>93</v>
      </c>
      <c r="E6" s="61" t="s">
        <v>94</v>
      </c>
      <c r="F6" s="74" t="s">
        <v>95</v>
      </c>
      <c r="G6" s="87" t="s">
        <v>96</v>
      </c>
      <c r="H6" s="87" t="s">
        <v>97</v>
      </c>
      <c r="I6" s="87" t="s">
        <v>98</v>
      </c>
      <c r="J6" s="88" t="s">
        <v>99</v>
      </c>
      <c r="K6" s="63"/>
      <c r="L6" s="63"/>
    </row>
    <row r="7" spans="1:15" s="2" customFormat="1" x14ac:dyDescent="0.3">
      <c r="A7" s="9"/>
      <c r="B7" s="255"/>
      <c r="C7" s="10"/>
      <c r="D7" s="11"/>
      <c r="E7" s="12"/>
      <c r="F7" s="75"/>
      <c r="G7" s="12"/>
      <c r="H7" s="12"/>
      <c r="I7" s="12"/>
      <c r="J7" s="84"/>
      <c r="K7" s="8"/>
      <c r="L7" s="8"/>
    </row>
    <row r="8" spans="1:15" s="2" customFormat="1" x14ac:dyDescent="0.3">
      <c r="A8" s="560" t="s">
        <v>5</v>
      </c>
      <c r="B8" s="561"/>
      <c r="C8" s="561"/>
      <c r="D8" s="14"/>
      <c r="E8" s="14"/>
      <c r="F8" s="76"/>
      <c r="G8" s="14"/>
      <c r="H8" s="14"/>
      <c r="I8" s="14"/>
      <c r="J8" s="15"/>
      <c r="K8" s="8"/>
      <c r="L8" s="8"/>
    </row>
    <row r="9" spans="1:15" s="17" customFormat="1" x14ac:dyDescent="0.3">
      <c r="A9" s="16" t="s">
        <v>284</v>
      </c>
      <c r="B9" s="91"/>
      <c r="C9" s="37"/>
      <c r="D9" s="85"/>
      <c r="E9" s="85"/>
      <c r="F9" s="94"/>
      <c r="G9" s="85"/>
      <c r="H9" s="85"/>
      <c r="I9" s="85"/>
      <c r="J9" s="86"/>
      <c r="K9" s="22"/>
      <c r="L9" s="29"/>
      <c r="M9" s="22"/>
      <c r="N9" s="22"/>
      <c r="O9" s="23"/>
    </row>
    <row r="10" spans="1:15" s="17" customFormat="1" x14ac:dyDescent="0.3">
      <c r="A10" s="16"/>
      <c r="B10" s="91"/>
      <c r="C10" s="37"/>
      <c r="D10" s="85"/>
      <c r="E10" s="85"/>
      <c r="F10" s="94"/>
      <c r="G10" s="85"/>
      <c r="H10" s="85"/>
      <c r="I10" s="85"/>
      <c r="J10" s="86"/>
      <c r="K10" s="22"/>
      <c r="L10" s="29"/>
      <c r="M10" s="22"/>
      <c r="N10" s="22"/>
      <c r="O10" s="23"/>
    </row>
    <row r="11" spans="1:15" s="31" customFormat="1" ht="18.75" x14ac:dyDescent="0.35">
      <c r="A11" s="30"/>
      <c r="B11" s="491"/>
      <c r="C11" s="532" t="s">
        <v>45</v>
      </c>
      <c r="D11" s="96"/>
      <c r="E11" s="96"/>
      <c r="F11" s="97"/>
      <c r="G11" s="96"/>
      <c r="H11" s="96">
        <v>0</v>
      </c>
      <c r="I11" s="96">
        <v>0</v>
      </c>
      <c r="J11" s="98">
        <v>0</v>
      </c>
      <c r="K11" s="32"/>
      <c r="L11" s="33"/>
      <c r="M11" s="32"/>
      <c r="N11" s="32"/>
      <c r="O11" s="34"/>
    </row>
    <row r="12" spans="1:15" s="31" customFormat="1" ht="18.75" x14ac:dyDescent="0.35">
      <c r="A12" s="30"/>
      <c r="B12" s="491"/>
      <c r="C12" s="127"/>
      <c r="D12" s="85"/>
      <c r="E12" s="85"/>
      <c r="F12" s="94"/>
      <c r="G12" s="85"/>
      <c r="H12" s="85"/>
      <c r="I12" s="85"/>
      <c r="J12" s="86"/>
      <c r="K12" s="32"/>
      <c r="L12" s="33"/>
      <c r="M12" s="32"/>
      <c r="N12" s="32"/>
      <c r="O12" s="34"/>
    </row>
    <row r="13" spans="1:15" s="17" customFormat="1" x14ac:dyDescent="0.3">
      <c r="A13" s="560" t="s">
        <v>46</v>
      </c>
      <c r="B13" s="561"/>
      <c r="C13" s="561"/>
      <c r="D13" s="14"/>
      <c r="E13" s="35"/>
      <c r="F13" s="78"/>
      <c r="G13" s="35"/>
      <c r="H13" s="35"/>
      <c r="I13" s="35"/>
      <c r="J13" s="15"/>
      <c r="K13" s="37"/>
      <c r="L13" s="37"/>
    </row>
    <row r="14" spans="1:15" s="27" customFormat="1" x14ac:dyDescent="0.3">
      <c r="A14" s="16" t="s">
        <v>285</v>
      </c>
      <c r="B14" s="91"/>
      <c r="C14" s="37"/>
      <c r="D14" s="82"/>
      <c r="E14" s="82"/>
      <c r="F14" s="83"/>
      <c r="G14" s="82"/>
      <c r="H14" s="82"/>
      <c r="I14" s="82"/>
      <c r="J14" s="93"/>
      <c r="K14" s="22"/>
      <c r="L14" s="26"/>
      <c r="N14" s="24"/>
      <c r="O14" s="28"/>
    </row>
    <row r="15" spans="1:15" s="17" customFormat="1" x14ac:dyDescent="0.3">
      <c r="B15" s="71" t="s">
        <v>286</v>
      </c>
      <c r="C15" s="71" t="s">
        <v>287</v>
      </c>
      <c r="D15" s="80" t="s">
        <v>288</v>
      </c>
      <c r="E15" s="80">
        <v>2000</v>
      </c>
      <c r="F15" s="81">
        <v>1</v>
      </c>
      <c r="G15" s="80">
        <f>E15*F15</f>
        <v>2000</v>
      </c>
      <c r="H15" s="80">
        <f>G15</f>
        <v>2000</v>
      </c>
      <c r="I15" s="80">
        <v>1194</v>
      </c>
      <c r="J15" s="90">
        <v>1194</v>
      </c>
      <c r="L15" s="29"/>
      <c r="N15" s="23"/>
    </row>
    <row r="16" spans="1:15" s="17" customFormat="1" x14ac:dyDescent="0.3">
      <c r="A16" s="21"/>
      <c r="B16" s="91" t="s">
        <v>289</v>
      </c>
      <c r="C16" s="92" t="s">
        <v>290</v>
      </c>
      <c r="D16" s="82" t="s">
        <v>291</v>
      </c>
      <c r="E16" s="82">
        <v>250</v>
      </c>
      <c r="F16" s="83">
        <v>1</v>
      </c>
      <c r="G16" s="82">
        <v>250</v>
      </c>
      <c r="H16" s="82">
        <f>G16</f>
        <v>250</v>
      </c>
      <c r="I16" s="82">
        <v>250</v>
      </c>
      <c r="J16" s="93">
        <v>250</v>
      </c>
      <c r="L16" s="29"/>
      <c r="N16" s="23"/>
    </row>
    <row r="17" spans="1:15" s="17" customFormat="1" x14ac:dyDescent="0.3">
      <c r="A17" s="21"/>
      <c r="B17" s="71"/>
      <c r="C17" s="89"/>
      <c r="D17" s="80"/>
      <c r="E17" s="80"/>
      <c r="F17" s="81"/>
      <c r="G17" s="80"/>
      <c r="H17" s="80"/>
      <c r="I17" s="80"/>
      <c r="J17" s="90"/>
      <c r="L17" s="29"/>
      <c r="N17" s="23"/>
    </row>
    <row r="18" spans="1:15" s="17" customFormat="1" x14ac:dyDescent="0.3">
      <c r="A18" s="21"/>
      <c r="B18" s="533" t="s">
        <v>1578</v>
      </c>
      <c r="C18" s="128"/>
      <c r="D18" s="68"/>
      <c r="E18" s="68"/>
      <c r="F18" s="73"/>
      <c r="G18" s="68"/>
      <c r="H18" s="68">
        <f>SUM(H14:H17)</f>
        <v>2250</v>
      </c>
      <c r="I18" s="68">
        <f>SUM(I14:I17)</f>
        <v>1444</v>
      </c>
      <c r="J18" s="69">
        <f>SUM(J14:J17)</f>
        <v>1444</v>
      </c>
      <c r="L18" s="29"/>
      <c r="N18" s="23"/>
    </row>
    <row r="19" spans="1:15" s="17" customFormat="1" x14ac:dyDescent="0.3">
      <c r="B19" s="91"/>
      <c r="C19" s="91"/>
      <c r="D19" s="85"/>
      <c r="E19" s="85"/>
      <c r="F19" s="94"/>
      <c r="G19" s="85"/>
      <c r="H19" s="85"/>
      <c r="I19" s="85"/>
      <c r="J19" s="86"/>
      <c r="K19" s="22"/>
      <c r="L19" s="29"/>
      <c r="N19" s="23"/>
      <c r="O19" s="23"/>
    </row>
    <row r="20" spans="1:15" s="17" customFormat="1" x14ac:dyDescent="0.3">
      <c r="A20" s="16" t="s">
        <v>293</v>
      </c>
      <c r="B20" s="91"/>
      <c r="C20" s="37"/>
      <c r="D20" s="82"/>
      <c r="E20" s="82"/>
      <c r="F20" s="83"/>
      <c r="G20" s="82"/>
      <c r="H20" s="82"/>
      <c r="I20" s="82"/>
      <c r="J20" s="93"/>
      <c r="K20" s="22"/>
      <c r="L20" s="29"/>
      <c r="N20" s="23"/>
      <c r="O20" s="23"/>
    </row>
    <row r="21" spans="1:15" s="17" customFormat="1" x14ac:dyDescent="0.3">
      <c r="B21" s="71" t="s">
        <v>294</v>
      </c>
      <c r="C21" s="71" t="s">
        <v>295</v>
      </c>
      <c r="D21" s="80" t="s">
        <v>296</v>
      </c>
      <c r="E21" s="80">
        <v>15</v>
      </c>
      <c r="F21" s="81">
        <f>17*2</f>
        <v>34</v>
      </c>
      <c r="G21" s="80">
        <f>E21*F21</f>
        <v>510</v>
      </c>
      <c r="H21" s="80">
        <f>G21*1.13</f>
        <v>576.29999999999995</v>
      </c>
      <c r="I21" s="80"/>
      <c r="J21" s="90"/>
      <c r="K21" s="22"/>
      <c r="L21" s="29"/>
      <c r="N21" s="23"/>
      <c r="O21" s="23"/>
    </row>
    <row r="22" spans="1:15" s="17" customFormat="1" x14ac:dyDescent="0.3">
      <c r="A22" s="38"/>
      <c r="B22" s="91" t="s">
        <v>297</v>
      </c>
      <c r="C22" s="92" t="s">
        <v>298</v>
      </c>
      <c r="D22" s="82" t="s">
        <v>299</v>
      </c>
      <c r="E22" s="82">
        <v>25</v>
      </c>
      <c r="F22" s="83">
        <v>15</v>
      </c>
      <c r="G22" s="82">
        <f t="shared" ref="G22:G23" si="0">E22*F22</f>
        <v>375</v>
      </c>
      <c r="H22" s="82">
        <f t="shared" ref="H22:H23" si="1">G22*1.13</f>
        <v>423.74999999999994</v>
      </c>
      <c r="I22" s="82">
        <v>333.9</v>
      </c>
      <c r="J22" s="93">
        <v>333.9</v>
      </c>
      <c r="K22" s="22"/>
      <c r="L22" s="29"/>
      <c r="N22" s="23"/>
      <c r="O22" s="23"/>
    </row>
    <row r="23" spans="1:15" s="17" customFormat="1" x14ac:dyDescent="0.3">
      <c r="A23" s="38"/>
      <c r="B23" s="71" t="s">
        <v>300</v>
      </c>
      <c r="C23" s="89" t="s">
        <v>301</v>
      </c>
      <c r="D23" s="80" t="s">
        <v>302</v>
      </c>
      <c r="E23" s="80">
        <v>65</v>
      </c>
      <c r="F23" s="81">
        <f>18*2</f>
        <v>36</v>
      </c>
      <c r="G23" s="80">
        <f t="shared" si="0"/>
        <v>2340</v>
      </c>
      <c r="H23" s="80">
        <f t="shared" si="1"/>
        <v>2644.2</v>
      </c>
      <c r="I23" s="80">
        <v>1118.7</v>
      </c>
      <c r="J23" s="90"/>
      <c r="K23" s="22"/>
      <c r="L23" s="29"/>
      <c r="N23" s="23"/>
      <c r="O23" s="23"/>
    </row>
    <row r="24" spans="1:15" s="17" customFormat="1" x14ac:dyDescent="0.3">
      <c r="A24" s="38"/>
      <c r="B24" s="71"/>
      <c r="C24" s="89" t="s">
        <v>1660</v>
      </c>
      <c r="D24" s="80" t="s">
        <v>1661</v>
      </c>
      <c r="E24" s="80"/>
      <c r="F24" s="81"/>
      <c r="G24" s="80"/>
      <c r="H24" s="80"/>
      <c r="I24" s="80">
        <v>90</v>
      </c>
      <c r="J24" s="523">
        <v>90</v>
      </c>
      <c r="K24" s="22"/>
      <c r="L24" s="29"/>
      <c r="N24" s="23"/>
      <c r="O24" s="23"/>
    </row>
    <row r="25" spans="1:15" s="17" customFormat="1" x14ac:dyDescent="0.3">
      <c r="A25" s="38"/>
      <c r="B25" s="536"/>
      <c r="C25" s="92"/>
      <c r="D25" s="82"/>
      <c r="E25" s="82"/>
      <c r="F25" s="83"/>
      <c r="G25" s="82"/>
      <c r="H25" s="82"/>
      <c r="I25" s="82"/>
      <c r="J25" s="93"/>
      <c r="K25" s="22"/>
      <c r="L25" s="29"/>
      <c r="N25" s="23"/>
      <c r="O25" s="23"/>
    </row>
    <row r="26" spans="1:15" s="17" customFormat="1" x14ac:dyDescent="0.3">
      <c r="A26" s="21"/>
      <c r="B26" s="533" t="s">
        <v>292</v>
      </c>
      <c r="C26" s="126"/>
      <c r="D26" s="68"/>
      <c r="E26" s="68"/>
      <c r="F26" s="73"/>
      <c r="G26" s="68"/>
      <c r="H26" s="68">
        <f>SUM(H21:H25)</f>
        <v>3644.25</v>
      </c>
      <c r="I26" s="68">
        <f>SUM(I21:I25)</f>
        <v>1542.6</v>
      </c>
      <c r="J26" s="69">
        <f>SUM(J21:J25)</f>
        <v>423.9</v>
      </c>
      <c r="K26" s="22"/>
    </row>
    <row r="27" spans="1:15" s="17" customFormat="1" x14ac:dyDescent="0.3">
      <c r="B27" s="91"/>
      <c r="C27" s="91"/>
      <c r="D27" s="82"/>
      <c r="E27" s="82"/>
      <c r="F27" s="83"/>
      <c r="G27" s="82"/>
      <c r="H27" s="82"/>
      <c r="I27" s="82"/>
      <c r="J27" s="93"/>
      <c r="K27" s="22"/>
      <c r="L27" s="29"/>
      <c r="N27" s="23"/>
      <c r="O27" s="23"/>
    </row>
    <row r="28" spans="1:15" s="17" customFormat="1" x14ac:dyDescent="0.3">
      <c r="A28" s="16" t="s">
        <v>303</v>
      </c>
      <c r="B28" s="91"/>
      <c r="C28" s="91"/>
      <c r="D28" s="82"/>
      <c r="E28" s="82"/>
      <c r="F28" s="83"/>
      <c r="G28" s="82"/>
      <c r="H28" s="82"/>
      <c r="I28" s="82"/>
      <c r="J28" s="93"/>
      <c r="K28" s="22"/>
      <c r="L28" s="29"/>
      <c r="N28" s="23"/>
      <c r="O28" s="23"/>
    </row>
    <row r="29" spans="1:15" s="17" customFormat="1" x14ac:dyDescent="0.3">
      <c r="B29" s="71" t="s">
        <v>304</v>
      </c>
      <c r="C29" s="71" t="s">
        <v>305</v>
      </c>
      <c r="D29" s="80" t="s">
        <v>306</v>
      </c>
      <c r="E29" s="80">
        <v>230</v>
      </c>
      <c r="F29" s="81">
        <v>4</v>
      </c>
      <c r="G29" s="80">
        <f t="shared" ref="G29:G33" si="2">E29*F29</f>
        <v>920</v>
      </c>
      <c r="H29" s="80">
        <f t="shared" ref="H29:H33" si="3">G29*1.13</f>
        <v>1039.5999999999999</v>
      </c>
      <c r="I29" s="80">
        <v>1151.2</v>
      </c>
      <c r="J29" s="90">
        <f>287.8*4</f>
        <v>1151.2</v>
      </c>
      <c r="K29" s="22"/>
      <c r="L29" s="29"/>
      <c r="N29" s="23"/>
      <c r="O29" s="23"/>
    </row>
    <row r="30" spans="1:15" s="17" customFormat="1" x14ac:dyDescent="0.3">
      <c r="A30" s="21"/>
      <c r="B30" s="91" t="s">
        <v>307</v>
      </c>
      <c r="C30" s="92" t="s">
        <v>308</v>
      </c>
      <c r="D30" s="82" t="s">
        <v>309</v>
      </c>
      <c r="E30" s="82">
        <v>75</v>
      </c>
      <c r="F30" s="83">
        <v>2</v>
      </c>
      <c r="G30" s="82">
        <f t="shared" si="2"/>
        <v>150</v>
      </c>
      <c r="H30" s="82">
        <f t="shared" si="3"/>
        <v>169.49999999999997</v>
      </c>
      <c r="I30" s="82">
        <v>197.84</v>
      </c>
      <c r="J30" s="93">
        <v>197.84</v>
      </c>
      <c r="K30" s="22"/>
      <c r="L30" s="29"/>
      <c r="N30" s="23"/>
      <c r="O30" s="23"/>
    </row>
    <row r="31" spans="1:15" s="17" customFormat="1" x14ac:dyDescent="0.3">
      <c r="A31" s="21"/>
      <c r="B31" s="71" t="s">
        <v>310</v>
      </c>
      <c r="C31" s="71" t="s">
        <v>311</v>
      </c>
      <c r="D31" s="80" t="s">
        <v>312</v>
      </c>
      <c r="E31" s="80">
        <v>85</v>
      </c>
      <c r="F31" s="81">
        <v>3</v>
      </c>
      <c r="G31" s="80">
        <f t="shared" si="2"/>
        <v>255</v>
      </c>
      <c r="H31" s="80">
        <f t="shared" si="3"/>
        <v>288.14999999999998</v>
      </c>
      <c r="I31" s="80">
        <v>164.41</v>
      </c>
      <c r="J31" s="90">
        <f>50+72.05+42.36</f>
        <v>164.41</v>
      </c>
      <c r="K31" s="22"/>
      <c r="L31" s="29"/>
      <c r="N31" s="23"/>
      <c r="O31" s="23"/>
    </row>
    <row r="32" spans="1:15" s="17" customFormat="1" x14ac:dyDescent="0.3">
      <c r="A32" s="21"/>
      <c r="B32" s="91" t="s">
        <v>313</v>
      </c>
      <c r="C32" s="91" t="s">
        <v>221</v>
      </c>
      <c r="D32" s="82" t="s">
        <v>314</v>
      </c>
      <c r="E32" s="82">
        <v>20</v>
      </c>
      <c r="F32" s="83">
        <v>3</v>
      </c>
      <c r="G32" s="82">
        <f t="shared" si="2"/>
        <v>60</v>
      </c>
      <c r="H32" s="82">
        <f t="shared" si="3"/>
        <v>67.8</v>
      </c>
      <c r="I32" s="82">
        <v>149.97</v>
      </c>
      <c r="J32" s="93">
        <f>49.99*3</f>
        <v>149.97</v>
      </c>
      <c r="K32" s="22"/>
    </row>
    <row r="33" spans="1:15" s="17" customFormat="1" x14ac:dyDescent="0.3">
      <c r="A33" s="38"/>
      <c r="B33" s="71" t="s">
        <v>315</v>
      </c>
      <c r="C33" s="71" t="s">
        <v>316</v>
      </c>
      <c r="D33" s="80" t="s">
        <v>317</v>
      </c>
      <c r="E33" s="80">
        <v>175</v>
      </c>
      <c r="F33" s="81">
        <v>17</v>
      </c>
      <c r="G33" s="80">
        <f t="shared" si="2"/>
        <v>2975</v>
      </c>
      <c r="H33" s="80">
        <f t="shared" si="3"/>
        <v>3361.7499999999995</v>
      </c>
      <c r="I33" s="80">
        <v>2160</v>
      </c>
      <c r="J33" s="90">
        <v>2160</v>
      </c>
      <c r="K33" s="22"/>
      <c r="L33" s="29"/>
      <c r="N33" s="23"/>
      <c r="O33" s="23"/>
    </row>
    <row r="34" spans="1:15" s="17" customFormat="1" x14ac:dyDescent="0.3">
      <c r="A34" s="21"/>
      <c r="B34" s="91"/>
      <c r="C34" s="91"/>
      <c r="D34" s="82"/>
      <c r="E34" s="82"/>
      <c r="F34" s="83"/>
      <c r="G34" s="82"/>
      <c r="H34" s="82"/>
      <c r="I34" s="82"/>
      <c r="J34" s="93"/>
      <c r="K34" s="22"/>
    </row>
    <row r="35" spans="1:15" s="17" customFormat="1" x14ac:dyDescent="0.3">
      <c r="A35" s="21"/>
      <c r="B35" s="533" t="s">
        <v>1579</v>
      </c>
      <c r="C35" s="126"/>
      <c r="D35" s="68"/>
      <c r="E35" s="68"/>
      <c r="F35" s="73"/>
      <c r="G35" s="68"/>
      <c r="H35" s="68">
        <f>SUM(H29:H34)</f>
        <v>4926.7999999999993</v>
      </c>
      <c r="I35" s="68">
        <f>SUM(I29:I34)</f>
        <v>3823.42</v>
      </c>
      <c r="J35" s="69">
        <f>SUM(J29:J34)</f>
        <v>3823.42</v>
      </c>
      <c r="K35" s="22"/>
      <c r="L35" s="29"/>
      <c r="N35" s="23"/>
      <c r="O35" s="23"/>
    </row>
    <row r="36" spans="1:15" s="17" customFormat="1" x14ac:dyDescent="0.3">
      <c r="B36" s="91"/>
      <c r="C36" s="91"/>
      <c r="D36" s="82"/>
      <c r="E36" s="82"/>
      <c r="F36" s="83"/>
      <c r="G36" s="82"/>
      <c r="H36" s="82"/>
      <c r="I36" s="82"/>
      <c r="J36" s="93"/>
      <c r="K36" s="22"/>
      <c r="L36" s="29"/>
      <c r="N36" s="23"/>
      <c r="O36" s="23"/>
    </row>
    <row r="37" spans="1:15" s="17" customFormat="1" x14ac:dyDescent="0.3">
      <c r="B37" s="91"/>
      <c r="C37" s="91"/>
      <c r="G37" s="82"/>
      <c r="H37" s="82"/>
      <c r="I37" s="82"/>
      <c r="J37" s="93"/>
      <c r="K37" s="22"/>
      <c r="L37" s="29"/>
      <c r="N37" s="23"/>
      <c r="O37" s="23"/>
    </row>
    <row r="38" spans="1:15" s="17" customFormat="1" x14ac:dyDescent="0.3">
      <c r="A38" s="21"/>
      <c r="B38" s="91"/>
      <c r="C38" s="37"/>
      <c r="D38" s="85"/>
      <c r="E38" s="85"/>
      <c r="F38" s="94"/>
      <c r="G38" s="85"/>
      <c r="H38" s="85"/>
      <c r="I38" s="85"/>
      <c r="J38" s="86"/>
      <c r="K38" s="22"/>
    </row>
    <row r="39" spans="1:15" s="17" customFormat="1" x14ac:dyDescent="0.3">
      <c r="A39" s="16" t="s">
        <v>318</v>
      </c>
      <c r="B39" s="91"/>
      <c r="C39" s="91"/>
      <c r="D39" s="82"/>
      <c r="E39" s="82"/>
      <c r="F39" s="83"/>
      <c r="G39" s="82"/>
      <c r="H39" s="82"/>
      <c r="I39" s="82"/>
      <c r="J39" s="93"/>
      <c r="K39" s="22"/>
      <c r="L39" s="29"/>
      <c r="N39" s="23"/>
      <c r="O39" s="23"/>
    </row>
    <row r="40" spans="1:15" s="17" customFormat="1" x14ac:dyDescent="0.3">
      <c r="A40" s="16"/>
      <c r="B40" s="71" t="s">
        <v>114</v>
      </c>
      <c r="C40" s="71" t="s">
        <v>319</v>
      </c>
      <c r="D40" s="80" t="s">
        <v>320</v>
      </c>
      <c r="E40" s="80">
        <v>80</v>
      </c>
      <c r="F40" s="81">
        <v>6</v>
      </c>
      <c r="G40" s="80">
        <f t="shared" ref="G40:G41" si="4">E40*F40</f>
        <v>480</v>
      </c>
      <c r="H40" s="80">
        <f t="shared" ref="H40:H41" si="5">G40*1.13</f>
        <v>542.4</v>
      </c>
      <c r="I40" s="80">
        <v>163.09</v>
      </c>
      <c r="J40" s="90">
        <v>163.09</v>
      </c>
      <c r="K40" s="22"/>
      <c r="L40" s="29"/>
      <c r="N40" s="23"/>
      <c r="O40" s="23"/>
    </row>
    <row r="41" spans="1:15" s="17" customFormat="1" x14ac:dyDescent="0.3">
      <c r="A41" s="16"/>
      <c r="B41" s="91" t="s">
        <v>321</v>
      </c>
      <c r="C41" s="91" t="s">
        <v>322</v>
      </c>
      <c r="D41" s="82" t="s">
        <v>320</v>
      </c>
      <c r="E41" s="82">
        <v>80</v>
      </c>
      <c r="F41" s="83">
        <v>24</v>
      </c>
      <c r="G41" s="82">
        <f t="shared" si="4"/>
        <v>1920</v>
      </c>
      <c r="H41" s="82">
        <f t="shared" si="5"/>
        <v>2169.6</v>
      </c>
      <c r="I41" s="82">
        <v>2166.4699999999998</v>
      </c>
      <c r="J41" s="93">
        <v>2166.4699999999998</v>
      </c>
      <c r="K41" s="22"/>
      <c r="L41" s="29"/>
      <c r="N41" s="23"/>
      <c r="O41" s="23"/>
    </row>
    <row r="42" spans="1:15" s="17" customFormat="1" x14ac:dyDescent="0.3">
      <c r="A42" s="16"/>
      <c r="B42" s="71"/>
      <c r="C42" s="71"/>
      <c r="D42" s="80"/>
      <c r="E42" s="80"/>
      <c r="F42" s="81"/>
      <c r="G42" s="80"/>
      <c r="H42" s="80"/>
      <c r="I42" s="80"/>
      <c r="J42" s="90"/>
      <c r="K42" s="22"/>
    </row>
    <row r="43" spans="1:15" s="17" customFormat="1" x14ac:dyDescent="0.3">
      <c r="A43" s="21"/>
      <c r="B43" s="533" t="s">
        <v>323</v>
      </c>
      <c r="C43" s="126"/>
      <c r="D43" s="68"/>
      <c r="E43" s="68"/>
      <c r="F43" s="73"/>
      <c r="G43" s="68"/>
      <c r="H43" s="68">
        <f>SUM(H40:H42)</f>
        <v>2712</v>
      </c>
      <c r="I43" s="68">
        <f>SUM(I40:I42)</f>
        <v>2329.56</v>
      </c>
      <c r="J43" s="69">
        <f>SUM(J40:J42)</f>
        <v>2329.56</v>
      </c>
      <c r="K43" s="22"/>
    </row>
    <row r="44" spans="1:15" s="17" customFormat="1" x14ac:dyDescent="0.3">
      <c r="A44" s="21"/>
      <c r="B44" s="91"/>
      <c r="C44" s="37"/>
      <c r="D44" s="85"/>
      <c r="E44" s="85"/>
      <c r="F44" s="94"/>
      <c r="G44" s="85"/>
      <c r="H44" s="85"/>
      <c r="I44" s="85"/>
      <c r="J44" s="86"/>
      <c r="K44" s="22"/>
    </row>
    <row r="45" spans="1:15" s="17" customFormat="1" x14ac:dyDescent="0.3">
      <c r="A45" s="21"/>
      <c r="B45" s="91"/>
      <c r="C45" s="92"/>
      <c r="D45" s="82"/>
      <c r="E45" s="82"/>
      <c r="F45" s="83"/>
      <c r="G45" s="82"/>
      <c r="H45" s="82"/>
      <c r="I45" s="82"/>
      <c r="J45" s="93"/>
      <c r="K45" s="22"/>
    </row>
    <row r="46" spans="1:15" s="17" customFormat="1" ht="18.75" x14ac:dyDescent="0.35">
      <c r="A46" s="39"/>
      <c r="B46" s="491"/>
      <c r="C46" s="532" t="s">
        <v>85</v>
      </c>
      <c r="D46" s="96"/>
      <c r="E46" s="96"/>
      <c r="F46" s="97"/>
      <c r="G46" s="96"/>
      <c r="H46" s="96">
        <f>SUM(H18+H26+H35+H43)</f>
        <v>13533.05</v>
      </c>
      <c r="I46" s="96">
        <f>I43+I35+I26+I18</f>
        <v>9139.58</v>
      </c>
      <c r="J46" s="98">
        <f>J43+J35+J26+J18</f>
        <v>8020.8799999999992</v>
      </c>
      <c r="K46" s="22"/>
    </row>
    <row r="47" spans="1:15" s="17" customFormat="1" ht="18.75" x14ac:dyDescent="0.35">
      <c r="A47" s="39"/>
      <c r="B47" s="491"/>
      <c r="C47" s="127"/>
      <c r="D47" s="96"/>
      <c r="E47" s="96"/>
      <c r="F47" s="97"/>
      <c r="G47" s="96"/>
      <c r="H47" s="96"/>
      <c r="I47" s="96"/>
      <c r="J47" s="98"/>
      <c r="K47" s="22"/>
    </row>
    <row r="48" spans="1:15" s="17" customFormat="1" ht="20.25" x14ac:dyDescent="0.35">
      <c r="A48" s="562" t="s">
        <v>86</v>
      </c>
      <c r="B48" s="563"/>
      <c r="C48" s="563"/>
      <c r="D48" s="44"/>
      <c r="E48" s="44"/>
      <c r="F48" s="79"/>
      <c r="G48" s="44"/>
      <c r="H48" s="44"/>
      <c r="I48" s="44"/>
      <c r="J48" s="45"/>
      <c r="K48" s="22"/>
    </row>
    <row r="49" spans="1:15" s="17" customFormat="1" ht="20.25" x14ac:dyDescent="0.35">
      <c r="A49" s="62"/>
      <c r="B49" s="183" t="s">
        <v>87</v>
      </c>
      <c r="C49" s="183"/>
      <c r="D49" s="104"/>
      <c r="E49" s="104"/>
      <c r="F49" s="104"/>
      <c r="G49" s="104"/>
      <c r="H49" s="104">
        <f>H11</f>
        <v>0</v>
      </c>
      <c r="I49" s="104">
        <f>I11</f>
        <v>0</v>
      </c>
      <c r="J49" s="105">
        <f>J11</f>
        <v>0</v>
      </c>
      <c r="K49" s="22"/>
    </row>
    <row r="50" spans="1:15" s="17" customFormat="1" ht="20.25" x14ac:dyDescent="0.35">
      <c r="A50" s="62"/>
      <c r="B50" s="58" t="s">
        <v>88</v>
      </c>
      <c r="C50" s="58"/>
      <c r="D50" s="106"/>
      <c r="E50" s="106"/>
      <c r="F50" s="106"/>
      <c r="G50" s="106"/>
      <c r="H50" s="106">
        <f>H46</f>
        <v>13533.05</v>
      </c>
      <c r="I50" s="106">
        <f t="shared" ref="I50:J50" si="6">I46</f>
        <v>9139.58</v>
      </c>
      <c r="J50" s="107">
        <f t="shared" si="6"/>
        <v>8020.8799999999992</v>
      </c>
      <c r="K50" s="22"/>
    </row>
    <row r="51" spans="1:15" s="17" customFormat="1" ht="20.25" x14ac:dyDescent="0.35">
      <c r="A51" s="108"/>
      <c r="B51" s="184" t="s">
        <v>89</v>
      </c>
      <c r="C51" s="184"/>
      <c r="D51" s="109"/>
      <c r="E51" s="109"/>
      <c r="F51" s="109"/>
      <c r="G51" s="109"/>
      <c r="H51" s="109">
        <f t="shared" ref="H51:J51" si="7">H49-H50</f>
        <v>-13533.05</v>
      </c>
      <c r="I51" s="109">
        <f t="shared" si="7"/>
        <v>-9139.58</v>
      </c>
      <c r="J51" s="110">
        <f t="shared" si="7"/>
        <v>-8020.8799999999992</v>
      </c>
      <c r="K51" s="22"/>
      <c r="L51" s="29"/>
      <c r="N51" s="23"/>
      <c r="O51" s="23"/>
    </row>
    <row r="52" spans="1:15" s="17" customFormat="1" x14ac:dyDescent="0.3">
      <c r="A52" s="53"/>
      <c r="B52" s="129"/>
      <c r="C52" s="130"/>
      <c r="D52" s="55"/>
      <c r="E52" s="18"/>
      <c r="F52" s="77"/>
      <c r="G52" s="18"/>
      <c r="H52" s="18"/>
      <c r="I52" s="18"/>
      <c r="J52" s="18"/>
      <c r="K52" s="22"/>
      <c r="L52" s="29"/>
      <c r="N52" s="23"/>
      <c r="O52" s="23"/>
    </row>
    <row r="53" spans="1:15" s="17" customFormat="1" x14ac:dyDescent="0.3">
      <c r="A53" s="53"/>
      <c r="B53" s="129"/>
      <c r="C53" s="129"/>
      <c r="D53" s="55"/>
      <c r="E53" s="18"/>
      <c r="F53" s="77"/>
      <c r="G53" s="18"/>
      <c r="H53" s="18"/>
      <c r="I53" s="18"/>
      <c r="J53" s="18"/>
      <c r="K53" s="22"/>
      <c r="L53" s="29"/>
      <c r="N53" s="23"/>
      <c r="O53" s="23"/>
    </row>
    <row r="54" spans="1:15" s="43" customFormat="1" ht="18.75" x14ac:dyDescent="0.35">
      <c r="A54" s="53"/>
      <c r="B54" s="129"/>
      <c r="C54" s="129"/>
      <c r="D54" s="55"/>
      <c r="E54" s="18"/>
      <c r="F54" s="77"/>
      <c r="G54" s="18"/>
      <c r="H54" s="18"/>
      <c r="I54" s="18"/>
      <c r="J54" s="18"/>
      <c r="K54" s="40"/>
      <c r="L54" s="41"/>
      <c r="M54" s="40"/>
      <c r="N54" s="40"/>
      <c r="O54" s="42"/>
    </row>
    <row r="55" spans="1:15" s="43" customFormat="1" ht="18.75" x14ac:dyDescent="0.35">
      <c r="A55" s="53"/>
      <c r="B55" s="129"/>
      <c r="C55" s="129"/>
      <c r="D55" s="55"/>
      <c r="E55" s="18"/>
      <c r="F55" s="77"/>
      <c r="G55" s="18"/>
      <c r="H55" s="18"/>
      <c r="I55" s="18"/>
      <c r="J55" s="18"/>
      <c r="K55" s="40"/>
      <c r="L55" s="41"/>
      <c r="M55" s="40"/>
      <c r="N55" s="40"/>
      <c r="O55" s="42"/>
    </row>
    <row r="56" spans="1:15" s="48" customFormat="1" ht="20.25" x14ac:dyDescent="0.35">
      <c r="A56" s="53"/>
      <c r="B56" s="129"/>
      <c r="C56" s="129"/>
      <c r="D56" s="55"/>
      <c r="E56" s="18"/>
      <c r="F56" s="77"/>
      <c r="G56" s="18"/>
      <c r="H56" s="18"/>
      <c r="I56" s="18"/>
      <c r="J56" s="18"/>
      <c r="K56" s="58"/>
      <c r="L56" s="58"/>
    </row>
    <row r="57" spans="1:15" s="50" customFormat="1" ht="20.25" x14ac:dyDescent="0.35">
      <c r="A57" s="53"/>
      <c r="B57" s="129"/>
      <c r="C57" s="129"/>
      <c r="D57" s="55"/>
      <c r="E57" s="18"/>
      <c r="F57" s="77"/>
      <c r="G57" s="18"/>
      <c r="H57" s="18"/>
      <c r="I57" s="18"/>
      <c r="J57" s="18"/>
    </row>
    <row r="58" spans="1:15" s="50" customFormat="1" ht="20.25" x14ac:dyDescent="0.35">
      <c r="A58" s="53"/>
      <c r="B58" s="129"/>
      <c r="C58" s="129"/>
      <c r="D58" s="55"/>
      <c r="E58" s="18"/>
      <c r="F58" s="77"/>
      <c r="G58" s="18"/>
      <c r="H58" s="18"/>
      <c r="I58" s="18"/>
      <c r="J58" s="18"/>
    </row>
    <row r="59" spans="1:15" s="50" customFormat="1" ht="20.25" x14ac:dyDescent="0.35">
      <c r="A59" s="53"/>
      <c r="B59" s="129"/>
      <c r="C59" s="129"/>
      <c r="D59" s="55"/>
      <c r="E59" s="18"/>
      <c r="F59" s="77"/>
      <c r="G59" s="18"/>
      <c r="H59" s="18"/>
      <c r="I59" s="18"/>
      <c r="J59" s="18"/>
    </row>
    <row r="60" spans="1:15" s="17" customFormat="1" x14ac:dyDescent="0.3">
      <c r="A60" s="53"/>
      <c r="B60" s="129"/>
      <c r="C60" s="129"/>
      <c r="D60" s="55"/>
      <c r="E60" s="18"/>
      <c r="F60" s="77"/>
      <c r="G60" s="18"/>
      <c r="H60" s="18"/>
      <c r="I60" s="18"/>
      <c r="J60" s="18"/>
    </row>
  </sheetData>
  <mergeCells count="6">
    <mergeCell ref="A48:C48"/>
    <mergeCell ref="D1:J4"/>
    <mergeCell ref="A5:C5"/>
    <mergeCell ref="D5:E5"/>
    <mergeCell ref="A8:C8"/>
    <mergeCell ref="A13:C13"/>
  </mergeCells>
  <pageMargins left="0" right="0" top="0" bottom="0" header="0" footer="0"/>
  <pageSetup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zoomScale="70" zoomScaleNormal="70" workbookViewId="0">
      <pane xSplit="3" ySplit="6" topLeftCell="F7" activePane="bottomRight" state="frozen"/>
      <selection pane="topRight" activeCell="C1" sqref="C1"/>
      <selection pane="bottomLeft" activeCell="A4" sqref="A4"/>
      <selection pane="bottomRight" activeCell="I27" sqref="I27"/>
    </sheetView>
  </sheetViews>
  <sheetFormatPr defaultColWidth="8.85546875" defaultRowHeight="17.25" x14ac:dyDescent="0.3"/>
  <cols>
    <col min="1" max="1" width="13.85546875" style="53" customWidth="1"/>
    <col min="2" max="2" width="13.85546875" style="129" customWidth="1"/>
    <col min="3" max="3" width="42.85546875" style="129" bestFit="1" customWidth="1"/>
    <col min="4" max="4" width="34.42578125" style="55" bestFit="1" customWidth="1"/>
    <col min="5" max="5" width="28.140625" style="18" customWidth="1"/>
    <col min="6" max="6" width="15.28515625" style="77" customWidth="1"/>
    <col min="7" max="7" width="17.42578125" style="18" customWidth="1"/>
    <col min="8" max="8" width="18.140625" style="18" customWidth="1"/>
    <col min="9" max="9" width="22.42578125" style="18" customWidth="1"/>
    <col min="10" max="10" width="23" style="18" customWidth="1"/>
    <col min="11" max="11" width="12" style="17" customWidth="1"/>
    <col min="12" max="12" width="11.28515625" style="17" customWidth="1"/>
    <col min="13" max="13" width="8.85546875" style="53"/>
    <col min="14" max="14" width="10.140625" style="53" bestFit="1" customWidth="1"/>
    <col min="15" max="15" width="14.28515625" style="53" customWidth="1"/>
    <col min="16" max="16384" width="8.85546875" style="53"/>
  </cols>
  <sheetData>
    <row r="1" spans="1:15" s="2" customFormat="1" ht="38.25" x14ac:dyDescent="0.3">
      <c r="A1" s="119"/>
      <c r="B1" s="531"/>
      <c r="C1" s="121"/>
      <c r="D1" s="564" t="s">
        <v>324</v>
      </c>
      <c r="E1" s="565"/>
      <c r="F1" s="565"/>
      <c r="G1" s="565"/>
      <c r="H1" s="565"/>
      <c r="I1" s="565"/>
      <c r="J1" s="566"/>
    </row>
    <row r="2" spans="1:15" s="2" customFormat="1" ht="38.25" x14ac:dyDescent="0.3">
      <c r="A2" s="4"/>
      <c r="B2" s="122"/>
      <c r="C2" s="122"/>
      <c r="D2" s="567"/>
      <c r="E2" s="568"/>
      <c r="F2" s="568"/>
      <c r="G2" s="568"/>
      <c r="H2" s="568"/>
      <c r="I2" s="568"/>
      <c r="J2" s="569"/>
    </row>
    <row r="3" spans="1:15" s="2" customFormat="1" ht="38.25" x14ac:dyDescent="0.3">
      <c r="A3" s="4"/>
      <c r="B3" s="122"/>
      <c r="C3" s="122"/>
      <c r="D3" s="567"/>
      <c r="E3" s="568"/>
      <c r="F3" s="568"/>
      <c r="G3" s="568"/>
      <c r="H3" s="568"/>
      <c r="I3" s="568"/>
      <c r="J3" s="569"/>
    </row>
    <row r="4" spans="1:15" s="2" customFormat="1" ht="38.25" x14ac:dyDescent="0.3">
      <c r="A4" s="6"/>
      <c r="B4" s="123"/>
      <c r="C4" s="123"/>
      <c r="D4" s="570"/>
      <c r="E4" s="571"/>
      <c r="F4" s="571"/>
      <c r="G4" s="571"/>
      <c r="H4" s="571"/>
      <c r="I4" s="571"/>
      <c r="J4" s="572"/>
    </row>
    <row r="5" spans="1:15" s="2" customFormat="1" x14ac:dyDescent="0.3">
      <c r="A5" s="573"/>
      <c r="B5" s="578"/>
      <c r="C5" s="574"/>
      <c r="D5" s="579"/>
      <c r="E5" s="580"/>
      <c r="F5" s="73"/>
      <c r="G5" s="68"/>
      <c r="H5" s="68"/>
      <c r="I5" s="68"/>
      <c r="J5" s="69"/>
      <c r="K5" s="8"/>
      <c r="L5" s="8"/>
    </row>
    <row r="6" spans="1:15" s="64" customFormat="1" x14ac:dyDescent="0.3">
      <c r="A6" s="59"/>
      <c r="B6" s="72" t="s">
        <v>91</v>
      </c>
      <c r="C6" s="70" t="s">
        <v>92</v>
      </c>
      <c r="D6" s="60" t="s">
        <v>93</v>
      </c>
      <c r="E6" s="61" t="s">
        <v>94</v>
      </c>
      <c r="F6" s="74" t="s">
        <v>95</v>
      </c>
      <c r="G6" s="87" t="s">
        <v>96</v>
      </c>
      <c r="H6" s="87" t="s">
        <v>97</v>
      </c>
      <c r="I6" s="87" t="s">
        <v>98</v>
      </c>
      <c r="J6" s="88" t="s">
        <v>99</v>
      </c>
      <c r="K6" s="63"/>
      <c r="L6" s="63"/>
    </row>
    <row r="7" spans="1:15" s="2" customFormat="1" x14ac:dyDescent="0.3">
      <c r="A7" s="141"/>
      <c r="B7" s="142"/>
      <c r="C7" s="143"/>
      <c r="D7" s="144"/>
      <c r="E7" s="145"/>
      <c r="F7" s="146"/>
      <c r="G7" s="145"/>
      <c r="H7" s="145"/>
      <c r="I7" s="145"/>
      <c r="J7" s="147"/>
      <c r="K7" s="8"/>
      <c r="L7" s="8"/>
    </row>
    <row r="8" spans="1:15" s="2" customFormat="1" x14ac:dyDescent="0.3">
      <c r="A8" s="583" t="s">
        <v>5</v>
      </c>
      <c r="B8" s="584"/>
      <c r="C8" s="584"/>
      <c r="D8" s="148"/>
      <c r="E8" s="148"/>
      <c r="F8" s="149"/>
      <c r="G8" s="148"/>
      <c r="H8" s="148"/>
      <c r="I8" s="148"/>
      <c r="J8" s="150"/>
      <c r="K8" s="8"/>
      <c r="L8" s="8"/>
    </row>
    <row r="9" spans="1:15" s="17" customFormat="1" x14ac:dyDescent="0.3">
      <c r="A9" s="151"/>
      <c r="B9" s="319"/>
      <c r="C9" s="319"/>
      <c r="D9" s="153"/>
      <c r="E9" s="153"/>
      <c r="F9" s="154"/>
      <c r="G9" s="153"/>
      <c r="H9" s="153"/>
      <c r="I9" s="153"/>
      <c r="J9" s="155"/>
    </row>
    <row r="10" spans="1:15" s="17" customFormat="1" x14ac:dyDescent="0.3">
      <c r="A10" s="151"/>
      <c r="B10" s="319"/>
      <c r="C10" s="319" t="s">
        <v>45</v>
      </c>
      <c r="D10" s="153"/>
      <c r="E10" s="153"/>
      <c r="F10" s="154"/>
      <c r="G10" s="153"/>
      <c r="H10" s="153">
        <f>0</f>
        <v>0</v>
      </c>
      <c r="I10" s="153">
        <f>0</f>
        <v>0</v>
      </c>
      <c r="J10" s="155">
        <f>0</f>
        <v>0</v>
      </c>
    </row>
    <row r="11" spans="1:15" s="17" customFormat="1" x14ac:dyDescent="0.3">
      <c r="A11" s="151"/>
      <c r="B11" s="319"/>
      <c r="C11" s="319"/>
      <c r="D11" s="153"/>
      <c r="E11" s="153"/>
      <c r="F11" s="154"/>
      <c r="G11" s="153"/>
      <c r="H11" s="153"/>
      <c r="I11" s="153"/>
      <c r="J11" s="155"/>
      <c r="N11" s="23"/>
    </row>
    <row r="12" spans="1:15" s="17" customFormat="1" x14ac:dyDescent="0.3">
      <c r="A12" s="583" t="s">
        <v>46</v>
      </c>
      <c r="B12" s="584"/>
      <c r="C12" s="584"/>
      <c r="D12" s="148"/>
      <c r="E12" s="156"/>
      <c r="F12" s="157"/>
      <c r="G12" s="156"/>
      <c r="H12" s="156"/>
      <c r="I12" s="156"/>
      <c r="J12" s="150"/>
      <c r="K12" s="22"/>
      <c r="L12" s="29"/>
      <c r="M12" s="22"/>
      <c r="N12" s="22"/>
      <c r="O12" s="23"/>
    </row>
    <row r="13" spans="1:15" s="31" customFormat="1" ht="18.75" x14ac:dyDescent="0.35">
      <c r="A13" s="16" t="s">
        <v>325</v>
      </c>
      <c r="B13" s="37"/>
      <c r="C13" s="91"/>
      <c r="D13" s="82"/>
      <c r="E13" s="82"/>
      <c r="F13" s="83"/>
      <c r="G13" s="82"/>
      <c r="H13" s="82"/>
      <c r="I13" s="82"/>
      <c r="J13" s="93"/>
      <c r="K13" s="32"/>
      <c r="L13" s="33"/>
      <c r="M13" s="32"/>
      <c r="N13" s="32"/>
      <c r="O13" s="34"/>
    </row>
    <row r="14" spans="1:15" s="31" customFormat="1" ht="18.75" x14ac:dyDescent="0.35">
      <c r="A14" s="21"/>
      <c r="B14" s="71" t="s">
        <v>326</v>
      </c>
      <c r="C14" s="89" t="s">
        <v>327</v>
      </c>
      <c r="D14" s="80" t="s">
        <v>328</v>
      </c>
      <c r="E14" s="80">
        <f>7*15</f>
        <v>105</v>
      </c>
      <c r="F14" s="81">
        <v>7</v>
      </c>
      <c r="G14" s="80">
        <f>E14*F14</f>
        <v>735</v>
      </c>
      <c r="H14" s="80">
        <f>G14*1.13</f>
        <v>830.55</v>
      </c>
      <c r="I14" s="80">
        <f>89.27+89.27+94.92+94.9</f>
        <v>368.36</v>
      </c>
      <c r="J14" s="90">
        <v>368.36</v>
      </c>
      <c r="K14" s="32"/>
      <c r="L14" s="33"/>
      <c r="M14" s="32"/>
      <c r="N14" s="32"/>
      <c r="O14" s="34"/>
    </row>
    <row r="15" spans="1:15" s="17" customFormat="1" x14ac:dyDescent="0.3">
      <c r="A15" s="21"/>
      <c r="B15" s="91" t="s">
        <v>329</v>
      </c>
      <c r="C15" s="92" t="s">
        <v>330</v>
      </c>
      <c r="D15" s="82" t="s">
        <v>331</v>
      </c>
      <c r="E15" s="82">
        <v>35</v>
      </c>
      <c r="F15" s="83">
        <v>24</v>
      </c>
      <c r="G15" s="82">
        <f t="shared" ref="G15:G16" si="0">E15*F15</f>
        <v>840</v>
      </c>
      <c r="H15" s="82">
        <f t="shared" ref="H15:H16" si="1">G15*1.13</f>
        <v>949.19999999999993</v>
      </c>
      <c r="I15" s="82">
        <v>836.88</v>
      </c>
      <c r="J15" s="93">
        <v>836.88</v>
      </c>
      <c r="K15" s="37"/>
      <c r="L15" s="37"/>
    </row>
    <row r="16" spans="1:15" s="27" customFormat="1" x14ac:dyDescent="0.3">
      <c r="A16" s="21"/>
      <c r="B16" s="71" t="s">
        <v>332</v>
      </c>
      <c r="C16" s="89" t="s">
        <v>285</v>
      </c>
      <c r="D16" s="80" t="s">
        <v>333</v>
      </c>
      <c r="E16" s="80">
        <v>20</v>
      </c>
      <c r="F16" s="81">
        <v>4</v>
      </c>
      <c r="G16" s="80">
        <f t="shared" si="0"/>
        <v>80</v>
      </c>
      <c r="H16" s="80">
        <f t="shared" si="1"/>
        <v>90.399999999999991</v>
      </c>
      <c r="I16" s="80">
        <v>90</v>
      </c>
      <c r="J16" s="90"/>
      <c r="K16" s="22"/>
      <c r="L16" s="26"/>
      <c r="N16" s="24"/>
      <c r="O16" s="28"/>
    </row>
    <row r="17" spans="1:15" s="17" customFormat="1" x14ac:dyDescent="0.3">
      <c r="A17" s="21"/>
      <c r="B17" s="91"/>
      <c r="C17" s="92"/>
      <c r="D17" s="82"/>
      <c r="E17" s="82"/>
      <c r="F17" s="83"/>
      <c r="G17" s="82"/>
      <c r="H17" s="82"/>
      <c r="I17" s="82"/>
      <c r="J17" s="93"/>
      <c r="L17" s="29"/>
      <c r="N17" s="23"/>
    </row>
    <row r="18" spans="1:15" s="17" customFormat="1" x14ac:dyDescent="0.3">
      <c r="A18" s="21"/>
      <c r="B18" s="71"/>
      <c r="C18" s="89"/>
      <c r="D18" s="80"/>
      <c r="E18" s="80"/>
      <c r="F18" s="81"/>
      <c r="G18" s="80"/>
      <c r="H18" s="80"/>
      <c r="I18" s="80"/>
      <c r="J18" s="90"/>
      <c r="L18" s="29"/>
      <c r="N18" s="23"/>
    </row>
    <row r="19" spans="1:15" s="17" customFormat="1" x14ac:dyDescent="0.3">
      <c r="A19" s="21"/>
      <c r="B19" s="537" t="s">
        <v>334</v>
      </c>
      <c r="C19" s="128"/>
      <c r="D19" s="68"/>
      <c r="E19" s="68"/>
      <c r="F19" s="73"/>
      <c r="G19" s="68"/>
      <c r="H19" s="68">
        <f>SUM(H14:H18)</f>
        <v>1870.15</v>
      </c>
      <c r="I19" s="68">
        <f t="shared" ref="I19:J19" si="2">SUM(I14:I18)</f>
        <v>1295.24</v>
      </c>
      <c r="J19" s="68">
        <f t="shared" si="2"/>
        <v>1205.24</v>
      </c>
      <c r="L19" s="29"/>
      <c r="N19" s="23"/>
    </row>
    <row r="20" spans="1:15" s="17" customFormat="1" x14ac:dyDescent="0.3">
      <c r="A20" s="16"/>
      <c r="B20" s="37"/>
      <c r="C20" s="37"/>
      <c r="D20" s="85"/>
      <c r="E20" s="85"/>
      <c r="F20" s="94"/>
      <c r="G20" s="85"/>
      <c r="H20" s="85"/>
      <c r="I20" s="85"/>
      <c r="J20" s="86"/>
      <c r="L20" s="29"/>
      <c r="N20" s="23"/>
    </row>
    <row r="21" spans="1:15" s="17" customFormat="1" x14ac:dyDescent="0.3">
      <c r="A21" s="16" t="s">
        <v>335</v>
      </c>
      <c r="B21" s="37"/>
      <c r="C21" s="91"/>
      <c r="D21" s="82"/>
      <c r="E21" s="82"/>
      <c r="F21" s="83"/>
      <c r="G21" s="82"/>
      <c r="H21" s="82"/>
      <c r="I21" s="82"/>
      <c r="J21" s="93"/>
      <c r="L21" s="29"/>
      <c r="N21" s="23"/>
    </row>
    <row r="22" spans="1:15" s="17" customFormat="1" x14ac:dyDescent="0.3">
      <c r="A22" s="38"/>
      <c r="B22" s="71" t="s">
        <v>336</v>
      </c>
      <c r="C22" s="89" t="s">
        <v>337</v>
      </c>
      <c r="D22" s="80"/>
      <c r="E22" s="80">
        <v>7.95</v>
      </c>
      <c r="F22" s="81">
        <v>16</v>
      </c>
      <c r="G22" s="80">
        <f>E22*F22</f>
        <v>127.2</v>
      </c>
      <c r="H22" s="80">
        <f>G22*1.13</f>
        <v>143.73599999999999</v>
      </c>
      <c r="I22" s="80">
        <f>140.35</f>
        <v>140.35</v>
      </c>
      <c r="J22" s="90">
        <v>140.35</v>
      </c>
      <c r="L22" s="29"/>
      <c r="N22" s="23"/>
    </row>
    <row r="23" spans="1:15" s="17" customFormat="1" x14ac:dyDescent="0.3">
      <c r="A23" s="38"/>
      <c r="B23" s="91" t="s">
        <v>338</v>
      </c>
      <c r="C23" s="92" t="s">
        <v>339</v>
      </c>
      <c r="D23" s="82"/>
      <c r="E23" s="82">
        <v>12.75</v>
      </c>
      <c r="F23" s="83">
        <v>16</v>
      </c>
      <c r="G23" s="82">
        <f t="shared" ref="G23:G24" si="3">E23*F23</f>
        <v>204</v>
      </c>
      <c r="H23" s="82">
        <f t="shared" ref="H23:H24" si="4">G23*1.13</f>
        <v>230.51999999999998</v>
      </c>
      <c r="I23" s="82">
        <f>241.82</f>
        <v>241.82</v>
      </c>
      <c r="J23" s="93">
        <v>241.82</v>
      </c>
      <c r="K23" s="22"/>
      <c r="L23" s="29"/>
      <c r="N23" s="23"/>
      <c r="O23" s="23"/>
    </row>
    <row r="24" spans="1:15" s="17" customFormat="1" x14ac:dyDescent="0.3">
      <c r="A24" s="38"/>
      <c r="B24" s="71" t="s">
        <v>340</v>
      </c>
      <c r="C24" s="89" t="s">
        <v>341</v>
      </c>
      <c r="D24" s="80" t="s">
        <v>342</v>
      </c>
      <c r="E24" s="80">
        <v>20</v>
      </c>
      <c r="F24" s="81">
        <v>16</v>
      </c>
      <c r="G24" s="80">
        <f t="shared" si="3"/>
        <v>320</v>
      </c>
      <c r="H24" s="80">
        <f t="shared" si="4"/>
        <v>361.59999999999997</v>
      </c>
      <c r="I24" s="80">
        <f>304.43</f>
        <v>304.43</v>
      </c>
      <c r="J24" s="90">
        <v>304.43</v>
      </c>
      <c r="K24" s="22"/>
      <c r="L24" s="29"/>
      <c r="N24" s="23"/>
      <c r="O24" s="23"/>
    </row>
    <row r="25" spans="1:15" s="43" customFormat="1" ht="18.75" x14ac:dyDescent="0.35">
      <c r="A25" s="21"/>
      <c r="B25" s="91"/>
      <c r="C25" s="91"/>
      <c r="D25" s="82"/>
      <c r="E25" s="82"/>
      <c r="F25" s="83"/>
      <c r="G25" s="82"/>
      <c r="H25" s="82"/>
      <c r="I25" s="82"/>
      <c r="J25" s="93"/>
      <c r="K25" s="40"/>
      <c r="L25" s="41"/>
      <c r="M25" s="40"/>
      <c r="N25" s="40"/>
      <c r="O25" s="42"/>
    </row>
    <row r="26" spans="1:15" s="43" customFormat="1" ht="18.75" x14ac:dyDescent="0.35">
      <c r="A26" s="21"/>
      <c r="B26" s="71"/>
      <c r="C26" s="71"/>
      <c r="D26" s="80"/>
      <c r="E26" s="80"/>
      <c r="F26" s="81"/>
      <c r="G26" s="80"/>
      <c r="H26" s="80"/>
      <c r="I26" s="80"/>
      <c r="J26" s="90"/>
      <c r="K26" s="40"/>
      <c r="L26" s="41"/>
      <c r="M26" s="40"/>
      <c r="N26" s="40"/>
      <c r="O26" s="42"/>
    </row>
    <row r="27" spans="1:15" s="48" customFormat="1" ht="20.25" x14ac:dyDescent="0.35">
      <c r="A27" s="21"/>
      <c r="B27" s="537" t="s">
        <v>343</v>
      </c>
      <c r="C27" s="126"/>
      <c r="D27" s="68"/>
      <c r="E27" s="68"/>
      <c r="F27" s="73"/>
      <c r="G27" s="68"/>
      <c r="H27" s="68">
        <f>SUM(H22:H26)</f>
        <v>735.85599999999999</v>
      </c>
      <c r="I27" s="68">
        <f>SUM(I22:I26)</f>
        <v>686.59999999999991</v>
      </c>
      <c r="J27" s="69">
        <f>SUM(J22:J26)</f>
        <v>686.59999999999991</v>
      </c>
      <c r="K27" s="58"/>
      <c r="L27" s="58"/>
    </row>
    <row r="28" spans="1:15" s="50" customFormat="1" ht="20.25" x14ac:dyDescent="0.35">
      <c r="A28" s="21"/>
      <c r="B28" s="91"/>
      <c r="C28" s="92"/>
      <c r="D28" s="82"/>
      <c r="E28" s="82"/>
      <c r="F28" s="83"/>
      <c r="G28" s="82"/>
      <c r="H28" s="82"/>
      <c r="I28" s="82"/>
      <c r="J28" s="93"/>
    </row>
    <row r="29" spans="1:15" s="50" customFormat="1" ht="20.25" x14ac:dyDescent="0.35">
      <c r="A29" s="21"/>
      <c r="B29" s="91"/>
      <c r="C29" s="37" t="s">
        <v>85</v>
      </c>
      <c r="D29" s="85"/>
      <c r="E29" s="85"/>
      <c r="F29" s="94"/>
      <c r="G29" s="85"/>
      <c r="H29" s="85">
        <f>SUM(H27,H19)</f>
        <v>2606.0060000000003</v>
      </c>
      <c r="I29" s="85">
        <f>SUM(I27,I19)</f>
        <v>1981.84</v>
      </c>
      <c r="J29" s="86">
        <f t="shared" ref="J29" si="5">SUM(J27,J19)</f>
        <v>1891.84</v>
      </c>
    </row>
    <row r="30" spans="1:15" s="50" customFormat="1" ht="20.25" x14ac:dyDescent="0.35">
      <c r="A30" s="162"/>
      <c r="B30" s="305"/>
      <c r="C30" s="319"/>
      <c r="D30" s="153"/>
      <c r="E30" s="153"/>
      <c r="F30" s="154"/>
      <c r="G30" s="153"/>
      <c r="H30" s="153"/>
      <c r="I30" s="153"/>
      <c r="J30" s="155"/>
    </row>
    <row r="31" spans="1:15" s="17" customFormat="1" x14ac:dyDescent="0.3">
      <c r="A31" s="583" t="s">
        <v>86</v>
      </c>
      <c r="B31" s="584"/>
      <c r="C31" s="584"/>
      <c r="D31" s="148"/>
      <c r="E31" s="148"/>
      <c r="F31" s="149"/>
      <c r="G31" s="148"/>
      <c r="H31" s="148"/>
      <c r="I31" s="148"/>
      <c r="J31" s="150"/>
    </row>
    <row r="32" spans="1:15" x14ac:dyDescent="0.3">
      <c r="A32" s="151"/>
      <c r="B32" s="538" t="s">
        <v>87</v>
      </c>
      <c r="C32" s="538"/>
      <c r="D32" s="177"/>
      <c r="E32" s="177"/>
      <c r="F32" s="177"/>
      <c r="G32" s="177"/>
      <c r="H32" s="177">
        <f>H10</f>
        <v>0</v>
      </c>
      <c r="I32" s="177">
        <f>I10</f>
        <v>0</v>
      </c>
      <c r="J32" s="178">
        <f>J10</f>
        <v>0</v>
      </c>
    </row>
    <row r="33" spans="1:10" x14ac:dyDescent="0.3">
      <c r="A33" s="151"/>
      <c r="B33" s="319" t="s">
        <v>88</v>
      </c>
      <c r="C33" s="319"/>
      <c r="D33" s="153"/>
      <c r="E33" s="153"/>
      <c r="F33" s="153"/>
      <c r="G33" s="153"/>
      <c r="H33" s="153">
        <f>H29</f>
        <v>2606.0060000000003</v>
      </c>
      <c r="I33" s="153">
        <f>I29</f>
        <v>1981.84</v>
      </c>
      <c r="J33" s="155">
        <f t="shared" ref="J33" si="6">J29</f>
        <v>1891.84</v>
      </c>
    </row>
    <row r="34" spans="1:10" x14ac:dyDescent="0.3">
      <c r="A34" s="179"/>
      <c r="B34" s="539" t="s">
        <v>89</v>
      </c>
      <c r="C34" s="539"/>
      <c r="D34" s="181"/>
      <c r="E34" s="181"/>
      <c r="F34" s="181"/>
      <c r="G34" s="181"/>
      <c r="H34" s="181">
        <f t="shared" ref="H34:J34" si="7">H32-H33</f>
        <v>-2606.0060000000003</v>
      </c>
      <c r="I34" s="181">
        <f t="shared" si="7"/>
        <v>-1981.84</v>
      </c>
      <c r="J34" s="182">
        <f t="shared" si="7"/>
        <v>-1891.84</v>
      </c>
    </row>
  </sheetData>
  <mergeCells count="6">
    <mergeCell ref="A31:C31"/>
    <mergeCell ref="D1:J4"/>
    <mergeCell ref="A5:C5"/>
    <mergeCell ref="D5:E5"/>
    <mergeCell ref="A8:C8"/>
    <mergeCell ref="A12:C12"/>
  </mergeCells>
  <pageMargins left="0" right="0" top="0" bottom="0" header="0" footer="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zoomScale="75" zoomScaleNormal="75" workbookViewId="0">
      <pane xSplit="3" ySplit="6" topLeftCell="H7" activePane="bottomRight" state="frozen"/>
      <selection pane="topRight" activeCell="C1" sqref="C1"/>
      <selection pane="bottomLeft" activeCell="A4" sqref="A4"/>
      <selection pane="bottomRight" activeCell="G18" sqref="G18"/>
    </sheetView>
  </sheetViews>
  <sheetFormatPr defaultColWidth="8.85546875" defaultRowHeight="17.25" x14ac:dyDescent="0.3"/>
  <cols>
    <col min="1" max="2" width="13.85546875" style="53" customWidth="1"/>
    <col min="3" max="3" width="42.85546875" style="53" bestFit="1" customWidth="1"/>
    <col min="4" max="4" width="28.140625" style="55" customWidth="1"/>
    <col min="5" max="5" width="28.140625" style="18" customWidth="1"/>
    <col min="6" max="6" width="15.28515625" style="77" customWidth="1"/>
    <col min="7" max="7" width="17.42578125" style="18" customWidth="1"/>
    <col min="8" max="8" width="18.140625" style="18" customWidth="1"/>
    <col min="9" max="9" width="22.42578125" style="18" customWidth="1"/>
    <col min="10" max="10" width="23" style="18" customWidth="1"/>
    <col min="11" max="11" width="12" style="17" customWidth="1"/>
    <col min="12" max="12" width="11.28515625" style="17" customWidth="1"/>
    <col min="13" max="13" width="8.85546875" style="53"/>
    <col min="14" max="14" width="10.140625" style="53" bestFit="1" customWidth="1"/>
    <col min="15" max="15" width="14.28515625" style="53" customWidth="1"/>
    <col min="16" max="16384" width="8.85546875" style="53"/>
  </cols>
  <sheetData>
    <row r="1" spans="1:12" s="2" customFormat="1" ht="38.25" x14ac:dyDescent="0.3">
      <c r="A1" s="119"/>
      <c r="B1" s="120"/>
      <c r="C1" s="3"/>
      <c r="D1" s="564" t="s">
        <v>344</v>
      </c>
      <c r="E1" s="565"/>
      <c r="F1" s="565"/>
      <c r="G1" s="565"/>
      <c r="H1" s="565"/>
      <c r="I1" s="565"/>
      <c r="J1" s="566"/>
    </row>
    <row r="2" spans="1:12" s="2" customFormat="1" ht="38.25" x14ac:dyDescent="0.3">
      <c r="A2" s="4"/>
      <c r="B2" s="5"/>
      <c r="C2" s="5"/>
      <c r="D2" s="567"/>
      <c r="E2" s="568"/>
      <c r="F2" s="568"/>
      <c r="G2" s="568"/>
      <c r="H2" s="568"/>
      <c r="I2" s="568"/>
      <c r="J2" s="569"/>
    </row>
    <row r="3" spans="1:12" s="2" customFormat="1" ht="38.25" x14ac:dyDescent="0.3">
      <c r="A3" s="4"/>
      <c r="B3" s="5"/>
      <c r="C3" s="5"/>
      <c r="D3" s="567"/>
      <c r="E3" s="568"/>
      <c r="F3" s="568"/>
      <c r="G3" s="568"/>
      <c r="H3" s="568"/>
      <c r="I3" s="568"/>
      <c r="J3" s="569"/>
    </row>
    <row r="4" spans="1:12" s="2" customFormat="1" ht="38.25" x14ac:dyDescent="0.3">
      <c r="A4" s="6"/>
      <c r="B4" s="7"/>
      <c r="C4" s="7"/>
      <c r="D4" s="570"/>
      <c r="E4" s="571"/>
      <c r="F4" s="571"/>
      <c r="G4" s="571"/>
      <c r="H4" s="571"/>
      <c r="I4" s="571"/>
      <c r="J4" s="572"/>
    </row>
    <row r="5" spans="1:12" s="2" customFormat="1" x14ac:dyDescent="0.3">
      <c r="A5" s="573"/>
      <c r="B5" s="578"/>
      <c r="C5" s="574"/>
      <c r="D5" s="579"/>
      <c r="E5" s="580"/>
      <c r="F5" s="73"/>
      <c r="G5" s="68"/>
      <c r="H5" s="68"/>
      <c r="I5" s="68"/>
      <c r="J5" s="69"/>
      <c r="K5" s="8"/>
      <c r="L5" s="8"/>
    </row>
    <row r="6" spans="1:12" s="64" customFormat="1" x14ac:dyDescent="0.3">
      <c r="A6" s="59"/>
      <c r="B6" s="72" t="s">
        <v>91</v>
      </c>
      <c r="C6" s="70" t="s">
        <v>92</v>
      </c>
      <c r="D6" s="60" t="s">
        <v>93</v>
      </c>
      <c r="E6" s="61" t="s">
        <v>94</v>
      </c>
      <c r="F6" s="74" t="s">
        <v>95</v>
      </c>
      <c r="G6" s="87" t="s">
        <v>96</v>
      </c>
      <c r="H6" s="87" t="s">
        <v>97</v>
      </c>
      <c r="I6" s="87" t="s">
        <v>98</v>
      </c>
      <c r="J6" s="88" t="s">
        <v>99</v>
      </c>
      <c r="K6" s="63"/>
      <c r="L6" s="63"/>
    </row>
    <row r="7" spans="1:12" s="2" customFormat="1" x14ac:dyDescent="0.3">
      <c r="A7" s="9"/>
      <c r="B7" s="65"/>
      <c r="C7" s="10"/>
      <c r="D7" s="11"/>
      <c r="E7" s="12"/>
      <c r="F7" s="75"/>
      <c r="G7" s="12"/>
      <c r="H7" s="12"/>
      <c r="I7" s="12"/>
      <c r="J7" s="84"/>
      <c r="K7" s="8"/>
      <c r="L7" s="8"/>
    </row>
    <row r="8" spans="1:12" x14ac:dyDescent="0.3">
      <c r="A8" s="560" t="s">
        <v>5</v>
      </c>
      <c r="B8" s="561"/>
      <c r="C8" s="561"/>
      <c r="D8" s="14"/>
      <c r="E8" s="14"/>
      <c r="F8" s="76"/>
      <c r="G8" s="14"/>
      <c r="H8" s="14"/>
      <c r="I8" s="14"/>
      <c r="J8" s="15"/>
    </row>
    <row r="9" spans="1:12" x14ac:dyDescent="0.3">
      <c r="A9" s="16"/>
      <c r="B9" s="27"/>
      <c r="C9" s="37"/>
      <c r="D9" s="85"/>
      <c r="E9" s="85"/>
      <c r="F9" s="94"/>
      <c r="G9" s="85"/>
      <c r="H9" s="85"/>
      <c r="I9" s="85"/>
      <c r="J9" s="86"/>
    </row>
    <row r="10" spans="1:12" ht="18.75" x14ac:dyDescent="0.35">
      <c r="A10" s="30"/>
      <c r="B10" s="31"/>
      <c r="C10" s="532" t="s">
        <v>45</v>
      </c>
      <c r="D10" s="96"/>
      <c r="E10" s="96"/>
      <c r="F10" s="97"/>
      <c r="G10" s="96"/>
      <c r="H10" s="96">
        <v>0</v>
      </c>
      <c r="I10" s="96">
        <v>0</v>
      </c>
      <c r="J10" s="98">
        <v>0</v>
      </c>
    </row>
    <row r="11" spans="1:12" ht="18.75" x14ac:dyDescent="0.35">
      <c r="A11" s="30"/>
      <c r="B11" s="31"/>
      <c r="C11" s="127"/>
      <c r="D11" s="85"/>
      <c r="E11" s="85"/>
      <c r="F11" s="94"/>
      <c r="G11" s="85"/>
      <c r="H11" s="85"/>
      <c r="I11" s="85"/>
      <c r="J11" s="86"/>
    </row>
    <row r="12" spans="1:12" x14ac:dyDescent="0.3">
      <c r="A12" s="560" t="s">
        <v>46</v>
      </c>
      <c r="B12" s="561"/>
      <c r="C12" s="561"/>
      <c r="D12" s="14"/>
      <c r="E12" s="35"/>
      <c r="F12" s="78"/>
      <c r="G12" s="35"/>
      <c r="H12" s="35"/>
      <c r="I12" s="35"/>
      <c r="J12" s="15"/>
    </row>
    <row r="13" spans="1:12" x14ac:dyDescent="0.3">
      <c r="A13" s="16" t="s">
        <v>345</v>
      </c>
      <c r="B13" s="27"/>
      <c r="C13" s="91"/>
      <c r="D13" s="82"/>
      <c r="E13" s="82"/>
      <c r="F13" s="83"/>
      <c r="G13" s="82"/>
      <c r="H13" s="82"/>
      <c r="I13" s="82"/>
      <c r="J13" s="93"/>
    </row>
    <row r="14" spans="1:12" x14ac:dyDescent="0.3">
      <c r="A14" s="16"/>
      <c r="B14" s="71" t="s">
        <v>346</v>
      </c>
      <c r="C14" s="71" t="s">
        <v>347</v>
      </c>
      <c r="D14" s="80" t="s">
        <v>348</v>
      </c>
      <c r="E14" s="80">
        <v>2</v>
      </c>
      <c r="F14" s="81">
        <v>180</v>
      </c>
      <c r="G14" s="80">
        <f>F14*E14</f>
        <v>360</v>
      </c>
      <c r="H14" s="80">
        <f>G14*1.13</f>
        <v>406.79999999999995</v>
      </c>
      <c r="I14" s="80">
        <v>438.74</v>
      </c>
      <c r="J14" s="90">
        <v>438.74</v>
      </c>
    </row>
    <row r="15" spans="1:12" x14ac:dyDescent="0.3">
      <c r="A15" s="16"/>
      <c r="B15" s="91" t="s">
        <v>349</v>
      </c>
      <c r="C15" s="91" t="s">
        <v>350</v>
      </c>
      <c r="D15" s="82" t="s">
        <v>351</v>
      </c>
      <c r="E15" s="82">
        <v>0.5</v>
      </c>
      <c r="F15" s="83">
        <v>180</v>
      </c>
      <c r="G15" s="82">
        <f t="shared" ref="G15:G18" si="0">F15*E15</f>
        <v>90</v>
      </c>
      <c r="H15" s="82">
        <f t="shared" ref="H15:H18" si="1">G15*1.13</f>
        <v>101.69999999999999</v>
      </c>
      <c r="I15" s="82"/>
      <c r="J15" s="93"/>
    </row>
    <row r="16" spans="1:12" x14ac:dyDescent="0.3">
      <c r="A16" s="16"/>
      <c r="B16" s="71" t="s">
        <v>352</v>
      </c>
      <c r="C16" s="71" t="s">
        <v>353</v>
      </c>
      <c r="D16" s="80" t="s">
        <v>354</v>
      </c>
      <c r="E16" s="80">
        <v>300</v>
      </c>
      <c r="F16" s="81">
        <v>1</v>
      </c>
      <c r="G16" s="80">
        <f t="shared" si="0"/>
        <v>300</v>
      </c>
      <c r="H16" s="80">
        <f t="shared" si="1"/>
        <v>338.99999999999994</v>
      </c>
      <c r="I16" s="80"/>
      <c r="J16" s="90"/>
    </row>
    <row r="17" spans="1:12" x14ac:dyDescent="0.3">
      <c r="A17" s="16"/>
      <c r="B17" s="91" t="s">
        <v>355</v>
      </c>
      <c r="C17" s="91" t="s">
        <v>356</v>
      </c>
      <c r="D17" s="82" t="s">
        <v>357</v>
      </c>
      <c r="E17" s="82">
        <v>0.5</v>
      </c>
      <c r="F17" s="83">
        <v>30</v>
      </c>
      <c r="G17" s="82">
        <f t="shared" si="0"/>
        <v>15</v>
      </c>
      <c r="H17" s="82">
        <f t="shared" si="1"/>
        <v>16.95</v>
      </c>
      <c r="I17" s="82"/>
      <c r="J17" s="93"/>
    </row>
    <row r="18" spans="1:12" x14ac:dyDescent="0.3">
      <c r="A18" s="16"/>
      <c r="B18" s="71" t="s">
        <v>358</v>
      </c>
      <c r="C18" s="71" t="s">
        <v>359</v>
      </c>
      <c r="D18" s="80" t="s">
        <v>360</v>
      </c>
      <c r="E18" s="80">
        <v>420</v>
      </c>
      <c r="F18" s="81">
        <v>1</v>
      </c>
      <c r="G18" s="80">
        <f t="shared" si="0"/>
        <v>420</v>
      </c>
      <c r="H18" s="80">
        <f t="shared" si="1"/>
        <v>474.59999999999997</v>
      </c>
      <c r="I18" s="80">
        <v>473.44</v>
      </c>
      <c r="J18" s="90">
        <v>473.44</v>
      </c>
    </row>
    <row r="19" spans="1:12" x14ac:dyDescent="0.3">
      <c r="A19" s="16"/>
      <c r="B19" s="27"/>
      <c r="C19" s="91"/>
      <c r="D19" s="82"/>
      <c r="E19" s="82"/>
      <c r="F19" s="83"/>
      <c r="G19" s="82"/>
      <c r="H19" s="82"/>
      <c r="I19" s="82"/>
      <c r="J19" s="93"/>
    </row>
    <row r="20" spans="1:12" x14ac:dyDescent="0.3">
      <c r="A20" s="21"/>
      <c r="B20" s="25" t="s">
        <v>361</v>
      </c>
      <c r="C20" s="126"/>
      <c r="D20" s="68"/>
      <c r="E20" s="68"/>
      <c r="F20" s="73"/>
      <c r="G20" s="68"/>
      <c r="H20" s="68">
        <f>SUM(H14:H18)</f>
        <v>1339.05</v>
      </c>
      <c r="I20" s="68">
        <f>SUM(I14:I18)</f>
        <v>912.18000000000006</v>
      </c>
      <c r="J20" s="69">
        <f>SUM(J14:J18)</f>
        <v>912.18000000000006</v>
      </c>
    </row>
    <row r="21" spans="1:12" x14ac:dyDescent="0.3">
      <c r="A21" s="21"/>
      <c r="B21" s="17"/>
      <c r="C21" s="92"/>
      <c r="D21" s="82"/>
      <c r="E21" s="82"/>
      <c r="F21" s="83"/>
      <c r="G21" s="82"/>
      <c r="H21" s="82"/>
      <c r="I21" s="82"/>
      <c r="J21" s="93"/>
    </row>
    <row r="22" spans="1:12" x14ac:dyDescent="0.3">
      <c r="A22" s="21"/>
      <c r="B22" s="27"/>
      <c r="C22" s="37"/>
      <c r="D22" s="85"/>
      <c r="E22" s="85"/>
      <c r="F22" s="94"/>
      <c r="G22" s="85"/>
      <c r="H22" s="85"/>
      <c r="I22" s="85"/>
      <c r="J22" s="86"/>
    </row>
    <row r="23" spans="1:12" x14ac:dyDescent="0.3">
      <c r="A23" s="16" t="s">
        <v>362</v>
      </c>
      <c r="B23" s="27"/>
      <c r="C23" s="91"/>
      <c r="D23" s="82"/>
      <c r="E23" s="82"/>
      <c r="F23" s="83"/>
      <c r="G23" s="82"/>
      <c r="H23" s="82"/>
      <c r="I23" s="82"/>
      <c r="J23" s="93"/>
    </row>
    <row r="24" spans="1:12" x14ac:dyDescent="0.3">
      <c r="A24" s="21"/>
      <c r="B24" s="71" t="s">
        <v>363</v>
      </c>
      <c r="C24" s="71" t="s">
        <v>364</v>
      </c>
      <c r="D24" s="80" t="s">
        <v>365</v>
      </c>
      <c r="E24" s="80">
        <v>2</v>
      </c>
      <c r="F24" s="81">
        <v>25</v>
      </c>
      <c r="G24" s="80">
        <f t="shared" ref="G24" si="2">F24*E24</f>
        <v>50</v>
      </c>
      <c r="H24" s="80">
        <f t="shared" ref="H24" si="3">G24*1.13</f>
        <v>56.499999999999993</v>
      </c>
      <c r="I24" s="80"/>
      <c r="J24" s="90"/>
    </row>
    <row r="25" spans="1:12" x14ac:dyDescent="0.3">
      <c r="A25" s="21"/>
      <c r="B25" s="71"/>
      <c r="C25" s="71" t="s">
        <v>1663</v>
      </c>
      <c r="D25" s="80" t="s">
        <v>1664</v>
      </c>
      <c r="E25" s="80"/>
      <c r="F25" s="81"/>
      <c r="G25" s="80"/>
      <c r="H25" s="80"/>
      <c r="I25" s="80">
        <v>146.88</v>
      </c>
      <c r="J25" s="523">
        <v>146.88</v>
      </c>
    </row>
    <row r="26" spans="1:12" x14ac:dyDescent="0.3">
      <c r="A26" s="21"/>
      <c r="B26" s="71"/>
      <c r="C26" s="71" t="s">
        <v>1665</v>
      </c>
      <c r="D26" s="80" t="s">
        <v>1664</v>
      </c>
      <c r="E26" s="80"/>
      <c r="F26" s="81"/>
      <c r="G26" s="80"/>
      <c r="H26" s="80"/>
      <c r="I26" s="80">
        <v>274.58</v>
      </c>
      <c r="J26" s="523">
        <v>274.58</v>
      </c>
    </row>
    <row r="27" spans="1:12" x14ac:dyDescent="0.3">
      <c r="A27" s="21"/>
      <c r="B27" s="71"/>
      <c r="C27" s="71" t="s">
        <v>1666</v>
      </c>
      <c r="D27" s="80"/>
      <c r="E27" s="80"/>
      <c r="F27" s="81"/>
      <c r="G27" s="80"/>
      <c r="H27" s="80"/>
      <c r="I27" s="80">
        <v>240.59</v>
      </c>
      <c r="J27" s="523">
        <v>240.59</v>
      </c>
    </row>
    <row r="28" spans="1:12" x14ac:dyDescent="0.3">
      <c r="A28" s="21"/>
      <c r="B28" s="71"/>
      <c r="C28" s="71" t="s">
        <v>1059</v>
      </c>
      <c r="D28" s="80" t="s">
        <v>1664</v>
      </c>
      <c r="E28" s="80"/>
      <c r="F28" s="81"/>
      <c r="G28" s="80"/>
      <c r="H28" s="80"/>
      <c r="I28" s="80">
        <v>337.87</v>
      </c>
      <c r="J28" s="523">
        <v>337.87</v>
      </c>
    </row>
    <row r="29" spans="1:12" x14ac:dyDescent="0.3">
      <c r="A29" s="21"/>
      <c r="B29" s="17"/>
      <c r="C29" s="91"/>
      <c r="D29" s="82"/>
      <c r="E29" s="82"/>
      <c r="F29" s="83"/>
      <c r="G29" s="82"/>
      <c r="H29" s="82"/>
      <c r="I29" s="82"/>
      <c r="J29" s="93"/>
    </row>
    <row r="30" spans="1:12" x14ac:dyDescent="0.3">
      <c r="A30" s="21"/>
      <c r="B30" s="25" t="s">
        <v>366</v>
      </c>
      <c r="C30" s="126"/>
      <c r="D30" s="68"/>
      <c r="E30" s="68"/>
      <c r="F30" s="73"/>
      <c r="G30" s="68"/>
      <c r="H30" s="68">
        <f>SUM(H24:H24)</f>
        <v>56.499999999999993</v>
      </c>
      <c r="I30" s="68">
        <f>SUM(I24:I28)</f>
        <v>999.92</v>
      </c>
      <c r="J30" s="69">
        <f>SUM(J24:J28)</f>
        <v>999.92</v>
      </c>
    </row>
    <row r="31" spans="1:12" x14ac:dyDescent="0.3">
      <c r="A31" s="21"/>
      <c r="B31" s="27"/>
      <c r="C31" s="37"/>
      <c r="D31" s="85"/>
      <c r="E31" s="85"/>
      <c r="F31" s="94"/>
      <c r="G31" s="85"/>
      <c r="H31" s="85"/>
      <c r="I31" s="85"/>
      <c r="J31" s="86"/>
      <c r="L31" s="18">
        <f>I37+76.85+1125.17-240.59*2</f>
        <v>2632.94</v>
      </c>
    </row>
    <row r="32" spans="1:12" x14ac:dyDescent="0.3">
      <c r="A32" s="21"/>
      <c r="B32" s="321"/>
      <c r="C32" s="37"/>
      <c r="D32" s="85"/>
      <c r="E32" s="85"/>
      <c r="F32" s="94"/>
      <c r="G32" s="85"/>
      <c r="H32" s="85"/>
      <c r="I32" s="85"/>
      <c r="J32" s="86"/>
    </row>
    <row r="33" spans="1:10" ht="18.75" x14ac:dyDescent="0.35">
      <c r="A33" s="39"/>
      <c r="B33" s="43"/>
      <c r="C33" s="532" t="s">
        <v>85</v>
      </c>
      <c r="D33" s="96"/>
      <c r="E33" s="96"/>
      <c r="F33" s="97"/>
      <c r="G33" s="96"/>
      <c r="H33" s="96">
        <f>H20+H30</f>
        <v>1395.55</v>
      </c>
      <c r="I33" s="96">
        <f>I30+I20</f>
        <v>1912.1</v>
      </c>
      <c r="J33" s="98">
        <f>J30+J20</f>
        <v>1912.1</v>
      </c>
    </row>
    <row r="34" spans="1:10" ht="18.75" x14ac:dyDescent="0.35">
      <c r="A34" s="39"/>
      <c r="B34" s="43"/>
      <c r="C34" s="127"/>
      <c r="D34" s="96"/>
      <c r="E34" s="96"/>
      <c r="F34" s="97"/>
      <c r="G34" s="96"/>
      <c r="H34" s="96"/>
      <c r="I34" s="96"/>
      <c r="J34" s="98"/>
    </row>
    <row r="35" spans="1:10" ht="20.25" x14ac:dyDescent="0.35">
      <c r="A35" s="562" t="s">
        <v>86</v>
      </c>
      <c r="B35" s="563"/>
      <c r="C35" s="563"/>
      <c r="D35" s="44"/>
      <c r="E35" s="44"/>
      <c r="F35" s="79"/>
      <c r="G35" s="44"/>
      <c r="H35" s="44"/>
      <c r="I35" s="44"/>
      <c r="J35" s="45"/>
    </row>
    <row r="36" spans="1:10" ht="20.25" x14ac:dyDescent="0.35">
      <c r="A36" s="62"/>
      <c r="B36" s="47" t="s">
        <v>87</v>
      </c>
      <c r="C36" s="183"/>
      <c r="D36" s="104"/>
      <c r="E36" s="104"/>
      <c r="F36" s="104"/>
      <c r="G36" s="104"/>
      <c r="H36" s="104">
        <f>H10</f>
        <v>0</v>
      </c>
      <c r="I36" s="104">
        <f>I10</f>
        <v>0</v>
      </c>
      <c r="J36" s="105">
        <f>J10</f>
        <v>0</v>
      </c>
    </row>
    <row r="37" spans="1:10" ht="20.25" x14ac:dyDescent="0.35">
      <c r="A37" s="62"/>
      <c r="B37" s="50" t="s">
        <v>88</v>
      </c>
      <c r="C37" s="58"/>
      <c r="D37" s="106"/>
      <c r="E37" s="106"/>
      <c r="F37" s="106"/>
      <c r="G37" s="106"/>
      <c r="H37" s="106">
        <f>H33</f>
        <v>1395.55</v>
      </c>
      <c r="I37" s="106">
        <f>I33</f>
        <v>1912.1</v>
      </c>
      <c r="J37" s="107">
        <f t="shared" ref="J37" si="4">J33</f>
        <v>1912.1</v>
      </c>
    </row>
    <row r="38" spans="1:10" ht="20.25" x14ac:dyDescent="0.35">
      <c r="A38" s="108"/>
      <c r="B38" s="52" t="s">
        <v>89</v>
      </c>
      <c r="C38" s="184"/>
      <c r="D38" s="109"/>
      <c r="E38" s="109"/>
      <c r="F38" s="109"/>
      <c r="G38" s="109"/>
      <c r="H38" s="109">
        <f t="shared" ref="H38:J38" si="5">H36-H37</f>
        <v>-1395.55</v>
      </c>
      <c r="I38" s="109">
        <f t="shared" si="5"/>
        <v>-1912.1</v>
      </c>
      <c r="J38" s="110">
        <f t="shared" si="5"/>
        <v>-1912.1</v>
      </c>
    </row>
  </sheetData>
  <mergeCells count="6">
    <mergeCell ref="A35:C35"/>
    <mergeCell ref="D1:J4"/>
    <mergeCell ref="A5:C5"/>
    <mergeCell ref="D5:E5"/>
    <mergeCell ref="A8:C8"/>
    <mergeCell ref="A12:C12"/>
  </mergeCells>
  <pageMargins left="0" right="0" top="0" bottom="0" header="0" footer="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zoomScale="75" zoomScaleNormal="75" workbookViewId="0">
      <pane xSplit="3" ySplit="6" topLeftCell="G16" activePane="bottomRight" state="frozen"/>
      <selection pane="topRight" activeCell="C1" sqref="C1"/>
      <selection pane="bottomLeft" activeCell="A4" sqref="A4"/>
      <selection pane="bottomRight" activeCell="J31" sqref="J31"/>
    </sheetView>
  </sheetViews>
  <sheetFormatPr defaultColWidth="8.85546875" defaultRowHeight="17.25" x14ac:dyDescent="0.3"/>
  <cols>
    <col min="1" max="2" width="13.85546875" style="53" customWidth="1"/>
    <col min="3" max="3" width="42.85546875" style="129" bestFit="1" customWidth="1"/>
    <col min="4" max="4" width="45.7109375" style="55" customWidth="1"/>
    <col min="5" max="5" width="28.140625" style="18" customWidth="1"/>
    <col min="6" max="6" width="15.28515625" style="77" customWidth="1"/>
    <col min="7" max="7" width="17.42578125" style="18" customWidth="1"/>
    <col min="8" max="8" width="18.140625" style="18" customWidth="1"/>
    <col min="9" max="9" width="22.42578125" style="18" customWidth="1"/>
    <col min="10" max="10" width="23" style="18" customWidth="1"/>
    <col min="11" max="11" width="12" style="17" customWidth="1"/>
    <col min="12" max="12" width="11.28515625" style="17" customWidth="1"/>
    <col min="13" max="13" width="8.85546875" style="53"/>
    <col min="14" max="14" width="10.140625" style="53" bestFit="1" customWidth="1"/>
    <col min="15" max="15" width="14.28515625" style="53" customWidth="1"/>
    <col min="16" max="16384" width="8.85546875" style="53"/>
  </cols>
  <sheetData>
    <row r="1" spans="1:15" s="2" customFormat="1" ht="38.25" x14ac:dyDescent="0.3">
      <c r="A1" s="119"/>
      <c r="B1" s="120"/>
      <c r="C1" s="121"/>
      <c r="D1" s="564" t="s">
        <v>367</v>
      </c>
      <c r="E1" s="565"/>
      <c r="F1" s="565"/>
      <c r="G1" s="565"/>
      <c r="H1" s="565"/>
      <c r="I1" s="565"/>
      <c r="J1" s="566"/>
    </row>
    <row r="2" spans="1:15" s="2" customFormat="1" ht="38.25" x14ac:dyDescent="0.3">
      <c r="A2" s="4"/>
      <c r="B2" s="5"/>
      <c r="C2" s="122"/>
      <c r="D2" s="567"/>
      <c r="E2" s="568"/>
      <c r="F2" s="568"/>
      <c r="G2" s="568"/>
      <c r="H2" s="568"/>
      <c r="I2" s="568"/>
      <c r="J2" s="569"/>
    </row>
    <row r="3" spans="1:15" s="2" customFormat="1" ht="38.25" x14ac:dyDescent="0.3">
      <c r="A3" s="4"/>
      <c r="B3" s="5"/>
      <c r="C3" s="122"/>
      <c r="D3" s="567"/>
      <c r="E3" s="568"/>
      <c r="F3" s="568"/>
      <c r="G3" s="568"/>
      <c r="H3" s="568"/>
      <c r="I3" s="568"/>
      <c r="J3" s="569"/>
    </row>
    <row r="4" spans="1:15" s="2" customFormat="1" ht="38.25" x14ac:dyDescent="0.3">
      <c r="A4" s="6"/>
      <c r="B4" s="7"/>
      <c r="C4" s="123"/>
      <c r="D4" s="570"/>
      <c r="E4" s="571"/>
      <c r="F4" s="571"/>
      <c r="G4" s="571"/>
      <c r="H4" s="571"/>
      <c r="I4" s="571"/>
      <c r="J4" s="572"/>
    </row>
    <row r="5" spans="1:15" s="2" customFormat="1" x14ac:dyDescent="0.3">
      <c r="A5" s="573"/>
      <c r="B5" s="578"/>
      <c r="C5" s="574"/>
      <c r="D5" s="579"/>
      <c r="E5" s="580"/>
      <c r="F5" s="73"/>
      <c r="G5" s="68"/>
      <c r="H5" s="68"/>
      <c r="I5" s="68"/>
      <c r="J5" s="69"/>
      <c r="K5" s="8"/>
      <c r="L5" s="8"/>
    </row>
    <row r="6" spans="1:15" s="64" customFormat="1" x14ac:dyDescent="0.3">
      <c r="A6" s="59"/>
      <c r="B6" s="72" t="s">
        <v>91</v>
      </c>
      <c r="C6" s="70" t="s">
        <v>92</v>
      </c>
      <c r="D6" s="60" t="s">
        <v>93</v>
      </c>
      <c r="E6" s="61" t="s">
        <v>94</v>
      </c>
      <c r="F6" s="74" t="s">
        <v>95</v>
      </c>
      <c r="G6" s="87" t="s">
        <v>96</v>
      </c>
      <c r="H6" s="87" t="s">
        <v>97</v>
      </c>
      <c r="I6" s="87" t="s">
        <v>98</v>
      </c>
      <c r="J6" s="88" t="s">
        <v>99</v>
      </c>
      <c r="K6" s="63"/>
      <c r="L6" s="63"/>
    </row>
    <row r="7" spans="1:15" s="2" customFormat="1" x14ac:dyDescent="0.3">
      <c r="A7" s="9"/>
      <c r="B7" s="65"/>
      <c r="C7" s="10"/>
      <c r="D7" s="11"/>
      <c r="E7" s="12"/>
      <c r="F7" s="75"/>
      <c r="G7" s="12"/>
      <c r="H7" s="12"/>
      <c r="I7" s="12"/>
      <c r="J7" s="84"/>
      <c r="K7" s="8"/>
      <c r="L7" s="8"/>
    </row>
    <row r="8" spans="1:15" s="2" customFormat="1" x14ac:dyDescent="0.3">
      <c r="A8" s="560" t="s">
        <v>5</v>
      </c>
      <c r="B8" s="561"/>
      <c r="C8" s="561"/>
      <c r="D8" s="14"/>
      <c r="E8" s="14"/>
      <c r="F8" s="76"/>
      <c r="G8" s="14"/>
      <c r="H8" s="14"/>
      <c r="I8" s="14"/>
      <c r="J8" s="15"/>
      <c r="K8" s="8"/>
      <c r="L8" s="8"/>
    </row>
    <row r="9" spans="1:15" s="17" customFormat="1" x14ac:dyDescent="0.3">
      <c r="A9" s="16" t="s">
        <v>368</v>
      </c>
      <c r="B9" s="27"/>
      <c r="C9" s="91"/>
      <c r="D9" s="18"/>
      <c r="E9" s="18"/>
      <c r="F9" s="77"/>
      <c r="G9" s="18"/>
      <c r="H9" s="18"/>
      <c r="I9" s="18"/>
      <c r="J9" s="19"/>
    </row>
    <row r="10" spans="1:15" s="17" customFormat="1" x14ac:dyDescent="0.3">
      <c r="A10" s="27"/>
      <c r="B10" s="71" t="s">
        <v>369</v>
      </c>
      <c r="C10" s="71" t="s">
        <v>370</v>
      </c>
      <c r="D10" s="273" t="s">
        <v>371</v>
      </c>
      <c r="E10" s="80">
        <v>7</v>
      </c>
      <c r="F10" s="81">
        <v>1600</v>
      </c>
      <c r="G10" s="80">
        <f>E10*F10</f>
        <v>11200</v>
      </c>
      <c r="H10" s="80">
        <f>G10</f>
        <v>11200</v>
      </c>
      <c r="I10" s="80">
        <v>4608.4500000000007</v>
      </c>
      <c r="J10" s="90">
        <f>2624.05+1984.4</f>
        <v>4608.4500000000007</v>
      </c>
    </row>
    <row r="11" spans="1:15" s="17" customFormat="1" x14ac:dyDescent="0.3">
      <c r="B11" s="91" t="s">
        <v>372</v>
      </c>
      <c r="C11" s="92" t="s">
        <v>373</v>
      </c>
      <c r="D11" s="82"/>
      <c r="E11" s="82">
        <v>5</v>
      </c>
      <c r="F11" s="83">
        <v>150</v>
      </c>
      <c r="G11" s="82">
        <f>E11*F11</f>
        <v>750</v>
      </c>
      <c r="H11" s="82">
        <f>G11</f>
        <v>750</v>
      </c>
      <c r="I11" s="82">
        <v>0</v>
      </c>
      <c r="J11" s="524">
        <v>0</v>
      </c>
      <c r="N11" s="23"/>
    </row>
    <row r="12" spans="1:15" s="17" customFormat="1" x14ac:dyDescent="0.3">
      <c r="B12" s="540"/>
      <c r="C12" s="541"/>
      <c r="D12" s="542"/>
      <c r="E12" s="542"/>
      <c r="F12" s="543"/>
      <c r="G12" s="542"/>
      <c r="H12" s="542"/>
      <c r="I12" s="542"/>
      <c r="J12" s="505"/>
      <c r="N12" s="23"/>
    </row>
    <row r="13" spans="1:15" s="17" customFormat="1" x14ac:dyDescent="0.3">
      <c r="B13" s="25" t="s">
        <v>374</v>
      </c>
      <c r="C13" s="274"/>
      <c r="D13" s="275"/>
      <c r="E13" s="275"/>
      <c r="F13" s="276"/>
      <c r="G13" s="275"/>
      <c r="H13" s="277">
        <f>SUM(H10:H11)</f>
        <v>11950</v>
      </c>
      <c r="I13" s="277">
        <f>SUM(I10:I11)</f>
        <v>4608.4500000000007</v>
      </c>
      <c r="J13" s="278">
        <f>J10</f>
        <v>4608.4500000000007</v>
      </c>
      <c r="N13" s="23"/>
    </row>
    <row r="14" spans="1:15" s="17" customFormat="1" x14ac:dyDescent="0.3">
      <c r="A14" s="16"/>
      <c r="B14" s="27"/>
      <c r="C14" s="37"/>
      <c r="D14" s="85"/>
      <c r="E14" s="85"/>
      <c r="F14" s="94"/>
      <c r="G14" s="85"/>
      <c r="H14" s="85"/>
      <c r="I14" s="85"/>
      <c r="J14" s="86"/>
      <c r="K14" s="22"/>
      <c r="L14" s="29"/>
      <c r="M14" s="22"/>
      <c r="N14" s="22"/>
      <c r="O14" s="23"/>
    </row>
    <row r="15" spans="1:15" s="31" customFormat="1" ht="18.75" x14ac:dyDescent="0.35">
      <c r="A15" s="30"/>
      <c r="C15" s="532" t="s">
        <v>45</v>
      </c>
      <c r="D15" s="96"/>
      <c r="E15" s="96"/>
      <c r="F15" s="97"/>
      <c r="G15" s="96"/>
      <c r="H15" s="96">
        <f>H13</f>
        <v>11950</v>
      </c>
      <c r="I15" s="96">
        <f>I13</f>
        <v>4608.4500000000007</v>
      </c>
      <c r="J15" s="98">
        <f>J13</f>
        <v>4608.4500000000007</v>
      </c>
      <c r="K15" s="32"/>
      <c r="L15" s="33"/>
      <c r="M15" s="32"/>
      <c r="N15" s="32"/>
      <c r="O15" s="34"/>
    </row>
    <row r="16" spans="1:15" s="31" customFormat="1" ht="18.75" x14ac:dyDescent="0.35">
      <c r="A16" s="30"/>
      <c r="C16" s="127"/>
      <c r="D16" s="85"/>
      <c r="E16" s="85"/>
      <c r="F16" s="94"/>
      <c r="G16" s="85"/>
      <c r="H16" s="85"/>
      <c r="I16" s="85"/>
      <c r="J16" s="86"/>
      <c r="K16" s="32"/>
      <c r="L16" s="33"/>
      <c r="M16" s="32"/>
      <c r="N16" s="32"/>
      <c r="O16" s="34"/>
    </row>
    <row r="17" spans="1:15" s="17" customFormat="1" x14ac:dyDescent="0.3">
      <c r="A17" s="560" t="s">
        <v>46</v>
      </c>
      <c r="B17" s="561"/>
      <c r="C17" s="561"/>
      <c r="D17" s="14"/>
      <c r="E17" s="35"/>
      <c r="F17" s="78"/>
      <c r="G17" s="35"/>
      <c r="H17" s="35"/>
      <c r="I17" s="35"/>
      <c r="J17" s="15"/>
      <c r="K17" s="37"/>
      <c r="L17" s="37"/>
    </row>
    <row r="18" spans="1:15" s="27" customFormat="1" x14ac:dyDescent="0.3">
      <c r="A18" s="16" t="s">
        <v>375</v>
      </c>
      <c r="C18" s="91"/>
      <c r="D18" s="82"/>
      <c r="E18" s="82"/>
      <c r="F18" s="83"/>
      <c r="G18" s="82"/>
      <c r="H18" s="82"/>
      <c r="I18" s="82"/>
      <c r="J18" s="93"/>
      <c r="K18" s="22"/>
      <c r="L18" s="26"/>
      <c r="N18" s="24"/>
      <c r="O18" s="28"/>
    </row>
    <row r="19" spans="1:15" s="17" customFormat="1" x14ac:dyDescent="0.3">
      <c r="A19" s="21"/>
      <c r="B19" s="71" t="s">
        <v>376</v>
      </c>
      <c r="C19" s="89" t="s">
        <v>377</v>
      </c>
      <c r="D19" s="80" t="s">
        <v>378</v>
      </c>
      <c r="E19" s="80">
        <v>80</v>
      </c>
      <c r="F19" s="81">
        <v>120</v>
      </c>
      <c r="G19" s="80">
        <f>E19*F19</f>
        <v>9600</v>
      </c>
      <c r="H19" s="80">
        <f>G19</f>
        <v>9600</v>
      </c>
      <c r="I19" s="80">
        <f>1960+3400</f>
        <v>5360</v>
      </c>
      <c r="J19" s="90">
        <v>5360</v>
      </c>
      <c r="L19" s="29"/>
      <c r="N19" s="23"/>
    </row>
    <row r="20" spans="1:15" s="17" customFormat="1" x14ac:dyDescent="0.3">
      <c r="A20" s="21"/>
      <c r="C20" s="92"/>
      <c r="D20" s="82"/>
      <c r="E20" s="82"/>
      <c r="F20" s="83"/>
      <c r="G20" s="82"/>
      <c r="H20" s="82"/>
      <c r="I20" s="82"/>
      <c r="J20" s="93"/>
      <c r="L20" s="29"/>
      <c r="N20" s="23"/>
    </row>
    <row r="21" spans="1:15" s="17" customFormat="1" x14ac:dyDescent="0.3">
      <c r="A21" s="21"/>
      <c r="B21" s="25" t="s">
        <v>379</v>
      </c>
      <c r="C21" s="128"/>
      <c r="D21" s="68"/>
      <c r="E21" s="68"/>
      <c r="F21" s="73"/>
      <c r="G21" s="68"/>
      <c r="H21" s="68">
        <f>SUM(H19:H19)</f>
        <v>9600</v>
      </c>
      <c r="I21" s="68">
        <f>SUM(I19:I20)</f>
        <v>5360</v>
      </c>
      <c r="J21" s="69">
        <f>SUM(J19:J20)</f>
        <v>5360</v>
      </c>
      <c r="L21" s="29"/>
      <c r="N21" s="23"/>
    </row>
    <row r="22" spans="1:15" s="17" customFormat="1" x14ac:dyDescent="0.3">
      <c r="A22" s="16"/>
      <c r="B22" s="27"/>
      <c r="C22" s="37"/>
      <c r="D22" s="85"/>
      <c r="E22" s="85"/>
      <c r="F22" s="94"/>
      <c r="G22" s="85"/>
      <c r="H22" s="85"/>
      <c r="I22" s="85"/>
      <c r="J22" s="86"/>
      <c r="K22" s="22"/>
      <c r="L22" s="29"/>
      <c r="N22" s="23"/>
      <c r="O22" s="23"/>
    </row>
    <row r="23" spans="1:15" s="17" customFormat="1" x14ac:dyDescent="0.3">
      <c r="A23" s="16" t="s">
        <v>380</v>
      </c>
      <c r="B23" s="27"/>
      <c r="C23" s="91"/>
      <c r="D23" s="82"/>
      <c r="E23" s="82"/>
      <c r="F23" s="83"/>
      <c r="G23" s="82"/>
      <c r="H23" s="82"/>
      <c r="I23" s="82"/>
      <c r="J23" s="93"/>
      <c r="K23" s="22"/>
      <c r="L23" s="29"/>
      <c r="N23" s="23"/>
      <c r="O23" s="23"/>
    </row>
    <row r="24" spans="1:15" s="17" customFormat="1" x14ac:dyDescent="0.3">
      <c r="A24" s="21"/>
      <c r="B24" s="71" t="s">
        <v>381</v>
      </c>
      <c r="C24" s="89" t="s">
        <v>382</v>
      </c>
      <c r="D24" s="80" t="s">
        <v>383</v>
      </c>
      <c r="E24" s="80">
        <v>50</v>
      </c>
      <c r="F24" s="81">
        <v>1</v>
      </c>
      <c r="G24" s="80">
        <f>E24*F24</f>
        <v>50</v>
      </c>
      <c r="H24" s="80">
        <f>G24*1.13</f>
        <v>56.499999999999993</v>
      </c>
      <c r="I24" s="80"/>
      <c r="J24" s="90"/>
      <c r="K24" s="22"/>
      <c r="L24" s="29"/>
      <c r="N24" s="23"/>
      <c r="O24" s="23"/>
    </row>
    <row r="25" spans="1:15" s="17" customFormat="1" x14ac:dyDescent="0.3">
      <c r="A25" s="21"/>
      <c r="B25" s="91" t="s">
        <v>384</v>
      </c>
      <c r="C25" s="92" t="s">
        <v>385</v>
      </c>
      <c r="D25" s="82" t="s">
        <v>386</v>
      </c>
      <c r="E25" s="82">
        <v>19.989999999999998</v>
      </c>
      <c r="F25" s="83">
        <v>40</v>
      </c>
      <c r="G25" s="82">
        <f t="shared" ref="G25:G26" si="0">E25*F25</f>
        <v>799.59999999999991</v>
      </c>
      <c r="H25" s="82">
        <f t="shared" ref="H25:H26" si="1">G25*1.13</f>
        <v>903.54799999999977</v>
      </c>
      <c r="I25" s="82">
        <v>500</v>
      </c>
      <c r="J25" s="93"/>
      <c r="K25" s="22"/>
      <c r="L25" s="29"/>
      <c r="N25" s="23"/>
      <c r="O25" s="23"/>
    </row>
    <row r="26" spans="1:15" s="17" customFormat="1" x14ac:dyDescent="0.3">
      <c r="A26" s="21"/>
      <c r="B26" s="71" t="s">
        <v>387</v>
      </c>
      <c r="C26" s="89" t="s">
        <v>388</v>
      </c>
      <c r="D26" s="80" t="s">
        <v>389</v>
      </c>
      <c r="E26" s="80">
        <v>8</v>
      </c>
      <c r="F26" s="81">
        <v>12</v>
      </c>
      <c r="G26" s="80">
        <f t="shared" si="0"/>
        <v>96</v>
      </c>
      <c r="H26" s="80">
        <f t="shared" si="1"/>
        <v>108.47999999999999</v>
      </c>
      <c r="I26" s="80"/>
      <c r="J26" s="90"/>
      <c r="K26" s="22"/>
      <c r="L26" s="29"/>
      <c r="N26" s="23"/>
      <c r="O26" s="23"/>
    </row>
    <row r="27" spans="1:15" s="17" customFormat="1" x14ac:dyDescent="0.3">
      <c r="A27" s="21"/>
      <c r="B27" s="25" t="s">
        <v>390</v>
      </c>
      <c r="C27" s="128"/>
      <c r="D27" s="68"/>
      <c r="E27" s="68"/>
      <c r="F27" s="73"/>
      <c r="G27" s="68"/>
      <c r="H27" s="68">
        <f>SUM(H23:H26)</f>
        <v>1068.5279999999998</v>
      </c>
      <c r="I27" s="68">
        <f>SUM(I23:I26)</f>
        <v>500</v>
      </c>
      <c r="J27" s="69">
        <f>SUM(J23:J26)</f>
        <v>0</v>
      </c>
      <c r="K27" s="22"/>
      <c r="L27" s="29"/>
      <c r="N27" s="23"/>
      <c r="O27" s="23"/>
    </row>
    <row r="28" spans="1:15" s="17" customFormat="1" x14ac:dyDescent="0.3">
      <c r="A28" s="16"/>
      <c r="B28" s="27"/>
      <c r="C28" s="37"/>
      <c r="D28" s="85"/>
      <c r="E28" s="85"/>
      <c r="F28" s="94"/>
      <c r="G28" s="85"/>
      <c r="H28" s="85"/>
      <c r="I28" s="85"/>
      <c r="J28" s="86"/>
      <c r="K28" s="22"/>
      <c r="L28" s="29"/>
      <c r="N28" s="23"/>
      <c r="O28" s="23"/>
    </row>
    <row r="29" spans="1:15" s="17" customFormat="1" x14ac:dyDescent="0.3">
      <c r="A29" s="16" t="s">
        <v>391</v>
      </c>
      <c r="B29" s="27"/>
      <c r="C29" s="91"/>
      <c r="D29" s="18"/>
      <c r="E29" s="18"/>
      <c r="F29" s="77"/>
      <c r="G29" s="18"/>
      <c r="H29" s="18"/>
      <c r="I29" s="18"/>
      <c r="J29" s="19"/>
      <c r="K29" s="22"/>
      <c r="L29" s="29"/>
      <c r="N29" s="23"/>
      <c r="O29" s="23"/>
    </row>
    <row r="30" spans="1:15" s="17" customFormat="1" x14ac:dyDescent="0.3">
      <c r="A30" s="16"/>
      <c r="B30" s="71" t="s">
        <v>392</v>
      </c>
      <c r="C30" s="71" t="s">
        <v>393</v>
      </c>
      <c r="D30" s="283" t="s">
        <v>394</v>
      </c>
      <c r="E30" s="80">
        <v>213.95</v>
      </c>
      <c r="F30" s="81">
        <v>1</v>
      </c>
      <c r="G30" s="80">
        <f>E30*F30</f>
        <v>213.95</v>
      </c>
      <c r="H30" s="80">
        <f>G30*1.13</f>
        <v>241.76349999999996</v>
      </c>
      <c r="I30" s="80">
        <v>144.08000000000001</v>
      </c>
      <c r="J30" s="90">
        <v>144.08000000000001</v>
      </c>
      <c r="K30" s="22"/>
      <c r="L30" s="29"/>
      <c r="N30" s="23"/>
      <c r="O30" s="23"/>
    </row>
    <row r="31" spans="1:15" s="17" customFormat="1" x14ac:dyDescent="0.3">
      <c r="A31" s="21"/>
      <c r="B31" s="91" t="s">
        <v>395</v>
      </c>
      <c r="C31" s="92" t="s">
        <v>396</v>
      </c>
      <c r="D31" s="284" t="s">
        <v>397</v>
      </c>
      <c r="E31" s="82">
        <v>3</v>
      </c>
      <c r="F31" s="83">
        <v>100</v>
      </c>
      <c r="G31" s="82">
        <f t="shared" ref="G31:G32" si="2">E31*F31</f>
        <v>300</v>
      </c>
      <c r="H31" s="82">
        <f t="shared" ref="H31:H32" si="3">G31*1.13</f>
        <v>338.99999999999994</v>
      </c>
      <c r="I31" s="82">
        <v>265.64</v>
      </c>
      <c r="J31" s="93">
        <v>265.64</v>
      </c>
      <c r="K31" s="22"/>
      <c r="L31" s="29"/>
      <c r="N31" s="23"/>
      <c r="O31" s="23"/>
    </row>
    <row r="32" spans="1:15" s="17" customFormat="1" x14ac:dyDescent="0.3">
      <c r="A32" s="21"/>
      <c r="B32" s="71" t="s">
        <v>398</v>
      </c>
      <c r="C32" s="89" t="s">
        <v>399</v>
      </c>
      <c r="D32" s="283" t="s">
        <v>400</v>
      </c>
      <c r="E32" s="80">
        <v>12.99</v>
      </c>
      <c r="F32" s="81">
        <v>1</v>
      </c>
      <c r="G32" s="80">
        <f t="shared" si="2"/>
        <v>12.99</v>
      </c>
      <c r="H32" s="80">
        <f t="shared" si="3"/>
        <v>14.678699999999999</v>
      </c>
      <c r="I32" s="80">
        <v>17.02</v>
      </c>
      <c r="J32" s="90">
        <v>17.02</v>
      </c>
      <c r="K32" s="22"/>
    </row>
    <row r="33" spans="1:15" s="17" customFormat="1" x14ac:dyDescent="0.3">
      <c r="A33" s="16"/>
      <c r="B33" s="91" t="s">
        <v>401</v>
      </c>
      <c r="C33" s="91" t="s">
        <v>402</v>
      </c>
      <c r="D33" s="284" t="s">
        <v>403</v>
      </c>
      <c r="E33" s="82">
        <v>200</v>
      </c>
      <c r="F33" s="83">
        <v>1</v>
      </c>
      <c r="G33" s="82">
        <f>E33*F33</f>
        <v>200</v>
      </c>
      <c r="H33" s="82">
        <f>G33*1.13</f>
        <v>225.99999999999997</v>
      </c>
      <c r="I33" s="82"/>
      <c r="J33" s="93"/>
      <c r="K33" s="22"/>
    </row>
    <row r="34" spans="1:15" s="17" customFormat="1" x14ac:dyDescent="0.3">
      <c r="A34" s="21"/>
      <c r="B34" s="71" t="s">
        <v>404</v>
      </c>
      <c r="C34" s="89" t="s">
        <v>405</v>
      </c>
      <c r="D34" s="283" t="s">
        <v>406</v>
      </c>
      <c r="E34" s="80">
        <v>3.25</v>
      </c>
      <c r="F34" s="81">
        <v>150</v>
      </c>
      <c r="G34" s="80">
        <f t="shared" ref="G34:G36" si="4">E34*F34</f>
        <v>487.5</v>
      </c>
      <c r="H34" s="80">
        <f t="shared" ref="H34:H36" si="5">G34*1.13</f>
        <v>550.875</v>
      </c>
      <c r="I34" s="80"/>
      <c r="J34" s="90"/>
      <c r="K34" s="22"/>
    </row>
    <row r="35" spans="1:15" s="17" customFormat="1" x14ac:dyDescent="0.3">
      <c r="A35" s="21"/>
      <c r="B35" s="91" t="s">
        <v>407</v>
      </c>
      <c r="C35" s="92" t="s">
        <v>356</v>
      </c>
      <c r="D35" s="284" t="s">
        <v>408</v>
      </c>
      <c r="E35" s="82">
        <v>0.25</v>
      </c>
      <c r="F35" s="83">
        <v>100</v>
      </c>
      <c r="G35" s="82">
        <f t="shared" si="4"/>
        <v>25</v>
      </c>
      <c r="H35" s="82">
        <f>G35</f>
        <v>25</v>
      </c>
      <c r="I35" s="82"/>
      <c r="J35" s="93"/>
      <c r="K35" s="22"/>
      <c r="L35" s="29"/>
      <c r="N35" s="23"/>
      <c r="O35" s="23"/>
    </row>
    <row r="36" spans="1:15" s="17" customFormat="1" x14ac:dyDescent="0.3">
      <c r="A36" s="21"/>
      <c r="B36" s="71" t="s">
        <v>409</v>
      </c>
      <c r="C36" s="89" t="s">
        <v>410</v>
      </c>
      <c r="D36" s="283" t="s">
        <v>411</v>
      </c>
      <c r="E36" s="80">
        <v>10</v>
      </c>
      <c r="F36" s="81">
        <v>50</v>
      </c>
      <c r="G36" s="80">
        <f t="shared" si="4"/>
        <v>500</v>
      </c>
      <c r="H36" s="80">
        <f t="shared" si="5"/>
        <v>565</v>
      </c>
      <c r="I36" s="80"/>
      <c r="J36" s="90"/>
      <c r="K36" s="22"/>
      <c r="L36" s="29"/>
      <c r="N36" s="23"/>
      <c r="O36" s="23"/>
    </row>
    <row r="37" spans="1:15" s="17" customFormat="1" x14ac:dyDescent="0.3">
      <c r="A37" s="21"/>
      <c r="B37" s="91" t="s">
        <v>412</v>
      </c>
      <c r="C37" s="92" t="s">
        <v>413</v>
      </c>
      <c r="D37" s="284" t="s">
        <v>414</v>
      </c>
      <c r="E37" s="82">
        <v>50</v>
      </c>
      <c r="F37" s="83">
        <v>7</v>
      </c>
      <c r="G37" s="82">
        <f t="shared" ref="G37:G38" si="6">E37*F37</f>
        <v>350</v>
      </c>
      <c r="H37" s="82">
        <f t="shared" ref="H37" si="7">G37*1.13</f>
        <v>395.49999999999994</v>
      </c>
      <c r="I37" s="82">
        <v>236.91</v>
      </c>
      <c r="J37" s="93">
        <v>236.91</v>
      </c>
      <c r="K37" s="22"/>
      <c r="L37" s="29"/>
      <c r="N37" s="23"/>
      <c r="O37" s="23"/>
    </row>
    <row r="38" spans="1:15" s="17" customFormat="1" x14ac:dyDescent="0.3">
      <c r="A38" s="21"/>
      <c r="B38" s="71" t="s">
        <v>415</v>
      </c>
      <c r="C38" s="89" t="s">
        <v>416</v>
      </c>
      <c r="D38" s="283"/>
      <c r="E38" s="80">
        <v>300</v>
      </c>
      <c r="F38" s="81">
        <v>15</v>
      </c>
      <c r="G38" s="80">
        <f t="shared" si="6"/>
        <v>4500</v>
      </c>
      <c r="H38" s="80">
        <f>G38*1</f>
        <v>4500</v>
      </c>
      <c r="I38" s="80">
        <f>160+160+140+300</f>
        <v>760</v>
      </c>
      <c r="J38" s="90">
        <v>760</v>
      </c>
      <c r="K38" s="22"/>
      <c r="L38" s="29"/>
      <c r="N38" s="23"/>
      <c r="O38" s="23"/>
    </row>
    <row r="39" spans="1:15" s="17" customFormat="1" x14ac:dyDescent="0.3">
      <c r="A39" s="21"/>
      <c r="B39" s="25" t="s">
        <v>379</v>
      </c>
      <c r="C39" s="126"/>
      <c r="D39" s="68"/>
      <c r="E39" s="68"/>
      <c r="F39" s="73"/>
      <c r="G39" s="68"/>
      <c r="H39" s="68">
        <f>SUM(H30:H38)</f>
        <v>6857.8171999999995</v>
      </c>
      <c r="I39" s="68">
        <f>SUM(I30:I38)</f>
        <v>1423.65</v>
      </c>
      <c r="J39" s="69">
        <f>SUM(J30:J38)</f>
        <v>1423.65</v>
      </c>
      <c r="K39" s="22"/>
      <c r="L39" s="29"/>
      <c r="N39" s="23"/>
      <c r="O39" s="23"/>
    </row>
    <row r="40" spans="1:15" s="17" customFormat="1" x14ac:dyDescent="0.3">
      <c r="A40" s="21"/>
      <c r="C40" s="91"/>
      <c r="D40" s="82"/>
      <c r="E40" s="82"/>
      <c r="F40" s="83"/>
      <c r="G40" s="82"/>
      <c r="H40" s="82"/>
      <c r="I40" s="82"/>
      <c r="J40" s="93"/>
      <c r="K40" s="22"/>
    </row>
    <row r="41" spans="1:15" s="17" customFormat="1" x14ac:dyDescent="0.3">
      <c r="A41" s="16" t="s">
        <v>417</v>
      </c>
      <c r="B41" s="27"/>
      <c r="C41" s="91"/>
      <c r="D41" s="82"/>
      <c r="E41" s="82"/>
      <c r="F41" s="83"/>
      <c r="G41" s="82"/>
      <c r="H41" s="82"/>
      <c r="I41" s="82"/>
      <c r="J41" s="93"/>
      <c r="K41" s="22"/>
      <c r="L41" s="29"/>
      <c r="N41" s="23"/>
      <c r="O41" s="23"/>
    </row>
    <row r="42" spans="1:15" s="17" customFormat="1" x14ac:dyDescent="0.3">
      <c r="A42" s="21"/>
      <c r="B42" s="71" t="s">
        <v>418</v>
      </c>
      <c r="C42" s="89" t="s">
        <v>419</v>
      </c>
      <c r="D42" s="80" t="s">
        <v>383</v>
      </c>
      <c r="E42" s="80">
        <v>50</v>
      </c>
      <c r="F42" s="81">
        <v>5</v>
      </c>
      <c r="G42" s="80">
        <f>E42*F42</f>
        <v>250</v>
      </c>
      <c r="H42" s="80">
        <f>G42*1.13</f>
        <v>282.5</v>
      </c>
      <c r="I42" s="80">
        <f>80.14+100.37+93.52</f>
        <v>274.02999999999997</v>
      </c>
      <c r="J42" s="90">
        <v>274.02999999999997</v>
      </c>
      <c r="K42" s="22"/>
    </row>
    <row r="43" spans="1:15" s="17" customFormat="1" x14ac:dyDescent="0.3">
      <c r="A43" s="21"/>
      <c r="B43" s="25" t="s">
        <v>420</v>
      </c>
      <c r="C43" s="128"/>
      <c r="D43" s="68"/>
      <c r="E43" s="68"/>
      <c r="F43" s="73"/>
      <c r="G43" s="68"/>
      <c r="H43" s="68">
        <f>SUM(H41:H42)</f>
        <v>282.5</v>
      </c>
      <c r="I43" s="68">
        <f>SUM(I41:I42)</f>
        <v>274.02999999999997</v>
      </c>
      <c r="J43" s="69">
        <f>SUM(J41:J42)</f>
        <v>274.02999999999997</v>
      </c>
      <c r="K43" s="22"/>
      <c r="L43" s="29"/>
      <c r="N43" s="23"/>
      <c r="O43" s="23"/>
    </row>
    <row r="44" spans="1:15" s="17" customFormat="1" x14ac:dyDescent="0.3">
      <c r="A44" s="21"/>
      <c r="C44" s="92"/>
      <c r="D44" s="82"/>
      <c r="E44" s="82"/>
      <c r="F44" s="83"/>
      <c r="G44" s="82"/>
      <c r="H44" s="82"/>
      <c r="I44" s="82"/>
      <c r="J44" s="93"/>
      <c r="K44" s="22"/>
      <c r="L44" s="29"/>
      <c r="N44" s="23"/>
      <c r="O44" s="23"/>
    </row>
    <row r="45" spans="1:15" s="43" customFormat="1" ht="18.75" x14ac:dyDescent="0.35">
      <c r="A45" s="39"/>
      <c r="C45" s="532" t="s">
        <v>85</v>
      </c>
      <c r="D45" s="96"/>
      <c r="E45" s="96"/>
      <c r="F45" s="97"/>
      <c r="G45" s="96"/>
      <c r="H45" s="96">
        <f>SUM(H21+H27+H39+H43)</f>
        <v>17808.8452</v>
      </c>
      <c r="I45" s="96">
        <f>SUM(I21+I27+I39+I43)</f>
        <v>7557.6799999999994</v>
      </c>
      <c r="J45" s="98">
        <f>SUM(J21+J27+J39+J43)</f>
        <v>7057.6799999999994</v>
      </c>
      <c r="K45" s="40"/>
      <c r="L45" s="41"/>
      <c r="M45" s="40"/>
      <c r="N45" s="40"/>
      <c r="O45" s="42"/>
    </row>
    <row r="46" spans="1:15" s="43" customFormat="1" ht="18.75" x14ac:dyDescent="0.35">
      <c r="A46" s="39"/>
      <c r="C46" s="127"/>
      <c r="D46" s="96"/>
      <c r="E46" s="96"/>
      <c r="F46" s="97"/>
      <c r="G46" s="96"/>
      <c r="H46" s="96"/>
      <c r="I46" s="96"/>
      <c r="J46" s="98"/>
      <c r="K46" s="40"/>
      <c r="L46" s="41"/>
      <c r="M46" s="40"/>
      <c r="N46" s="40"/>
      <c r="O46" s="42"/>
    </row>
    <row r="47" spans="1:15" s="48" customFormat="1" ht="20.25" x14ac:dyDescent="0.35">
      <c r="A47" s="562" t="s">
        <v>86</v>
      </c>
      <c r="B47" s="563"/>
      <c r="C47" s="563"/>
      <c r="D47" s="44"/>
      <c r="E47" s="44"/>
      <c r="F47" s="79"/>
      <c r="G47" s="44"/>
      <c r="H47" s="44"/>
      <c r="I47" s="44"/>
      <c r="J47" s="45"/>
      <c r="K47" s="58"/>
      <c r="L47" s="58"/>
    </row>
    <row r="48" spans="1:15" s="50" customFormat="1" ht="20.25" x14ac:dyDescent="0.35">
      <c r="A48" s="62"/>
      <c r="B48" s="47" t="s">
        <v>87</v>
      </c>
      <c r="C48" s="183"/>
      <c r="D48" s="104"/>
      <c r="E48" s="104"/>
      <c r="F48" s="104"/>
      <c r="G48" s="104"/>
      <c r="H48" s="104">
        <f>H15</f>
        <v>11950</v>
      </c>
      <c r="I48" s="104">
        <f>I15</f>
        <v>4608.4500000000007</v>
      </c>
      <c r="J48" s="105">
        <f>J15</f>
        <v>4608.4500000000007</v>
      </c>
    </row>
    <row r="49" spans="1:10" s="50" customFormat="1" ht="20.25" x14ac:dyDescent="0.35">
      <c r="A49" s="62"/>
      <c r="B49" s="50" t="s">
        <v>88</v>
      </c>
      <c r="C49" s="58"/>
      <c r="D49" s="106"/>
      <c r="E49" s="106"/>
      <c r="F49" s="106"/>
      <c r="G49" s="106"/>
      <c r="H49" s="106">
        <f>H45</f>
        <v>17808.8452</v>
      </c>
      <c r="I49" s="106">
        <f t="shared" ref="I49:J49" si="8">I45</f>
        <v>7557.6799999999994</v>
      </c>
      <c r="J49" s="107">
        <f t="shared" si="8"/>
        <v>7057.6799999999994</v>
      </c>
    </row>
    <row r="50" spans="1:10" s="50" customFormat="1" ht="20.25" x14ac:dyDescent="0.35">
      <c r="A50" s="108"/>
      <c r="B50" s="52" t="s">
        <v>89</v>
      </c>
      <c r="C50" s="184"/>
      <c r="D50" s="109"/>
      <c r="E50" s="109"/>
      <c r="F50" s="109"/>
      <c r="G50" s="109"/>
      <c r="H50" s="109">
        <f t="shared" ref="H50:J50" si="9">H48-H49</f>
        <v>-5858.8451999999997</v>
      </c>
      <c r="I50" s="109">
        <f t="shared" si="9"/>
        <v>-2949.2299999999987</v>
      </c>
      <c r="J50" s="110">
        <f t="shared" si="9"/>
        <v>-2449.2299999999987</v>
      </c>
    </row>
    <row r="51" spans="1:10" s="17" customFormat="1" x14ac:dyDescent="0.3">
      <c r="A51" s="53"/>
      <c r="B51" s="53"/>
      <c r="C51" s="130"/>
      <c r="D51" s="55"/>
      <c r="E51" s="18"/>
      <c r="F51" s="77"/>
      <c r="G51" s="18"/>
      <c r="H51" s="18"/>
      <c r="I51" s="18"/>
      <c r="J51" s="18"/>
    </row>
  </sheetData>
  <mergeCells count="6">
    <mergeCell ref="A47:C47"/>
    <mergeCell ref="D1:J4"/>
    <mergeCell ref="A5:C5"/>
    <mergeCell ref="D5:E5"/>
    <mergeCell ref="A8:C8"/>
    <mergeCell ref="A17:C17"/>
  </mergeCells>
  <pageMargins left="0" right="0" top="0" bottom="0" header="0" footer="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8"/>
  <sheetViews>
    <sheetView zoomScale="75" zoomScaleNormal="75" workbookViewId="0">
      <pane xSplit="3" ySplit="6" topLeftCell="D7" activePane="bottomRight" state="frozen"/>
      <selection pane="topRight" activeCell="C1" sqref="C1"/>
      <selection pane="bottomLeft" activeCell="A4" sqref="A4"/>
      <selection pane="bottomRight" activeCell="D35" sqref="D35"/>
    </sheetView>
  </sheetViews>
  <sheetFormatPr defaultColWidth="8.85546875" defaultRowHeight="17.25" x14ac:dyDescent="0.3"/>
  <cols>
    <col min="1" max="2" width="13.85546875" style="53" customWidth="1"/>
    <col min="3" max="3" width="42.85546875" style="53" bestFit="1" customWidth="1"/>
    <col min="4" max="4" width="65.7109375" style="55" bestFit="1" customWidth="1"/>
    <col min="5" max="5" width="28.140625" style="18" customWidth="1"/>
    <col min="6" max="6" width="15.28515625" style="77" customWidth="1"/>
    <col min="7" max="7" width="17.42578125" style="18" customWidth="1"/>
    <col min="8" max="8" width="18.140625" style="18" customWidth="1"/>
    <col min="9" max="9" width="22.42578125" style="18" customWidth="1"/>
    <col min="10" max="10" width="23" style="18" customWidth="1"/>
    <col min="11" max="11" width="12" style="17" customWidth="1"/>
    <col min="12" max="12" width="11.28515625" style="17" customWidth="1"/>
    <col min="13" max="13" width="8.85546875" style="53"/>
    <col min="14" max="14" width="10.140625" style="53" bestFit="1" customWidth="1"/>
    <col min="15" max="15" width="14.28515625" style="53" customWidth="1"/>
    <col min="16" max="16384" width="8.85546875" style="53"/>
  </cols>
  <sheetData>
    <row r="1" spans="1:12" s="2" customFormat="1" ht="38.25" x14ac:dyDescent="0.3">
      <c r="A1" s="119"/>
      <c r="B1" s="120"/>
      <c r="C1" s="3"/>
      <c r="D1" s="564" t="s">
        <v>421</v>
      </c>
      <c r="E1" s="565"/>
      <c r="F1" s="565"/>
      <c r="G1" s="565"/>
      <c r="H1" s="565"/>
      <c r="I1" s="565"/>
      <c r="J1" s="566"/>
    </row>
    <row r="2" spans="1:12" s="2" customFormat="1" ht="38.25" x14ac:dyDescent="0.3">
      <c r="A2" s="4"/>
      <c r="B2" s="5"/>
      <c r="C2" s="5"/>
      <c r="D2" s="567"/>
      <c r="E2" s="568"/>
      <c r="F2" s="568"/>
      <c r="G2" s="568"/>
      <c r="H2" s="568"/>
      <c r="I2" s="568"/>
      <c r="J2" s="569"/>
    </row>
    <row r="3" spans="1:12" s="2" customFormat="1" ht="38.25" x14ac:dyDescent="0.3">
      <c r="A3" s="4"/>
      <c r="B3" s="5"/>
      <c r="C3" s="5"/>
      <c r="D3" s="567"/>
      <c r="E3" s="568"/>
      <c r="F3" s="568"/>
      <c r="G3" s="568"/>
      <c r="H3" s="568"/>
      <c r="I3" s="568"/>
      <c r="J3" s="569"/>
    </row>
    <row r="4" spans="1:12" s="2" customFormat="1" ht="38.25" x14ac:dyDescent="0.3">
      <c r="A4" s="6"/>
      <c r="B4" s="7"/>
      <c r="C4" s="7"/>
      <c r="D4" s="570"/>
      <c r="E4" s="571"/>
      <c r="F4" s="571"/>
      <c r="G4" s="571"/>
      <c r="H4" s="571"/>
      <c r="I4" s="571"/>
      <c r="J4" s="572"/>
    </row>
    <row r="5" spans="1:12" s="2" customFormat="1" x14ac:dyDescent="0.3">
      <c r="A5" s="573"/>
      <c r="B5" s="578"/>
      <c r="C5" s="574"/>
      <c r="D5" s="579"/>
      <c r="E5" s="580"/>
      <c r="F5" s="73"/>
      <c r="G5" s="68"/>
      <c r="H5" s="68"/>
      <c r="I5" s="68"/>
      <c r="J5" s="69"/>
      <c r="K5" s="8"/>
      <c r="L5" s="8"/>
    </row>
    <row r="6" spans="1:12" s="64" customFormat="1" x14ac:dyDescent="0.3">
      <c r="A6" s="59"/>
      <c r="B6" s="72" t="s">
        <v>91</v>
      </c>
      <c r="C6" s="70" t="s">
        <v>92</v>
      </c>
      <c r="D6" s="60" t="s">
        <v>93</v>
      </c>
      <c r="E6" s="61" t="s">
        <v>94</v>
      </c>
      <c r="F6" s="74" t="s">
        <v>95</v>
      </c>
      <c r="G6" s="87" t="s">
        <v>96</v>
      </c>
      <c r="H6" s="87" t="s">
        <v>97</v>
      </c>
      <c r="I6" s="87" t="s">
        <v>98</v>
      </c>
      <c r="J6" s="88" t="s">
        <v>99</v>
      </c>
      <c r="K6" s="63"/>
      <c r="L6" s="63"/>
    </row>
    <row r="7" spans="1:12" s="17" customFormat="1" x14ac:dyDescent="0.3">
      <c r="A7" s="141"/>
      <c r="B7" s="248"/>
      <c r="C7" s="248"/>
      <c r="D7" s="249"/>
      <c r="E7" s="249"/>
      <c r="F7" s="250"/>
      <c r="G7" s="249"/>
      <c r="H7" s="249"/>
      <c r="I7" s="249"/>
      <c r="J7" s="251"/>
    </row>
    <row r="8" spans="1:12" x14ac:dyDescent="0.3">
      <c r="A8" s="581" t="s">
        <v>5</v>
      </c>
      <c r="B8" s="582"/>
      <c r="C8" s="582"/>
      <c r="D8" s="35"/>
      <c r="E8" s="35"/>
      <c r="F8" s="78"/>
      <c r="G8" s="35"/>
      <c r="H8" s="35"/>
      <c r="I8" s="35"/>
      <c r="J8" s="36"/>
    </row>
    <row r="9" spans="1:12" x14ac:dyDescent="0.3">
      <c r="A9" s="189"/>
      <c r="B9" s="188"/>
      <c r="C9" s="188"/>
      <c r="D9" s="207"/>
      <c r="E9" s="207"/>
      <c r="F9" s="208"/>
      <c r="G9" s="207"/>
      <c r="H9" s="207"/>
      <c r="I9" s="207"/>
      <c r="J9" s="209"/>
    </row>
    <row r="10" spans="1:12" x14ac:dyDescent="0.3">
      <c r="A10" s="189"/>
      <c r="B10" s="188"/>
      <c r="C10" s="188" t="s">
        <v>45</v>
      </c>
      <c r="D10" s="207"/>
      <c r="E10" s="207"/>
      <c r="F10" s="208"/>
      <c r="G10" s="207"/>
      <c r="H10" s="207">
        <v>0</v>
      </c>
      <c r="I10" s="207">
        <v>0</v>
      </c>
      <c r="J10" s="209">
        <v>0</v>
      </c>
    </row>
    <row r="11" spans="1:12" x14ac:dyDescent="0.3">
      <c r="A11" s="189"/>
      <c r="B11" s="188"/>
      <c r="C11" s="188"/>
      <c r="D11" s="207"/>
      <c r="E11" s="207"/>
      <c r="F11" s="208"/>
      <c r="G11" s="207"/>
      <c r="H11" s="207"/>
      <c r="I11" s="207"/>
      <c r="J11" s="209"/>
    </row>
    <row r="12" spans="1:12" x14ac:dyDescent="0.3">
      <c r="A12" s="581" t="s">
        <v>46</v>
      </c>
      <c r="B12" s="582"/>
      <c r="C12" s="582"/>
      <c r="D12" s="35"/>
      <c r="E12" s="35"/>
      <c r="F12" s="78"/>
      <c r="G12" s="35"/>
      <c r="H12" s="35"/>
      <c r="I12" s="35"/>
      <c r="J12" s="36"/>
    </row>
    <row r="13" spans="1:12" x14ac:dyDescent="0.3">
      <c r="A13" s="189" t="s">
        <v>422</v>
      </c>
      <c r="B13" s="188"/>
      <c r="C13" s="259"/>
      <c r="D13" s="191"/>
      <c r="E13" s="191"/>
      <c r="F13" s="192"/>
      <c r="G13" s="191"/>
      <c r="H13" s="191"/>
      <c r="I13" s="191"/>
      <c r="J13" s="193"/>
    </row>
    <row r="14" spans="1:12" x14ac:dyDescent="0.3">
      <c r="A14" s="257"/>
      <c r="B14" s="507" t="s">
        <v>423</v>
      </c>
      <c r="C14" s="326" t="s">
        <v>424</v>
      </c>
      <c r="D14" s="239" t="s">
        <v>425</v>
      </c>
      <c r="E14" s="239">
        <v>250</v>
      </c>
      <c r="F14" s="240">
        <v>1</v>
      </c>
      <c r="G14" s="239">
        <f>E14*F14</f>
        <v>250</v>
      </c>
      <c r="H14" s="239">
        <f>G14*1.13</f>
        <v>282.5</v>
      </c>
      <c r="I14" s="239">
        <f>73.95</f>
        <v>73.95</v>
      </c>
      <c r="J14" s="241">
        <v>73.95</v>
      </c>
    </row>
    <row r="15" spans="1:12" x14ac:dyDescent="0.3">
      <c r="A15" s="271"/>
      <c r="B15" s="269" t="s">
        <v>426</v>
      </c>
      <c r="C15" s="312" t="s">
        <v>427</v>
      </c>
      <c r="D15" s="243" t="s">
        <v>428</v>
      </c>
      <c r="E15" s="243">
        <v>200</v>
      </c>
      <c r="F15" s="244">
        <v>1</v>
      </c>
      <c r="G15" s="243">
        <f t="shared" ref="G15:G19" si="0">E15*F15</f>
        <v>200</v>
      </c>
      <c r="H15" s="243">
        <f t="shared" ref="H15:H17" si="1">G15*1.13</f>
        <v>225.99999999999997</v>
      </c>
      <c r="I15" s="243"/>
      <c r="J15" s="245"/>
    </row>
    <row r="16" spans="1:12" x14ac:dyDescent="0.3">
      <c r="A16" s="257"/>
      <c r="B16" s="507" t="s">
        <v>429</v>
      </c>
      <c r="C16" s="326" t="s">
        <v>430</v>
      </c>
      <c r="D16" s="239" t="s">
        <v>431</v>
      </c>
      <c r="E16" s="239">
        <v>90</v>
      </c>
      <c r="F16" s="240">
        <v>4</v>
      </c>
      <c r="G16" s="239">
        <f t="shared" si="0"/>
        <v>360</v>
      </c>
      <c r="H16" s="239">
        <f t="shared" si="1"/>
        <v>406.79999999999995</v>
      </c>
      <c r="I16" s="239"/>
      <c r="J16" s="241"/>
    </row>
    <row r="17" spans="1:10" x14ac:dyDescent="0.3">
      <c r="A17" s="271"/>
      <c r="B17" s="269" t="s">
        <v>432</v>
      </c>
      <c r="C17" s="312" t="s">
        <v>433</v>
      </c>
      <c r="D17" s="243" t="s">
        <v>431</v>
      </c>
      <c r="E17" s="243">
        <v>10</v>
      </c>
      <c r="F17" s="244">
        <v>5</v>
      </c>
      <c r="G17" s="243">
        <f t="shared" si="0"/>
        <v>50</v>
      </c>
      <c r="H17" s="243">
        <f t="shared" si="1"/>
        <v>56.499999999999993</v>
      </c>
      <c r="I17" s="243"/>
      <c r="J17" s="245"/>
    </row>
    <row r="18" spans="1:10" x14ac:dyDescent="0.3">
      <c r="A18" s="257"/>
      <c r="B18" s="507" t="s">
        <v>434</v>
      </c>
      <c r="C18" s="326" t="s">
        <v>435</v>
      </c>
      <c r="D18" s="506" t="s">
        <v>436</v>
      </c>
      <c r="E18" s="239">
        <v>800</v>
      </c>
      <c r="F18" s="240">
        <v>1</v>
      </c>
      <c r="G18" s="239">
        <f t="shared" si="0"/>
        <v>800</v>
      </c>
      <c r="H18" s="239">
        <f>G18</f>
        <v>800</v>
      </c>
      <c r="I18" s="239">
        <f>578.74+112.98</f>
        <v>691.72</v>
      </c>
      <c r="J18" s="241">
        <v>691.72</v>
      </c>
    </row>
    <row r="19" spans="1:10" x14ac:dyDescent="0.3">
      <c r="A19" s="271"/>
      <c r="B19" s="269" t="s">
        <v>437</v>
      </c>
      <c r="C19" s="312" t="s">
        <v>438</v>
      </c>
      <c r="D19" s="243" t="s">
        <v>439</v>
      </c>
      <c r="E19" s="243">
        <v>850</v>
      </c>
      <c r="F19" s="244">
        <v>1</v>
      </c>
      <c r="G19" s="243">
        <f t="shared" si="0"/>
        <v>850</v>
      </c>
      <c r="H19" s="243">
        <f>G19</f>
        <v>850</v>
      </c>
      <c r="I19" s="243">
        <f>4.51+18.03</f>
        <v>22.54</v>
      </c>
      <c r="J19" s="245">
        <v>22.54</v>
      </c>
    </row>
    <row r="20" spans="1:10" x14ac:dyDescent="0.3">
      <c r="A20" s="271"/>
      <c r="B20" s="507" t="s">
        <v>1520</v>
      </c>
      <c r="C20" s="326" t="s">
        <v>1521</v>
      </c>
      <c r="D20" s="506" t="s">
        <v>1522</v>
      </c>
      <c r="E20" s="239">
        <v>200</v>
      </c>
      <c r="F20" s="240">
        <v>1</v>
      </c>
      <c r="G20" s="239">
        <f>E20*F20</f>
        <v>200</v>
      </c>
      <c r="H20" s="239">
        <f>G20</f>
        <v>200</v>
      </c>
      <c r="I20" s="239"/>
      <c r="J20" s="241"/>
    </row>
    <row r="21" spans="1:10" x14ac:dyDescent="0.3">
      <c r="A21" s="271"/>
      <c r="B21" s="269" t="s">
        <v>1523</v>
      </c>
      <c r="C21" s="312" t="s">
        <v>1524</v>
      </c>
      <c r="D21" s="243" t="s">
        <v>1525</v>
      </c>
      <c r="E21" s="243">
        <v>200</v>
      </c>
      <c r="F21" s="244">
        <v>1</v>
      </c>
      <c r="G21" s="243">
        <f>E21*F21</f>
        <v>200</v>
      </c>
      <c r="H21" s="243">
        <f>G21</f>
        <v>200</v>
      </c>
      <c r="I21" s="243">
        <f>79.04</f>
        <v>79.040000000000006</v>
      </c>
      <c r="J21" s="245">
        <v>79.040000000000006</v>
      </c>
    </row>
    <row r="22" spans="1:10" x14ac:dyDescent="0.3">
      <c r="A22" s="271"/>
      <c r="B22" s="269"/>
      <c r="C22" s="312" t="s">
        <v>1662</v>
      </c>
      <c r="D22" s="243"/>
      <c r="E22" s="243"/>
      <c r="F22" s="244"/>
      <c r="G22" s="243"/>
      <c r="H22" s="243"/>
      <c r="I22" s="243">
        <f>169.47+89.27</f>
        <v>258.74</v>
      </c>
      <c r="J22" s="245">
        <v>258.74</v>
      </c>
    </row>
    <row r="23" spans="1:10" x14ac:dyDescent="0.3">
      <c r="A23" s="271"/>
      <c r="B23" s="269"/>
      <c r="C23" s="312"/>
      <c r="D23" s="243"/>
      <c r="E23" s="243"/>
      <c r="F23" s="244"/>
      <c r="G23" s="243"/>
      <c r="H23" s="243"/>
      <c r="I23" s="243"/>
      <c r="J23" s="245"/>
    </row>
    <row r="24" spans="1:10" x14ac:dyDescent="0.3">
      <c r="A24" s="257"/>
      <c r="B24" s="322" t="s">
        <v>440</v>
      </c>
      <c r="C24" s="323" t="s">
        <v>422</v>
      </c>
      <c r="D24" s="205"/>
      <c r="E24" s="205"/>
      <c r="F24" s="210"/>
      <c r="G24" s="205"/>
      <c r="H24" s="205">
        <f>SUM(H14:H21)</f>
        <v>3021.8</v>
      </c>
      <c r="I24" s="205">
        <f>SUM(I14:I22)</f>
        <v>1125.99</v>
      </c>
      <c r="J24" s="206">
        <f>SUM(J14:J22)</f>
        <v>1125.99</v>
      </c>
    </row>
    <row r="25" spans="1:10" x14ac:dyDescent="0.3">
      <c r="A25" s="189"/>
      <c r="B25" s="188"/>
      <c r="C25" s="188"/>
      <c r="D25" s="207"/>
      <c r="E25" s="207"/>
      <c r="F25" s="208"/>
      <c r="G25" s="207"/>
      <c r="H25" s="207"/>
      <c r="I25" s="207"/>
      <c r="J25" s="209"/>
    </row>
    <row r="26" spans="1:10" x14ac:dyDescent="0.3">
      <c r="A26" s="189" t="s">
        <v>441</v>
      </c>
      <c r="B26" s="188"/>
      <c r="C26" s="259"/>
      <c r="D26" s="191"/>
      <c r="E26" s="191"/>
      <c r="F26" s="192"/>
      <c r="G26" s="191"/>
      <c r="H26" s="191"/>
      <c r="I26" s="191"/>
      <c r="J26" s="193"/>
    </row>
    <row r="27" spans="1:10" x14ac:dyDescent="0.3">
      <c r="A27" s="256"/>
      <c r="B27" s="279" t="s">
        <v>442</v>
      </c>
      <c r="C27" s="280" t="s">
        <v>443</v>
      </c>
      <c r="D27" s="195" t="s">
        <v>1526</v>
      </c>
      <c r="E27" s="195">
        <v>150</v>
      </c>
      <c r="F27" s="196">
        <v>1</v>
      </c>
      <c r="G27" s="195">
        <v>150</v>
      </c>
      <c r="H27" s="195">
        <f>G27*1.13</f>
        <v>169.49999999999997</v>
      </c>
      <c r="I27" s="195"/>
      <c r="J27" s="197"/>
    </row>
    <row r="28" spans="1:10" x14ac:dyDescent="0.3">
      <c r="A28" s="272"/>
      <c r="B28" s="269" t="s">
        <v>444</v>
      </c>
      <c r="C28" s="324" t="s">
        <v>445</v>
      </c>
      <c r="D28" s="325" t="s">
        <v>1527</v>
      </c>
      <c r="E28" s="243">
        <v>175</v>
      </c>
      <c r="F28" s="244">
        <v>2</v>
      </c>
      <c r="G28" s="243">
        <f>E28*F28</f>
        <v>350</v>
      </c>
      <c r="H28" s="243">
        <f>G28*1.13</f>
        <v>395.49999999999994</v>
      </c>
      <c r="I28" s="243"/>
      <c r="J28" s="245"/>
    </row>
    <row r="29" spans="1:10" x14ac:dyDescent="0.3">
      <c r="A29" s="256"/>
      <c r="B29" s="279"/>
      <c r="C29" s="280"/>
      <c r="D29" s="282"/>
      <c r="E29" s="195"/>
      <c r="F29" s="196"/>
      <c r="G29" s="195"/>
      <c r="H29" s="195"/>
      <c r="I29" s="195"/>
      <c r="J29" s="197"/>
    </row>
    <row r="30" spans="1:10" x14ac:dyDescent="0.3">
      <c r="A30" s="257"/>
      <c r="B30" s="322" t="s">
        <v>440</v>
      </c>
      <c r="C30" s="323" t="s">
        <v>441</v>
      </c>
      <c r="D30" s="205"/>
      <c r="E30" s="205"/>
      <c r="F30" s="210"/>
      <c r="G30" s="205"/>
      <c r="H30" s="205">
        <f>SUM(H27:H29)</f>
        <v>564.99999999999989</v>
      </c>
      <c r="I30" s="205">
        <f t="shared" ref="I30:J30" si="2">SUM(I27:I29)</f>
        <v>0</v>
      </c>
      <c r="J30" s="206">
        <f t="shared" si="2"/>
        <v>0</v>
      </c>
    </row>
    <row r="31" spans="1:10" x14ac:dyDescent="0.3">
      <c r="A31" s="257"/>
      <c r="B31" s="259"/>
      <c r="C31" s="259"/>
      <c r="D31" s="191"/>
      <c r="E31" s="191"/>
      <c r="F31" s="192"/>
      <c r="G31" s="191"/>
      <c r="H31" s="191"/>
      <c r="I31" s="191"/>
      <c r="J31" s="193"/>
    </row>
    <row r="32" spans="1:10" x14ac:dyDescent="0.3">
      <c r="A32" s="189" t="s">
        <v>446</v>
      </c>
      <c r="B32" s="188"/>
      <c r="C32" s="259"/>
      <c r="D32" s="191"/>
      <c r="E32" s="191"/>
      <c r="F32" s="192"/>
      <c r="G32" s="191"/>
      <c r="H32" s="191"/>
      <c r="I32" s="191"/>
      <c r="J32" s="193"/>
    </row>
    <row r="33" spans="1:10" x14ac:dyDescent="0.3">
      <c r="A33" s="257"/>
      <c r="B33" s="326" t="s">
        <v>447</v>
      </c>
      <c r="C33" s="326" t="s">
        <v>448</v>
      </c>
      <c r="D33" s="239" t="s">
        <v>449</v>
      </c>
      <c r="E33" s="239">
        <v>250</v>
      </c>
      <c r="F33" s="240">
        <v>2</v>
      </c>
      <c r="G33" s="195">
        <f>E33*F33</f>
        <v>500</v>
      </c>
      <c r="H33" s="195">
        <f>G33</f>
        <v>500</v>
      </c>
      <c r="I33" s="195"/>
      <c r="J33" s="197"/>
    </row>
    <row r="34" spans="1:10" x14ac:dyDescent="0.3">
      <c r="A34" s="257"/>
      <c r="B34" s="312" t="s">
        <v>450</v>
      </c>
      <c r="C34" s="259" t="s">
        <v>451</v>
      </c>
      <c r="D34" s="191" t="s">
        <v>452</v>
      </c>
      <c r="E34" s="191">
        <v>15</v>
      </c>
      <c r="F34" s="192">
        <v>50</v>
      </c>
      <c r="G34" s="243">
        <f t="shared" ref="G34:G37" si="3">E34*F34</f>
        <v>750</v>
      </c>
      <c r="H34" s="191">
        <f>G34</f>
        <v>750</v>
      </c>
      <c r="I34" s="191"/>
      <c r="J34" s="193"/>
    </row>
    <row r="35" spans="1:10" x14ac:dyDescent="0.3">
      <c r="A35" s="257"/>
      <c r="B35" s="326" t="s">
        <v>453</v>
      </c>
      <c r="C35" s="279" t="s">
        <v>454</v>
      </c>
      <c r="D35" s="195" t="s">
        <v>455</v>
      </c>
      <c r="E35" s="195">
        <v>200</v>
      </c>
      <c r="F35" s="196">
        <v>1</v>
      </c>
      <c r="G35" s="195">
        <f t="shared" si="3"/>
        <v>200</v>
      </c>
      <c r="H35" s="195">
        <f>G35</f>
        <v>200</v>
      </c>
      <c r="I35" s="195"/>
      <c r="J35" s="197"/>
    </row>
    <row r="36" spans="1:10" x14ac:dyDescent="0.3">
      <c r="A36" s="271"/>
      <c r="B36" s="312" t="s">
        <v>456</v>
      </c>
      <c r="C36" s="324" t="s">
        <v>457</v>
      </c>
      <c r="D36" s="325" t="s">
        <v>458</v>
      </c>
      <c r="E36" s="243">
        <v>500</v>
      </c>
      <c r="F36" s="244">
        <v>1</v>
      </c>
      <c r="G36" s="243">
        <f t="shared" si="3"/>
        <v>500</v>
      </c>
      <c r="H36" s="243">
        <f>G36</f>
        <v>500</v>
      </c>
      <c r="I36" s="243"/>
      <c r="J36" s="245"/>
    </row>
    <row r="37" spans="1:10" x14ac:dyDescent="0.3">
      <c r="A37" s="256"/>
      <c r="B37" s="326" t="s">
        <v>459</v>
      </c>
      <c r="C37" s="327" t="s">
        <v>460</v>
      </c>
      <c r="D37" s="506" t="s">
        <v>461</v>
      </c>
      <c r="E37" s="239">
        <v>1000</v>
      </c>
      <c r="F37" s="240">
        <v>1</v>
      </c>
      <c r="G37" s="195">
        <f t="shared" si="3"/>
        <v>1000</v>
      </c>
      <c r="H37" s="239">
        <f>G37</f>
        <v>1000</v>
      </c>
      <c r="I37" s="195"/>
      <c r="J37" s="197"/>
    </row>
    <row r="38" spans="1:10" x14ac:dyDescent="0.3">
      <c r="A38" s="257"/>
      <c r="B38" s="259"/>
      <c r="C38" s="259"/>
      <c r="D38" s="191"/>
      <c r="E38" s="191"/>
      <c r="F38" s="192"/>
      <c r="G38" s="191"/>
      <c r="H38" s="191"/>
      <c r="I38" s="191"/>
      <c r="J38" s="193"/>
    </row>
    <row r="39" spans="1:10" x14ac:dyDescent="0.3">
      <c r="A39" s="257"/>
      <c r="B39" s="322" t="s">
        <v>440</v>
      </c>
      <c r="C39" s="323" t="s">
        <v>446</v>
      </c>
      <c r="D39" s="205"/>
      <c r="E39" s="205"/>
      <c r="F39" s="210"/>
      <c r="G39" s="205"/>
      <c r="H39" s="205">
        <f>SUM(H33:H37)</f>
        <v>2950</v>
      </c>
      <c r="I39" s="205">
        <f>SUM(I33:I37)</f>
        <v>0</v>
      </c>
      <c r="J39" s="206">
        <f t="shared" ref="J39" si="4">SUM(J33:J37)</f>
        <v>0</v>
      </c>
    </row>
    <row r="40" spans="1:10" x14ac:dyDescent="0.3">
      <c r="A40" s="257"/>
      <c r="B40" s="259"/>
      <c r="C40" s="259"/>
      <c r="D40" s="191"/>
      <c r="E40" s="191"/>
      <c r="F40" s="192"/>
      <c r="G40" s="191"/>
      <c r="H40" s="191"/>
      <c r="I40" s="191"/>
      <c r="J40" s="193"/>
    </row>
    <row r="41" spans="1:10" x14ac:dyDescent="0.3">
      <c r="A41" s="189" t="s">
        <v>462</v>
      </c>
      <c r="B41" s="188"/>
      <c r="C41" s="259"/>
      <c r="D41" s="191"/>
      <c r="E41" s="191"/>
      <c r="F41" s="192"/>
      <c r="G41" s="191"/>
      <c r="H41" s="191"/>
      <c r="I41" s="191"/>
      <c r="J41" s="193"/>
    </row>
    <row r="42" spans="1:10" x14ac:dyDescent="0.3">
      <c r="A42" s="189"/>
      <c r="B42" s="279" t="s">
        <v>463</v>
      </c>
      <c r="C42" s="279" t="s">
        <v>464</v>
      </c>
      <c r="D42" s="195" t="s">
        <v>465</v>
      </c>
      <c r="E42" s="195">
        <v>150</v>
      </c>
      <c r="F42" s="196">
        <v>1</v>
      </c>
      <c r="G42" s="195">
        <f>E42*F42</f>
        <v>150</v>
      </c>
      <c r="H42" s="195">
        <f>G42*1.13</f>
        <v>169.49999999999997</v>
      </c>
      <c r="I42" s="195"/>
      <c r="J42" s="197"/>
    </row>
    <row r="43" spans="1:10" x14ac:dyDescent="0.3">
      <c r="A43" s="495"/>
      <c r="B43" s="496"/>
      <c r="C43" s="269"/>
      <c r="D43" s="243"/>
      <c r="E43" s="243"/>
      <c r="F43" s="244"/>
      <c r="G43" s="243"/>
      <c r="H43" s="243"/>
      <c r="I43" s="243"/>
      <c r="J43" s="245"/>
    </row>
    <row r="44" spans="1:10" x14ac:dyDescent="0.3">
      <c r="A44" s="257"/>
      <c r="B44" s="322" t="s">
        <v>440</v>
      </c>
      <c r="C44" s="323" t="s">
        <v>462</v>
      </c>
      <c r="D44" s="205"/>
      <c r="E44" s="205"/>
      <c r="F44" s="210"/>
      <c r="G44" s="205"/>
      <c r="H44" s="205">
        <f>SUM(H42:H42)</f>
        <v>169.49999999999997</v>
      </c>
      <c r="I44" s="205">
        <f>SUM(I42:I42)</f>
        <v>0</v>
      </c>
      <c r="J44" s="206">
        <f t="shared" ref="J44" si="5">SUM(J42:J42)</f>
        <v>0</v>
      </c>
    </row>
    <row r="45" spans="1:10" x14ac:dyDescent="0.3">
      <c r="A45" s="257"/>
      <c r="B45" s="188"/>
      <c r="C45" s="188"/>
      <c r="D45" s="207"/>
      <c r="E45" s="207"/>
      <c r="F45" s="208"/>
      <c r="G45" s="207"/>
      <c r="H45" s="207"/>
      <c r="I45" s="207"/>
      <c r="J45" s="209"/>
    </row>
    <row r="46" spans="1:10" x14ac:dyDescent="0.3">
      <c r="A46" s="189" t="s">
        <v>466</v>
      </c>
      <c r="B46" s="188"/>
      <c r="C46" s="259"/>
      <c r="D46" s="191"/>
      <c r="E46" s="191"/>
      <c r="F46" s="192"/>
      <c r="G46" s="191"/>
      <c r="H46" s="191"/>
      <c r="I46" s="191"/>
      <c r="J46" s="193"/>
    </row>
    <row r="47" spans="1:10" x14ac:dyDescent="0.3">
      <c r="A47" s="189"/>
      <c r="B47" s="279" t="s">
        <v>467</v>
      </c>
      <c r="C47" s="279" t="s">
        <v>468</v>
      </c>
      <c r="D47" s="282" t="s">
        <v>1528</v>
      </c>
      <c r="E47" s="195">
        <v>80</v>
      </c>
      <c r="F47" s="196">
        <v>7</v>
      </c>
      <c r="G47" s="195">
        <f>E47*F47</f>
        <v>560</v>
      </c>
      <c r="H47" s="195">
        <f>G47*1.13</f>
        <v>632.79999999999995</v>
      </c>
      <c r="I47" s="195">
        <f>71.83+81.69+58.25</f>
        <v>211.76999999999998</v>
      </c>
      <c r="J47" s="197">
        <v>211.76999999999998</v>
      </c>
    </row>
    <row r="48" spans="1:10" x14ac:dyDescent="0.3">
      <c r="A48" s="189"/>
      <c r="B48" s="259" t="s">
        <v>469</v>
      </c>
      <c r="C48" s="269" t="s">
        <v>470</v>
      </c>
      <c r="D48" s="282" t="s">
        <v>1528</v>
      </c>
      <c r="E48" s="243">
        <v>40</v>
      </c>
      <c r="F48" s="244">
        <v>7</v>
      </c>
      <c r="G48" s="243">
        <f>E48*F48</f>
        <v>280</v>
      </c>
      <c r="H48" s="191">
        <f>G48*1.13</f>
        <v>316.39999999999998</v>
      </c>
      <c r="I48" s="191"/>
      <c r="J48" s="193"/>
    </row>
    <row r="49" spans="1:12" x14ac:dyDescent="0.3">
      <c r="A49" s="189"/>
      <c r="B49" s="328"/>
      <c r="C49" s="279"/>
      <c r="D49" s="195"/>
      <c r="E49" s="195"/>
      <c r="F49" s="196"/>
      <c r="G49" s="195"/>
      <c r="H49" s="195"/>
      <c r="I49" s="195"/>
      <c r="J49" s="197"/>
    </row>
    <row r="50" spans="1:12" s="54" customFormat="1" x14ac:dyDescent="0.3">
      <c r="A50" s="257"/>
      <c r="B50" s="322" t="s">
        <v>440</v>
      </c>
      <c r="C50" s="323" t="s">
        <v>466</v>
      </c>
      <c r="D50" s="205"/>
      <c r="E50" s="205"/>
      <c r="F50" s="210"/>
      <c r="G50" s="205"/>
      <c r="H50" s="205">
        <f>SUM(H47:H48)</f>
        <v>949.19999999999993</v>
      </c>
      <c r="I50" s="205">
        <f>SUM(I47:I48)</f>
        <v>211.76999999999998</v>
      </c>
      <c r="J50" s="206">
        <f t="shared" ref="J50" si="6">SUM(J47:J48)</f>
        <v>211.76999999999998</v>
      </c>
      <c r="K50" s="27"/>
      <c r="L50" s="27"/>
    </row>
    <row r="51" spans="1:12" x14ac:dyDescent="0.3">
      <c r="A51" s="257"/>
      <c r="B51" s="188"/>
      <c r="C51" s="188"/>
      <c r="D51" s="207"/>
      <c r="E51" s="207"/>
      <c r="F51" s="208"/>
      <c r="G51" s="207"/>
      <c r="H51" s="207"/>
      <c r="I51" s="207"/>
      <c r="J51" s="209"/>
    </row>
    <row r="52" spans="1:12" x14ac:dyDescent="0.3">
      <c r="A52" s="257"/>
      <c r="B52" s="259"/>
      <c r="C52" s="281"/>
      <c r="D52" s="191"/>
      <c r="E52" s="191"/>
      <c r="F52" s="192"/>
      <c r="G52" s="191"/>
      <c r="H52" s="191"/>
      <c r="I52" s="191"/>
      <c r="J52" s="193"/>
    </row>
    <row r="53" spans="1:12" x14ac:dyDescent="0.3">
      <c r="A53" s="189"/>
      <c r="B53" s="188"/>
      <c r="C53" s="188" t="s">
        <v>85</v>
      </c>
      <c r="D53" s="207"/>
      <c r="E53" s="207"/>
      <c r="F53" s="208"/>
      <c r="G53" s="207"/>
      <c r="H53" s="207">
        <f>SUM(H24+H30+H39+H44+H50)</f>
        <v>7655.5</v>
      </c>
      <c r="I53" s="207">
        <f>SUM(I24+I30+I39+I44+I50)</f>
        <v>1337.76</v>
      </c>
      <c r="J53" s="209">
        <f t="shared" ref="J53" si="7">SUM(J24+J30+J39+J44+J50)</f>
        <v>1337.76</v>
      </c>
    </row>
    <row r="54" spans="1:12" x14ac:dyDescent="0.3">
      <c r="A54" s="257"/>
      <c r="B54" s="259"/>
      <c r="C54" s="188"/>
      <c r="D54" s="207"/>
      <c r="E54" s="207"/>
      <c r="F54" s="208"/>
      <c r="G54" s="207"/>
      <c r="H54" s="207"/>
      <c r="I54" s="207"/>
      <c r="J54" s="209"/>
    </row>
    <row r="55" spans="1:12" x14ac:dyDescent="0.3">
      <c r="A55" s="581" t="s">
        <v>86</v>
      </c>
      <c r="B55" s="582"/>
      <c r="C55" s="582"/>
      <c r="D55" s="35"/>
      <c r="E55" s="35"/>
      <c r="F55" s="78"/>
      <c r="G55" s="35"/>
      <c r="H55" s="35"/>
      <c r="I55" s="35"/>
      <c r="J55" s="36"/>
    </row>
    <row r="56" spans="1:12" x14ac:dyDescent="0.3">
      <c r="A56" s="189"/>
      <c r="B56" s="328" t="s">
        <v>87</v>
      </c>
      <c r="C56" s="328"/>
      <c r="D56" s="329"/>
      <c r="E56" s="329"/>
      <c r="F56" s="329"/>
      <c r="G56" s="329"/>
      <c r="H56" s="329">
        <v>0</v>
      </c>
      <c r="I56" s="329">
        <v>0</v>
      </c>
      <c r="J56" s="330">
        <v>0</v>
      </c>
    </row>
    <row r="57" spans="1:12" x14ac:dyDescent="0.3">
      <c r="A57" s="189"/>
      <c r="B57" s="188" t="s">
        <v>88</v>
      </c>
      <c r="C57" s="188"/>
      <c r="D57" s="207"/>
      <c r="E57" s="207"/>
      <c r="F57" s="207"/>
      <c r="G57" s="207"/>
      <c r="H57" s="207">
        <f>H53</f>
        <v>7655.5</v>
      </c>
      <c r="I57" s="207">
        <f t="shared" ref="I57:J57" si="8">I53</f>
        <v>1337.76</v>
      </c>
      <c r="J57" s="209">
        <f t="shared" si="8"/>
        <v>1337.76</v>
      </c>
    </row>
    <row r="58" spans="1:12" x14ac:dyDescent="0.3">
      <c r="A58" s="331"/>
      <c r="B58" s="332" t="s">
        <v>89</v>
      </c>
      <c r="C58" s="332"/>
      <c r="D58" s="333"/>
      <c r="E58" s="333"/>
      <c r="F58" s="333"/>
      <c r="G58" s="333"/>
      <c r="H58" s="333">
        <f>H56-H57</f>
        <v>-7655.5</v>
      </c>
      <c r="I58" s="333">
        <f t="shared" ref="I58:J58" si="9">I56-I57</f>
        <v>-1337.76</v>
      </c>
      <c r="J58" s="334">
        <f t="shared" si="9"/>
        <v>-1337.76</v>
      </c>
    </row>
  </sheetData>
  <mergeCells count="6">
    <mergeCell ref="A55:C55"/>
    <mergeCell ref="D1:J4"/>
    <mergeCell ref="A5:C5"/>
    <mergeCell ref="D5:E5"/>
    <mergeCell ref="A8:C8"/>
    <mergeCell ref="A12:C12"/>
  </mergeCells>
  <pageMargins left="0" right="0" top="0" bottom="0" header="0" footer="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zoomScale="75" zoomScaleNormal="75" workbookViewId="0">
      <pane xSplit="3" ySplit="6" topLeftCell="F37" activePane="bottomRight" state="frozen"/>
      <selection pane="topRight" activeCell="C1" sqref="C1"/>
      <selection pane="bottomLeft" activeCell="A4" sqref="A4"/>
      <selection pane="bottomRight" activeCell="J53" sqref="J53"/>
    </sheetView>
  </sheetViews>
  <sheetFormatPr defaultColWidth="8.85546875" defaultRowHeight="17.25" x14ac:dyDescent="0.3"/>
  <cols>
    <col min="1" max="2" width="13.85546875" style="53" customWidth="1"/>
    <col min="3" max="3" width="42.85546875" style="53" bestFit="1" customWidth="1"/>
    <col min="4" max="4" width="28.140625" style="55" customWidth="1"/>
    <col min="5" max="5" width="28.140625" style="18" customWidth="1"/>
    <col min="6" max="6" width="15.28515625" style="77" customWidth="1"/>
    <col min="7" max="7" width="17.42578125" style="18" customWidth="1"/>
    <col min="8" max="8" width="18.140625" style="18" customWidth="1"/>
    <col min="9" max="9" width="22.42578125" style="18" customWidth="1"/>
    <col min="10" max="10" width="23" style="18" customWidth="1"/>
    <col min="11" max="11" width="12" style="17" customWidth="1"/>
    <col min="12" max="12" width="11.28515625" style="17" customWidth="1"/>
    <col min="13" max="13" width="8.85546875" style="53"/>
    <col min="14" max="14" width="10.140625" style="53" bestFit="1" customWidth="1"/>
    <col min="15" max="15" width="14.28515625" style="53" customWidth="1"/>
    <col min="16" max="16384" width="8.85546875" style="53"/>
  </cols>
  <sheetData>
    <row r="1" spans="1:15" s="2" customFormat="1" ht="38.25" x14ac:dyDescent="0.3">
      <c r="A1" s="119"/>
      <c r="B1" s="120"/>
      <c r="C1" s="3"/>
      <c r="D1" s="564" t="s">
        <v>471</v>
      </c>
      <c r="E1" s="565"/>
      <c r="F1" s="565"/>
      <c r="G1" s="565"/>
      <c r="H1" s="565"/>
      <c r="I1" s="565"/>
      <c r="J1" s="566"/>
    </row>
    <row r="2" spans="1:15" s="2" customFormat="1" ht="38.25" x14ac:dyDescent="0.3">
      <c r="A2" s="4"/>
      <c r="B2" s="5"/>
      <c r="C2" s="5"/>
      <c r="D2" s="567"/>
      <c r="E2" s="568"/>
      <c r="F2" s="568"/>
      <c r="G2" s="568"/>
      <c r="H2" s="568"/>
      <c r="I2" s="568"/>
      <c r="J2" s="569"/>
    </row>
    <row r="3" spans="1:15" s="2" customFormat="1" ht="38.25" x14ac:dyDescent="0.3">
      <c r="A3" s="4"/>
      <c r="B3" s="5"/>
      <c r="C3" s="5"/>
      <c r="D3" s="567"/>
      <c r="E3" s="568"/>
      <c r="F3" s="568"/>
      <c r="G3" s="568"/>
      <c r="H3" s="568"/>
      <c r="I3" s="568"/>
      <c r="J3" s="569"/>
    </row>
    <row r="4" spans="1:15" s="2" customFormat="1" ht="38.25" x14ac:dyDescent="0.3">
      <c r="A4" s="6"/>
      <c r="B4" s="7"/>
      <c r="C4" s="7"/>
      <c r="D4" s="570"/>
      <c r="E4" s="571"/>
      <c r="F4" s="571"/>
      <c r="G4" s="571"/>
      <c r="H4" s="571"/>
      <c r="I4" s="571"/>
      <c r="J4" s="572"/>
    </row>
    <row r="5" spans="1:15" s="2" customFormat="1" x14ac:dyDescent="0.3">
      <c r="A5" s="573"/>
      <c r="B5" s="578"/>
      <c r="C5" s="574"/>
      <c r="D5" s="579"/>
      <c r="E5" s="580"/>
      <c r="F5" s="73"/>
      <c r="G5" s="68"/>
      <c r="H5" s="68"/>
      <c r="I5" s="68"/>
      <c r="J5" s="69"/>
      <c r="K5" s="8"/>
      <c r="L5" s="8"/>
    </row>
    <row r="6" spans="1:15" s="64" customFormat="1" x14ac:dyDescent="0.3">
      <c r="A6" s="59"/>
      <c r="B6" s="72" t="s">
        <v>91</v>
      </c>
      <c r="C6" s="70" t="s">
        <v>92</v>
      </c>
      <c r="D6" s="60" t="s">
        <v>93</v>
      </c>
      <c r="E6" s="61" t="s">
        <v>94</v>
      </c>
      <c r="F6" s="74" t="s">
        <v>95</v>
      </c>
      <c r="G6" s="87" t="s">
        <v>96</v>
      </c>
      <c r="H6" s="87" t="s">
        <v>97</v>
      </c>
      <c r="I6" s="87" t="s">
        <v>98</v>
      </c>
      <c r="J6" s="88" t="s">
        <v>99</v>
      </c>
      <c r="K6" s="63"/>
      <c r="L6" s="63"/>
    </row>
    <row r="7" spans="1:15" s="2" customFormat="1" x14ac:dyDescent="0.3">
      <c r="A7" s="9"/>
      <c r="B7" s="65"/>
      <c r="C7" s="10"/>
      <c r="D7" s="11"/>
      <c r="E7" s="12"/>
      <c r="F7" s="75"/>
      <c r="G7" s="12"/>
      <c r="H7" s="12"/>
      <c r="I7" s="12"/>
      <c r="J7" s="84"/>
      <c r="K7" s="8"/>
      <c r="L7" s="8"/>
    </row>
    <row r="8" spans="1:15" s="2" customFormat="1" x14ac:dyDescent="0.3">
      <c r="A8" s="560" t="s">
        <v>5</v>
      </c>
      <c r="B8" s="561"/>
      <c r="C8" s="561"/>
      <c r="D8" s="14"/>
      <c r="E8" s="14"/>
      <c r="F8" s="76"/>
      <c r="G8" s="14"/>
      <c r="H8" s="14"/>
      <c r="I8" s="14"/>
      <c r="J8" s="15"/>
      <c r="K8" s="8"/>
      <c r="L8" s="8"/>
    </row>
    <row r="9" spans="1:15" s="17" customFormat="1" x14ac:dyDescent="0.3">
      <c r="A9" s="16" t="s">
        <v>472</v>
      </c>
      <c r="B9" s="285"/>
      <c r="C9" s="91"/>
      <c r="D9" s="18"/>
      <c r="E9" s="18"/>
      <c r="F9" s="77"/>
      <c r="G9" s="18"/>
      <c r="H9" s="18"/>
      <c r="I9" s="18"/>
      <c r="J9" s="19"/>
    </row>
    <row r="10" spans="1:15" s="17" customFormat="1" x14ac:dyDescent="0.3">
      <c r="A10" s="16"/>
      <c r="B10" s="286" t="s">
        <v>473</v>
      </c>
      <c r="C10" s="71" t="s">
        <v>474</v>
      </c>
      <c r="D10" s="80"/>
      <c r="E10" s="80">
        <v>60</v>
      </c>
      <c r="F10" s="81">
        <v>40</v>
      </c>
      <c r="G10" s="80">
        <f>E10*F10</f>
        <v>2400</v>
      </c>
      <c r="H10" s="80">
        <f>G10</f>
        <v>2400</v>
      </c>
      <c r="I10" s="80">
        <v>1140</v>
      </c>
      <c r="J10" s="90">
        <v>1140</v>
      </c>
    </row>
    <row r="11" spans="1:15" s="17" customFormat="1" x14ac:dyDescent="0.3">
      <c r="A11" s="21"/>
      <c r="B11" s="508" t="s">
        <v>475</v>
      </c>
      <c r="C11" s="92" t="s">
        <v>1538</v>
      </c>
      <c r="D11" s="82"/>
      <c r="E11" s="82">
        <v>60</v>
      </c>
      <c r="F11" s="83">
        <v>40</v>
      </c>
      <c r="G11" s="82">
        <f t="shared" ref="G11:G13" si="0">E11*F11</f>
        <v>2400</v>
      </c>
      <c r="H11" s="82">
        <f t="shared" ref="H11:H13" si="1">G11</f>
        <v>2400</v>
      </c>
      <c r="I11" s="82">
        <v>2820</v>
      </c>
      <c r="J11" s="93">
        <v>2820</v>
      </c>
      <c r="N11" s="23"/>
    </row>
    <row r="12" spans="1:15" s="17" customFormat="1" x14ac:dyDescent="0.3">
      <c r="A12" s="21"/>
      <c r="B12" s="286" t="s">
        <v>477</v>
      </c>
      <c r="C12" s="89" t="s">
        <v>476</v>
      </c>
      <c r="D12" s="80"/>
      <c r="E12" s="80">
        <v>60</v>
      </c>
      <c r="F12" s="81">
        <v>40</v>
      </c>
      <c r="G12" s="80">
        <f t="shared" si="0"/>
        <v>2400</v>
      </c>
      <c r="H12" s="80">
        <f t="shared" si="1"/>
        <v>2400</v>
      </c>
      <c r="I12" s="80">
        <v>3000</v>
      </c>
      <c r="J12" s="90">
        <v>3000</v>
      </c>
      <c r="N12" s="23"/>
    </row>
    <row r="13" spans="1:15" s="17" customFormat="1" x14ac:dyDescent="0.3">
      <c r="A13" s="21"/>
      <c r="B13" s="508" t="s">
        <v>479</v>
      </c>
      <c r="C13" s="92" t="s">
        <v>478</v>
      </c>
      <c r="D13" s="82" t="s">
        <v>9</v>
      </c>
      <c r="E13" s="82">
        <v>60</v>
      </c>
      <c r="F13" s="83">
        <v>40</v>
      </c>
      <c r="G13" s="82">
        <f t="shared" si="0"/>
        <v>2400</v>
      </c>
      <c r="H13" s="82">
        <f t="shared" si="1"/>
        <v>2400</v>
      </c>
      <c r="I13" s="82"/>
      <c r="J13" s="93"/>
      <c r="L13" s="306"/>
      <c r="N13" s="23"/>
    </row>
    <row r="14" spans="1:15" s="17" customFormat="1" x14ac:dyDescent="0.3">
      <c r="A14" s="21"/>
      <c r="B14" s="287" t="s">
        <v>480</v>
      </c>
      <c r="C14" s="125"/>
      <c r="D14" s="116"/>
      <c r="E14" s="116"/>
      <c r="F14" s="117"/>
      <c r="G14" s="116"/>
      <c r="H14" s="68">
        <f>SUM(H9:H13)</f>
        <v>9600</v>
      </c>
      <c r="I14" s="68">
        <f>SUM(I9:I13)</f>
        <v>6960</v>
      </c>
      <c r="J14" s="69">
        <f>SUM(J9:J13)</f>
        <v>6960</v>
      </c>
      <c r="N14" s="23"/>
    </row>
    <row r="15" spans="1:15" s="17" customFormat="1" x14ac:dyDescent="0.3">
      <c r="A15" s="16"/>
      <c r="B15" s="27"/>
      <c r="C15" s="27"/>
      <c r="D15" s="85"/>
      <c r="E15" s="85"/>
      <c r="F15" s="94"/>
      <c r="G15" s="85"/>
      <c r="H15" s="85"/>
      <c r="I15" s="85"/>
      <c r="J15" s="86"/>
      <c r="K15" s="22"/>
      <c r="L15" s="29"/>
      <c r="M15" s="22"/>
      <c r="N15" s="22"/>
      <c r="O15" s="23"/>
    </row>
    <row r="16" spans="1:15" s="31" customFormat="1" ht="18.75" x14ac:dyDescent="0.35">
      <c r="A16" s="16"/>
      <c r="B16" s="27"/>
      <c r="C16" s="27" t="s">
        <v>45</v>
      </c>
      <c r="D16" s="85"/>
      <c r="E16" s="85"/>
      <c r="F16" s="94"/>
      <c r="G16" s="85"/>
      <c r="H16" s="85">
        <f>H14</f>
        <v>9600</v>
      </c>
      <c r="I16" s="85">
        <f>I14</f>
        <v>6960</v>
      </c>
      <c r="J16" s="86">
        <f>J14</f>
        <v>6960</v>
      </c>
      <c r="K16" s="32"/>
      <c r="L16" s="33"/>
      <c r="M16" s="32"/>
      <c r="N16" s="32"/>
      <c r="O16" s="34"/>
    </row>
    <row r="17" spans="1:15" s="31" customFormat="1" ht="18.75" x14ac:dyDescent="0.35">
      <c r="A17" s="16"/>
      <c r="B17" s="27"/>
      <c r="C17" s="27"/>
      <c r="D17" s="85"/>
      <c r="E17" s="85"/>
      <c r="F17" s="94"/>
      <c r="G17" s="85"/>
      <c r="H17" s="85"/>
      <c r="I17" s="85"/>
      <c r="J17" s="86"/>
      <c r="K17" s="32"/>
      <c r="L17" s="33"/>
      <c r="M17" s="32"/>
      <c r="N17" s="32"/>
      <c r="O17" s="34"/>
    </row>
    <row r="18" spans="1:15" s="17" customFormat="1" x14ac:dyDescent="0.3">
      <c r="A18" s="560" t="s">
        <v>46</v>
      </c>
      <c r="B18" s="561"/>
      <c r="C18" s="561"/>
      <c r="D18" s="14"/>
      <c r="E18" s="35"/>
      <c r="F18" s="78"/>
      <c r="G18" s="35"/>
      <c r="H18" s="35"/>
      <c r="I18" s="35"/>
      <c r="J18" s="15"/>
      <c r="K18" s="37"/>
      <c r="L18" s="37"/>
    </row>
    <row r="19" spans="1:15" s="27" customFormat="1" x14ac:dyDescent="0.3">
      <c r="A19" s="288" t="s">
        <v>1539</v>
      </c>
      <c r="B19" s="289"/>
      <c r="C19" s="290"/>
      <c r="D19" s="291"/>
      <c r="E19" s="291"/>
      <c r="F19" s="292"/>
      <c r="G19" s="291"/>
      <c r="H19" s="291"/>
      <c r="I19" s="291"/>
      <c r="J19" s="293"/>
      <c r="K19" s="22"/>
      <c r="L19" s="26"/>
      <c r="N19" s="24"/>
      <c r="O19" s="28"/>
    </row>
    <row r="20" spans="1:15" s="17" customFormat="1" x14ac:dyDescent="0.3">
      <c r="A20" s="294"/>
      <c r="B20" s="295" t="s">
        <v>481</v>
      </c>
      <c r="C20" s="296" t="s">
        <v>482</v>
      </c>
      <c r="D20" s="297" t="s">
        <v>1540</v>
      </c>
      <c r="E20" s="297">
        <v>50</v>
      </c>
      <c r="F20" s="298">
        <v>4</v>
      </c>
      <c r="G20" s="297">
        <f>E20*F20</f>
        <v>200</v>
      </c>
      <c r="H20" s="297">
        <f>G20*1.13</f>
        <v>225.99999999999997</v>
      </c>
      <c r="I20" s="297">
        <f>61.02+71.19+63.28</f>
        <v>195.49</v>
      </c>
      <c r="J20" s="299">
        <v>195.49</v>
      </c>
      <c r="L20" s="29"/>
      <c r="N20" s="23"/>
    </row>
    <row r="21" spans="1:15" s="17" customFormat="1" x14ac:dyDescent="0.3">
      <c r="A21" s="294"/>
      <c r="B21" s="300" t="s">
        <v>483</v>
      </c>
      <c r="C21" s="301" t="s">
        <v>484</v>
      </c>
      <c r="D21" s="291" t="s">
        <v>1540</v>
      </c>
      <c r="E21" s="291">
        <v>50</v>
      </c>
      <c r="F21" s="292">
        <v>8</v>
      </c>
      <c r="G21" s="291">
        <f>E21*F21</f>
        <v>400</v>
      </c>
      <c r="H21" s="291">
        <f>G21*1.13</f>
        <v>451.99999999999994</v>
      </c>
      <c r="I21" s="291"/>
      <c r="J21" s="293"/>
      <c r="L21" s="29"/>
      <c r="N21" s="23"/>
    </row>
    <row r="22" spans="1:15" s="17" customFormat="1" x14ac:dyDescent="0.3">
      <c r="A22" s="294"/>
      <c r="B22" s="295" t="s">
        <v>485</v>
      </c>
      <c r="C22" s="296" t="s">
        <v>486</v>
      </c>
      <c r="D22" s="297" t="s">
        <v>487</v>
      </c>
      <c r="E22" s="297">
        <v>15</v>
      </c>
      <c r="F22" s="298">
        <v>5</v>
      </c>
      <c r="G22" s="297">
        <v>75</v>
      </c>
      <c r="H22" s="297">
        <v>84.75</v>
      </c>
      <c r="I22" s="297"/>
      <c r="J22" s="299"/>
      <c r="L22" s="29"/>
      <c r="N22" s="23"/>
    </row>
    <row r="23" spans="1:15" s="17" customFormat="1" x14ac:dyDescent="0.3">
      <c r="A23" s="294"/>
      <c r="B23" s="300" t="s">
        <v>1580</v>
      </c>
      <c r="C23" s="290" t="s">
        <v>1541</v>
      </c>
      <c r="D23" s="291" t="s">
        <v>1542</v>
      </c>
      <c r="E23" s="291">
        <v>20</v>
      </c>
      <c r="F23" s="292">
        <v>4</v>
      </c>
      <c r="G23" s="291">
        <f>E23*F23</f>
        <v>80</v>
      </c>
      <c r="H23" s="291">
        <f>G23*1.13</f>
        <v>90.399999999999991</v>
      </c>
      <c r="I23" s="291"/>
      <c r="J23" s="293"/>
      <c r="L23" s="29"/>
      <c r="N23" s="23"/>
    </row>
    <row r="24" spans="1:15" s="17" customFormat="1" x14ac:dyDescent="0.3">
      <c r="A24" s="294"/>
      <c r="B24" s="295" t="s">
        <v>1581</v>
      </c>
      <c r="C24" s="547" t="s">
        <v>1543</v>
      </c>
      <c r="D24" s="297" t="s">
        <v>1544</v>
      </c>
      <c r="E24" s="297">
        <v>0.05</v>
      </c>
      <c r="F24" s="298">
        <v>500</v>
      </c>
      <c r="G24" s="297">
        <f>E24*F24</f>
        <v>25</v>
      </c>
      <c r="H24" s="297">
        <f>G24*1.13</f>
        <v>28.249999999999996</v>
      </c>
      <c r="I24" s="297"/>
      <c r="J24" s="299"/>
      <c r="L24" s="29"/>
      <c r="N24" s="23"/>
    </row>
    <row r="25" spans="1:15" s="17" customFormat="1" x14ac:dyDescent="0.3">
      <c r="A25" s="294"/>
      <c r="B25" s="287" t="s">
        <v>488</v>
      </c>
      <c r="C25" s="118"/>
      <c r="D25" s="68"/>
      <c r="E25" s="68"/>
      <c r="F25" s="73"/>
      <c r="G25" s="68"/>
      <c r="H25" s="68">
        <f>SUM(H19:H24)</f>
        <v>881.39999999999986</v>
      </c>
      <c r="I25" s="68">
        <f>SUM(I19:I24)</f>
        <v>195.49</v>
      </c>
      <c r="J25" s="69">
        <f>SUM(J19:J24)</f>
        <v>195.49</v>
      </c>
      <c r="L25" s="29"/>
      <c r="N25" s="23"/>
    </row>
    <row r="26" spans="1:15" s="17" customFormat="1" x14ac:dyDescent="0.3">
      <c r="A26" s="21"/>
      <c r="B26" s="285"/>
      <c r="D26" s="82"/>
      <c r="E26" s="82"/>
      <c r="F26" s="83"/>
      <c r="G26" s="82"/>
      <c r="H26" s="82"/>
      <c r="I26" s="82"/>
      <c r="J26" s="93"/>
      <c r="L26" s="29"/>
      <c r="N26" s="23"/>
    </row>
    <row r="27" spans="1:15" s="17" customFormat="1" x14ac:dyDescent="0.3">
      <c r="A27" s="16"/>
      <c r="B27" s="366"/>
      <c r="C27" s="22"/>
      <c r="D27" s="82"/>
      <c r="E27" s="82"/>
      <c r="F27" s="83"/>
      <c r="G27" s="82"/>
      <c r="H27" s="82"/>
      <c r="I27" s="82"/>
      <c r="J27" s="93"/>
      <c r="L27" s="29"/>
      <c r="N27" s="23"/>
    </row>
    <row r="28" spans="1:15" s="17" customFormat="1" x14ac:dyDescent="0.3">
      <c r="A28" s="16" t="s">
        <v>489</v>
      </c>
      <c r="B28" s="366"/>
      <c r="C28" s="22"/>
      <c r="D28" s="82"/>
      <c r="E28" s="82"/>
      <c r="F28" s="83"/>
      <c r="G28" s="82"/>
      <c r="H28" s="82"/>
      <c r="I28" s="82"/>
      <c r="J28" s="93"/>
      <c r="K28" s="22"/>
      <c r="L28" s="29"/>
      <c r="N28" s="23"/>
      <c r="O28" s="23"/>
    </row>
    <row r="29" spans="1:15" s="17" customFormat="1" x14ac:dyDescent="0.3">
      <c r="A29" s="21"/>
      <c r="B29" s="286" t="s">
        <v>490</v>
      </c>
      <c r="C29" s="89" t="s">
        <v>491</v>
      </c>
      <c r="D29" s="80" t="s">
        <v>492</v>
      </c>
      <c r="E29" s="80">
        <v>75</v>
      </c>
      <c r="F29" s="81">
        <v>1</v>
      </c>
      <c r="G29" s="80">
        <f t="shared" ref="G29:G30" si="2">E29*F29</f>
        <v>75</v>
      </c>
      <c r="H29" s="80">
        <f t="shared" ref="H29:H30" si="3">G29*1.13</f>
        <v>84.749999999999986</v>
      </c>
      <c r="I29" s="80"/>
      <c r="J29" s="90"/>
      <c r="K29" s="22"/>
      <c r="L29" s="29"/>
      <c r="N29" s="23"/>
      <c r="O29" s="23"/>
    </row>
    <row r="30" spans="1:15" s="17" customFormat="1" x14ac:dyDescent="0.3">
      <c r="A30" s="21" t="s">
        <v>9</v>
      </c>
      <c r="B30" s="508" t="s">
        <v>493</v>
      </c>
      <c r="C30" s="302" t="s">
        <v>494</v>
      </c>
      <c r="D30" s="82" t="s">
        <v>492</v>
      </c>
      <c r="E30" s="82">
        <v>75</v>
      </c>
      <c r="F30" s="83">
        <v>1</v>
      </c>
      <c r="G30" s="82">
        <f t="shared" si="2"/>
        <v>75</v>
      </c>
      <c r="H30" s="82">
        <f t="shared" si="3"/>
        <v>84.749999999999986</v>
      </c>
      <c r="I30" s="82"/>
      <c r="J30" s="93"/>
      <c r="K30" s="22"/>
      <c r="L30" s="29"/>
      <c r="N30" s="23"/>
      <c r="O30" s="23"/>
    </row>
    <row r="31" spans="1:15" s="17" customFormat="1" x14ac:dyDescent="0.3">
      <c r="A31" s="21"/>
      <c r="B31" s="303"/>
      <c r="C31" s="71"/>
      <c r="D31" s="80"/>
      <c r="E31" s="80"/>
      <c r="F31" s="81"/>
      <c r="G31" s="80"/>
      <c r="H31" s="80"/>
      <c r="I31" s="80"/>
      <c r="J31" s="90"/>
      <c r="K31" s="22"/>
      <c r="L31" s="29"/>
      <c r="N31" s="23"/>
      <c r="O31" s="23"/>
    </row>
    <row r="32" spans="1:15" s="17" customFormat="1" x14ac:dyDescent="0.3">
      <c r="A32" s="21"/>
      <c r="B32" s="287" t="s">
        <v>495</v>
      </c>
      <c r="C32" s="126"/>
      <c r="D32" s="68"/>
      <c r="E32" s="68"/>
      <c r="F32" s="73"/>
      <c r="G32" s="68"/>
      <c r="H32" s="68">
        <f>SUM(H29:H31)</f>
        <v>169.49999999999997</v>
      </c>
      <c r="I32" s="68">
        <f>SUM(I29:I31)</f>
        <v>0</v>
      </c>
      <c r="J32" s="69">
        <f>SUM(J29:J31)</f>
        <v>0</v>
      </c>
      <c r="K32" s="22"/>
      <c r="L32" s="29"/>
      <c r="N32" s="23"/>
      <c r="O32" s="23"/>
    </row>
    <row r="33" spans="1:15" s="17" customFormat="1" x14ac:dyDescent="0.3">
      <c r="A33" s="21"/>
      <c r="B33" s="285"/>
      <c r="C33" s="37"/>
      <c r="D33" s="85"/>
      <c r="E33" s="85"/>
      <c r="F33" s="94"/>
      <c r="G33" s="85"/>
      <c r="H33" s="85"/>
      <c r="I33" s="85"/>
      <c r="J33" s="86"/>
      <c r="K33" s="22"/>
    </row>
    <row r="34" spans="1:15" s="17" customFormat="1" x14ac:dyDescent="0.3">
      <c r="A34" s="335" t="s">
        <v>496</v>
      </c>
      <c r="B34" s="367"/>
      <c r="C34" s="368"/>
      <c r="D34" s="342"/>
      <c r="E34" s="342"/>
      <c r="F34" s="343"/>
      <c r="G34" s="342"/>
      <c r="H34" s="342"/>
      <c r="I34" s="342"/>
      <c r="J34" s="344"/>
      <c r="K34" s="22"/>
    </row>
    <row r="35" spans="1:15" s="17" customFormat="1" x14ac:dyDescent="0.3">
      <c r="A35" s="335"/>
      <c r="B35" s="336" t="s">
        <v>507</v>
      </c>
      <c r="C35" s="337" t="s">
        <v>497</v>
      </c>
      <c r="D35" s="338"/>
      <c r="E35" s="338">
        <v>45</v>
      </c>
      <c r="F35" s="339">
        <v>40</v>
      </c>
      <c r="G35" s="338">
        <f t="shared" ref="G35:G46" si="4">E35*F35</f>
        <v>1800</v>
      </c>
      <c r="H35" s="338">
        <f>G35</f>
        <v>1800</v>
      </c>
      <c r="I35" s="338">
        <v>1420</v>
      </c>
      <c r="J35" s="340">
        <v>1420</v>
      </c>
      <c r="K35" s="22"/>
      <c r="L35" s="29"/>
      <c r="N35" s="23"/>
      <c r="O35" s="23"/>
    </row>
    <row r="36" spans="1:15" s="17" customFormat="1" x14ac:dyDescent="0.3">
      <c r="A36" s="335"/>
      <c r="B36" s="341" t="s">
        <v>508</v>
      </c>
      <c r="C36" s="302" t="s">
        <v>498</v>
      </c>
      <c r="D36" s="342"/>
      <c r="E36" s="342">
        <v>520</v>
      </c>
      <c r="F36" s="343">
        <v>1</v>
      </c>
      <c r="G36" s="342">
        <f t="shared" si="4"/>
        <v>520</v>
      </c>
      <c r="H36" s="342">
        <f t="shared" ref="H36:H43" si="5">G36*1.13</f>
        <v>587.59999999999991</v>
      </c>
      <c r="I36" s="342"/>
      <c r="J36" s="344"/>
      <c r="K36" s="22"/>
      <c r="L36" s="29"/>
      <c r="N36" s="23"/>
      <c r="O36" s="23"/>
    </row>
    <row r="37" spans="1:15" s="17" customFormat="1" x14ac:dyDescent="0.3">
      <c r="A37" s="335"/>
      <c r="B37" s="336" t="s">
        <v>511</v>
      </c>
      <c r="C37" s="337" t="s">
        <v>1545</v>
      </c>
      <c r="D37" s="338"/>
      <c r="E37" s="338">
        <v>40</v>
      </c>
      <c r="F37" s="339">
        <v>1</v>
      </c>
      <c r="G37" s="338">
        <f t="shared" si="4"/>
        <v>40</v>
      </c>
      <c r="H37" s="338">
        <f t="shared" si="5"/>
        <v>45.199999999999996</v>
      </c>
      <c r="I37" s="338">
        <v>90.72</v>
      </c>
      <c r="J37" s="340">
        <v>90.72</v>
      </c>
      <c r="K37" s="22"/>
      <c r="L37" s="29"/>
      <c r="N37" s="23"/>
      <c r="O37" s="23"/>
    </row>
    <row r="38" spans="1:15" s="17" customFormat="1" x14ac:dyDescent="0.3">
      <c r="A38" s="335"/>
      <c r="B38" s="341" t="s">
        <v>513</v>
      </c>
      <c r="C38" s="302" t="s">
        <v>499</v>
      </c>
      <c r="D38" s="342"/>
      <c r="E38" s="342">
        <v>45</v>
      </c>
      <c r="F38" s="343">
        <v>40</v>
      </c>
      <c r="G38" s="342">
        <f t="shared" si="4"/>
        <v>1800</v>
      </c>
      <c r="H38" s="342">
        <f>G38</f>
        <v>1800</v>
      </c>
      <c r="I38" s="342">
        <v>2635</v>
      </c>
      <c r="J38" s="344">
        <v>2635</v>
      </c>
      <c r="K38" s="22"/>
      <c r="L38" s="29"/>
      <c r="N38" s="23"/>
      <c r="O38" s="23"/>
    </row>
    <row r="39" spans="1:15" s="17" customFormat="1" x14ac:dyDescent="0.3">
      <c r="A39" s="335"/>
      <c r="B39" s="336" t="s">
        <v>1546</v>
      </c>
      <c r="C39" s="337" t="s">
        <v>500</v>
      </c>
      <c r="D39" s="338"/>
      <c r="E39" s="338">
        <v>520</v>
      </c>
      <c r="F39" s="339">
        <v>1</v>
      </c>
      <c r="G39" s="338">
        <f t="shared" si="4"/>
        <v>520</v>
      </c>
      <c r="H39" s="338">
        <f t="shared" si="5"/>
        <v>587.59999999999991</v>
      </c>
      <c r="I39" s="338"/>
      <c r="J39" s="340"/>
      <c r="K39" s="22"/>
      <c r="L39" s="29"/>
      <c r="N39" s="23"/>
      <c r="O39" s="23"/>
    </row>
    <row r="40" spans="1:15" s="17" customFormat="1" x14ac:dyDescent="0.3">
      <c r="A40" s="335"/>
      <c r="B40" s="341" t="s">
        <v>1547</v>
      </c>
      <c r="C40" s="302" t="s">
        <v>1548</v>
      </c>
      <c r="D40" s="342"/>
      <c r="E40" s="342">
        <v>40</v>
      </c>
      <c r="F40" s="343">
        <v>1</v>
      </c>
      <c r="G40" s="342">
        <f t="shared" si="4"/>
        <v>40</v>
      </c>
      <c r="H40" s="342">
        <f t="shared" si="5"/>
        <v>45.199999999999996</v>
      </c>
      <c r="I40" s="342"/>
      <c r="J40" s="344"/>
      <c r="K40" s="22"/>
    </row>
    <row r="41" spans="1:15" s="17" customFormat="1" x14ac:dyDescent="0.3">
      <c r="A41" s="335"/>
      <c r="B41" s="336" t="s">
        <v>1549</v>
      </c>
      <c r="C41" s="337" t="s">
        <v>501</v>
      </c>
      <c r="D41" s="338"/>
      <c r="E41" s="338">
        <v>45</v>
      </c>
      <c r="F41" s="339">
        <v>40</v>
      </c>
      <c r="G41" s="338">
        <f t="shared" si="4"/>
        <v>1800</v>
      </c>
      <c r="H41" s="338">
        <f>G41</f>
        <v>1800</v>
      </c>
      <c r="I41" s="338">
        <v>2680</v>
      </c>
      <c r="J41" s="340">
        <v>2680</v>
      </c>
      <c r="K41" s="22"/>
      <c r="L41" s="29"/>
      <c r="N41" s="23"/>
      <c r="O41" s="23"/>
    </row>
    <row r="42" spans="1:15" s="17" customFormat="1" x14ac:dyDescent="0.3">
      <c r="A42" s="335" t="s">
        <v>9</v>
      </c>
      <c r="B42" s="341" t="s">
        <v>1550</v>
      </c>
      <c r="C42" s="302" t="s">
        <v>502</v>
      </c>
      <c r="D42" s="342"/>
      <c r="E42" s="342">
        <v>520</v>
      </c>
      <c r="F42" s="343">
        <v>1</v>
      </c>
      <c r="G42" s="342">
        <f t="shared" si="4"/>
        <v>520</v>
      </c>
      <c r="H42" s="342">
        <f t="shared" si="5"/>
        <v>587.59999999999991</v>
      </c>
      <c r="I42" s="342"/>
      <c r="J42" s="344"/>
      <c r="K42" s="22"/>
    </row>
    <row r="43" spans="1:15" s="17" customFormat="1" x14ac:dyDescent="0.3">
      <c r="A43" s="335"/>
      <c r="B43" s="336" t="s">
        <v>1551</v>
      </c>
      <c r="C43" s="337" t="s">
        <v>1552</v>
      </c>
      <c r="D43" s="338"/>
      <c r="E43" s="338">
        <v>40</v>
      </c>
      <c r="F43" s="339">
        <v>1</v>
      </c>
      <c r="G43" s="338">
        <f t="shared" si="4"/>
        <v>40</v>
      </c>
      <c r="H43" s="338">
        <f t="shared" si="5"/>
        <v>45.199999999999996</v>
      </c>
      <c r="I43" s="338"/>
      <c r="J43" s="340"/>
      <c r="K43" s="22"/>
      <c r="L43" s="29"/>
      <c r="N43" s="23"/>
      <c r="O43" s="23"/>
    </row>
    <row r="44" spans="1:15" s="17" customFormat="1" x14ac:dyDescent="0.3">
      <c r="A44" s="335"/>
      <c r="B44" s="341" t="s">
        <v>1553</v>
      </c>
      <c r="C44" s="302" t="s">
        <v>503</v>
      </c>
      <c r="D44" s="342"/>
      <c r="E44" s="342">
        <v>45</v>
      </c>
      <c r="F44" s="343">
        <v>40</v>
      </c>
      <c r="G44" s="342">
        <f t="shared" si="4"/>
        <v>1800</v>
      </c>
      <c r="H44" s="342">
        <f>G44</f>
        <v>1800</v>
      </c>
      <c r="I44" s="342"/>
      <c r="J44" s="344"/>
      <c r="K44" s="22"/>
    </row>
    <row r="45" spans="1:15" s="17" customFormat="1" x14ac:dyDescent="0.3">
      <c r="A45" s="335"/>
      <c r="B45" s="336" t="s">
        <v>517</v>
      </c>
      <c r="C45" s="337" t="s">
        <v>504</v>
      </c>
      <c r="D45" s="338"/>
      <c r="E45" s="338">
        <v>520</v>
      </c>
      <c r="F45" s="339">
        <v>1</v>
      </c>
      <c r="G45" s="338">
        <f t="shared" si="4"/>
        <v>520</v>
      </c>
      <c r="H45" s="338">
        <f t="shared" ref="H45:H46" si="6">G45*1.13</f>
        <v>587.59999999999991</v>
      </c>
      <c r="I45" s="338"/>
      <c r="J45" s="340"/>
      <c r="K45" s="22"/>
      <c r="L45" s="29"/>
      <c r="N45" s="23"/>
      <c r="O45" s="23"/>
    </row>
    <row r="46" spans="1:15" s="17" customFormat="1" x14ac:dyDescent="0.3">
      <c r="A46" s="335"/>
      <c r="B46" s="341" t="s">
        <v>520</v>
      </c>
      <c r="C46" s="302" t="s">
        <v>1554</v>
      </c>
      <c r="D46" s="342"/>
      <c r="E46" s="342">
        <v>40</v>
      </c>
      <c r="F46" s="343">
        <v>1</v>
      </c>
      <c r="G46" s="342">
        <f t="shared" si="4"/>
        <v>40</v>
      </c>
      <c r="H46" s="342">
        <f t="shared" si="6"/>
        <v>45.199999999999996</v>
      </c>
      <c r="I46" s="342"/>
      <c r="J46" s="344"/>
      <c r="K46" s="22"/>
    </row>
    <row r="47" spans="1:15" s="17" customFormat="1" x14ac:dyDescent="0.3">
      <c r="A47" s="335"/>
      <c r="B47" s="557"/>
      <c r="C47" s="337"/>
      <c r="D47" s="338"/>
      <c r="E47" s="338"/>
      <c r="F47" s="339"/>
      <c r="G47" s="338"/>
      <c r="H47" s="338"/>
      <c r="I47" s="338"/>
      <c r="J47" s="340"/>
      <c r="K47" s="22"/>
    </row>
    <row r="48" spans="1:15" s="17" customFormat="1" x14ac:dyDescent="0.3">
      <c r="A48" s="345"/>
      <c r="B48" s="346" t="s">
        <v>505</v>
      </c>
      <c r="C48" s="347"/>
      <c r="D48" s="348"/>
      <c r="E48" s="348"/>
      <c r="F48" s="349"/>
      <c r="G48" s="348"/>
      <c r="H48" s="348">
        <f>SUM(H35:H46)</f>
        <v>9731.1999999999989</v>
      </c>
      <c r="I48" s="348">
        <f>SUM(I35:I47)</f>
        <v>6825.72</v>
      </c>
      <c r="J48" s="350">
        <f>SUM(J35:J47)</f>
        <v>6825.72</v>
      </c>
      <c r="K48" s="22"/>
      <c r="L48" s="29"/>
      <c r="N48" s="23"/>
      <c r="O48" s="23"/>
    </row>
    <row r="49" spans="1:15" s="17" customFormat="1" x14ac:dyDescent="0.3">
      <c r="A49" s="345"/>
      <c r="B49" s="367"/>
      <c r="C49" s="370"/>
      <c r="D49" s="342"/>
      <c r="E49" s="342"/>
      <c r="F49" s="343"/>
      <c r="G49" s="342"/>
      <c r="H49" s="342"/>
      <c r="I49" s="342"/>
      <c r="J49" s="344"/>
      <c r="K49" s="22"/>
      <c r="L49" s="29"/>
      <c r="N49" s="23"/>
      <c r="O49" s="23"/>
    </row>
    <row r="50" spans="1:15" s="17" customFormat="1" x14ac:dyDescent="0.3">
      <c r="A50" s="335" t="s">
        <v>506</v>
      </c>
      <c r="B50" s="369"/>
      <c r="C50" s="370"/>
      <c r="D50" s="342"/>
      <c r="E50" s="342"/>
      <c r="F50" s="343"/>
      <c r="G50" s="342"/>
      <c r="H50" s="342"/>
      <c r="I50" s="342"/>
      <c r="J50" s="344"/>
      <c r="K50" s="22"/>
      <c r="L50" s="29"/>
      <c r="N50" s="23"/>
      <c r="O50" s="23"/>
    </row>
    <row r="51" spans="1:15" s="17" customFormat="1" x14ac:dyDescent="0.3">
      <c r="A51" s="371"/>
      <c r="B51" s="351" t="s">
        <v>1582</v>
      </c>
      <c r="C51" s="352" t="s">
        <v>1555</v>
      </c>
      <c r="D51" s="353"/>
      <c r="E51" s="353">
        <v>50</v>
      </c>
      <c r="F51" s="354">
        <v>3</v>
      </c>
      <c r="G51" s="353">
        <v>150</v>
      </c>
      <c r="H51" s="353">
        <f>G51*1.13</f>
        <v>169.49999999999997</v>
      </c>
      <c r="I51" s="353">
        <v>137.63</v>
      </c>
      <c r="J51" s="355">
        <v>137.63</v>
      </c>
      <c r="K51" s="22"/>
    </row>
    <row r="52" spans="1:15" s="17" customFormat="1" x14ac:dyDescent="0.3">
      <c r="A52" s="371"/>
      <c r="B52" s="361" t="s">
        <v>1583</v>
      </c>
      <c r="C52" s="362" t="s">
        <v>509</v>
      </c>
      <c r="D52" s="363" t="s">
        <v>510</v>
      </c>
      <c r="E52" s="363">
        <v>1.7</v>
      </c>
      <c r="F52" s="364">
        <v>200</v>
      </c>
      <c r="G52" s="363">
        <f>E52*F52</f>
        <v>340</v>
      </c>
      <c r="H52" s="363">
        <f>G52</f>
        <v>340</v>
      </c>
      <c r="I52" s="363"/>
      <c r="J52" s="365"/>
      <c r="K52" s="22"/>
      <c r="L52" s="29"/>
      <c r="N52" s="23"/>
      <c r="O52" s="23"/>
    </row>
    <row r="53" spans="1:15" s="17" customFormat="1" x14ac:dyDescent="0.3">
      <c r="A53" s="371"/>
      <c r="B53" s="351" t="s">
        <v>1584</v>
      </c>
      <c r="C53" s="352" t="s">
        <v>1556</v>
      </c>
      <c r="D53" s="353" t="s">
        <v>1557</v>
      </c>
      <c r="E53" s="353">
        <v>100</v>
      </c>
      <c r="F53" s="354">
        <v>1</v>
      </c>
      <c r="G53" s="353">
        <v>100</v>
      </c>
      <c r="H53" s="353">
        <f>G53*1.13</f>
        <v>112.99999999999999</v>
      </c>
      <c r="I53" s="353"/>
      <c r="J53" s="355"/>
      <c r="K53" s="22"/>
      <c r="L53" s="29"/>
      <c r="N53" s="23"/>
      <c r="O53" s="23"/>
    </row>
    <row r="54" spans="1:15" s="17" customFormat="1" x14ac:dyDescent="0.3">
      <c r="A54" s="345"/>
      <c r="B54" s="361" t="s">
        <v>1585</v>
      </c>
      <c r="C54" s="362" t="s">
        <v>512</v>
      </c>
      <c r="D54" s="363"/>
      <c r="E54" s="363">
        <v>200</v>
      </c>
      <c r="F54" s="364">
        <v>1</v>
      </c>
      <c r="G54" s="363">
        <v>200</v>
      </c>
      <c r="H54" s="363">
        <v>226</v>
      </c>
      <c r="I54" s="363">
        <v>918.13</v>
      </c>
      <c r="J54" s="365">
        <v>918.13</v>
      </c>
      <c r="K54" s="22"/>
      <c r="L54" s="29"/>
      <c r="N54" s="23"/>
      <c r="O54" s="23"/>
    </row>
    <row r="55" spans="1:15" s="17" customFormat="1" x14ac:dyDescent="0.3">
      <c r="A55" s="371"/>
      <c r="B55" s="351" t="s">
        <v>1586</v>
      </c>
      <c r="C55" s="352" t="s">
        <v>514</v>
      </c>
      <c r="D55" s="353"/>
      <c r="E55" s="353">
        <v>200</v>
      </c>
      <c r="F55" s="354">
        <v>1</v>
      </c>
      <c r="G55" s="353">
        <v>200</v>
      </c>
      <c r="H55" s="353">
        <f>G55*1.13</f>
        <v>225.99999999999997</v>
      </c>
      <c r="I55" s="353"/>
      <c r="J55" s="355"/>
      <c r="K55" s="22"/>
      <c r="L55" s="29"/>
      <c r="N55" s="23"/>
      <c r="O55" s="23"/>
    </row>
    <row r="56" spans="1:15" s="17" customFormat="1" x14ac:dyDescent="0.3">
      <c r="A56" s="345"/>
      <c r="B56" s="356" t="s">
        <v>515</v>
      </c>
      <c r="C56" s="357"/>
      <c r="D56" s="358"/>
      <c r="E56" s="358"/>
      <c r="F56" s="359"/>
      <c r="G56" s="358"/>
      <c r="H56" s="358">
        <f>SUM(H51:H55)</f>
        <v>1074.5</v>
      </c>
      <c r="I56" s="358">
        <f>SUM(I51:I55)</f>
        <v>1055.76</v>
      </c>
      <c r="J56" s="360">
        <f>SUM(J51:J55)</f>
        <v>1055.76</v>
      </c>
      <c r="K56" s="22"/>
    </row>
    <row r="57" spans="1:15" s="17" customFormat="1" x14ac:dyDescent="0.3">
      <c r="A57" s="345"/>
      <c r="B57" s="369"/>
      <c r="C57" s="370"/>
      <c r="D57" s="342"/>
      <c r="E57" s="342"/>
      <c r="F57" s="343"/>
      <c r="G57" s="342"/>
      <c r="H57" s="342"/>
      <c r="I57" s="342"/>
      <c r="J57" s="344"/>
      <c r="K57" s="22"/>
    </row>
    <row r="58" spans="1:15" s="17" customFormat="1" x14ac:dyDescent="0.3">
      <c r="A58" s="335" t="s">
        <v>516</v>
      </c>
      <c r="B58" s="369"/>
      <c r="C58" s="370"/>
      <c r="D58" s="342"/>
      <c r="E58" s="342"/>
      <c r="F58" s="343"/>
      <c r="G58" s="342"/>
      <c r="H58" s="342"/>
      <c r="I58" s="342"/>
      <c r="J58" s="344"/>
      <c r="K58" s="22"/>
      <c r="L58" s="29"/>
      <c r="N58" s="23"/>
      <c r="O58" s="23"/>
    </row>
    <row r="59" spans="1:15" s="17" customFormat="1" x14ac:dyDescent="0.3">
      <c r="A59" s="345" t="s">
        <v>9</v>
      </c>
      <c r="B59" s="336" t="s">
        <v>1587</v>
      </c>
      <c r="C59" s="337" t="s">
        <v>518</v>
      </c>
      <c r="D59" s="338" t="s">
        <v>519</v>
      </c>
      <c r="E59" s="338">
        <v>300</v>
      </c>
      <c r="F59" s="339">
        <v>1</v>
      </c>
      <c r="G59" s="338">
        <f>E59*F59</f>
        <v>300</v>
      </c>
      <c r="H59" s="338">
        <f t="shared" ref="H59:H60" si="7">G59*1.13</f>
        <v>338.99999999999994</v>
      </c>
      <c r="I59" s="338">
        <v>394.92</v>
      </c>
      <c r="J59" s="340">
        <v>394.92</v>
      </c>
      <c r="K59" s="22"/>
      <c r="L59" s="29"/>
      <c r="N59" s="23"/>
      <c r="O59" s="23"/>
    </row>
    <row r="60" spans="1:15" s="17" customFormat="1" x14ac:dyDescent="0.3">
      <c r="A60" s="345"/>
      <c r="B60" s="341" t="s">
        <v>1588</v>
      </c>
      <c r="C60" s="302" t="s">
        <v>521</v>
      </c>
      <c r="D60" s="342" t="s">
        <v>522</v>
      </c>
      <c r="E60" s="342">
        <v>20</v>
      </c>
      <c r="F60" s="343">
        <v>1</v>
      </c>
      <c r="G60" s="342">
        <v>20</v>
      </c>
      <c r="H60" s="342">
        <f t="shared" si="7"/>
        <v>22.599999999999998</v>
      </c>
      <c r="I60" s="342"/>
      <c r="J60" s="344"/>
      <c r="K60" s="22"/>
    </row>
    <row r="61" spans="1:15" s="17" customFormat="1" x14ac:dyDescent="0.3">
      <c r="A61" s="335"/>
      <c r="B61" s="346" t="s">
        <v>523</v>
      </c>
      <c r="C61" s="372"/>
      <c r="D61" s="348"/>
      <c r="E61" s="348"/>
      <c r="F61" s="349"/>
      <c r="G61" s="348"/>
      <c r="H61" s="348">
        <f>SUM(H58:H60)</f>
        <v>361.59999999999997</v>
      </c>
      <c r="I61" s="348">
        <f>SUM(I59:I60)</f>
        <v>394.92</v>
      </c>
      <c r="J61" s="350">
        <f>SUM(J59:J60)</f>
        <v>394.92</v>
      </c>
      <c r="K61" s="22"/>
    </row>
    <row r="62" spans="1:15" s="17" customFormat="1" x14ac:dyDescent="0.3">
      <c r="A62" s="21"/>
      <c r="C62" s="22"/>
      <c r="D62" s="82"/>
      <c r="E62" s="82"/>
      <c r="F62" s="83"/>
      <c r="G62" s="82"/>
      <c r="H62" s="82"/>
      <c r="I62" s="82"/>
      <c r="J62" s="93"/>
      <c r="K62" s="22"/>
      <c r="L62" s="29"/>
      <c r="N62" s="23"/>
      <c r="O62" s="23"/>
    </row>
    <row r="63" spans="1:15" s="43" customFormat="1" ht="18.75" x14ac:dyDescent="0.35">
      <c r="A63" s="21"/>
      <c r="B63" s="17"/>
      <c r="C63" s="27" t="s">
        <v>85</v>
      </c>
      <c r="D63" s="85"/>
      <c r="E63" s="85"/>
      <c r="F63" s="94"/>
      <c r="G63" s="85"/>
      <c r="H63" s="85">
        <f>H25+H32+H48+H56+H61</f>
        <v>12218.199999999999</v>
      </c>
      <c r="I63" s="85">
        <f>I61+I56+I32+I25+I48</f>
        <v>8471.89</v>
      </c>
      <c r="J63" s="86">
        <f>J61+J56+J32+J25+J48</f>
        <v>8471.89</v>
      </c>
      <c r="K63" s="40"/>
      <c r="L63" s="41"/>
      <c r="M63" s="40"/>
      <c r="N63" s="40"/>
      <c r="O63" s="42"/>
    </row>
    <row r="64" spans="1:15" s="43" customFormat="1" ht="18.75" x14ac:dyDescent="0.35">
      <c r="A64" s="21"/>
      <c r="B64" s="17"/>
      <c r="C64" s="27"/>
      <c r="D64" s="85"/>
      <c r="E64" s="85"/>
      <c r="F64" s="94"/>
      <c r="G64" s="85"/>
      <c r="H64" s="85"/>
      <c r="I64" s="85"/>
      <c r="J64" s="86"/>
      <c r="K64" s="40"/>
      <c r="L64" s="41"/>
      <c r="M64" s="40"/>
      <c r="N64" s="40"/>
      <c r="O64" s="42"/>
    </row>
    <row r="65" spans="1:12" s="48" customFormat="1" ht="20.25" x14ac:dyDescent="0.35">
      <c r="A65" s="560" t="s">
        <v>86</v>
      </c>
      <c r="B65" s="561"/>
      <c r="C65" s="561"/>
      <c r="D65" s="14"/>
      <c r="E65" s="14"/>
      <c r="F65" s="76"/>
      <c r="G65" s="14"/>
      <c r="H65" s="14"/>
      <c r="I65" s="14"/>
      <c r="J65" s="15"/>
      <c r="K65" s="58"/>
      <c r="L65" s="58"/>
    </row>
    <row r="66" spans="1:12" s="50" customFormat="1" ht="20.25" x14ac:dyDescent="0.35">
      <c r="A66" s="16"/>
      <c r="B66" s="67" t="s">
        <v>87</v>
      </c>
      <c r="C66" s="67"/>
      <c r="D66" s="313"/>
      <c r="E66" s="313"/>
      <c r="F66" s="313"/>
      <c r="G66" s="313"/>
      <c r="H66" s="313">
        <f>H16</f>
        <v>9600</v>
      </c>
      <c r="I66" s="313">
        <f>I16</f>
        <v>6960</v>
      </c>
      <c r="J66" s="314">
        <f>J16</f>
        <v>6960</v>
      </c>
    </row>
    <row r="67" spans="1:12" s="50" customFormat="1" ht="20.25" x14ac:dyDescent="0.35">
      <c r="A67" s="16"/>
      <c r="B67" s="27" t="s">
        <v>88</v>
      </c>
      <c r="C67" s="27"/>
      <c r="D67" s="85"/>
      <c r="E67" s="85"/>
      <c r="F67" s="85"/>
      <c r="G67" s="85"/>
      <c r="H67" s="85">
        <f>H63</f>
        <v>12218.199999999999</v>
      </c>
      <c r="I67" s="85">
        <f t="shared" ref="I67:J67" si="8">I63</f>
        <v>8471.89</v>
      </c>
      <c r="J67" s="86">
        <f t="shared" si="8"/>
        <v>8471.89</v>
      </c>
    </row>
    <row r="68" spans="1:12" s="50" customFormat="1" ht="20.25" x14ac:dyDescent="0.35">
      <c r="A68" s="318"/>
      <c r="B68" s="315" t="s">
        <v>89</v>
      </c>
      <c r="C68" s="315"/>
      <c r="D68" s="316"/>
      <c r="E68" s="316"/>
      <c r="F68" s="316"/>
      <c r="G68" s="316"/>
      <c r="H68" s="316">
        <f t="shared" ref="H68:J68" si="9">H66-H67</f>
        <v>-2618.1999999999989</v>
      </c>
      <c r="I68" s="316">
        <f t="shared" si="9"/>
        <v>-1511.8899999999994</v>
      </c>
      <c r="J68" s="317">
        <f t="shared" si="9"/>
        <v>-1511.8899999999994</v>
      </c>
    </row>
  </sheetData>
  <mergeCells count="6">
    <mergeCell ref="A65:C65"/>
    <mergeCell ref="D1:J4"/>
    <mergeCell ref="A5:C5"/>
    <mergeCell ref="D5:E5"/>
    <mergeCell ref="A8:C8"/>
    <mergeCell ref="A18:C18"/>
  </mergeCells>
  <pageMargins left="0" right="0" top="0" bottom="0" header="0" footer="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="75" zoomScaleNormal="75" workbookViewId="0">
      <pane xSplit="3" ySplit="6" topLeftCell="F22" activePane="bottomRight" state="frozen"/>
      <selection pane="topRight" activeCell="C1" sqref="C1"/>
      <selection pane="bottomLeft" activeCell="A4" sqref="A4"/>
      <selection pane="bottomRight" activeCell="H36" sqref="H36"/>
    </sheetView>
  </sheetViews>
  <sheetFormatPr defaultColWidth="8.85546875" defaultRowHeight="17.25" x14ac:dyDescent="0.3"/>
  <cols>
    <col min="1" max="1" width="13.85546875" style="53" customWidth="1"/>
    <col min="2" max="2" width="13.85546875" style="129" customWidth="1"/>
    <col min="3" max="3" width="42.85546875" style="53" bestFit="1" customWidth="1"/>
    <col min="4" max="4" width="32.85546875" style="55" customWidth="1"/>
    <col min="5" max="5" width="28.140625" style="18" customWidth="1"/>
    <col min="6" max="6" width="15.28515625" style="77" customWidth="1"/>
    <col min="7" max="7" width="17.42578125" style="18" customWidth="1"/>
    <col min="8" max="8" width="18.140625" style="18" customWidth="1"/>
    <col min="9" max="9" width="22.42578125" style="18" customWidth="1"/>
    <col min="10" max="10" width="23" style="18" customWidth="1"/>
    <col min="11" max="11" width="12" style="17" customWidth="1"/>
    <col min="12" max="12" width="11.28515625" style="17" customWidth="1"/>
    <col min="13" max="13" width="8.85546875" style="53"/>
    <col min="14" max="14" width="10.140625" style="53" bestFit="1" customWidth="1"/>
    <col min="15" max="15" width="14.28515625" style="53" customWidth="1"/>
    <col min="16" max="16384" width="8.85546875" style="53"/>
  </cols>
  <sheetData>
    <row r="1" spans="1:15" s="2" customFormat="1" ht="38.25" x14ac:dyDescent="0.3">
      <c r="A1" s="119"/>
      <c r="B1" s="531"/>
      <c r="C1" s="3"/>
      <c r="D1" s="564" t="s">
        <v>524</v>
      </c>
      <c r="E1" s="565"/>
      <c r="F1" s="565"/>
      <c r="G1" s="565"/>
      <c r="H1" s="565"/>
      <c r="I1" s="565"/>
      <c r="J1" s="566"/>
    </row>
    <row r="2" spans="1:15" s="2" customFormat="1" ht="38.25" x14ac:dyDescent="0.3">
      <c r="A2" s="4"/>
      <c r="B2" s="122"/>
      <c r="C2" s="5"/>
      <c r="D2" s="567"/>
      <c r="E2" s="568"/>
      <c r="F2" s="568"/>
      <c r="G2" s="568"/>
      <c r="H2" s="568"/>
      <c r="I2" s="568"/>
      <c r="J2" s="569"/>
    </row>
    <row r="3" spans="1:15" s="2" customFormat="1" ht="38.25" x14ac:dyDescent="0.3">
      <c r="A3" s="4"/>
      <c r="B3" s="122"/>
      <c r="C3" s="5"/>
      <c r="D3" s="567"/>
      <c r="E3" s="568"/>
      <c r="F3" s="568"/>
      <c r="G3" s="568"/>
      <c r="H3" s="568"/>
      <c r="I3" s="568"/>
      <c r="J3" s="569"/>
    </row>
    <row r="4" spans="1:15" s="2" customFormat="1" ht="38.25" x14ac:dyDescent="0.3">
      <c r="A4" s="6"/>
      <c r="B4" s="123"/>
      <c r="C4" s="7"/>
      <c r="D4" s="570"/>
      <c r="E4" s="571"/>
      <c r="F4" s="571"/>
      <c r="G4" s="571"/>
      <c r="H4" s="571"/>
      <c r="I4" s="571"/>
      <c r="J4" s="572"/>
    </row>
    <row r="5" spans="1:15" s="2" customFormat="1" x14ac:dyDescent="0.3">
      <c r="A5" s="573"/>
      <c r="B5" s="578"/>
      <c r="C5" s="574"/>
      <c r="D5" s="579"/>
      <c r="E5" s="580"/>
      <c r="F5" s="73"/>
      <c r="G5" s="68"/>
      <c r="H5" s="68"/>
      <c r="I5" s="68"/>
      <c r="J5" s="69"/>
      <c r="K5" s="8"/>
      <c r="L5" s="8"/>
    </row>
    <row r="6" spans="1:15" s="64" customFormat="1" x14ac:dyDescent="0.3">
      <c r="A6" s="59"/>
      <c r="B6" s="72" t="s">
        <v>91</v>
      </c>
      <c r="C6" s="70" t="s">
        <v>92</v>
      </c>
      <c r="D6" s="60" t="s">
        <v>93</v>
      </c>
      <c r="E6" s="61" t="s">
        <v>94</v>
      </c>
      <c r="F6" s="74" t="s">
        <v>95</v>
      </c>
      <c r="G6" s="87" t="s">
        <v>96</v>
      </c>
      <c r="H6" s="87" t="s">
        <v>97</v>
      </c>
      <c r="I6" s="87" t="s">
        <v>98</v>
      </c>
      <c r="J6" s="88" t="s">
        <v>99</v>
      </c>
      <c r="K6" s="63"/>
      <c r="L6" s="63"/>
    </row>
    <row r="7" spans="1:15" s="2" customFormat="1" x14ac:dyDescent="0.3">
      <c r="A7" s="9"/>
      <c r="B7" s="65"/>
      <c r="C7" s="10"/>
      <c r="D7" s="11"/>
      <c r="E7" s="12"/>
      <c r="F7" s="75"/>
      <c r="G7" s="12"/>
      <c r="H7" s="12"/>
      <c r="I7" s="12"/>
      <c r="J7" s="84"/>
      <c r="K7" s="8"/>
      <c r="L7" s="8"/>
    </row>
    <row r="8" spans="1:15" s="2" customFormat="1" x14ac:dyDescent="0.3">
      <c r="A8" s="560" t="s">
        <v>5</v>
      </c>
      <c r="B8" s="561"/>
      <c r="C8" s="561"/>
      <c r="D8" s="14"/>
      <c r="E8" s="14"/>
      <c r="F8" s="76"/>
      <c r="G8" s="14"/>
      <c r="H8" s="14"/>
      <c r="I8" s="14"/>
      <c r="J8" s="15"/>
      <c r="K8" s="8"/>
      <c r="L8" s="8"/>
    </row>
    <row r="9" spans="1:15" s="17" customFormat="1" x14ac:dyDescent="0.3">
      <c r="A9" s="16"/>
      <c r="B9" s="37"/>
      <c r="C9" s="27"/>
      <c r="D9" s="85"/>
      <c r="E9" s="85"/>
      <c r="F9" s="94"/>
      <c r="G9" s="85"/>
      <c r="H9" s="85"/>
      <c r="I9" s="85"/>
      <c r="J9" s="86"/>
      <c r="K9" s="22"/>
      <c r="L9" s="29"/>
      <c r="M9" s="22"/>
      <c r="N9" s="22"/>
      <c r="O9" s="23"/>
    </row>
    <row r="10" spans="1:15" s="31" customFormat="1" ht="18.75" x14ac:dyDescent="0.35">
      <c r="A10" s="30"/>
      <c r="B10" s="127"/>
      <c r="C10" s="31" t="s">
        <v>45</v>
      </c>
      <c r="D10" s="96"/>
      <c r="E10" s="96"/>
      <c r="F10" s="97"/>
      <c r="G10" s="96"/>
      <c r="H10" s="96">
        <v>0</v>
      </c>
      <c r="I10" s="96">
        <v>0</v>
      </c>
      <c r="J10" s="98">
        <v>0</v>
      </c>
      <c r="K10" s="32"/>
      <c r="L10" s="33"/>
      <c r="M10" s="32"/>
      <c r="N10" s="32"/>
      <c r="O10" s="34"/>
    </row>
    <row r="11" spans="1:15" s="31" customFormat="1" ht="18.75" x14ac:dyDescent="0.35">
      <c r="A11" s="30"/>
      <c r="B11" s="127"/>
      <c r="D11" s="85"/>
      <c r="E11" s="85"/>
      <c r="F11" s="94"/>
      <c r="G11" s="85"/>
      <c r="H11" s="85"/>
      <c r="I11" s="85"/>
      <c r="J11" s="86"/>
      <c r="K11" s="32"/>
      <c r="L11" s="33"/>
      <c r="M11" s="32"/>
      <c r="N11" s="32"/>
      <c r="O11" s="34"/>
    </row>
    <row r="12" spans="1:15" s="17" customFormat="1" x14ac:dyDescent="0.3">
      <c r="A12" s="560" t="s">
        <v>46</v>
      </c>
      <c r="B12" s="561"/>
      <c r="C12" s="561"/>
      <c r="D12" s="14"/>
      <c r="E12" s="35"/>
      <c r="F12" s="78"/>
      <c r="G12" s="35"/>
      <c r="H12" s="35"/>
      <c r="I12" s="35"/>
      <c r="J12" s="15"/>
      <c r="K12" s="37"/>
      <c r="L12" s="37"/>
    </row>
    <row r="13" spans="1:15" s="27" customFormat="1" x14ac:dyDescent="0.3">
      <c r="A13" s="151" t="s">
        <v>525</v>
      </c>
      <c r="B13" s="319"/>
      <c r="C13" s="158"/>
      <c r="D13" s="159"/>
      <c r="E13" s="159"/>
      <c r="F13" s="160"/>
      <c r="G13" s="159"/>
      <c r="H13" s="159"/>
      <c r="I13" s="159"/>
      <c r="J13" s="161"/>
      <c r="K13" s="22"/>
      <c r="L13" s="26"/>
      <c r="N13" s="24"/>
      <c r="O13" s="28"/>
    </row>
    <row r="14" spans="1:15" s="17" customFormat="1" x14ac:dyDescent="0.3">
      <c r="A14" s="162"/>
      <c r="B14" s="304" t="s">
        <v>526</v>
      </c>
      <c r="C14" s="307" t="s">
        <v>527</v>
      </c>
      <c r="D14" s="165" t="s">
        <v>528</v>
      </c>
      <c r="E14" s="165">
        <v>300</v>
      </c>
      <c r="F14" s="166">
        <v>6</v>
      </c>
      <c r="G14" s="165">
        <f>E14*F14</f>
        <v>1800</v>
      </c>
      <c r="H14" s="165">
        <f>G14</f>
        <v>1800</v>
      </c>
      <c r="I14" s="165">
        <v>1250</v>
      </c>
      <c r="J14" s="167">
        <f>5*250</f>
        <v>1250</v>
      </c>
      <c r="L14" s="29"/>
      <c r="N14" s="23"/>
    </row>
    <row r="15" spans="1:15" s="17" customFormat="1" x14ac:dyDescent="0.3">
      <c r="A15" s="162"/>
      <c r="B15" s="305" t="s">
        <v>529</v>
      </c>
      <c r="C15" s="305" t="s">
        <v>530</v>
      </c>
      <c r="D15" s="159" t="s">
        <v>531</v>
      </c>
      <c r="E15" s="159">
        <v>30</v>
      </c>
      <c r="F15" s="160">
        <v>6</v>
      </c>
      <c r="G15" s="159">
        <f t="shared" ref="G15:G23" si="0">E15*F15</f>
        <v>180</v>
      </c>
      <c r="H15" s="159">
        <f>G15</f>
        <v>180</v>
      </c>
      <c r="I15" s="159"/>
      <c r="J15" s="161"/>
      <c r="L15" s="29"/>
      <c r="N15" s="23"/>
    </row>
    <row r="16" spans="1:15" s="17" customFormat="1" x14ac:dyDescent="0.3">
      <c r="A16" s="162"/>
      <c r="B16" s="304" t="s">
        <v>532</v>
      </c>
      <c r="C16" s="307" t="s">
        <v>533</v>
      </c>
      <c r="D16" s="165" t="s">
        <v>534</v>
      </c>
      <c r="E16" s="165">
        <v>400</v>
      </c>
      <c r="F16" s="166">
        <v>1</v>
      </c>
      <c r="G16" s="165">
        <f t="shared" si="0"/>
        <v>400</v>
      </c>
      <c r="H16" s="165">
        <f>G16*1</f>
        <v>400</v>
      </c>
      <c r="I16" s="165"/>
      <c r="J16" s="167"/>
      <c r="L16" s="29"/>
      <c r="N16" s="23"/>
    </row>
    <row r="17" spans="1:15" s="17" customFormat="1" x14ac:dyDescent="0.3">
      <c r="A17" s="162"/>
      <c r="B17" s="305" t="s">
        <v>535</v>
      </c>
      <c r="C17" s="305" t="s">
        <v>536</v>
      </c>
      <c r="D17" s="159" t="s">
        <v>537</v>
      </c>
      <c r="E17" s="159">
        <v>20</v>
      </c>
      <c r="F17" s="160">
        <v>2</v>
      </c>
      <c r="G17" s="159">
        <f t="shared" si="0"/>
        <v>40</v>
      </c>
      <c r="H17" s="159">
        <f>G17*1</f>
        <v>40</v>
      </c>
      <c r="I17" s="159">
        <v>20</v>
      </c>
      <c r="J17" s="161">
        <v>20</v>
      </c>
      <c r="L17" s="29"/>
      <c r="N17" s="23"/>
    </row>
    <row r="18" spans="1:15" s="17" customFormat="1" x14ac:dyDescent="0.3">
      <c r="A18" s="162"/>
      <c r="B18" s="304" t="s">
        <v>538</v>
      </c>
      <c r="C18" s="307" t="s">
        <v>539</v>
      </c>
      <c r="D18" s="165" t="s">
        <v>540</v>
      </c>
      <c r="E18" s="165">
        <v>150</v>
      </c>
      <c r="F18" s="166">
        <v>2</v>
      </c>
      <c r="G18" s="165">
        <f t="shared" si="0"/>
        <v>300</v>
      </c>
      <c r="H18" s="165">
        <f>G18*1</f>
        <v>300</v>
      </c>
      <c r="I18" s="165">
        <v>920</v>
      </c>
      <c r="J18" s="309">
        <f>230*4</f>
        <v>920</v>
      </c>
      <c r="L18" s="29"/>
      <c r="N18" s="23"/>
    </row>
    <row r="19" spans="1:15" s="17" customFormat="1" x14ac:dyDescent="0.3">
      <c r="A19" s="162"/>
      <c r="B19" s="305" t="s">
        <v>541</v>
      </c>
      <c r="C19" s="305" t="s">
        <v>542</v>
      </c>
      <c r="D19" s="159" t="s">
        <v>537</v>
      </c>
      <c r="E19" s="159">
        <v>55</v>
      </c>
      <c r="F19" s="160">
        <v>2</v>
      </c>
      <c r="G19" s="159">
        <f t="shared" si="0"/>
        <v>110</v>
      </c>
      <c r="H19" s="159">
        <f>G19*1</f>
        <v>110</v>
      </c>
      <c r="I19" s="159"/>
      <c r="J19" s="161"/>
      <c r="L19" s="29"/>
      <c r="N19" s="23"/>
    </row>
    <row r="20" spans="1:15" s="17" customFormat="1" x14ac:dyDescent="0.3">
      <c r="A20" s="162"/>
      <c r="B20" s="304" t="s">
        <v>543</v>
      </c>
      <c r="C20" s="304" t="s">
        <v>544</v>
      </c>
      <c r="D20" s="165" t="s">
        <v>537</v>
      </c>
      <c r="E20" s="165">
        <v>150</v>
      </c>
      <c r="F20" s="166">
        <v>2</v>
      </c>
      <c r="G20" s="165">
        <f t="shared" si="0"/>
        <v>300</v>
      </c>
      <c r="H20" s="165">
        <f t="shared" ref="H20:H23" si="1">G20*1</f>
        <v>300</v>
      </c>
      <c r="I20" s="165"/>
      <c r="J20" s="167"/>
      <c r="L20" s="29"/>
      <c r="N20" s="23"/>
    </row>
    <row r="21" spans="1:15" s="17" customFormat="1" x14ac:dyDescent="0.3">
      <c r="A21" s="162"/>
      <c r="B21" s="305" t="s">
        <v>545</v>
      </c>
      <c r="C21" s="305" t="s">
        <v>546</v>
      </c>
      <c r="D21" s="159" t="s">
        <v>537</v>
      </c>
      <c r="E21" s="159">
        <v>50</v>
      </c>
      <c r="F21" s="160">
        <v>1</v>
      </c>
      <c r="G21" s="159">
        <f t="shared" si="0"/>
        <v>50</v>
      </c>
      <c r="H21" s="159">
        <f t="shared" si="1"/>
        <v>50</v>
      </c>
      <c r="I21" s="159"/>
      <c r="J21" s="161"/>
      <c r="L21" s="29"/>
      <c r="N21" s="23"/>
    </row>
    <row r="22" spans="1:15" s="17" customFormat="1" x14ac:dyDescent="0.3">
      <c r="A22" s="162"/>
      <c r="B22" s="304" t="s">
        <v>547</v>
      </c>
      <c r="C22" s="304" t="s">
        <v>548</v>
      </c>
      <c r="D22" s="165" t="s">
        <v>537</v>
      </c>
      <c r="E22" s="165">
        <v>50</v>
      </c>
      <c r="F22" s="166">
        <v>1</v>
      </c>
      <c r="G22" s="165">
        <f t="shared" si="0"/>
        <v>50</v>
      </c>
      <c r="H22" s="165">
        <f t="shared" si="1"/>
        <v>50</v>
      </c>
      <c r="I22" s="165"/>
      <c r="J22" s="167"/>
      <c r="L22" s="29"/>
      <c r="N22" s="23"/>
    </row>
    <row r="23" spans="1:15" s="17" customFormat="1" x14ac:dyDescent="0.3">
      <c r="A23" s="162"/>
      <c r="B23" s="305" t="s">
        <v>549</v>
      </c>
      <c r="C23" s="305" t="s">
        <v>550</v>
      </c>
      <c r="D23" s="159" t="s">
        <v>551</v>
      </c>
      <c r="E23" s="159">
        <v>35</v>
      </c>
      <c r="F23" s="160">
        <v>10</v>
      </c>
      <c r="G23" s="159">
        <f t="shared" si="0"/>
        <v>350</v>
      </c>
      <c r="H23" s="159">
        <f t="shared" si="1"/>
        <v>350</v>
      </c>
      <c r="I23" s="159">
        <v>79.83</v>
      </c>
      <c r="J23" s="161">
        <v>79.83</v>
      </c>
      <c r="L23" s="29"/>
      <c r="N23" s="23"/>
    </row>
    <row r="24" spans="1:15" s="17" customFormat="1" x14ac:dyDescent="0.3">
      <c r="A24" s="162"/>
      <c r="B24" s="304"/>
      <c r="C24" s="164"/>
      <c r="D24" s="165"/>
      <c r="E24" s="165"/>
      <c r="F24" s="166"/>
      <c r="G24" s="165"/>
      <c r="H24" s="165"/>
      <c r="I24" s="165"/>
      <c r="J24" s="167"/>
      <c r="L24" s="29"/>
      <c r="N24" s="23"/>
    </row>
    <row r="25" spans="1:15" s="17" customFormat="1" x14ac:dyDescent="0.3">
      <c r="A25" s="162"/>
      <c r="B25" s="548" t="s">
        <v>1589</v>
      </c>
      <c r="C25" s="170"/>
      <c r="D25" s="171"/>
      <c r="E25" s="171"/>
      <c r="F25" s="172"/>
      <c r="G25" s="171"/>
      <c r="H25" s="171">
        <f>SUM(H13:H23)</f>
        <v>3580</v>
      </c>
      <c r="I25" s="171">
        <f>SUM(I13:I23)</f>
        <v>2269.83</v>
      </c>
      <c r="J25" s="173">
        <f>SUM(J13:J23)</f>
        <v>2269.83</v>
      </c>
      <c r="L25" s="29"/>
      <c r="N25" s="23"/>
    </row>
    <row r="26" spans="1:15" s="17" customFormat="1" x14ac:dyDescent="0.3">
      <c r="A26" s="151"/>
      <c r="B26" s="319"/>
      <c r="C26" s="152"/>
      <c r="D26" s="153"/>
      <c r="E26" s="153"/>
      <c r="F26" s="154"/>
      <c r="G26" s="153"/>
      <c r="H26" s="153"/>
      <c r="I26" s="153"/>
      <c r="J26" s="155"/>
      <c r="K26" s="22"/>
      <c r="L26" s="29"/>
      <c r="N26" s="23"/>
      <c r="O26" s="23"/>
    </row>
    <row r="27" spans="1:15" s="17" customFormat="1" x14ac:dyDescent="0.3">
      <c r="A27" s="151" t="s">
        <v>552</v>
      </c>
      <c r="B27" s="319"/>
      <c r="C27" s="158"/>
      <c r="D27" s="159"/>
      <c r="E27" s="159"/>
      <c r="F27" s="160"/>
      <c r="G27" s="159"/>
      <c r="H27" s="159"/>
      <c r="I27" s="159"/>
      <c r="J27" s="161"/>
      <c r="K27" s="22"/>
      <c r="L27" s="29"/>
      <c r="N27" s="23"/>
      <c r="O27" s="23"/>
    </row>
    <row r="28" spans="1:15" s="17" customFormat="1" x14ac:dyDescent="0.3">
      <c r="A28" s="174"/>
      <c r="B28" s="304" t="s">
        <v>553</v>
      </c>
      <c r="C28" s="307" t="s">
        <v>554</v>
      </c>
      <c r="D28" s="165" t="s">
        <v>555</v>
      </c>
      <c r="E28" s="165">
        <v>250</v>
      </c>
      <c r="F28" s="166">
        <v>4</v>
      </c>
      <c r="G28" s="165">
        <f>E28*F28</f>
        <v>1000</v>
      </c>
      <c r="H28" s="165">
        <f>G28*1.13</f>
        <v>1130</v>
      </c>
      <c r="I28" s="165"/>
      <c r="J28" s="167"/>
      <c r="K28" s="22"/>
      <c r="L28" s="29"/>
      <c r="N28" s="23"/>
      <c r="O28" s="23"/>
    </row>
    <row r="29" spans="1:15" s="17" customFormat="1" x14ac:dyDescent="0.3">
      <c r="A29" s="174"/>
      <c r="B29" s="305" t="s">
        <v>556</v>
      </c>
      <c r="C29" s="308" t="s">
        <v>557</v>
      </c>
      <c r="D29" s="159" t="s">
        <v>555</v>
      </c>
      <c r="E29" s="159">
        <v>250</v>
      </c>
      <c r="F29" s="160">
        <v>4</v>
      </c>
      <c r="G29" s="159">
        <f t="shared" ref="G29" si="2">E29*F29</f>
        <v>1000</v>
      </c>
      <c r="H29" s="159">
        <f t="shared" ref="H29:H31" si="3">G29*1.13</f>
        <v>1130</v>
      </c>
      <c r="I29" s="159">
        <v>666.7</v>
      </c>
      <c r="J29" s="161">
        <v>666.7</v>
      </c>
      <c r="K29" s="22"/>
      <c r="L29" s="29"/>
      <c r="N29" s="23"/>
      <c r="O29" s="23"/>
    </row>
    <row r="30" spans="1:15" s="17" customFormat="1" x14ac:dyDescent="0.3">
      <c r="A30" s="174"/>
      <c r="B30" s="304" t="s">
        <v>558</v>
      </c>
      <c r="C30" s="307" t="s">
        <v>559</v>
      </c>
      <c r="D30" s="165" t="s">
        <v>560</v>
      </c>
      <c r="E30" s="165">
        <v>250</v>
      </c>
      <c r="F30" s="166">
        <v>16</v>
      </c>
      <c r="G30" s="165">
        <f>E30*F30</f>
        <v>4000</v>
      </c>
      <c r="H30" s="165">
        <f t="shared" si="3"/>
        <v>4520</v>
      </c>
      <c r="I30" s="165">
        <v>3780</v>
      </c>
      <c r="J30" s="167">
        <v>3780</v>
      </c>
      <c r="K30" s="22"/>
      <c r="L30" s="29"/>
      <c r="N30" s="23"/>
      <c r="O30" s="23"/>
    </row>
    <row r="31" spans="1:15" s="17" customFormat="1" x14ac:dyDescent="0.3">
      <c r="A31" s="162"/>
      <c r="B31" s="305" t="s">
        <v>561</v>
      </c>
      <c r="C31" s="305" t="s">
        <v>559</v>
      </c>
      <c r="D31" s="159" t="s">
        <v>562</v>
      </c>
      <c r="E31" s="159">
        <v>60</v>
      </c>
      <c r="F31" s="160">
        <v>16</v>
      </c>
      <c r="G31" s="159">
        <f>E31*F31</f>
        <v>960</v>
      </c>
      <c r="H31" s="159">
        <f t="shared" si="3"/>
        <v>1084.8</v>
      </c>
      <c r="I31" s="159">
        <f>111.23+1061.64</f>
        <v>1172.8700000000001</v>
      </c>
      <c r="J31" s="161">
        <v>1172.8700000000001</v>
      </c>
      <c r="K31" s="22"/>
    </row>
    <row r="32" spans="1:15" s="17" customFormat="1" x14ac:dyDescent="0.3">
      <c r="A32" s="162"/>
      <c r="B32" s="304"/>
      <c r="C32" s="20"/>
      <c r="D32" s="20"/>
      <c r="E32" s="20"/>
      <c r="F32" s="20"/>
      <c r="G32" s="165"/>
      <c r="H32" s="165"/>
      <c r="I32" s="165"/>
      <c r="J32" s="167"/>
      <c r="K32" s="22"/>
    </row>
    <row r="33" spans="1:15" s="17" customFormat="1" x14ac:dyDescent="0.3">
      <c r="A33" s="162"/>
      <c r="B33" s="548" t="s">
        <v>1590</v>
      </c>
      <c r="C33" s="175"/>
      <c r="D33" s="171"/>
      <c r="E33" s="171"/>
      <c r="F33" s="172"/>
      <c r="G33" s="171"/>
      <c r="H33" s="171">
        <f>SUM(H28:H32)</f>
        <v>7864.8</v>
      </c>
      <c r="I33" s="171">
        <f>SUM(I28:I32)</f>
        <v>5619.57</v>
      </c>
      <c r="J33" s="173">
        <f>SUM(J28:J32)</f>
        <v>5619.57</v>
      </c>
      <c r="K33" s="22"/>
    </row>
    <row r="34" spans="1:15" s="17" customFormat="1" x14ac:dyDescent="0.3">
      <c r="A34" s="162"/>
      <c r="B34" s="305"/>
      <c r="C34" s="158"/>
      <c r="D34" s="159"/>
      <c r="E34" s="159"/>
      <c r="F34" s="160"/>
      <c r="G34" s="159"/>
      <c r="H34" s="159"/>
      <c r="I34" s="159"/>
      <c r="J34" s="161"/>
      <c r="K34" s="22"/>
      <c r="L34" s="29"/>
      <c r="N34" s="23"/>
      <c r="O34" s="23"/>
    </row>
    <row r="35" spans="1:15" s="17" customFormat="1" x14ac:dyDescent="0.3">
      <c r="A35" s="151" t="s">
        <v>563</v>
      </c>
      <c r="B35" s="319"/>
      <c r="C35" s="158"/>
      <c r="D35" s="159"/>
      <c r="E35" s="159"/>
      <c r="F35" s="160"/>
      <c r="G35" s="159"/>
      <c r="H35" s="159"/>
      <c r="I35" s="159"/>
      <c r="J35" s="161"/>
      <c r="K35" s="22"/>
      <c r="L35" s="29"/>
      <c r="N35" s="23"/>
      <c r="O35" s="23"/>
    </row>
    <row r="36" spans="1:15" s="17" customFormat="1" x14ac:dyDescent="0.3">
      <c r="A36" s="162"/>
      <c r="B36" s="304" t="s">
        <v>564</v>
      </c>
      <c r="C36" s="304" t="s">
        <v>565</v>
      </c>
      <c r="D36" s="165" t="s">
        <v>566</v>
      </c>
      <c r="E36" s="165">
        <v>50</v>
      </c>
      <c r="F36" s="166">
        <v>1</v>
      </c>
      <c r="G36" s="165">
        <f t="shared" ref="G36:G45" si="4">E36*F36</f>
        <v>50</v>
      </c>
      <c r="H36" s="165">
        <f t="shared" ref="H36:H39" si="5">G36*1.13</f>
        <v>56.499999999999993</v>
      </c>
      <c r="I36" s="165">
        <v>12.69</v>
      </c>
      <c r="J36" s="167">
        <v>12.69</v>
      </c>
      <c r="K36" s="22"/>
      <c r="L36" s="29"/>
      <c r="N36" s="23"/>
      <c r="O36" s="23"/>
    </row>
    <row r="37" spans="1:15" s="17" customFormat="1" x14ac:dyDescent="0.3">
      <c r="A37" s="162"/>
      <c r="B37" s="305" t="s">
        <v>567</v>
      </c>
      <c r="C37" s="305" t="s">
        <v>568</v>
      </c>
      <c r="D37" s="159" t="s">
        <v>569</v>
      </c>
      <c r="E37" s="159">
        <v>50</v>
      </c>
      <c r="F37" s="160">
        <v>2</v>
      </c>
      <c r="G37" s="159">
        <f t="shared" si="4"/>
        <v>100</v>
      </c>
      <c r="H37" s="159">
        <f t="shared" si="5"/>
        <v>112.99999999999999</v>
      </c>
      <c r="I37" s="159"/>
      <c r="J37" s="161"/>
      <c r="K37" s="22"/>
      <c r="L37" s="29"/>
      <c r="N37" s="23"/>
      <c r="O37" s="23"/>
    </row>
    <row r="38" spans="1:15" s="17" customFormat="1" x14ac:dyDescent="0.3">
      <c r="A38" s="162"/>
      <c r="B38" s="304" t="s">
        <v>570</v>
      </c>
      <c r="C38" s="304" t="s">
        <v>571</v>
      </c>
      <c r="D38" s="165" t="s">
        <v>572</v>
      </c>
      <c r="E38" s="165">
        <v>30</v>
      </c>
      <c r="F38" s="166">
        <v>1</v>
      </c>
      <c r="G38" s="165">
        <f t="shared" si="4"/>
        <v>30</v>
      </c>
      <c r="H38" s="165">
        <f t="shared" si="5"/>
        <v>33.9</v>
      </c>
      <c r="I38" s="165"/>
      <c r="J38" s="167"/>
      <c r="K38" s="22"/>
    </row>
    <row r="39" spans="1:15" s="17" customFormat="1" x14ac:dyDescent="0.3">
      <c r="A39" s="162"/>
      <c r="B39" s="305" t="s">
        <v>573</v>
      </c>
      <c r="C39" s="305" t="s">
        <v>574</v>
      </c>
      <c r="D39" s="159" t="s">
        <v>575</v>
      </c>
      <c r="E39" s="159">
        <v>1500</v>
      </c>
      <c r="F39" s="160">
        <v>1</v>
      </c>
      <c r="G39" s="159">
        <f t="shared" si="4"/>
        <v>1500</v>
      </c>
      <c r="H39" s="159">
        <f t="shared" si="5"/>
        <v>1694.9999999999998</v>
      </c>
      <c r="I39" s="159"/>
      <c r="J39" s="161"/>
      <c r="K39" s="22"/>
    </row>
    <row r="40" spans="1:15" s="17" customFormat="1" x14ac:dyDescent="0.3">
      <c r="A40" s="162"/>
      <c r="B40" s="304" t="s">
        <v>576</v>
      </c>
      <c r="C40" s="304" t="s">
        <v>577</v>
      </c>
      <c r="D40" s="165" t="s">
        <v>539</v>
      </c>
      <c r="E40" s="165">
        <v>150</v>
      </c>
      <c r="F40" s="166">
        <v>2</v>
      </c>
      <c r="G40" s="165">
        <f t="shared" si="4"/>
        <v>300</v>
      </c>
      <c r="H40" s="165">
        <f>G40*1</f>
        <v>300</v>
      </c>
      <c r="I40" s="165"/>
      <c r="J40" s="167"/>
      <c r="K40" s="22"/>
    </row>
    <row r="41" spans="1:15" s="17" customFormat="1" x14ac:dyDescent="0.3">
      <c r="A41" s="162"/>
      <c r="B41" s="305" t="s">
        <v>578</v>
      </c>
      <c r="C41" s="305" t="s">
        <v>577</v>
      </c>
      <c r="D41" s="159" t="s">
        <v>544</v>
      </c>
      <c r="E41" s="159">
        <v>150</v>
      </c>
      <c r="F41" s="160">
        <v>2</v>
      </c>
      <c r="G41" s="159">
        <f t="shared" si="4"/>
        <v>300</v>
      </c>
      <c r="H41" s="159">
        <f t="shared" ref="H41:H45" si="6">G41*1</f>
        <v>300</v>
      </c>
      <c r="I41" s="159"/>
      <c r="J41" s="161"/>
      <c r="K41" s="22"/>
    </row>
    <row r="42" spans="1:15" s="17" customFormat="1" x14ac:dyDescent="0.3">
      <c r="A42" s="162"/>
      <c r="B42" s="304" t="s">
        <v>579</v>
      </c>
      <c r="C42" s="304" t="s">
        <v>577</v>
      </c>
      <c r="D42" s="165" t="s">
        <v>542</v>
      </c>
      <c r="E42" s="165">
        <v>55</v>
      </c>
      <c r="F42" s="166">
        <v>2</v>
      </c>
      <c r="G42" s="165">
        <f t="shared" si="4"/>
        <v>110</v>
      </c>
      <c r="H42" s="165">
        <f t="shared" si="6"/>
        <v>110</v>
      </c>
      <c r="I42" s="165">
        <v>120</v>
      </c>
      <c r="J42" s="167">
        <v>120</v>
      </c>
      <c r="K42" s="22"/>
    </row>
    <row r="43" spans="1:15" s="17" customFormat="1" x14ac:dyDescent="0.3">
      <c r="A43" s="162"/>
      <c r="B43" s="305" t="s">
        <v>580</v>
      </c>
      <c r="C43" s="305" t="s">
        <v>577</v>
      </c>
      <c r="D43" s="159" t="s">
        <v>546</v>
      </c>
      <c r="E43" s="159">
        <v>50</v>
      </c>
      <c r="F43" s="160">
        <v>2</v>
      </c>
      <c r="G43" s="159">
        <f t="shared" si="4"/>
        <v>100</v>
      </c>
      <c r="H43" s="159">
        <f t="shared" si="6"/>
        <v>100</v>
      </c>
      <c r="I43" s="159"/>
      <c r="J43" s="161"/>
      <c r="K43" s="22"/>
    </row>
    <row r="44" spans="1:15" s="17" customFormat="1" x14ac:dyDescent="0.3">
      <c r="A44" s="162"/>
      <c r="B44" s="304" t="s">
        <v>581</v>
      </c>
      <c r="C44" s="304" t="s">
        <v>577</v>
      </c>
      <c r="D44" s="165" t="s">
        <v>548</v>
      </c>
      <c r="E44" s="165">
        <v>50</v>
      </c>
      <c r="F44" s="166">
        <v>2</v>
      </c>
      <c r="G44" s="165">
        <f t="shared" si="4"/>
        <v>100</v>
      </c>
      <c r="H44" s="165">
        <f t="shared" si="6"/>
        <v>100</v>
      </c>
      <c r="I44" s="165"/>
      <c r="J44" s="167"/>
      <c r="K44" s="22"/>
    </row>
    <row r="45" spans="1:15" s="17" customFormat="1" x14ac:dyDescent="0.3">
      <c r="A45" s="162"/>
      <c r="B45" s="305" t="s">
        <v>582</v>
      </c>
      <c r="C45" s="305" t="s">
        <v>577</v>
      </c>
      <c r="D45" s="159" t="s">
        <v>536</v>
      </c>
      <c r="E45" s="159">
        <v>20</v>
      </c>
      <c r="F45" s="160">
        <v>4</v>
      </c>
      <c r="G45" s="159">
        <f t="shared" si="4"/>
        <v>80</v>
      </c>
      <c r="H45" s="159">
        <f t="shared" si="6"/>
        <v>80</v>
      </c>
      <c r="I45" s="159"/>
      <c r="J45" s="161"/>
      <c r="K45" s="22"/>
    </row>
    <row r="46" spans="1:15" s="17" customFormat="1" x14ac:dyDescent="0.3">
      <c r="A46" s="162"/>
      <c r="B46" s="304"/>
      <c r="C46" s="304"/>
      <c r="D46" s="165"/>
      <c r="E46" s="165"/>
      <c r="F46" s="166"/>
      <c r="G46" s="165"/>
      <c r="H46" s="165"/>
      <c r="I46" s="165"/>
      <c r="J46" s="167"/>
      <c r="K46" s="22"/>
    </row>
    <row r="47" spans="1:15" s="17" customFormat="1" x14ac:dyDescent="0.3">
      <c r="A47" s="162"/>
      <c r="B47" s="548" t="s">
        <v>1591</v>
      </c>
      <c r="C47" s="484"/>
      <c r="D47" s="171"/>
      <c r="E47" s="171"/>
      <c r="F47" s="172"/>
      <c r="G47" s="171"/>
      <c r="H47" s="171">
        <f>SUM(H36:H46)</f>
        <v>2888.3999999999996</v>
      </c>
      <c r="I47" s="171">
        <f>SUM(I36:I46)</f>
        <v>132.69</v>
      </c>
      <c r="J47" s="173">
        <f>SUM(J36:J46)</f>
        <v>132.69</v>
      </c>
      <c r="K47" s="22"/>
      <c r="L47" s="29"/>
      <c r="N47" s="23"/>
      <c r="O47" s="23"/>
    </row>
    <row r="48" spans="1:15" s="17" customFormat="1" x14ac:dyDescent="0.3">
      <c r="A48" s="162"/>
      <c r="B48" s="305"/>
      <c r="C48" s="305"/>
      <c r="D48" s="159"/>
      <c r="E48" s="159"/>
      <c r="F48" s="160"/>
      <c r="G48" s="159"/>
      <c r="H48" s="159"/>
      <c r="I48" s="159"/>
      <c r="J48" s="161"/>
      <c r="K48" s="22"/>
      <c r="L48" s="29"/>
      <c r="N48" s="23"/>
      <c r="O48" s="23"/>
    </row>
    <row r="49" spans="1:15" s="17" customFormat="1" x14ac:dyDescent="0.3">
      <c r="A49" s="151" t="s">
        <v>583</v>
      </c>
      <c r="B49" s="319"/>
      <c r="C49" s="305"/>
      <c r="D49" s="159"/>
      <c r="E49" s="159"/>
      <c r="F49" s="160"/>
      <c r="G49" s="159"/>
      <c r="H49" s="159"/>
      <c r="I49" s="159"/>
      <c r="J49" s="161"/>
      <c r="K49" s="22"/>
    </row>
    <row r="50" spans="1:15" s="17" customFormat="1" x14ac:dyDescent="0.3">
      <c r="A50" s="151"/>
      <c r="B50" s="304" t="s">
        <v>1592</v>
      </c>
      <c r="C50" s="304" t="s">
        <v>554</v>
      </c>
      <c r="D50" s="165" t="s">
        <v>585</v>
      </c>
      <c r="E50" s="165">
        <v>200</v>
      </c>
      <c r="F50" s="166">
        <v>1</v>
      </c>
      <c r="G50" s="165">
        <f t="shared" ref="G50:G51" si="7">E50*F50</f>
        <v>200</v>
      </c>
      <c r="H50" s="165">
        <f t="shared" ref="H50:H51" si="8">G50*1.13</f>
        <v>225.99999999999997</v>
      </c>
      <c r="I50" s="165">
        <v>12.5</v>
      </c>
      <c r="J50" s="167">
        <v>12.5</v>
      </c>
      <c r="K50" s="22"/>
    </row>
    <row r="51" spans="1:15" s="17" customFormat="1" x14ac:dyDescent="0.3">
      <c r="A51" s="151"/>
      <c r="B51" s="305" t="s">
        <v>584</v>
      </c>
      <c r="C51" s="305" t="s">
        <v>557</v>
      </c>
      <c r="D51" s="159" t="s">
        <v>586</v>
      </c>
      <c r="E51" s="159">
        <v>150</v>
      </c>
      <c r="F51" s="160">
        <v>4</v>
      </c>
      <c r="G51" s="159">
        <f t="shared" si="7"/>
        <v>600</v>
      </c>
      <c r="H51" s="159">
        <f t="shared" si="8"/>
        <v>677.99999999999989</v>
      </c>
      <c r="I51" s="159">
        <v>685.35</v>
      </c>
      <c r="J51" s="161">
        <v>685.35</v>
      </c>
      <c r="K51" s="22"/>
    </row>
    <row r="52" spans="1:15" s="17" customFormat="1" x14ac:dyDescent="0.3">
      <c r="A52" s="151"/>
      <c r="B52" s="538"/>
      <c r="C52" s="304"/>
      <c r="D52" s="165"/>
      <c r="E52" s="165"/>
      <c r="F52" s="166"/>
      <c r="G52" s="165"/>
      <c r="H52" s="165"/>
      <c r="I52" s="165"/>
      <c r="J52" s="167"/>
      <c r="K52" s="22"/>
    </row>
    <row r="53" spans="1:15" s="17" customFormat="1" x14ac:dyDescent="0.3">
      <c r="A53" s="162"/>
      <c r="B53" s="548" t="s">
        <v>1593</v>
      </c>
      <c r="C53" s="175"/>
      <c r="D53" s="171"/>
      <c r="E53" s="171"/>
      <c r="F53" s="172"/>
      <c r="G53" s="171"/>
      <c r="H53" s="171">
        <f>SUM(H50:H52)</f>
        <v>903.99999999999989</v>
      </c>
      <c r="I53" s="171">
        <f>SUM(I50:I52)</f>
        <v>697.85</v>
      </c>
      <c r="J53" s="173">
        <f>SUM(J50:J52)</f>
        <v>697.85</v>
      </c>
      <c r="K53" s="22"/>
      <c r="L53" s="29"/>
      <c r="N53" s="23"/>
      <c r="O53" s="23"/>
    </row>
    <row r="54" spans="1:15" s="17" customFormat="1" x14ac:dyDescent="0.3">
      <c r="A54" s="162"/>
      <c r="B54" s="305"/>
      <c r="C54" s="168"/>
      <c r="D54" s="159"/>
      <c r="E54" s="159"/>
      <c r="F54" s="160"/>
      <c r="G54" s="159"/>
      <c r="H54" s="159"/>
      <c r="I54" s="159"/>
      <c r="J54" s="161"/>
      <c r="K54" s="22"/>
      <c r="L54" s="29"/>
      <c r="N54" s="23"/>
      <c r="O54" s="23"/>
    </row>
    <row r="55" spans="1:15" s="43" customFormat="1" ht="18.75" x14ac:dyDescent="0.35">
      <c r="A55" s="162"/>
      <c r="B55" s="305"/>
      <c r="C55" s="152" t="s">
        <v>85</v>
      </c>
      <c r="D55" s="153"/>
      <c r="E55" s="153"/>
      <c r="F55" s="154"/>
      <c r="G55" s="153"/>
      <c r="H55" s="153">
        <f>H25+H33+H47+H53</f>
        <v>15237.199999999999</v>
      </c>
      <c r="I55" s="153">
        <f t="shared" ref="I55:J55" si="9">I25+I33+I47+I53</f>
        <v>8719.9399999999987</v>
      </c>
      <c r="J55" s="155">
        <f>J25+J33+J47+J53</f>
        <v>8719.9399999999987</v>
      </c>
      <c r="K55" s="40"/>
      <c r="L55" s="41"/>
      <c r="M55" s="40"/>
      <c r="N55" s="40"/>
      <c r="O55" s="42"/>
    </row>
    <row r="56" spans="1:15" s="43" customFormat="1" ht="18.75" x14ac:dyDescent="0.35">
      <c r="A56" s="162"/>
      <c r="B56" s="305"/>
      <c r="C56" s="152"/>
      <c r="D56" s="153"/>
      <c r="E56" s="153"/>
      <c r="F56" s="154"/>
      <c r="G56" s="153"/>
      <c r="H56" s="153"/>
      <c r="I56" s="153"/>
      <c r="J56" s="155"/>
      <c r="K56" s="40"/>
      <c r="L56" s="41"/>
      <c r="M56" s="40"/>
      <c r="N56" s="40"/>
      <c r="O56" s="42"/>
    </row>
    <row r="57" spans="1:15" s="48" customFormat="1" ht="20.25" x14ac:dyDescent="0.35">
      <c r="A57" s="583" t="s">
        <v>86</v>
      </c>
      <c r="B57" s="584"/>
      <c r="C57" s="584"/>
      <c r="D57" s="148"/>
      <c r="E57" s="148"/>
      <c r="F57" s="149"/>
      <c r="G57" s="148"/>
      <c r="H57" s="148"/>
      <c r="I57" s="148"/>
      <c r="J57" s="150"/>
      <c r="K57" s="58"/>
      <c r="L57" s="58"/>
    </row>
    <row r="58" spans="1:15" s="50" customFormat="1" ht="20.25" x14ac:dyDescent="0.35">
      <c r="A58" s="151"/>
      <c r="B58" s="538" t="s">
        <v>87</v>
      </c>
      <c r="C58" s="176"/>
      <c r="D58" s="177"/>
      <c r="E58" s="177"/>
      <c r="F58" s="177"/>
      <c r="G58" s="177"/>
      <c r="H58" s="177">
        <f>H10</f>
        <v>0</v>
      </c>
      <c r="I58" s="177">
        <f>I10</f>
        <v>0</v>
      </c>
      <c r="J58" s="178">
        <f>J10</f>
        <v>0</v>
      </c>
    </row>
    <row r="59" spans="1:15" s="50" customFormat="1" ht="20.25" x14ac:dyDescent="0.35">
      <c r="A59" s="151"/>
      <c r="B59" s="319" t="s">
        <v>88</v>
      </c>
      <c r="C59" s="152"/>
      <c r="D59" s="153"/>
      <c r="E59" s="153"/>
      <c r="F59" s="153"/>
      <c r="G59" s="153"/>
      <c r="H59" s="153">
        <f>H55</f>
        <v>15237.199999999999</v>
      </c>
      <c r="I59" s="153">
        <f t="shared" ref="I59:J59" si="10">I55</f>
        <v>8719.9399999999987</v>
      </c>
      <c r="J59" s="155">
        <f t="shared" si="10"/>
        <v>8719.9399999999987</v>
      </c>
    </row>
    <row r="60" spans="1:15" s="50" customFormat="1" ht="20.25" x14ac:dyDescent="0.35">
      <c r="A60" s="179"/>
      <c r="B60" s="539" t="s">
        <v>89</v>
      </c>
      <c r="C60" s="180"/>
      <c r="D60" s="181"/>
      <c r="E60" s="181"/>
      <c r="F60" s="181"/>
      <c r="G60" s="181"/>
      <c r="H60" s="181">
        <f>H58-H59</f>
        <v>-15237.199999999999</v>
      </c>
      <c r="I60" s="181">
        <f t="shared" ref="I60:J60" si="11">I58-I59</f>
        <v>-8719.9399999999987</v>
      </c>
      <c r="J60" s="182">
        <f t="shared" si="11"/>
        <v>-8719.9399999999987</v>
      </c>
    </row>
    <row r="61" spans="1:15" s="17" customFormat="1" x14ac:dyDescent="0.3">
      <c r="A61" s="53"/>
      <c r="B61" s="129"/>
      <c r="C61" s="54"/>
      <c r="D61" s="55"/>
      <c r="E61" s="18"/>
      <c r="F61" s="77"/>
      <c r="G61" s="18"/>
      <c r="H61" s="18"/>
      <c r="I61" s="18"/>
      <c r="J61" s="18"/>
    </row>
  </sheetData>
  <mergeCells count="6">
    <mergeCell ref="A57:C57"/>
    <mergeCell ref="D1:J4"/>
    <mergeCell ref="A5:C5"/>
    <mergeCell ref="D5:E5"/>
    <mergeCell ref="A8:C8"/>
    <mergeCell ref="A12:C12"/>
  </mergeCells>
  <pageMargins left="0" right="0" top="0" bottom="0" header="0" footer="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7301085B07F9459249C2DF7740ED3D" ma:contentTypeVersion="1" ma:contentTypeDescription="Create a new document." ma:contentTypeScope="" ma:versionID="52b2148349da07ae4e5b8209fcdb8a6f">
  <xsd:schema xmlns:xsd="http://www.w3.org/2001/XMLSchema" xmlns:xs="http://www.w3.org/2001/XMLSchema" xmlns:p="http://schemas.microsoft.com/office/2006/metadata/properties" xmlns:ns3="6c60dad5-d3c9-4315-8ff8-42df4b79729a" targetNamespace="http://schemas.microsoft.com/office/2006/metadata/properties" ma:root="true" ma:fieldsID="b361c9524c5eb2a22762104eca6c328a" ns3:_="">
    <xsd:import namespace="6c60dad5-d3c9-4315-8ff8-42df4b79729a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60dad5-d3c9-4315-8ff8-42df4b7972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B22BF2-09DF-4988-8FAE-97B57BB4F1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60dad5-d3c9-4315-8ff8-42df4b7972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739454-8847-41D5-9E18-5C2EFA919C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39189D-3E97-424F-8CC2-B1CD2ADBE7B2}">
  <ds:schemaRefs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6c60dad5-d3c9-4315-8ff8-42df4b79729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SUMMARY</vt:lpstr>
      <vt:lpstr>General</vt:lpstr>
      <vt:lpstr>11-PRES</vt:lpstr>
      <vt:lpstr>12-VPOPS</vt:lpstr>
      <vt:lpstr>13-VPSA</vt:lpstr>
      <vt:lpstr>14 - Academics</vt:lpstr>
      <vt:lpstr>15-Design</vt:lpstr>
      <vt:lpstr>16-PD</vt:lpstr>
      <vt:lpstr>17-CONFS</vt:lpstr>
      <vt:lpstr>18-FY</vt:lpstr>
      <vt:lpstr>19-FINANCE</vt:lpstr>
      <vt:lpstr>20-SERVICES</vt:lpstr>
      <vt:lpstr>21-IT</vt:lpstr>
      <vt:lpstr>22-EVENTS</vt:lpstr>
      <vt:lpstr>23-COMM</vt:lpstr>
      <vt:lpstr>24-IA</vt:lpstr>
      <vt:lpstr>25-HR</vt:lpstr>
      <vt:lpstr>26-EVPOS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Murphy</dc:creator>
  <cp:lastModifiedBy>Andrew Crawford</cp:lastModifiedBy>
  <cp:revision/>
  <dcterms:created xsi:type="dcterms:W3CDTF">2013-07-10T15:35:24Z</dcterms:created>
  <dcterms:modified xsi:type="dcterms:W3CDTF">2015-07-04T00:09:25Z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0x0101009A7301085B07F9459249C2DF7740ED3D</vt:lpwstr>
  </property>
  <property fmtid="{D5CDD505-2E9C-101B-9397-08002B2CF9AE}" pid="3" name="IsMyDocuments">
    <vt:bool>true</vt:bool>
  </property>
</Properties>
</file>