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gsoc_vpops\Desktop\Fuck OneDrive\Finance\Budgets\"/>
    </mc:Choice>
  </mc:AlternateContent>
  <bookViews>
    <workbookView xWindow="1110" yWindow="720" windowWidth="15600" windowHeight="7425"/>
  </bookViews>
  <sheets>
    <sheet name="SUMMARY" sheetId="1" r:id="rId1"/>
    <sheet name="General" sheetId="25" r:id="rId2"/>
    <sheet name="11-PRES" sheetId="9" r:id="rId3"/>
    <sheet name="12-VPOPS" sheetId="11" r:id="rId4"/>
    <sheet name="13-VPSA" sheetId="12" r:id="rId5"/>
    <sheet name="14-VPA" sheetId="13" r:id="rId6"/>
    <sheet name="15-VPSD" sheetId="14" r:id="rId7"/>
    <sheet name="16-PD" sheetId="15" r:id="rId8"/>
    <sheet name="17-EXCOM" sheetId="16" r:id="rId9"/>
    <sheet name="18-FY" sheetId="17" r:id="rId10"/>
    <sheet name="19-FINANCE" sheetId="18" r:id="rId11"/>
    <sheet name="20-SERVICES" sheetId="19" r:id="rId12"/>
    <sheet name="21-IT" sheetId="20" r:id="rId13"/>
    <sheet name="22-EVENTS" sheetId="21" r:id="rId14"/>
    <sheet name="23-COMM" sheetId="22" r:id="rId15"/>
    <sheet name="24-IA" sheetId="23" r:id="rId16"/>
    <sheet name="25-EVPOS" sheetId="24" r:id="rId17"/>
  </sheets>
  <calcPr calcId="152511"/>
  <fileRecoveryPr repairLoad="1"/>
</workbook>
</file>

<file path=xl/calcChain.xml><?xml version="1.0" encoding="utf-8"?>
<calcChain xmlns="http://schemas.openxmlformats.org/spreadsheetml/2006/main">
  <c r="E56" i="1" l="1"/>
  <c r="E52" i="1"/>
  <c r="C52" i="1"/>
  <c r="C54" i="1" s="1"/>
  <c r="E54" i="1"/>
  <c r="D52" i="1"/>
  <c r="D54" i="1" s="1"/>
  <c r="E82" i="1" l="1"/>
  <c r="J48" i="20"/>
  <c r="J50" i="20" s="1"/>
  <c r="J54" i="20" s="1"/>
  <c r="J55" i="20" s="1"/>
  <c r="J41" i="20"/>
  <c r="J35" i="20"/>
  <c r="J29" i="20"/>
  <c r="J23" i="20"/>
  <c r="E73" i="1"/>
  <c r="J152" i="25" l="1"/>
  <c r="J139" i="25"/>
  <c r="J134" i="25"/>
  <c r="J101" i="25" l="1"/>
  <c r="I100" i="25"/>
  <c r="J352" i="24" l="1"/>
  <c r="J329" i="24"/>
  <c r="J325" i="24"/>
  <c r="J284" i="24"/>
  <c r="J258" i="24"/>
  <c r="J248" i="24"/>
  <c r="J201" i="24"/>
  <c r="J199" i="24"/>
  <c r="J160" i="24"/>
  <c r="J170" i="24"/>
  <c r="J32" i="23" l="1"/>
  <c r="J35" i="23"/>
  <c r="J22" i="22"/>
  <c r="J48" i="21"/>
  <c r="J43" i="21"/>
  <c r="J45" i="21" s="1"/>
  <c r="J49" i="21" s="1"/>
  <c r="J50" i="21" s="1"/>
  <c r="J24" i="21"/>
  <c r="J35" i="21"/>
  <c r="J56" i="14"/>
  <c r="J58" i="14"/>
  <c r="J43" i="14"/>
  <c r="J39" i="14"/>
  <c r="J56" i="19"/>
  <c r="I56" i="18"/>
  <c r="J32" i="13"/>
  <c r="J31" i="13"/>
  <c r="J30" i="13"/>
  <c r="J27" i="13"/>
  <c r="J25" i="13"/>
  <c r="J30" i="17"/>
  <c r="J24" i="17"/>
  <c r="J29" i="17"/>
  <c r="J92" i="16"/>
  <c r="J94" i="16"/>
  <c r="J65" i="16"/>
  <c r="J14" i="11"/>
  <c r="J29" i="9"/>
  <c r="J24" i="9"/>
  <c r="J27" i="9"/>
  <c r="J28" i="9"/>
  <c r="J38" i="9"/>
  <c r="J12" i="17"/>
  <c r="J23" i="25" l="1"/>
  <c r="J14" i="21" l="1"/>
  <c r="J12" i="21"/>
  <c r="I12" i="21"/>
  <c r="J25" i="17" l="1"/>
  <c r="M19" i="17"/>
  <c r="J30" i="19"/>
  <c r="J46" i="16"/>
  <c r="J26" i="14"/>
  <c r="I160" i="25"/>
  <c r="I66" i="25" l="1"/>
  <c r="I65" i="25"/>
  <c r="D61" i="1" s="1"/>
  <c r="I83" i="25"/>
  <c r="I96" i="25" s="1"/>
  <c r="I134" i="25"/>
  <c r="I137" i="25"/>
  <c r="I142" i="25"/>
  <c r="I132" i="25"/>
  <c r="I13" i="25"/>
  <c r="I10" i="13"/>
  <c r="I27" i="25"/>
  <c r="D16" i="1" s="1"/>
  <c r="I17" i="25"/>
  <c r="D12" i="1" s="1"/>
  <c r="I23" i="25"/>
  <c r="D15" i="1" s="1"/>
  <c r="I146" i="25"/>
  <c r="I101" i="25"/>
  <c r="I35" i="23"/>
  <c r="I21" i="23"/>
  <c r="I32" i="23" s="1"/>
  <c r="I26" i="14"/>
  <c r="D100" i="1"/>
  <c r="D93" i="1"/>
  <c r="D92" i="1"/>
  <c r="I40" i="23"/>
  <c r="I38" i="23"/>
  <c r="G44" i="20"/>
  <c r="H44" i="20" s="1"/>
  <c r="G45" i="20"/>
  <c r="H45" i="20"/>
  <c r="G46" i="20"/>
  <c r="H46" i="20" s="1"/>
  <c r="I48" i="20"/>
  <c r="G23" i="17"/>
  <c r="H23" i="17" s="1"/>
  <c r="G24" i="17"/>
  <c r="H24" i="17" s="1"/>
  <c r="G25" i="17"/>
  <c r="H25" i="17" s="1"/>
  <c r="G26" i="17"/>
  <c r="H26" i="17" s="1"/>
  <c r="G27" i="17"/>
  <c r="H27" i="17" s="1"/>
  <c r="G28" i="17"/>
  <c r="H28" i="17" s="1"/>
  <c r="I25" i="17"/>
  <c r="I27" i="17"/>
  <c r="I30" i="17" s="1"/>
  <c r="I47" i="17" s="1"/>
  <c r="I29" i="17"/>
  <c r="I37" i="17"/>
  <c r="I59" i="16"/>
  <c r="I58" i="16"/>
  <c r="I46" i="16"/>
  <c r="I39" i="16"/>
  <c r="I47" i="16"/>
  <c r="I18" i="13"/>
  <c r="I24" i="9"/>
  <c r="I27" i="9"/>
  <c r="I29" i="9"/>
  <c r="I33" i="9" s="1"/>
  <c r="I19" i="15"/>
  <c r="I14" i="15"/>
  <c r="I21" i="15"/>
  <c r="D28" i="1" s="1"/>
  <c r="I19" i="25"/>
  <c r="D13" i="1" s="1"/>
  <c r="I59" i="24"/>
  <c r="I33" i="14"/>
  <c r="I36" i="14" s="1"/>
  <c r="D10" i="1"/>
  <c r="D14" i="1"/>
  <c r="D23" i="1"/>
  <c r="D24" i="1"/>
  <c r="D25" i="1"/>
  <c r="I13" i="14"/>
  <c r="I15" i="14"/>
  <c r="I19" i="16"/>
  <c r="I14" i="16"/>
  <c r="I21" i="16"/>
  <c r="D29" i="1" s="1"/>
  <c r="I10" i="17"/>
  <c r="I12" i="17" s="1"/>
  <c r="I14" i="17"/>
  <c r="D31" i="1"/>
  <c r="D32" i="1"/>
  <c r="I12" i="20"/>
  <c r="I14" i="20" s="1"/>
  <c r="D33" i="1" s="1"/>
  <c r="I14" i="21"/>
  <c r="D34" i="1" s="1"/>
  <c r="D35" i="1"/>
  <c r="I12" i="23"/>
  <c r="I14" i="23"/>
  <c r="D36" i="1" s="1"/>
  <c r="D42" i="1"/>
  <c r="D43" i="1"/>
  <c r="D44" i="1"/>
  <c r="D45" i="1"/>
  <c r="D46" i="1"/>
  <c r="D47" i="1"/>
  <c r="D60" i="1"/>
  <c r="D62" i="1"/>
  <c r="D63" i="1"/>
  <c r="D64" i="1"/>
  <c r="D66" i="1"/>
  <c r="I14" i="11"/>
  <c r="I19" i="11" s="1"/>
  <c r="I22" i="11" s="1"/>
  <c r="I26" i="11" s="1"/>
  <c r="D72" i="1" s="1"/>
  <c r="I58" i="18"/>
  <c r="I62" i="18" s="1"/>
  <c r="D79" i="1" s="1"/>
  <c r="I43" i="21"/>
  <c r="I30" i="21"/>
  <c r="I35" i="21" s="1"/>
  <c r="I18" i="21"/>
  <c r="I24" i="21" s="1"/>
  <c r="I45" i="21" s="1"/>
  <c r="I22" i="22"/>
  <c r="I24" i="22" s="1"/>
  <c r="D83" i="1" s="1"/>
  <c r="D94" i="1"/>
  <c r="D95" i="1"/>
  <c r="D101" i="1"/>
  <c r="D102" i="1"/>
  <c r="D103" i="1"/>
  <c r="D104" i="1"/>
  <c r="D105" i="1"/>
  <c r="D110" i="1"/>
  <c r="D113" i="1"/>
  <c r="D114" i="1"/>
  <c r="D115" i="1"/>
  <c r="D116" i="1"/>
  <c r="D117" i="1"/>
  <c r="D118" i="1"/>
  <c r="D119" i="1"/>
  <c r="D120" i="1"/>
  <c r="I248" i="24"/>
  <c r="I31" i="25"/>
  <c r="D17" i="1" s="1"/>
  <c r="I33" i="25"/>
  <c r="D18" i="1" s="1"/>
  <c r="I12" i="13"/>
  <c r="E11" i="1"/>
  <c r="I160" i="24"/>
  <c r="I195" i="24"/>
  <c r="I196" i="24"/>
  <c r="I170" i="24"/>
  <c r="I51" i="24"/>
  <c r="I35" i="20"/>
  <c r="I65" i="16"/>
  <c r="I71" i="16" s="1"/>
  <c r="I38" i="9"/>
  <c r="J12" i="23"/>
  <c r="J14" i="23"/>
  <c r="E36" i="1" s="1"/>
  <c r="E35" i="1"/>
  <c r="E34" i="1"/>
  <c r="J12" i="20"/>
  <c r="J14" i="20" s="1"/>
  <c r="E33" i="1" s="1"/>
  <c r="E32" i="1"/>
  <c r="E31" i="1"/>
  <c r="J14" i="17"/>
  <c r="J50" i="17" s="1"/>
  <c r="J19" i="16"/>
  <c r="J14" i="16"/>
  <c r="J21" i="16"/>
  <c r="E29" i="1" s="1"/>
  <c r="J19" i="15"/>
  <c r="J14" i="15"/>
  <c r="J21" i="15"/>
  <c r="J13" i="14"/>
  <c r="J15" i="14" s="1"/>
  <c r="J61" i="14" s="1"/>
  <c r="E27" i="1"/>
  <c r="J12" i="13"/>
  <c r="J14" i="13" s="1"/>
  <c r="E26" i="1" s="1"/>
  <c r="E25" i="1"/>
  <c r="E24" i="1"/>
  <c r="E23" i="1"/>
  <c r="J58" i="23"/>
  <c r="J43" i="23"/>
  <c r="J24" i="22"/>
  <c r="E81" i="1"/>
  <c r="J48" i="19"/>
  <c r="J41" i="19"/>
  <c r="J23" i="19"/>
  <c r="J17" i="19"/>
  <c r="J56" i="18"/>
  <c r="J58" i="18" s="1"/>
  <c r="J62" i="18" s="1"/>
  <c r="J45" i="17"/>
  <c r="J37" i="17"/>
  <c r="J20" i="17"/>
  <c r="J71" i="16"/>
  <c r="J55" i="16"/>
  <c r="J49" i="16"/>
  <c r="J42" i="16"/>
  <c r="J35" i="16"/>
  <c r="J28" i="16"/>
  <c r="J62" i="16"/>
  <c r="J60" i="15"/>
  <c r="J52" i="15"/>
  <c r="J39" i="15"/>
  <c r="J33" i="15"/>
  <c r="J28" i="15"/>
  <c r="J62" i="14"/>
  <c r="E74" i="1"/>
  <c r="J17" i="12"/>
  <c r="J22" i="12"/>
  <c r="J24" i="12" s="1"/>
  <c r="J28" i="12" s="1"/>
  <c r="J19" i="11"/>
  <c r="J22" i="11" s="1"/>
  <c r="J26" i="11" s="1"/>
  <c r="J39" i="9"/>
  <c r="J33" i="9"/>
  <c r="J16" i="9"/>
  <c r="E10" i="1"/>
  <c r="I99" i="24"/>
  <c r="I56" i="24"/>
  <c r="I29" i="20"/>
  <c r="I77" i="16"/>
  <c r="I55" i="16"/>
  <c r="I42" i="16"/>
  <c r="I60" i="15"/>
  <c r="I52" i="15"/>
  <c r="I124" i="25"/>
  <c r="I25" i="13"/>
  <c r="I27" i="13"/>
  <c r="D74" i="1" s="1"/>
  <c r="I33" i="16"/>
  <c r="I201" i="24"/>
  <c r="I75" i="25"/>
  <c r="D65" i="1" s="1"/>
  <c r="I133" i="24"/>
  <c r="I207" i="24"/>
  <c r="I199" i="24"/>
  <c r="G207" i="24"/>
  <c r="H207" i="24" s="1"/>
  <c r="I325" i="24"/>
  <c r="I330" i="24" s="1"/>
  <c r="G20" i="19"/>
  <c r="G14" i="19"/>
  <c r="G206" i="24"/>
  <c r="H206" i="24"/>
  <c r="I27" i="22"/>
  <c r="J27" i="22"/>
  <c r="H27" i="22"/>
  <c r="H22" i="22"/>
  <c r="H24" i="22"/>
  <c r="H28" i="22" s="1"/>
  <c r="H29" i="22" s="1"/>
  <c r="G33" i="21"/>
  <c r="H33" i="21" s="1"/>
  <c r="G32" i="21"/>
  <c r="H32" i="21" s="1"/>
  <c r="G31" i="21"/>
  <c r="H31" i="21" s="1"/>
  <c r="G30" i="21"/>
  <c r="H30" i="21" s="1"/>
  <c r="G29" i="21"/>
  <c r="H29" i="21" s="1"/>
  <c r="G28" i="21"/>
  <c r="H28" i="21" s="1"/>
  <c r="G27" i="21"/>
  <c r="H27" i="21" s="1"/>
  <c r="G10" i="20"/>
  <c r="G142" i="25"/>
  <c r="H142" i="25" s="1"/>
  <c r="G10" i="23"/>
  <c r="H10" i="23" s="1"/>
  <c r="H12" i="23" s="1"/>
  <c r="H14" i="23" s="1"/>
  <c r="C36" i="1" s="1"/>
  <c r="E15" i="11"/>
  <c r="E14" i="11"/>
  <c r="E93" i="25"/>
  <c r="H10" i="20"/>
  <c r="H12" i="20" s="1"/>
  <c r="H14" i="20" s="1"/>
  <c r="G129" i="25"/>
  <c r="H129" i="25" s="1"/>
  <c r="G148" i="24"/>
  <c r="H148" i="24" s="1"/>
  <c r="G137" i="24"/>
  <c r="H137" i="24" s="1"/>
  <c r="G14" i="24"/>
  <c r="H14" i="24" s="1"/>
  <c r="G154" i="24"/>
  <c r="H154" i="24" s="1"/>
  <c r="G155" i="24"/>
  <c r="H155" i="24" s="1"/>
  <c r="G156" i="24"/>
  <c r="H156" i="24" s="1"/>
  <c r="G157" i="24"/>
  <c r="H157" i="24" s="1"/>
  <c r="G158" i="24"/>
  <c r="H158" i="24" s="1"/>
  <c r="G69" i="16"/>
  <c r="H69" i="16" s="1"/>
  <c r="G42" i="15"/>
  <c r="H42" i="15" s="1"/>
  <c r="G43" i="15"/>
  <c r="H43" i="15" s="1"/>
  <c r="G44" i="15"/>
  <c r="H44" i="15" s="1"/>
  <c r="G45" i="15"/>
  <c r="H45" i="15" s="1"/>
  <c r="G46" i="15"/>
  <c r="H46" i="15" s="1"/>
  <c r="G47" i="15"/>
  <c r="H47" i="15" s="1"/>
  <c r="G48" i="15"/>
  <c r="H48" i="15" s="1"/>
  <c r="G49" i="15"/>
  <c r="H49" i="15" s="1"/>
  <c r="G50" i="15"/>
  <c r="H50" i="15" s="1"/>
  <c r="G334" i="24"/>
  <c r="H334" i="24" s="1"/>
  <c r="G335" i="24"/>
  <c r="H335" i="24" s="1"/>
  <c r="G336" i="24"/>
  <c r="H336" i="24" s="1"/>
  <c r="G337" i="24"/>
  <c r="H337" i="24" s="1"/>
  <c r="G97" i="24"/>
  <c r="H97" i="24" s="1"/>
  <c r="J54" i="19"/>
  <c r="I54" i="19"/>
  <c r="G52" i="19"/>
  <c r="H52" i="19" s="1"/>
  <c r="G51" i="19"/>
  <c r="H51" i="19" s="1"/>
  <c r="J89" i="24"/>
  <c r="I89" i="24"/>
  <c r="G92" i="24"/>
  <c r="H92" i="24" s="1"/>
  <c r="G93" i="24"/>
  <c r="H93" i="24" s="1"/>
  <c r="G94" i="24"/>
  <c r="H94" i="24" s="1"/>
  <c r="G95" i="24"/>
  <c r="H95" i="24" s="1"/>
  <c r="G96" i="24"/>
  <c r="H96" i="24" s="1"/>
  <c r="G46" i="19"/>
  <c r="H46" i="19" s="1"/>
  <c r="G45" i="19"/>
  <c r="H45" i="19" s="1"/>
  <c r="G28" i="19"/>
  <c r="H28" i="19" s="1"/>
  <c r="G27" i="19"/>
  <c r="H27" i="19" s="1"/>
  <c r="G33" i="25"/>
  <c r="H33" i="25" s="1"/>
  <c r="C18" i="1" s="1"/>
  <c r="G77" i="25"/>
  <c r="H77" i="25" s="1"/>
  <c r="C66" i="1" s="1"/>
  <c r="G139" i="25"/>
  <c r="H139" i="25" s="1"/>
  <c r="C112" i="1" s="1"/>
  <c r="G140" i="25"/>
  <c r="H140" i="25" s="1"/>
  <c r="E18" i="1"/>
  <c r="E66" i="1"/>
  <c r="E23" i="25"/>
  <c r="G23" i="25" s="1"/>
  <c r="H23" i="25" s="1"/>
  <c r="C30" i="1"/>
  <c r="G27" i="20"/>
  <c r="H27" i="20"/>
  <c r="H50" i="17"/>
  <c r="I45" i="17"/>
  <c r="G41" i="17"/>
  <c r="H41" i="17"/>
  <c r="G42" i="17"/>
  <c r="H42" i="17"/>
  <c r="G43" i="17"/>
  <c r="H43" i="17"/>
  <c r="G40" i="17"/>
  <c r="H40" i="17"/>
  <c r="G34" i="17"/>
  <c r="H34" i="17"/>
  <c r="G35" i="17"/>
  <c r="H35" i="17"/>
  <c r="G33" i="17"/>
  <c r="H33" i="17"/>
  <c r="H37" i="17" s="1"/>
  <c r="I20" i="17"/>
  <c r="G18" i="17"/>
  <c r="H18" i="17"/>
  <c r="H20" i="17" s="1"/>
  <c r="G10" i="17"/>
  <c r="H10" i="17" s="1"/>
  <c r="I56" i="14"/>
  <c r="G54" i="14"/>
  <c r="H54" i="14" s="1"/>
  <c r="H56" i="14"/>
  <c r="J51" i="14"/>
  <c r="I51" i="14"/>
  <c r="G40" i="14"/>
  <c r="G41" i="14"/>
  <c r="H41" i="14" s="1"/>
  <c r="G42" i="14"/>
  <c r="H42" i="14" s="1"/>
  <c r="G43" i="14"/>
  <c r="H43" i="14" s="1"/>
  <c r="G44" i="14"/>
  <c r="H44" i="14" s="1"/>
  <c r="G45" i="14"/>
  <c r="H45" i="14" s="1"/>
  <c r="G46" i="14"/>
  <c r="H46" i="14" s="1"/>
  <c r="G47" i="14"/>
  <c r="H47" i="14" s="1"/>
  <c r="G48" i="14"/>
  <c r="H48" i="14" s="1"/>
  <c r="G49" i="14"/>
  <c r="H49" i="14" s="1"/>
  <c r="G39" i="14"/>
  <c r="H39" i="14" s="1"/>
  <c r="J36" i="14"/>
  <c r="G27" i="14"/>
  <c r="H27" i="14" s="1"/>
  <c r="G28" i="14"/>
  <c r="H28" i="14" s="1"/>
  <c r="G29" i="14"/>
  <c r="H29" i="14" s="1"/>
  <c r="G30" i="14"/>
  <c r="H30" i="14" s="1"/>
  <c r="G31" i="14"/>
  <c r="H31" i="14" s="1"/>
  <c r="G32" i="14"/>
  <c r="H32" i="14" s="1"/>
  <c r="G33" i="14"/>
  <c r="H33" i="14" s="1"/>
  <c r="G34" i="14"/>
  <c r="H34" i="14" s="1"/>
  <c r="G26" i="14"/>
  <c r="H26" i="14" s="1"/>
  <c r="G20" i="14"/>
  <c r="H20" i="14" s="1"/>
  <c r="G21" i="14"/>
  <c r="H21" i="14" s="1"/>
  <c r="G19" i="14"/>
  <c r="H19" i="14" s="1"/>
  <c r="G11" i="14"/>
  <c r="H11" i="14"/>
  <c r="H13" i="14" s="1"/>
  <c r="H15" i="14" s="1"/>
  <c r="G10" i="14"/>
  <c r="H10" i="14"/>
  <c r="G286" i="24"/>
  <c r="G287" i="24"/>
  <c r="H287" i="24" s="1"/>
  <c r="G288" i="24"/>
  <c r="G290" i="24"/>
  <c r="G291" i="24"/>
  <c r="G292" i="24"/>
  <c r="H292" i="24" s="1"/>
  <c r="G293" i="24"/>
  <c r="G294" i="24"/>
  <c r="G295" i="24"/>
  <c r="G296" i="24"/>
  <c r="H296" i="24" s="1"/>
  <c r="G297" i="24"/>
  <c r="G298" i="24"/>
  <c r="G299" i="24"/>
  <c r="G301" i="24"/>
  <c r="H301" i="24" s="1"/>
  <c r="G302" i="24"/>
  <c r="G303" i="24"/>
  <c r="G304" i="24"/>
  <c r="G306" i="24"/>
  <c r="H306" i="24" s="1"/>
  <c r="G307" i="24"/>
  <c r="G308" i="24"/>
  <c r="G309" i="24"/>
  <c r="G311" i="24"/>
  <c r="H311" i="24" s="1"/>
  <c r="G312" i="24"/>
  <c r="G313" i="24"/>
  <c r="G315" i="24"/>
  <c r="G316" i="24"/>
  <c r="H316" i="24" s="1"/>
  <c r="G317" i="24"/>
  <c r="G285" i="24"/>
  <c r="G19" i="13"/>
  <c r="H19" i="13"/>
  <c r="G20" i="13"/>
  <c r="H20" i="13"/>
  <c r="G21" i="13"/>
  <c r="H21" i="13"/>
  <c r="G22" i="13"/>
  <c r="H22" i="13"/>
  <c r="G18" i="13"/>
  <c r="H18" i="13"/>
  <c r="H25" i="13" s="1"/>
  <c r="H27" i="13" s="1"/>
  <c r="H31" i="13" s="1"/>
  <c r="I14" i="13"/>
  <c r="D26" i="1"/>
  <c r="G10" i="13"/>
  <c r="H10" i="13"/>
  <c r="H12" i="13" s="1"/>
  <c r="H14" i="13" s="1"/>
  <c r="I58" i="14"/>
  <c r="I62" i="14" s="1"/>
  <c r="D75" i="1" s="1"/>
  <c r="I51" i="17"/>
  <c r="D78" i="1" s="1"/>
  <c r="C83" i="1"/>
  <c r="C35" i="1"/>
  <c r="C32" i="1"/>
  <c r="C31" i="1"/>
  <c r="C25" i="1"/>
  <c r="C24" i="1"/>
  <c r="C23" i="1"/>
  <c r="G56" i="23"/>
  <c r="H56" i="23" s="1"/>
  <c r="G55" i="23"/>
  <c r="H55" i="23" s="1"/>
  <c r="G54" i="23"/>
  <c r="H54" i="23" s="1"/>
  <c r="G53" i="23"/>
  <c r="H53" i="23" s="1"/>
  <c r="G52" i="23"/>
  <c r="H52" i="23" s="1"/>
  <c r="G51" i="23"/>
  <c r="H51" i="23" s="1"/>
  <c r="G50" i="23"/>
  <c r="H50" i="23" s="1"/>
  <c r="G49" i="23"/>
  <c r="H49" i="23" s="1"/>
  <c r="G48" i="23"/>
  <c r="H48" i="23" s="1"/>
  <c r="G47" i="23"/>
  <c r="H47" i="23" s="1"/>
  <c r="I58" i="23"/>
  <c r="G46" i="23"/>
  <c r="H46" i="23"/>
  <c r="H58" i="23" s="1"/>
  <c r="G41" i="23"/>
  <c r="H41" i="23" s="1"/>
  <c r="G40" i="23"/>
  <c r="H40" i="23" s="1"/>
  <c r="G39" i="23"/>
  <c r="H39" i="23" s="1"/>
  <c r="G38" i="23"/>
  <c r="H38" i="23" s="1"/>
  <c r="G37" i="23"/>
  <c r="H37" i="23" s="1"/>
  <c r="G36" i="23"/>
  <c r="H36" i="23"/>
  <c r="G35" i="23"/>
  <c r="H35" i="23" s="1"/>
  <c r="G30" i="23"/>
  <c r="H30" i="23"/>
  <c r="G29" i="23"/>
  <c r="H29" i="23" s="1"/>
  <c r="G28" i="23"/>
  <c r="H28" i="23"/>
  <c r="G27" i="23"/>
  <c r="H27" i="23" s="1"/>
  <c r="G26" i="23"/>
  <c r="H26" i="23"/>
  <c r="G25" i="23"/>
  <c r="H25" i="23" s="1"/>
  <c r="G24" i="23"/>
  <c r="H24" i="23"/>
  <c r="G23" i="23"/>
  <c r="H23" i="23" s="1"/>
  <c r="G22" i="23"/>
  <c r="H22" i="23"/>
  <c r="G21" i="23"/>
  <c r="H21" i="23" s="1"/>
  <c r="G20" i="23"/>
  <c r="H20" i="23"/>
  <c r="G19" i="23"/>
  <c r="H19" i="23" s="1"/>
  <c r="G18" i="23"/>
  <c r="H18" i="23"/>
  <c r="I63" i="23"/>
  <c r="I22" i="12"/>
  <c r="G20" i="12"/>
  <c r="H20" i="12"/>
  <c r="H22" i="12" s="1"/>
  <c r="H27" i="12"/>
  <c r="I27" i="12"/>
  <c r="J27" i="12"/>
  <c r="G234" i="24"/>
  <c r="H234" i="24"/>
  <c r="I17" i="12"/>
  <c r="G15" i="12"/>
  <c r="H15" i="12" s="1"/>
  <c r="G14" i="12"/>
  <c r="H14" i="12" s="1"/>
  <c r="H17" i="12" s="1"/>
  <c r="H24" i="12" s="1"/>
  <c r="H28" i="12" s="1"/>
  <c r="I92" i="16"/>
  <c r="G90" i="16"/>
  <c r="H90" i="16" s="1"/>
  <c r="G89" i="16"/>
  <c r="H89" i="16" s="1"/>
  <c r="H92" i="16" s="1"/>
  <c r="G88" i="16"/>
  <c r="H88" i="16" s="1"/>
  <c r="G87" i="16"/>
  <c r="H87" i="16" s="1"/>
  <c r="G86" i="16"/>
  <c r="H86" i="16" s="1"/>
  <c r="J83" i="16"/>
  <c r="I83" i="16"/>
  <c r="G81" i="16"/>
  <c r="H81" i="16"/>
  <c r="G80" i="16"/>
  <c r="H80" i="16"/>
  <c r="J77" i="16"/>
  <c r="G75" i="16"/>
  <c r="H75" i="16" s="1"/>
  <c r="H77" i="16" s="1"/>
  <c r="G74" i="16"/>
  <c r="H74" i="16" s="1"/>
  <c r="G68" i="16"/>
  <c r="H68" i="16" s="1"/>
  <c r="G67" i="16"/>
  <c r="H67" i="16" s="1"/>
  <c r="G66" i="16"/>
  <c r="H66" i="16" s="1"/>
  <c r="G65" i="16"/>
  <c r="H65" i="16" s="1"/>
  <c r="I62" i="16"/>
  <c r="G60" i="16"/>
  <c r="H60" i="16"/>
  <c r="G59" i="16"/>
  <c r="H59" i="16"/>
  <c r="G58" i="16"/>
  <c r="H58" i="16"/>
  <c r="G53" i="16"/>
  <c r="H53" i="16"/>
  <c r="G52" i="16"/>
  <c r="H52" i="16"/>
  <c r="I49" i="16"/>
  <c r="I35" i="16"/>
  <c r="I94" i="16" s="1"/>
  <c r="D77" i="1" s="1"/>
  <c r="I28" i="16"/>
  <c r="G47" i="16"/>
  <c r="H47" i="16" s="1"/>
  <c r="G46" i="16"/>
  <c r="H46" i="16" s="1"/>
  <c r="G45" i="16"/>
  <c r="H45" i="16" s="1"/>
  <c r="G40" i="16"/>
  <c r="H40" i="16" s="1"/>
  <c r="G39" i="16"/>
  <c r="H39" i="16" s="1"/>
  <c r="H42" i="16" s="1"/>
  <c r="G38" i="16"/>
  <c r="H38" i="16" s="1"/>
  <c r="G33" i="16"/>
  <c r="H33" i="16" s="1"/>
  <c r="G32" i="16"/>
  <c r="H32" i="16" s="1"/>
  <c r="G31" i="16"/>
  <c r="H31" i="16" s="1"/>
  <c r="H35" i="16" s="1"/>
  <c r="G26" i="16"/>
  <c r="H26" i="16" s="1"/>
  <c r="G25" i="16"/>
  <c r="H25" i="16" s="1"/>
  <c r="G17" i="16"/>
  <c r="H17" i="16" s="1"/>
  <c r="G12" i="16"/>
  <c r="H12" i="16" s="1"/>
  <c r="G11" i="16"/>
  <c r="H11" i="16" s="1"/>
  <c r="G10" i="16"/>
  <c r="H10" i="16" s="1"/>
  <c r="I39" i="9"/>
  <c r="I16" i="9"/>
  <c r="I41" i="9"/>
  <c r="G37" i="9"/>
  <c r="H37" i="9"/>
  <c r="G36" i="9"/>
  <c r="H36" i="9"/>
  <c r="G31" i="9"/>
  <c r="H31" i="9"/>
  <c r="G30" i="9"/>
  <c r="H30" i="9"/>
  <c r="G29" i="9"/>
  <c r="H29" i="9"/>
  <c r="G28" i="9"/>
  <c r="H28" i="9"/>
  <c r="G27" i="9"/>
  <c r="H27" i="9"/>
  <c r="G22" i="9"/>
  <c r="H22" i="9"/>
  <c r="G21" i="9"/>
  <c r="H21" i="9"/>
  <c r="G20" i="9"/>
  <c r="H20" i="9"/>
  <c r="G19" i="9"/>
  <c r="H19" i="9"/>
  <c r="G14" i="9"/>
  <c r="H14" i="9"/>
  <c r="H16" i="9" s="1"/>
  <c r="J44" i="9"/>
  <c r="I44" i="9"/>
  <c r="H44" i="9"/>
  <c r="E52" i="18"/>
  <c r="G52" i="18"/>
  <c r="H52" i="18" s="1"/>
  <c r="G338" i="24"/>
  <c r="H338" i="24"/>
  <c r="G339" i="24"/>
  <c r="H339" i="24"/>
  <c r="G340" i="24"/>
  <c r="H340" i="24"/>
  <c r="G341" i="24"/>
  <c r="H341" i="24"/>
  <c r="G342" i="24"/>
  <c r="H342" i="24"/>
  <c r="G343" i="24"/>
  <c r="H343" i="24"/>
  <c r="G344" i="24"/>
  <c r="H344" i="24"/>
  <c r="G345" i="24"/>
  <c r="H345" i="24"/>
  <c r="G346" i="24"/>
  <c r="H346" i="24"/>
  <c r="G347" i="24"/>
  <c r="H347" i="24"/>
  <c r="G348" i="24"/>
  <c r="H348" i="24"/>
  <c r="G349" i="24"/>
  <c r="H349" i="24"/>
  <c r="G333" i="24"/>
  <c r="H333" i="24"/>
  <c r="G324" i="24"/>
  <c r="H324" i="24"/>
  <c r="G325" i="24"/>
  <c r="H325" i="24"/>
  <c r="G326" i="24"/>
  <c r="H326" i="24"/>
  <c r="G327" i="24"/>
  <c r="H327" i="24"/>
  <c r="G328" i="24"/>
  <c r="H328" i="24"/>
  <c r="G323" i="24"/>
  <c r="H323" i="24"/>
  <c r="H330" i="24" s="1"/>
  <c r="E87" i="24" s="1"/>
  <c r="G87" i="24" s="1"/>
  <c r="H87" i="24" s="1"/>
  <c r="H89" i="24" s="1"/>
  <c r="I320" i="24"/>
  <c r="J320" i="24"/>
  <c r="H285" i="24"/>
  <c r="H286" i="24"/>
  <c r="H320" i="24" s="1"/>
  <c r="H288" i="24"/>
  <c r="H290" i="24"/>
  <c r="H291" i="24"/>
  <c r="H293" i="24"/>
  <c r="H294" i="24"/>
  <c r="H295" i="24"/>
  <c r="H297" i="24"/>
  <c r="H298" i="24"/>
  <c r="H299" i="24"/>
  <c r="H302" i="24"/>
  <c r="H303" i="24"/>
  <c r="H304" i="24"/>
  <c r="H307" i="24"/>
  <c r="H308" i="24"/>
  <c r="H309" i="24"/>
  <c r="H312" i="24"/>
  <c r="H313" i="24"/>
  <c r="H315" i="24"/>
  <c r="H317" i="24"/>
  <c r="G284" i="24"/>
  <c r="H284" i="24"/>
  <c r="G262" i="24"/>
  <c r="H262" i="24"/>
  <c r="G263" i="24"/>
  <c r="H263" i="24"/>
  <c r="G264" i="24"/>
  <c r="H264" i="24"/>
  <c r="G265" i="24"/>
  <c r="H265" i="24"/>
  <c r="G266" i="24"/>
  <c r="H266" i="24"/>
  <c r="G267" i="24"/>
  <c r="H267" i="24"/>
  <c r="G268" i="24"/>
  <c r="H268" i="24"/>
  <c r="G270" i="24"/>
  <c r="H270" i="24"/>
  <c r="G271" i="24"/>
  <c r="H271" i="24"/>
  <c r="G272" i="24"/>
  <c r="H272" i="24"/>
  <c r="G273" i="24"/>
  <c r="H273" i="24"/>
  <c r="G275" i="24"/>
  <c r="H275" i="24"/>
  <c r="G277" i="24"/>
  <c r="H277" i="24"/>
  <c r="G278" i="24"/>
  <c r="H278" i="24"/>
  <c r="G214" i="24"/>
  <c r="H214" i="24"/>
  <c r="G215" i="24"/>
  <c r="H215" i="24"/>
  <c r="G216" i="24"/>
  <c r="H216" i="24"/>
  <c r="G217" i="24"/>
  <c r="H217" i="24"/>
  <c r="G219" i="24"/>
  <c r="H219" i="24"/>
  <c r="G220" i="24"/>
  <c r="H220" i="24"/>
  <c r="G221" i="24"/>
  <c r="H221" i="24"/>
  <c r="G223" i="24"/>
  <c r="H223" i="24"/>
  <c r="G224" i="24"/>
  <c r="H224" i="24"/>
  <c r="G225" i="24"/>
  <c r="H225" i="24"/>
  <c r="G226" i="24"/>
  <c r="H226" i="24"/>
  <c r="G227" i="24"/>
  <c r="H227" i="24"/>
  <c r="G228" i="24"/>
  <c r="H228" i="24"/>
  <c r="G229" i="24"/>
  <c r="H229" i="24"/>
  <c r="G230" i="24"/>
  <c r="H230" i="24"/>
  <c r="G231" i="24"/>
  <c r="H231" i="24"/>
  <c r="G233" i="24"/>
  <c r="H233" i="24"/>
  <c r="G236" i="24"/>
  <c r="H236" i="24"/>
  <c r="G237" i="24"/>
  <c r="H237" i="24"/>
  <c r="G239" i="24"/>
  <c r="H239" i="24"/>
  <c r="G240" i="24"/>
  <c r="H240" i="24"/>
  <c r="G241" i="24"/>
  <c r="H241" i="24"/>
  <c r="G242" i="24"/>
  <c r="H242" i="24"/>
  <c r="G244" i="24"/>
  <c r="H244" i="24"/>
  <c r="G245" i="24"/>
  <c r="H245" i="24"/>
  <c r="G246" i="24"/>
  <c r="H246" i="24"/>
  <c r="G247" i="24"/>
  <c r="H247" i="24"/>
  <c r="G248" i="24"/>
  <c r="H248" i="24"/>
  <c r="G249" i="24"/>
  <c r="H249" i="24"/>
  <c r="G250" i="24"/>
  <c r="H250" i="24"/>
  <c r="G252" i="24"/>
  <c r="H252" i="24"/>
  <c r="G253" i="24"/>
  <c r="H253" i="24"/>
  <c r="G254" i="24"/>
  <c r="H254" i="24"/>
  <c r="G255" i="24"/>
  <c r="H255" i="24"/>
  <c r="G256" i="24"/>
  <c r="H256" i="24"/>
  <c r="G213" i="24"/>
  <c r="H213" i="24"/>
  <c r="G200" i="24"/>
  <c r="H200" i="24"/>
  <c r="G201" i="24"/>
  <c r="H201" i="24"/>
  <c r="G202" i="24"/>
  <c r="H202" i="24"/>
  <c r="G203" i="24"/>
  <c r="H203" i="24"/>
  <c r="G204" i="24"/>
  <c r="H204" i="24"/>
  <c r="G205" i="24"/>
  <c r="H205" i="24"/>
  <c r="G199" i="24"/>
  <c r="H199" i="24"/>
  <c r="I190" i="24"/>
  <c r="J190" i="24"/>
  <c r="G182" i="24"/>
  <c r="H182" i="24"/>
  <c r="G183" i="24"/>
  <c r="H183" i="24"/>
  <c r="H190" i="24" s="1"/>
  <c r="E35" i="24" s="1"/>
  <c r="G35" i="24" s="1"/>
  <c r="H35" i="24" s="1"/>
  <c r="H37" i="24" s="1"/>
  <c r="G184" i="24"/>
  <c r="H184" i="24"/>
  <c r="G185" i="24"/>
  <c r="H185" i="24"/>
  <c r="G186" i="24"/>
  <c r="H186" i="24"/>
  <c r="G187" i="24"/>
  <c r="H187" i="24"/>
  <c r="G188" i="24"/>
  <c r="H188" i="24"/>
  <c r="J179" i="24"/>
  <c r="I179" i="24"/>
  <c r="G163" i="24"/>
  <c r="H163" i="24"/>
  <c r="G164" i="24"/>
  <c r="H164" i="24"/>
  <c r="H179" i="24" s="1"/>
  <c r="G165" i="24"/>
  <c r="H165" i="24"/>
  <c r="G166" i="24"/>
  <c r="H166" i="24"/>
  <c r="G167" i="24"/>
  <c r="H167" i="24"/>
  <c r="G168" i="24"/>
  <c r="H168" i="24"/>
  <c r="G169" i="24"/>
  <c r="H169" i="24"/>
  <c r="G170" i="24"/>
  <c r="H170" i="24"/>
  <c r="G171" i="24"/>
  <c r="H171" i="24"/>
  <c r="G172" i="24"/>
  <c r="H172" i="24"/>
  <c r="G173" i="24"/>
  <c r="H173" i="24"/>
  <c r="G174" i="24"/>
  <c r="H174" i="24"/>
  <c r="G175" i="24"/>
  <c r="H175" i="24"/>
  <c r="G176" i="24"/>
  <c r="H176" i="24"/>
  <c r="G177" i="24"/>
  <c r="H177" i="24"/>
  <c r="I152" i="24"/>
  <c r="J152" i="24"/>
  <c r="G106" i="24"/>
  <c r="H106" i="24" s="1"/>
  <c r="G107" i="24"/>
  <c r="H107" i="24" s="1"/>
  <c r="G108" i="24"/>
  <c r="H108" i="24" s="1"/>
  <c r="G109" i="24"/>
  <c r="H109" i="24" s="1"/>
  <c r="G110" i="24"/>
  <c r="H110" i="24" s="1"/>
  <c r="G111" i="24"/>
  <c r="H111" i="24" s="1"/>
  <c r="G112" i="24"/>
  <c r="H112" i="24" s="1"/>
  <c r="G113" i="24"/>
  <c r="H113" i="24" s="1"/>
  <c r="G114" i="24"/>
  <c r="H114" i="24" s="1"/>
  <c r="G115" i="24"/>
  <c r="H115" i="24" s="1"/>
  <c r="G116" i="24"/>
  <c r="H116" i="24" s="1"/>
  <c r="G117" i="24"/>
  <c r="H117" i="24" s="1"/>
  <c r="G119" i="24"/>
  <c r="H119" i="24" s="1"/>
  <c r="G120" i="24"/>
  <c r="H120" i="24" s="1"/>
  <c r="G121" i="24"/>
  <c r="H121" i="24" s="1"/>
  <c r="G123" i="24"/>
  <c r="H123" i="24" s="1"/>
  <c r="G124" i="24"/>
  <c r="H124" i="24" s="1"/>
  <c r="G126" i="24"/>
  <c r="H126" i="24" s="1"/>
  <c r="G127" i="24"/>
  <c r="H127" i="24" s="1"/>
  <c r="G128" i="24"/>
  <c r="H128" i="24" s="1"/>
  <c r="G129" i="24"/>
  <c r="H129" i="24" s="1"/>
  <c r="G130" i="24"/>
  <c r="H130" i="24" s="1"/>
  <c r="G131" i="24"/>
  <c r="H131" i="24" s="1"/>
  <c r="G132" i="24"/>
  <c r="H132" i="24" s="1"/>
  <c r="G133" i="24"/>
  <c r="H133" i="24" s="1"/>
  <c r="G135" i="24"/>
  <c r="H135" i="24" s="1"/>
  <c r="G136" i="24"/>
  <c r="H136" i="24" s="1"/>
  <c r="G139" i="24"/>
  <c r="H139" i="24" s="1"/>
  <c r="G140" i="24"/>
  <c r="H140" i="24" s="1"/>
  <c r="G142" i="24"/>
  <c r="H142" i="24" s="1"/>
  <c r="G143" i="24"/>
  <c r="H143" i="24" s="1"/>
  <c r="G144" i="24"/>
  <c r="H144" i="24" s="1"/>
  <c r="G146" i="24"/>
  <c r="H146" i="24" s="1"/>
  <c r="G147" i="24"/>
  <c r="H147" i="24" s="1"/>
  <c r="G150" i="24"/>
  <c r="H150" i="24" s="1"/>
  <c r="I37" i="24"/>
  <c r="J37" i="24"/>
  <c r="I32" i="24"/>
  <c r="J32" i="24"/>
  <c r="I27" i="24"/>
  <c r="J27" i="24"/>
  <c r="I21" i="24"/>
  <c r="J21" i="24"/>
  <c r="I84" i="24"/>
  <c r="I74" i="24"/>
  <c r="I68" i="24"/>
  <c r="I48" i="24"/>
  <c r="J99" i="24"/>
  <c r="J84" i="24"/>
  <c r="J74" i="24"/>
  <c r="J68" i="24"/>
  <c r="J48" i="24"/>
  <c r="J56" i="24"/>
  <c r="G77" i="24"/>
  <c r="H77" i="24" s="1"/>
  <c r="G78" i="24"/>
  <c r="H78" i="24" s="1"/>
  <c r="G79" i="24"/>
  <c r="H79" i="24" s="1"/>
  <c r="G80" i="24"/>
  <c r="H80" i="24" s="1"/>
  <c r="G81" i="24"/>
  <c r="H81" i="24" s="1"/>
  <c r="G82" i="24"/>
  <c r="H82" i="24" s="1"/>
  <c r="G71" i="24"/>
  <c r="H71" i="24" s="1"/>
  <c r="G72" i="24"/>
  <c r="H72" i="24" s="1"/>
  <c r="G59" i="24"/>
  <c r="H59" i="24" s="1"/>
  <c r="G60" i="24"/>
  <c r="H60" i="24" s="1"/>
  <c r="G61" i="24"/>
  <c r="H61" i="24" s="1"/>
  <c r="H68" i="24" s="1"/>
  <c r="G62" i="24"/>
  <c r="H62" i="24" s="1"/>
  <c r="G63" i="24"/>
  <c r="H63" i="24" s="1"/>
  <c r="G64" i="24"/>
  <c r="H64" i="24" s="1"/>
  <c r="G65" i="24"/>
  <c r="H65" i="24" s="1"/>
  <c r="G66" i="24"/>
  <c r="H66" i="24" s="1"/>
  <c r="G40" i="24"/>
  <c r="H40" i="24" s="1"/>
  <c r="G41" i="24"/>
  <c r="H41" i="24" s="1"/>
  <c r="G42" i="24"/>
  <c r="H42" i="24" s="1"/>
  <c r="G43" i="24"/>
  <c r="H43" i="24" s="1"/>
  <c r="G44" i="24"/>
  <c r="H44" i="24" s="1"/>
  <c r="G45" i="24"/>
  <c r="H45" i="24" s="1"/>
  <c r="G46" i="24"/>
  <c r="H46" i="24" s="1"/>
  <c r="G30" i="24"/>
  <c r="H30" i="24" s="1"/>
  <c r="H32" i="24" s="1"/>
  <c r="G24" i="24"/>
  <c r="H24" i="24"/>
  <c r="G25" i="24"/>
  <c r="H25" i="24"/>
  <c r="G10" i="24"/>
  <c r="H10" i="24"/>
  <c r="G11" i="24"/>
  <c r="H11" i="24" s="1"/>
  <c r="G12" i="24"/>
  <c r="H12" i="24" s="1"/>
  <c r="G13" i="24"/>
  <c r="H13" i="24" s="1"/>
  <c r="G15" i="24"/>
  <c r="H15" i="24" s="1"/>
  <c r="G16" i="24"/>
  <c r="H16" i="24" s="1"/>
  <c r="G17" i="24"/>
  <c r="H17" i="24" s="1"/>
  <c r="G18" i="24"/>
  <c r="H18" i="24" s="1"/>
  <c r="G19" i="24"/>
  <c r="H19" i="24" s="1"/>
  <c r="G51" i="24"/>
  <c r="H51" i="24"/>
  <c r="G52" i="24"/>
  <c r="H52" i="24" s="1"/>
  <c r="G53" i="24"/>
  <c r="H53" i="24" s="1"/>
  <c r="G54" i="24"/>
  <c r="H54" i="24" s="1"/>
  <c r="G17" i="15"/>
  <c r="H17" i="15"/>
  <c r="H19" i="15" s="1"/>
  <c r="G10" i="15"/>
  <c r="H10" i="15" s="1"/>
  <c r="H14" i="15" s="1"/>
  <c r="H21" i="15" s="1"/>
  <c r="G11" i="15"/>
  <c r="H11" i="15" s="1"/>
  <c r="G12" i="15"/>
  <c r="H12" i="15" s="1"/>
  <c r="I39" i="15"/>
  <c r="I33" i="15"/>
  <c r="I28" i="15"/>
  <c r="G58" i="15"/>
  <c r="H58" i="15"/>
  <c r="G36" i="15"/>
  <c r="H36" i="15"/>
  <c r="G37" i="15"/>
  <c r="H37" i="15"/>
  <c r="G31" i="15"/>
  <c r="H31" i="15"/>
  <c r="H33" i="15" s="1"/>
  <c r="G25" i="15"/>
  <c r="H25" i="15" s="1"/>
  <c r="G26" i="15"/>
  <c r="H26" i="15" s="1"/>
  <c r="G55" i="15"/>
  <c r="H55" i="15" s="1"/>
  <c r="H60" i="15" s="1"/>
  <c r="H62" i="15" s="1"/>
  <c r="H66" i="15" s="1"/>
  <c r="C76" i="1" s="1"/>
  <c r="G56" i="15"/>
  <c r="H56" i="15" s="1"/>
  <c r="G57" i="15"/>
  <c r="H57" i="15" s="1"/>
  <c r="H59" i="19"/>
  <c r="J59" i="19"/>
  <c r="I59" i="19"/>
  <c r="I41" i="19"/>
  <c r="I30" i="19"/>
  <c r="I48" i="19"/>
  <c r="I23" i="19"/>
  <c r="I17" i="19"/>
  <c r="I56" i="19"/>
  <c r="G33" i="19"/>
  <c r="H33" i="19"/>
  <c r="G34" i="19"/>
  <c r="H34" i="19"/>
  <c r="G35" i="19"/>
  <c r="H35" i="19"/>
  <c r="G36" i="19"/>
  <c r="H36" i="19"/>
  <c r="G37" i="19"/>
  <c r="H37" i="19"/>
  <c r="G38" i="19"/>
  <c r="H38" i="19"/>
  <c r="G39" i="19"/>
  <c r="H39" i="19"/>
  <c r="G26" i="19"/>
  <c r="H26" i="19"/>
  <c r="H20" i="19"/>
  <c r="G21" i="19"/>
  <c r="H21" i="19" s="1"/>
  <c r="H14" i="19"/>
  <c r="H17" i="19" s="1"/>
  <c r="G15" i="19"/>
  <c r="H15" i="19"/>
  <c r="G44" i="19"/>
  <c r="H44" i="19" s="1"/>
  <c r="H48" i="19" s="1"/>
  <c r="I23" i="20"/>
  <c r="G18" i="20"/>
  <c r="H18" i="20"/>
  <c r="G19" i="20"/>
  <c r="H19" i="20"/>
  <c r="G20" i="20"/>
  <c r="H20" i="20"/>
  <c r="G21" i="20"/>
  <c r="H21" i="20"/>
  <c r="G26" i="20"/>
  <c r="H26" i="20"/>
  <c r="H29" i="20" s="1"/>
  <c r="G32" i="20"/>
  <c r="H32" i="20" s="1"/>
  <c r="G33" i="20"/>
  <c r="H33" i="20" s="1"/>
  <c r="G38" i="20"/>
  <c r="H38" i="20" s="1"/>
  <c r="H41" i="20" s="1"/>
  <c r="G39" i="20"/>
  <c r="H39" i="20" s="1"/>
  <c r="I41" i="20"/>
  <c r="G10" i="21"/>
  <c r="H10" i="21" s="1"/>
  <c r="H12" i="21"/>
  <c r="H14" i="21" s="1"/>
  <c r="G19" i="21"/>
  <c r="H19" i="21"/>
  <c r="G22" i="21"/>
  <c r="H22" i="21"/>
  <c r="G18" i="21"/>
  <c r="H18" i="21"/>
  <c r="H24" i="21" s="1"/>
  <c r="G39" i="21"/>
  <c r="H39" i="21"/>
  <c r="G40" i="21"/>
  <c r="H40" i="21"/>
  <c r="G41" i="21"/>
  <c r="H41" i="21"/>
  <c r="G38" i="21"/>
  <c r="H38" i="21"/>
  <c r="G20" i="21"/>
  <c r="H20" i="21"/>
  <c r="G21" i="21"/>
  <c r="H21" i="21"/>
  <c r="J330" i="24"/>
  <c r="F53" i="18"/>
  <c r="G53" i="18" s="1"/>
  <c r="H53" i="18" s="1"/>
  <c r="G51" i="18"/>
  <c r="H51" i="18" s="1"/>
  <c r="G10" i="18"/>
  <c r="H10" i="18" s="1"/>
  <c r="G11" i="18"/>
  <c r="H11" i="18" s="1"/>
  <c r="G12" i="18"/>
  <c r="H12" i="18" s="1"/>
  <c r="G13" i="18"/>
  <c r="H13" i="18"/>
  <c r="G14" i="18"/>
  <c r="H14" i="18" s="1"/>
  <c r="G15" i="18"/>
  <c r="H15" i="18" s="1"/>
  <c r="E112" i="1"/>
  <c r="G100" i="25"/>
  <c r="H100" i="25" s="1"/>
  <c r="G15" i="11"/>
  <c r="H15" i="11"/>
  <c r="G106" i="25"/>
  <c r="H106" i="25" s="1"/>
  <c r="E101" i="1"/>
  <c r="E150" i="25"/>
  <c r="G150" i="25" s="1"/>
  <c r="H150" i="25"/>
  <c r="C115" i="1" s="1"/>
  <c r="E104" i="1"/>
  <c r="G115" i="25"/>
  <c r="H115" i="25" s="1"/>
  <c r="E105" i="1"/>
  <c r="F121" i="25"/>
  <c r="G121" i="25" s="1"/>
  <c r="H121" i="25"/>
  <c r="F120" i="25"/>
  <c r="E120" i="25"/>
  <c r="E119" i="25"/>
  <c r="G119" i="25"/>
  <c r="H119" i="25" s="1"/>
  <c r="E114" i="25"/>
  <c r="G114" i="25" s="1"/>
  <c r="H114" i="25" s="1"/>
  <c r="G66" i="25"/>
  <c r="H66" i="25"/>
  <c r="G24" i="25"/>
  <c r="H24" i="25" s="1"/>
  <c r="E92" i="1"/>
  <c r="E95" i="1"/>
  <c r="G84" i="25"/>
  <c r="H84" i="25" s="1"/>
  <c r="G85" i="25"/>
  <c r="H85" i="25"/>
  <c r="G86" i="25"/>
  <c r="H86" i="25" s="1"/>
  <c r="F94" i="25"/>
  <c r="G94" i="25"/>
  <c r="H94" i="25" s="1"/>
  <c r="E12" i="1"/>
  <c r="G14" i="25"/>
  <c r="H14" i="25" s="1"/>
  <c r="G52" i="25"/>
  <c r="H52" i="25" s="1"/>
  <c r="G122" i="25"/>
  <c r="H122" i="25" s="1"/>
  <c r="E120" i="1"/>
  <c r="G160" i="25"/>
  <c r="H160" i="25" s="1"/>
  <c r="C120" i="1" s="1"/>
  <c r="G118" i="25"/>
  <c r="H118" i="25" s="1"/>
  <c r="E100" i="1"/>
  <c r="G101" i="25"/>
  <c r="H101" i="25" s="1"/>
  <c r="G105" i="25"/>
  <c r="H105" i="25" s="1"/>
  <c r="E103" i="1"/>
  <c r="G111" i="25"/>
  <c r="H111" i="25" s="1"/>
  <c r="G110" i="25"/>
  <c r="H110" i="25" s="1"/>
  <c r="E119" i="1"/>
  <c r="E118" i="1"/>
  <c r="E117" i="1"/>
  <c r="E116" i="1"/>
  <c r="E115" i="1"/>
  <c r="E114" i="1"/>
  <c r="E113" i="1"/>
  <c r="E111" i="1"/>
  <c r="E110" i="1"/>
  <c r="E102" i="1"/>
  <c r="E94" i="1"/>
  <c r="E93" i="1"/>
  <c r="E65" i="1"/>
  <c r="E64" i="1"/>
  <c r="E63" i="1"/>
  <c r="E62" i="1"/>
  <c r="E61" i="1"/>
  <c r="E60" i="1"/>
  <c r="E47" i="1"/>
  <c r="E46" i="1"/>
  <c r="E45" i="1"/>
  <c r="E44" i="1"/>
  <c r="E43" i="1"/>
  <c r="E42" i="1"/>
  <c r="E17" i="1"/>
  <c r="E16" i="1"/>
  <c r="E15" i="1"/>
  <c r="E14" i="1"/>
  <c r="E13" i="1"/>
  <c r="G154" i="25"/>
  <c r="H154" i="25" s="1"/>
  <c r="C117" i="1" s="1"/>
  <c r="G152" i="25"/>
  <c r="H152" i="25" s="1"/>
  <c r="C116" i="1" s="1"/>
  <c r="G148" i="25"/>
  <c r="H148" i="25" s="1"/>
  <c r="C114" i="1" s="1"/>
  <c r="G132" i="25"/>
  <c r="H132" i="25" s="1"/>
  <c r="C111" i="1" s="1"/>
  <c r="G91" i="25"/>
  <c r="H91" i="25" s="1"/>
  <c r="C94" i="1" s="1"/>
  <c r="G89" i="25"/>
  <c r="H89" i="25" s="1"/>
  <c r="C93" i="1" s="1"/>
  <c r="G69" i="25"/>
  <c r="H69" i="25" s="1"/>
  <c r="C62" i="1" s="1"/>
  <c r="G65" i="25"/>
  <c r="H65" i="25" s="1"/>
  <c r="G64" i="25"/>
  <c r="H64" i="25" s="1"/>
  <c r="G63" i="25"/>
  <c r="H63" i="25" s="1"/>
  <c r="G73" i="25"/>
  <c r="H73" i="25" s="1"/>
  <c r="C64" i="1" s="1"/>
  <c r="G71" i="25"/>
  <c r="H71" i="25" s="1"/>
  <c r="C63" i="1" s="1"/>
  <c r="G51" i="25"/>
  <c r="H51" i="25" s="1"/>
  <c r="G49" i="25"/>
  <c r="H49" i="25" s="1"/>
  <c r="C46" i="1" s="1"/>
  <c r="G31" i="25"/>
  <c r="H31" i="25" s="1"/>
  <c r="C17" i="1" s="1"/>
  <c r="G21" i="25"/>
  <c r="H21" i="25" s="1"/>
  <c r="C14" i="1" s="1"/>
  <c r="G19" i="25"/>
  <c r="H19" i="25" s="1"/>
  <c r="C13" i="1" s="1"/>
  <c r="G17" i="25"/>
  <c r="H17" i="25" s="1"/>
  <c r="G13" i="25"/>
  <c r="H13" i="25" s="1"/>
  <c r="J162" i="25"/>
  <c r="G158" i="25"/>
  <c r="H158" i="25" s="1"/>
  <c r="C119" i="1" s="1"/>
  <c r="G146" i="25"/>
  <c r="H146" i="25" s="1"/>
  <c r="C113" i="1" s="1"/>
  <c r="G128" i="25"/>
  <c r="H128" i="25" s="1"/>
  <c r="C110" i="1" s="1"/>
  <c r="J124" i="25"/>
  <c r="G108" i="25"/>
  <c r="H108" i="25" s="1"/>
  <c r="C102" i="1" s="1"/>
  <c r="G104" i="25"/>
  <c r="H104" i="25" s="1"/>
  <c r="J96" i="25"/>
  <c r="G93" i="25"/>
  <c r="H93" i="25" s="1"/>
  <c r="G83" i="25"/>
  <c r="H83" i="25" s="1"/>
  <c r="J79" i="25"/>
  <c r="G75" i="25"/>
  <c r="H75" i="25" s="1"/>
  <c r="C65" i="1" s="1"/>
  <c r="G61" i="25"/>
  <c r="H61" i="25" s="1"/>
  <c r="J54" i="25"/>
  <c r="I54" i="25"/>
  <c r="G47" i="25"/>
  <c r="H47" i="25" s="1"/>
  <c r="C45" i="1" s="1"/>
  <c r="G45" i="25"/>
  <c r="H45" i="25" s="1"/>
  <c r="C44" i="1" s="1"/>
  <c r="G43" i="25"/>
  <c r="H43" i="25" s="1"/>
  <c r="C43" i="1" s="1"/>
  <c r="G41" i="25"/>
  <c r="H41" i="25" s="1"/>
  <c r="J37" i="25"/>
  <c r="G28" i="25"/>
  <c r="H28" i="25" s="1"/>
  <c r="G27" i="25"/>
  <c r="H27" i="25" s="1"/>
  <c r="G11" i="25"/>
  <c r="H11" i="25" s="1"/>
  <c r="J280" i="24"/>
  <c r="J209" i="24"/>
  <c r="J196" i="24"/>
  <c r="I352" i="24"/>
  <c r="I354" i="24" s="1"/>
  <c r="I358" i="24" s="1"/>
  <c r="D85" i="1" s="1"/>
  <c r="I280" i="24"/>
  <c r="I258" i="24"/>
  <c r="I209" i="24"/>
  <c r="J41" i="18"/>
  <c r="I41" i="18"/>
  <c r="G39" i="18"/>
  <c r="H39" i="18" s="1"/>
  <c r="G38" i="18"/>
  <c r="H38" i="18" s="1"/>
  <c r="G37" i="18"/>
  <c r="H37" i="18" s="1"/>
  <c r="G36" i="18"/>
  <c r="H36" i="18" s="1"/>
  <c r="G35" i="18"/>
  <c r="H35" i="18" s="1"/>
  <c r="G34" i="18"/>
  <c r="H34" i="18" s="1"/>
  <c r="G33" i="18"/>
  <c r="H33" i="18" s="1"/>
  <c r="G32" i="18"/>
  <c r="H32" i="18" s="1"/>
  <c r="J29" i="18"/>
  <c r="I29" i="18"/>
  <c r="G27" i="18"/>
  <c r="H27" i="18" s="1"/>
  <c r="G26" i="18"/>
  <c r="H26" i="18" s="1"/>
  <c r="G25" i="18"/>
  <c r="H25" i="18" s="1"/>
  <c r="G24" i="18"/>
  <c r="H24" i="18" s="1"/>
  <c r="G23" i="18"/>
  <c r="H23" i="18" s="1"/>
  <c r="G22" i="18"/>
  <c r="H22" i="18" s="1"/>
  <c r="G21" i="18"/>
  <c r="H21" i="18" s="1"/>
  <c r="G20" i="18"/>
  <c r="H20" i="18" s="1"/>
  <c r="J17" i="18"/>
  <c r="I17" i="18"/>
  <c r="G17" i="11"/>
  <c r="H17" i="11" s="1"/>
  <c r="G16" i="11"/>
  <c r="H16" i="11" s="1"/>
  <c r="G14" i="11"/>
  <c r="H14" i="11" s="1"/>
  <c r="I25" i="11"/>
  <c r="J25" i="11"/>
  <c r="H25" i="11"/>
  <c r="H28" i="15"/>
  <c r="H24" i="9"/>
  <c r="I24" i="12"/>
  <c r="H71" i="16"/>
  <c r="H94" i="16" s="1"/>
  <c r="I62" i="15"/>
  <c r="I66" i="15" s="1"/>
  <c r="H209" i="24"/>
  <c r="J43" i="18"/>
  <c r="J61" i="18" s="1"/>
  <c r="I28" i="12"/>
  <c r="I29" i="12" s="1"/>
  <c r="H61" i="14"/>
  <c r="C27" i="1"/>
  <c r="C74" i="1"/>
  <c r="I60" i="19"/>
  <c r="D80" i="1"/>
  <c r="H52" i="15"/>
  <c r="I43" i="18"/>
  <c r="I61" i="18" s="1"/>
  <c r="I63" i="18" s="1"/>
  <c r="H258" i="24"/>
  <c r="H35" i="20"/>
  <c r="H23" i="20"/>
  <c r="J63" i="23"/>
  <c r="H63" i="23"/>
  <c r="I27" i="11"/>
  <c r="H43" i="21"/>
  <c r="H39" i="15"/>
  <c r="H23" i="19"/>
  <c r="H19" i="16"/>
  <c r="I101" i="24"/>
  <c r="D37" i="1" s="1"/>
  <c r="H74" i="24"/>
  <c r="H27" i="24"/>
  <c r="H160" i="24"/>
  <c r="H280" i="24"/>
  <c r="H41" i="19"/>
  <c r="H30" i="19"/>
  <c r="H62" i="16"/>
  <c r="H49" i="16"/>
  <c r="J97" i="16"/>
  <c r="H39" i="9"/>
  <c r="H33" i="9"/>
  <c r="H41" i="9" s="1"/>
  <c r="H45" i="9" s="1"/>
  <c r="C71" i="1" s="1"/>
  <c r="H14" i="16"/>
  <c r="H21" i="16" s="1"/>
  <c r="H28" i="16"/>
  <c r="H55" i="16"/>
  <c r="H83" i="16"/>
  <c r="I45" i="9"/>
  <c r="D71" i="1" s="1"/>
  <c r="I97" i="16"/>
  <c r="I99" i="16" s="1"/>
  <c r="I65" i="15"/>
  <c r="I61" i="19"/>
  <c r="I98" i="16"/>
  <c r="I46" i="9"/>
  <c r="J29" i="12"/>
  <c r="G23" i="1" l="1"/>
  <c r="G35" i="1"/>
  <c r="I28" i="22"/>
  <c r="I29" i="22" s="1"/>
  <c r="G120" i="25"/>
  <c r="H120" i="25" s="1"/>
  <c r="C16" i="1"/>
  <c r="I37" i="25"/>
  <c r="D11" i="1"/>
  <c r="C95" i="1"/>
  <c r="C103" i="1"/>
  <c r="I79" i="25"/>
  <c r="E107" i="1"/>
  <c r="C15" i="1"/>
  <c r="C47" i="1"/>
  <c r="E97" i="1"/>
  <c r="H21" i="24"/>
  <c r="H56" i="24"/>
  <c r="H48" i="24"/>
  <c r="G193" i="24" s="1"/>
  <c r="H193" i="24" s="1"/>
  <c r="H196" i="24" s="1"/>
  <c r="H84" i="24"/>
  <c r="H152" i="24"/>
  <c r="J354" i="24"/>
  <c r="J358" i="24" s="1"/>
  <c r="E85" i="1" s="1"/>
  <c r="H32" i="23"/>
  <c r="H43" i="23"/>
  <c r="H60" i="23" s="1"/>
  <c r="I43" i="23"/>
  <c r="I60" i="23" s="1"/>
  <c r="I50" i="20"/>
  <c r="D81" i="1" s="1"/>
  <c r="J101" i="24"/>
  <c r="J357" i="24" s="1"/>
  <c r="E37" i="1"/>
  <c r="C100" i="1"/>
  <c r="C11" i="1"/>
  <c r="J164" i="25"/>
  <c r="J168" i="25" s="1"/>
  <c r="C101" i="1"/>
  <c r="C105" i="1"/>
  <c r="D112" i="1"/>
  <c r="D49" i="1"/>
  <c r="E49" i="1"/>
  <c r="E68" i="1"/>
  <c r="C104" i="1"/>
  <c r="E20" i="1"/>
  <c r="I56" i="25"/>
  <c r="I167" i="25" s="1"/>
  <c r="E156" i="25"/>
  <c r="G156" i="25" s="1"/>
  <c r="H156" i="25" s="1"/>
  <c r="C118" i="1" s="1"/>
  <c r="C122" i="1" s="1"/>
  <c r="C61" i="1"/>
  <c r="H97" i="16"/>
  <c r="C29" i="1"/>
  <c r="I67" i="15"/>
  <c r="D76" i="1"/>
  <c r="H19" i="11"/>
  <c r="H22" i="11" s="1"/>
  <c r="H26" i="11" s="1"/>
  <c r="H41" i="18"/>
  <c r="H29" i="12"/>
  <c r="C73" i="1"/>
  <c r="G25" i="1" s="1"/>
  <c r="H46" i="9"/>
  <c r="C77" i="1"/>
  <c r="H98" i="16"/>
  <c r="H65" i="15"/>
  <c r="H67" i="15" s="1"/>
  <c r="C28" i="1"/>
  <c r="G28" i="1" s="1"/>
  <c r="H29" i="18"/>
  <c r="C10" i="1"/>
  <c r="H37" i="25"/>
  <c r="H54" i="25"/>
  <c r="C42" i="1"/>
  <c r="H79" i="25"/>
  <c r="C60" i="1"/>
  <c r="H96" i="25"/>
  <c r="C92" i="1"/>
  <c r="E75" i="1"/>
  <c r="J63" i="14"/>
  <c r="J28" i="22"/>
  <c r="J29" i="22" s="1"/>
  <c r="E83" i="1"/>
  <c r="D82" i="1"/>
  <c r="I49" i="21"/>
  <c r="I357" i="24"/>
  <c r="I359" i="24" s="1"/>
  <c r="H124" i="25"/>
  <c r="D73" i="1"/>
  <c r="J56" i="25"/>
  <c r="J167" i="25" s="1"/>
  <c r="C12" i="1"/>
  <c r="C33" i="1"/>
  <c r="H53" i="20"/>
  <c r="C26" i="1"/>
  <c r="H30" i="13"/>
  <c r="H32" i="13" s="1"/>
  <c r="H51" i="14"/>
  <c r="H45" i="17"/>
  <c r="H99" i="24"/>
  <c r="C34" i="1"/>
  <c r="H48" i="21"/>
  <c r="H36" i="14"/>
  <c r="D30" i="1"/>
  <c r="I50" i="17"/>
  <c r="I52" i="17" s="1"/>
  <c r="H30" i="17"/>
  <c r="D20" i="1"/>
  <c r="D111" i="1"/>
  <c r="I162" i="25"/>
  <c r="H56" i="18"/>
  <c r="H58" i="18" s="1"/>
  <c r="H62" i="18" s="1"/>
  <c r="C79" i="1" s="1"/>
  <c r="G31" i="1" s="1"/>
  <c r="H23" i="14"/>
  <c r="J65" i="15"/>
  <c r="E28" i="1"/>
  <c r="D68" i="1"/>
  <c r="D27" i="1"/>
  <c r="I61" i="14"/>
  <c r="I63" i="14" s="1"/>
  <c r="H54" i="19"/>
  <c r="H56" i="19" s="1"/>
  <c r="H60" i="19" s="1"/>
  <c r="H35" i="21"/>
  <c r="H45" i="21" s="1"/>
  <c r="D107" i="1"/>
  <c r="H48" i="20"/>
  <c r="H50" i="20" s="1"/>
  <c r="J41" i="9"/>
  <c r="J45" i="9" s="1"/>
  <c r="J46" i="9" s="1"/>
  <c r="J60" i="19"/>
  <c r="E80" i="1" s="1"/>
  <c r="D97" i="1"/>
  <c r="J60" i="23"/>
  <c r="E84" i="1" s="1"/>
  <c r="J47" i="17"/>
  <c r="J51" i="17" s="1"/>
  <c r="E78" i="1" s="1"/>
  <c r="E30" i="1"/>
  <c r="E79" i="1"/>
  <c r="J63" i="18"/>
  <c r="H17" i="18"/>
  <c r="H43" i="18" s="1"/>
  <c r="H61" i="18" s="1"/>
  <c r="J62" i="15"/>
  <c r="J66" i="15" s="1"/>
  <c r="E76" i="1" s="1"/>
  <c r="E77" i="1"/>
  <c r="E122" i="1"/>
  <c r="J27" i="11"/>
  <c r="E72" i="1"/>
  <c r="G29" i="1" l="1"/>
  <c r="D39" i="1"/>
  <c r="I164" i="25"/>
  <c r="I168" i="25" s="1"/>
  <c r="H162" i="25"/>
  <c r="H164" i="25" s="1"/>
  <c r="H168" i="25" s="1"/>
  <c r="C68" i="1"/>
  <c r="C97" i="1"/>
  <c r="C49" i="1"/>
  <c r="D122" i="1"/>
  <c r="H56" i="25"/>
  <c r="H167" i="25" s="1"/>
  <c r="J359" i="24"/>
  <c r="D84" i="1"/>
  <c r="I64" i="23"/>
  <c r="I65" i="23" s="1"/>
  <c r="C84" i="1"/>
  <c r="G36" i="1" s="1"/>
  <c r="H64" i="23"/>
  <c r="H65" i="23" s="1"/>
  <c r="D89" i="1"/>
  <c r="I54" i="20"/>
  <c r="I55" i="20" s="1"/>
  <c r="J61" i="19"/>
  <c r="E71" i="1"/>
  <c r="E89" i="1" s="1"/>
  <c r="J169" i="25"/>
  <c r="E39" i="1"/>
  <c r="E127" i="1" s="1"/>
  <c r="I169" i="25"/>
  <c r="D56" i="1"/>
  <c r="D127" i="1" s="1"/>
  <c r="C107" i="1"/>
  <c r="C20" i="1"/>
  <c r="C81" i="1"/>
  <c r="G33" i="1" s="1"/>
  <c r="H54" i="20"/>
  <c r="H61" i="19"/>
  <c r="C80" i="1"/>
  <c r="G32" i="1" s="1"/>
  <c r="H49" i="21"/>
  <c r="C82" i="1"/>
  <c r="G34" i="1" s="1"/>
  <c r="J98" i="16"/>
  <c r="J99" i="16" s="1"/>
  <c r="H55" i="20"/>
  <c r="H27" i="11"/>
  <c r="C72" i="1"/>
  <c r="H58" i="14"/>
  <c r="H62" i="14" s="1"/>
  <c r="H99" i="16"/>
  <c r="E350" i="24"/>
  <c r="G350" i="24" s="1"/>
  <c r="H350" i="24" s="1"/>
  <c r="H352" i="24" s="1"/>
  <c r="H354" i="24" s="1"/>
  <c r="H358" i="24" s="1"/>
  <c r="C85" i="1" s="1"/>
  <c r="H101" i="24"/>
  <c r="G26" i="1"/>
  <c r="H50" i="21"/>
  <c r="H63" i="18"/>
  <c r="H47" i="17"/>
  <c r="H51" i="17" s="1"/>
  <c r="J64" i="23"/>
  <c r="J65" i="23" s="1"/>
  <c r="J52" i="17"/>
  <c r="J67" i="15"/>
  <c r="E124" i="1" l="1"/>
  <c r="E128" i="1" s="1"/>
  <c r="E129" i="1" s="1"/>
  <c r="H169" i="25"/>
  <c r="D124" i="1"/>
  <c r="D128" i="1" s="1"/>
  <c r="D129" i="1" s="1"/>
  <c r="C75" i="1"/>
  <c r="G27" i="1" s="1"/>
  <c r="H63" i="14"/>
  <c r="H357" i="24"/>
  <c r="H359" i="24" s="1"/>
  <c r="C37" i="1"/>
  <c r="G24" i="1"/>
  <c r="H52" i="17"/>
  <c r="C78" i="1"/>
  <c r="G30" i="1" s="1"/>
  <c r="C87" i="1" l="1"/>
  <c r="C89" i="1" s="1"/>
  <c r="C124" i="1" s="1"/>
  <c r="C128" i="1" s="1"/>
  <c r="G37" i="1"/>
  <c r="C39" i="1"/>
  <c r="C56" i="1" s="1"/>
  <c r="C127" i="1" s="1"/>
  <c r="C129" i="1" l="1"/>
</calcChain>
</file>

<file path=xl/comments1.xml><?xml version="1.0" encoding="utf-8"?>
<comments xmlns="http://schemas.openxmlformats.org/spreadsheetml/2006/main">
  <authors>
    <author>Andrew Crawford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Andrew Crawford:</t>
        </r>
        <r>
          <rPr>
            <sz val="9"/>
            <color indexed="81"/>
            <rFont val="Tahoma"/>
            <family val="2"/>
          </rPr>
          <t xml:space="preserve">
This is not an error</t>
        </r>
      </text>
    </comment>
  </commentList>
</comments>
</file>

<file path=xl/comments2.xml><?xml version="1.0" encoding="utf-8"?>
<comments xmlns="http://schemas.openxmlformats.org/spreadsheetml/2006/main">
  <authors>
    <author>Andrew Crawford</author>
  </authors>
  <commentList>
    <comment ref="J45" authorId="0" shapeId="0">
      <text>
        <r>
          <rPr>
            <b/>
            <sz val="9"/>
            <color indexed="81"/>
            <rFont val="Tahoma"/>
            <family val="2"/>
          </rPr>
          <t>Andrew Crawford:</t>
        </r>
        <r>
          <rPr>
            <sz val="9"/>
            <color indexed="81"/>
            <rFont val="Tahoma"/>
            <family val="2"/>
          </rPr>
          <t xml:space="preserve">
Split with 16-054
</t>
        </r>
      </text>
    </comment>
    <comment ref="J48" authorId="0" shapeId="0">
      <text>
        <r>
          <rPr>
            <b/>
            <sz val="9"/>
            <color indexed="81"/>
            <rFont val="Tahoma"/>
            <family val="2"/>
          </rPr>
          <t>Andrew Crawford:</t>
        </r>
        <r>
          <rPr>
            <sz val="9"/>
            <color indexed="81"/>
            <rFont val="Tahoma"/>
            <family val="2"/>
          </rPr>
          <t xml:space="preserve">
Split with 16-057</t>
        </r>
      </text>
    </comment>
  </commentList>
</comments>
</file>

<file path=xl/comments3.xml><?xml version="1.0" encoding="utf-8"?>
<comments xmlns="http://schemas.openxmlformats.org/spreadsheetml/2006/main">
  <authors>
    <author>Andrew Crawford</author>
  </authors>
  <commentList>
    <comment ref="J67" authorId="0" shapeId="0">
      <text>
        <r>
          <rPr>
            <b/>
            <sz val="9"/>
            <color indexed="81"/>
            <rFont val="Tahoma"/>
            <family val="2"/>
          </rPr>
          <t>Andrew Crawford:</t>
        </r>
        <r>
          <rPr>
            <sz val="9"/>
            <color indexed="81"/>
            <rFont val="Tahoma"/>
            <family val="2"/>
          </rPr>
          <t xml:space="preserve">
Split with 17-081 and 17-083</t>
        </r>
      </text>
    </comment>
  </commentList>
</comments>
</file>

<file path=xl/sharedStrings.xml><?xml version="1.0" encoding="utf-8"?>
<sst xmlns="http://schemas.openxmlformats.org/spreadsheetml/2006/main" count="2162" uniqueCount="1575">
  <si>
    <t>Engineering Society of Queen's University</t>
  </si>
  <si>
    <t>2013-2014</t>
  </si>
  <si>
    <t>BUDGET</t>
  </si>
  <si>
    <t>PRE-ACTUAL</t>
  </si>
  <si>
    <t>ACTUAL</t>
  </si>
  <si>
    <t>Revenue ($)</t>
  </si>
  <si>
    <t>SALES REVENUE</t>
  </si>
  <si>
    <t xml:space="preserve">Summer BBQ </t>
  </si>
  <si>
    <t xml:space="preserve">Printing </t>
  </si>
  <si>
    <t>Council Candy</t>
  </si>
  <si>
    <t>QUESSI Management Fees</t>
  </si>
  <si>
    <t>Imaginus Poster Sale</t>
  </si>
  <si>
    <t>Net Student Interest Fees</t>
  </si>
  <si>
    <t>Total Advertising</t>
  </si>
  <si>
    <t>Engenda Sales</t>
  </si>
  <si>
    <t>Chem Notes</t>
  </si>
  <si>
    <t>Total Sales Revenue</t>
  </si>
  <si>
    <t>POSITION REVENUE</t>
  </si>
  <si>
    <t>President</t>
  </si>
  <si>
    <t xml:space="preserve">Pres </t>
  </si>
  <si>
    <t>VP Operations</t>
  </si>
  <si>
    <t>VPOps</t>
  </si>
  <si>
    <t>VP Society Affairs</t>
  </si>
  <si>
    <t>VPSA</t>
  </si>
  <si>
    <t>VP Academics</t>
  </si>
  <si>
    <t>VPA</t>
  </si>
  <si>
    <t>VP Student Development</t>
  </si>
  <si>
    <t xml:space="preserve">VPSD </t>
  </si>
  <si>
    <t>Director of Professional Development</t>
  </si>
  <si>
    <t xml:space="preserve">DPD </t>
  </si>
  <si>
    <t>Director of External Communications</t>
  </si>
  <si>
    <t>DEC</t>
  </si>
  <si>
    <t>Director of First Year</t>
  </si>
  <si>
    <t>DFY</t>
  </si>
  <si>
    <t>Director of Finance</t>
  </si>
  <si>
    <t xml:space="preserve">DF </t>
  </si>
  <si>
    <t>Director of Services</t>
  </si>
  <si>
    <t>DS</t>
  </si>
  <si>
    <t>Director of Information Technology</t>
  </si>
  <si>
    <t xml:space="preserve">DIT </t>
  </si>
  <si>
    <t>Director of Events</t>
  </si>
  <si>
    <t xml:space="preserve">DE </t>
  </si>
  <si>
    <t>Director of Communications</t>
  </si>
  <si>
    <t>DC</t>
  </si>
  <si>
    <t>Director of Internal Affairs</t>
  </si>
  <si>
    <t>DIA</t>
  </si>
  <si>
    <t>Event Positions</t>
  </si>
  <si>
    <t xml:space="preserve">EP </t>
  </si>
  <si>
    <t>Total Position Revenue</t>
  </si>
  <si>
    <t>RECOVERY REVENUE</t>
  </si>
  <si>
    <t>Accounting Recovery</t>
  </si>
  <si>
    <t>Administration Fees Recovery</t>
  </si>
  <si>
    <t>Rent Recovery</t>
  </si>
  <si>
    <t>Telephone &amp; Long Distance Recovery</t>
  </si>
  <si>
    <t xml:space="preserve"> </t>
  </si>
  <si>
    <t>Insurance Recovery</t>
  </si>
  <si>
    <t>Bank Charges Recovery</t>
  </si>
  <si>
    <t>Total Recovery Revenue</t>
  </si>
  <si>
    <t>TOTAL REVENUE</t>
  </si>
  <si>
    <t>Expenses ($)</t>
  </si>
  <si>
    <t>COST OF GOODS SOLD</t>
  </si>
  <si>
    <t>Summer BBQ</t>
  </si>
  <si>
    <t>Total Printing Expenses</t>
  </si>
  <si>
    <t>Imaginus Expenses</t>
  </si>
  <si>
    <t>Yearbook Printing</t>
  </si>
  <si>
    <t>Engenda Printing</t>
  </si>
  <si>
    <t>Chem Notes Printing</t>
  </si>
  <si>
    <t>Total Cost of Goods Sold</t>
  </si>
  <si>
    <t>POSITION EXPENSES</t>
  </si>
  <si>
    <t>Contingency</t>
  </si>
  <si>
    <t>Total Position Expenses</t>
  </si>
  <si>
    <t>PAYROLL EXPENSES</t>
  </si>
  <si>
    <t>Wages &amp; Salaries</t>
  </si>
  <si>
    <t>EI Expense</t>
  </si>
  <si>
    <t>CPP Expense</t>
  </si>
  <si>
    <t>Exec &amp; Honoraria Expenses</t>
  </si>
  <si>
    <t>Total Payroll Expenses</t>
  </si>
  <si>
    <t>ADMINISTRATIVE EXPENSES</t>
  </si>
  <si>
    <t>Accounting &amp; Legal</t>
  </si>
  <si>
    <t>Administation - General Manager Salary</t>
  </si>
  <si>
    <t>Rent</t>
  </si>
  <si>
    <t>Telephone &amp; Long Distance</t>
  </si>
  <si>
    <t xml:space="preserve">Insurance </t>
  </si>
  <si>
    <t>Bank Charges</t>
  </si>
  <si>
    <t>Total Administrative Expenses</t>
  </si>
  <si>
    <t>OPERATING EXPENSES</t>
  </si>
  <si>
    <t>Keys</t>
  </si>
  <si>
    <t>Shredding</t>
  </si>
  <si>
    <t>Lounge Improvements</t>
  </si>
  <si>
    <t>Courier &amp; Postage</t>
  </si>
  <si>
    <t>Office Supplies</t>
  </si>
  <si>
    <t>ESARCK Property Taxes</t>
  </si>
  <si>
    <t>Travel</t>
  </si>
  <si>
    <t>Repair &amp; Maintenance</t>
  </si>
  <si>
    <t>Jacket Bursaries</t>
  </si>
  <si>
    <t>Charitable Donation</t>
  </si>
  <si>
    <t>Summer Expenses</t>
  </si>
  <si>
    <t>Total Operating Expenses</t>
  </si>
  <si>
    <t>TOTAL EXPENSES</t>
  </si>
  <si>
    <t>Summary ($)</t>
  </si>
  <si>
    <t>Total Revenue</t>
  </si>
  <si>
    <t>Total Expenses</t>
  </si>
  <si>
    <t>Net Surplus</t>
  </si>
  <si>
    <t>Society</t>
  </si>
  <si>
    <t>Line #</t>
  </si>
  <si>
    <t>Item</t>
  </si>
  <si>
    <t>Specifics</t>
  </si>
  <si>
    <t>Unit Price</t>
  </si>
  <si>
    <t>Quantity</t>
  </si>
  <si>
    <t>Subtotal</t>
  </si>
  <si>
    <t>Budget</t>
  </si>
  <si>
    <t>Pre-Actual</t>
  </si>
  <si>
    <t>Actual</t>
  </si>
  <si>
    <t>00-001</t>
  </si>
  <si>
    <t>BBQ sales</t>
  </si>
  <si>
    <t>Summer BBQ sales</t>
  </si>
  <si>
    <t>Printing Revenue</t>
  </si>
  <si>
    <t xml:space="preserve">00-010 </t>
  </si>
  <si>
    <t>Black and white printing</t>
  </si>
  <si>
    <t>Affordable printing for students</t>
  </si>
  <si>
    <t>00-011</t>
  </si>
  <si>
    <t>Color printing</t>
  </si>
  <si>
    <t xml:space="preserve">00-020 </t>
  </si>
  <si>
    <t>Council candy</t>
  </si>
  <si>
    <t>Donations for jacket bursary</t>
  </si>
  <si>
    <t xml:space="preserve">00-030 </t>
  </si>
  <si>
    <t>QUESSI</t>
  </si>
  <si>
    <t>Payment for managing bookstore Board of Directors</t>
  </si>
  <si>
    <t xml:space="preserve">00-040 </t>
  </si>
  <si>
    <t>Imaginus</t>
  </si>
  <si>
    <t>Payment for organizing poster sales</t>
  </si>
  <si>
    <t xml:space="preserve">00-050 </t>
  </si>
  <si>
    <t>Student Interest Fees</t>
  </si>
  <si>
    <t>Student fees from the AMS</t>
  </si>
  <si>
    <t>00-051</t>
  </si>
  <si>
    <t>Less Reallocated</t>
  </si>
  <si>
    <t>Reallocations to year executives, discipline clubs</t>
  </si>
  <si>
    <t>Total Advertising Revenue</t>
  </si>
  <si>
    <t xml:space="preserve">00-060 </t>
  </si>
  <si>
    <t>Yearbook Advertising</t>
  </si>
  <si>
    <t>CU advertising</t>
  </si>
  <si>
    <t xml:space="preserve">00-061 </t>
  </si>
  <si>
    <t>Engenda Advertising</t>
  </si>
  <si>
    <t xml:space="preserve">00-070 </t>
  </si>
  <si>
    <t>Engenda sales</t>
  </si>
  <si>
    <t>Remaining engendas sold to students</t>
  </si>
  <si>
    <t xml:space="preserve">00-080 </t>
  </si>
  <si>
    <t xml:space="preserve">Chem Notes </t>
  </si>
  <si>
    <t>RECVOERY REVENUE</t>
  </si>
  <si>
    <t>00-090</t>
  </si>
  <si>
    <t>Based on specific services bookkeeping usage</t>
  </si>
  <si>
    <t>Collected via EngServe</t>
  </si>
  <si>
    <t xml:space="preserve">00-100 </t>
  </si>
  <si>
    <t>Based on specific services General Manager usage</t>
  </si>
  <si>
    <t xml:space="preserve">00-110 </t>
  </si>
  <si>
    <t>Based on specific services space usage</t>
  </si>
  <si>
    <t xml:space="preserve">00-120 </t>
  </si>
  <si>
    <t>Based on specific services phone usage</t>
  </si>
  <si>
    <t xml:space="preserve">00-130 </t>
  </si>
  <si>
    <t>Based on total insurance</t>
  </si>
  <si>
    <t xml:space="preserve">00-140 </t>
  </si>
  <si>
    <t>Based on G4S usage, debit/credit usage, bank fees</t>
  </si>
  <si>
    <t>00-141</t>
  </si>
  <si>
    <t>Moneris usage</t>
  </si>
  <si>
    <t>Collected based on transactions</t>
  </si>
  <si>
    <t>COSTS OF GOODS SOLD</t>
  </si>
  <si>
    <t xml:space="preserve">00-150 </t>
  </si>
  <si>
    <t>BBQ materials</t>
  </si>
  <si>
    <t>Drinks, hot dogs, hamburgers, buns, condiments</t>
  </si>
  <si>
    <t>00-160</t>
  </si>
  <si>
    <t>Photocopier rental</t>
  </si>
  <si>
    <t>Machine rental from OT group</t>
  </si>
  <si>
    <t>00-161</t>
  </si>
  <si>
    <t>Paper</t>
  </si>
  <si>
    <t>Printer paper from Staples</t>
  </si>
  <si>
    <t>00-162</t>
  </si>
  <si>
    <t>Printing per page</t>
  </si>
  <si>
    <t xml:space="preserve">00-163 </t>
  </si>
  <si>
    <t xml:space="preserve">Black and white Printing </t>
  </si>
  <si>
    <t xml:space="preserve">00-170 </t>
  </si>
  <si>
    <t>Candy</t>
  </si>
  <si>
    <t>Assorted cholocate bars and candy</t>
  </si>
  <si>
    <t xml:space="preserve">00-180 </t>
  </si>
  <si>
    <t>Poster sale</t>
  </si>
  <si>
    <t>Room rental</t>
  </si>
  <si>
    <t xml:space="preserve">00-190 </t>
  </si>
  <si>
    <t>Sci 14 yearbooks</t>
  </si>
  <si>
    <t>Printing through Friesen's</t>
  </si>
  <si>
    <t xml:space="preserve">00-200 </t>
  </si>
  <si>
    <t>Engendas</t>
  </si>
  <si>
    <t xml:space="preserve">00-210 </t>
  </si>
  <si>
    <t xml:space="preserve">Printing through Friesen's (order of 450) </t>
  </si>
  <si>
    <t>Total Costs of Goods Sold</t>
  </si>
  <si>
    <t xml:space="preserve">00-220 </t>
  </si>
  <si>
    <t>Secretary</t>
  </si>
  <si>
    <t>Coucil secretary for 12 councils, 1 AGM</t>
  </si>
  <si>
    <t>00-221</t>
  </si>
  <si>
    <t>President summer salary</t>
  </si>
  <si>
    <t>Current salary + assuming CPI increase of 1%</t>
  </si>
  <si>
    <t>00-222</t>
  </si>
  <si>
    <t>VP Operations summer salary</t>
  </si>
  <si>
    <t>00-223</t>
  </si>
  <si>
    <t>VP Society Affaris summer salary</t>
  </si>
  <si>
    <t>00-224</t>
  </si>
  <si>
    <t>ADP Payroll Fees</t>
  </si>
  <si>
    <t xml:space="preserve">00-230 </t>
  </si>
  <si>
    <t>Employment insurance</t>
  </si>
  <si>
    <t>Based off of last year</t>
  </si>
  <si>
    <t xml:space="preserve">00-240 </t>
  </si>
  <si>
    <t>Canada pension plan</t>
  </si>
  <si>
    <t>Exec &amp; Honororia Expenses</t>
  </si>
  <si>
    <t xml:space="preserve">00-250 </t>
  </si>
  <si>
    <t>President's subsidy</t>
  </si>
  <si>
    <t>1 semester's tuition</t>
  </si>
  <si>
    <t>Summer exec honoraria</t>
  </si>
  <si>
    <t>1 week salary per exec</t>
  </si>
  <si>
    <t xml:space="preserve">00-260 </t>
  </si>
  <si>
    <t>Bookkeeping</t>
  </si>
  <si>
    <t>TurnerMoore LLP - Certified General Accountants</t>
  </si>
  <si>
    <t xml:space="preserve">00-261 </t>
  </si>
  <si>
    <t>Financial review</t>
  </si>
  <si>
    <t>Collins Barrow SEO LLP</t>
  </si>
  <si>
    <t>Administration - General Manager</t>
  </si>
  <si>
    <t>00-270</t>
  </si>
  <si>
    <t>Jay Young</t>
  </si>
  <si>
    <t>Wages</t>
  </si>
  <si>
    <t>00-271</t>
  </si>
  <si>
    <t>CPP and EI</t>
  </si>
  <si>
    <t>00-272</t>
  </si>
  <si>
    <t>Parking</t>
  </si>
  <si>
    <t>On-campus parking</t>
  </si>
  <si>
    <t xml:space="preserve">00-280 </t>
  </si>
  <si>
    <t>Clark Hall rent</t>
  </si>
  <si>
    <t>Charged by university for building upkeep</t>
  </si>
  <si>
    <t xml:space="preserve">00-290 </t>
  </si>
  <si>
    <t>ITServices phone bills</t>
  </si>
  <si>
    <t>8 phone lines</t>
  </si>
  <si>
    <t xml:space="preserve">00-291 </t>
  </si>
  <si>
    <t>Average monthly long distance</t>
  </si>
  <si>
    <t>Insurance</t>
  </si>
  <si>
    <t>00-300</t>
  </si>
  <si>
    <t>AMS insurance</t>
  </si>
  <si>
    <t>Overall society insurance</t>
  </si>
  <si>
    <t xml:space="preserve">00-301 </t>
  </si>
  <si>
    <t>ESARCK insurance</t>
  </si>
  <si>
    <t>Liability for ESARCK land</t>
  </si>
  <si>
    <t>00-310</t>
  </si>
  <si>
    <t>G4S pick-ups</t>
  </si>
  <si>
    <t>Weekly deposits couriered to bank</t>
  </si>
  <si>
    <t>00-311</t>
  </si>
  <si>
    <t>Moneris rental</t>
  </si>
  <si>
    <t>Monthly rental, security fees, and service for handheld</t>
  </si>
  <si>
    <t>00-312</t>
  </si>
  <si>
    <t>Transaction fees</t>
  </si>
  <si>
    <t>Credit</t>
  </si>
  <si>
    <t>00-313</t>
  </si>
  <si>
    <t>Debit</t>
  </si>
  <si>
    <t>00-314</t>
  </si>
  <si>
    <t>Credit cards</t>
  </si>
  <si>
    <t>Annual fees for corporate cards</t>
  </si>
  <si>
    <t xml:space="preserve">00-320 </t>
  </si>
  <si>
    <t>Keys for spaces</t>
  </si>
  <si>
    <t>Obtained through PPS</t>
  </si>
  <si>
    <t>00-321</t>
  </si>
  <si>
    <t>Lock replacement</t>
  </si>
  <si>
    <t>Clark Hall locks replacement</t>
  </si>
  <si>
    <t xml:space="preserve">00-330 </t>
  </si>
  <si>
    <t>Paper shredding</t>
  </si>
  <si>
    <t>Iron Mountain</t>
  </si>
  <si>
    <t>00-340</t>
  </si>
  <si>
    <t>Lounge couch &amp; Chairs</t>
  </si>
  <si>
    <t>Fourth couch too much for summer budget</t>
  </si>
  <si>
    <t>00-341</t>
  </si>
  <si>
    <t>Lounge floor buffing</t>
  </si>
  <si>
    <t>EngSoc and Clark lounge (no tax)</t>
  </si>
  <si>
    <t>00-342</t>
  </si>
  <si>
    <t xml:space="preserve">Lounge painting </t>
  </si>
  <si>
    <t>EngSoc Lounge (no tax)</t>
  </si>
  <si>
    <t>00-343</t>
  </si>
  <si>
    <t>Lounge storage units</t>
  </si>
  <si>
    <t>Storage for groups/ merch</t>
  </si>
  <si>
    <t>00-344</t>
  </si>
  <si>
    <t>Miscelaneous Clark lounge storage</t>
  </si>
  <si>
    <t>Storage options for the closets</t>
  </si>
  <si>
    <t>00-345</t>
  </si>
  <si>
    <t>Wireless Gamecube Controller</t>
  </si>
  <si>
    <t>For students in lounge</t>
  </si>
  <si>
    <t>00-346</t>
  </si>
  <si>
    <t>Lounge Speakers</t>
  </si>
  <si>
    <t>00-347</t>
  </si>
  <si>
    <t>Security Cameras</t>
  </si>
  <si>
    <t>For office and lounge</t>
  </si>
  <si>
    <t>00-348</t>
  </si>
  <si>
    <t xml:space="preserve">Security System Software </t>
  </si>
  <si>
    <t xml:space="preserve">Updating to individual panel for each office </t>
  </si>
  <si>
    <t>Microwave</t>
  </si>
  <si>
    <t>Exec Approved</t>
  </si>
  <si>
    <t xml:space="preserve">00-350 </t>
  </si>
  <si>
    <t>Mailing costs</t>
  </si>
  <si>
    <t>Through the Campus Bookstore</t>
  </si>
  <si>
    <t xml:space="preserve">00-360 </t>
  </si>
  <si>
    <t>Miscellaneous office supplies</t>
  </si>
  <si>
    <t>Folders, shelves, highlighters, etc.</t>
  </si>
  <si>
    <t xml:space="preserve">00-370 </t>
  </si>
  <si>
    <t>Property taxes</t>
  </si>
  <si>
    <t>Remitted to City of Kingston for greasepole site</t>
  </si>
  <si>
    <t xml:space="preserve">00-380 </t>
  </si>
  <si>
    <t>Mileage reports</t>
  </si>
  <si>
    <t>Reimbursement for travel expenses for the society</t>
  </si>
  <si>
    <t xml:space="preserve">00-390 </t>
  </si>
  <si>
    <t>Miscellaneous repair</t>
  </si>
  <si>
    <t>Unforseen maintenance to society space</t>
  </si>
  <si>
    <t xml:space="preserve">00-400 </t>
  </si>
  <si>
    <t>Jacket bursaries for GPAs</t>
  </si>
  <si>
    <t>Difference between council candy revenue and expenses</t>
  </si>
  <si>
    <t xml:space="preserve">00-410 </t>
  </si>
  <si>
    <t>Charitable donations</t>
  </si>
  <si>
    <t>Summer Spending</t>
  </si>
  <si>
    <t xml:space="preserve">00-420 </t>
  </si>
  <si>
    <t>Summer projects</t>
  </si>
  <si>
    <t>Breakdown of expenses to be presented to Council</t>
  </si>
  <si>
    <t>President - Emily Fleck</t>
  </si>
  <si>
    <t xml:space="preserve">TAB NIGHT </t>
  </si>
  <si>
    <t>11-001</t>
  </si>
  <si>
    <t>Clark Tab</t>
  </si>
  <si>
    <t>Appreciation tab night (no tax)</t>
  </si>
  <si>
    <t xml:space="preserve">Tab Night Expenses </t>
  </si>
  <si>
    <t xml:space="preserve">EXECUTIVE DIRECTOR </t>
  </si>
  <si>
    <t xml:space="preserve">11-010 </t>
  </si>
  <si>
    <t>Frosh week shirts</t>
  </si>
  <si>
    <t>Frosh Week shirts for ED and senators</t>
  </si>
  <si>
    <t>11-011</t>
  </si>
  <si>
    <t>Appreciation winter dinner</t>
  </si>
  <si>
    <t>Dinner for ED after winter break</t>
  </si>
  <si>
    <t>11-012</t>
  </si>
  <si>
    <t>Ruggers</t>
  </si>
  <si>
    <t>Minimum order for custom ruggers</t>
  </si>
  <si>
    <t>11-013</t>
  </si>
  <si>
    <t>Senator Merchandise</t>
  </si>
  <si>
    <t>Undecided senator shirt/ sweater</t>
  </si>
  <si>
    <t xml:space="preserve">Executive Director Expenses </t>
  </si>
  <si>
    <t xml:space="preserve">JOHN ORR </t>
  </si>
  <si>
    <t xml:space="preserve">11-020 </t>
  </si>
  <si>
    <t>Rooms</t>
  </si>
  <si>
    <t>Rooms for the night of John Orr</t>
  </si>
  <si>
    <t>11-021</t>
  </si>
  <si>
    <t>Rental car</t>
  </si>
  <si>
    <t>Rental van</t>
  </si>
  <si>
    <t>11-022</t>
  </si>
  <si>
    <t>Gas</t>
  </si>
  <si>
    <t>11-023</t>
  </si>
  <si>
    <t xml:space="preserve">Parking </t>
  </si>
  <si>
    <t>11-024</t>
  </si>
  <si>
    <t>Tickets</t>
  </si>
  <si>
    <t>Tickets for the event</t>
  </si>
  <si>
    <t>Total John Orr Expenses</t>
  </si>
  <si>
    <t xml:space="preserve">TRANSITION </t>
  </si>
  <si>
    <t xml:space="preserve">11-030 </t>
  </si>
  <si>
    <t>Executive Dinner</t>
  </si>
  <si>
    <t>Transition dinner for incoming/ outgoing</t>
  </si>
  <si>
    <t>11-031</t>
  </si>
  <si>
    <t>Director Dinner</t>
  </si>
  <si>
    <t>**NEW</t>
  </si>
  <si>
    <t xml:space="preserve">ERB Appreciation &amp; Prez caucus </t>
  </si>
  <si>
    <t xml:space="preserve">Tea Room </t>
  </si>
  <si>
    <t>Total Transition Expenses</t>
  </si>
  <si>
    <t>VP Operations - Samantha Creme</t>
  </si>
  <si>
    <t>BOARD OF DIRECTORS</t>
  </si>
  <si>
    <t>12-001</t>
  </si>
  <si>
    <t>Meeting food</t>
  </si>
  <si>
    <t>$6/meeting per member</t>
  </si>
  <si>
    <t>12-002</t>
  </si>
  <si>
    <t>Travel subsidies</t>
  </si>
  <si>
    <t>Alumni traveling to Kingston</t>
  </si>
  <si>
    <t>12-003</t>
  </si>
  <si>
    <t>Transition dinner</t>
  </si>
  <si>
    <t>Incoming and outgoing Board</t>
  </si>
  <si>
    <t>12-004</t>
  </si>
  <si>
    <t>Appreciation</t>
  </si>
  <si>
    <t>Alumni and faculty gifts</t>
  </si>
  <si>
    <t>Total Board of Directors Expenses</t>
  </si>
  <si>
    <t>VP Society Affairs - Douglas McFarlane</t>
  </si>
  <si>
    <t xml:space="preserve">ADDITIONAL FAIR </t>
  </si>
  <si>
    <t xml:space="preserve">13-010 </t>
  </si>
  <si>
    <t>Pizza</t>
  </si>
  <si>
    <t>Assume 150 people</t>
  </si>
  <si>
    <t>13-011</t>
  </si>
  <si>
    <t>Pop</t>
  </si>
  <si>
    <t>Total Additional Fair Expenses</t>
  </si>
  <si>
    <t xml:space="preserve">MAILING LIST </t>
  </si>
  <si>
    <t xml:space="preserve">13-020 </t>
  </si>
  <si>
    <t xml:space="preserve">Subscription Fee </t>
  </si>
  <si>
    <t xml:space="preserve">Subscription fee paid monthly </t>
  </si>
  <si>
    <t>13-021</t>
  </si>
  <si>
    <t>Shipping Fee</t>
  </si>
  <si>
    <t>Total Mailing List  Expenses</t>
  </si>
  <si>
    <t>VP Academic - Chris Reid</t>
  </si>
  <si>
    <t>ENGLINKS</t>
  </si>
  <si>
    <t>14-001</t>
  </si>
  <si>
    <t xml:space="preserve">Tutorial Fees </t>
  </si>
  <si>
    <t>Tutorial Student Fees</t>
  </si>
  <si>
    <t>Total EngLinks  Revenue</t>
  </si>
  <si>
    <t xml:space="preserve">14-010 </t>
  </si>
  <si>
    <t>Tutor Wages</t>
  </si>
  <si>
    <t xml:space="preserve">Tutorial Tutor Wages </t>
  </si>
  <si>
    <t>14-011</t>
  </si>
  <si>
    <t>Tutor Appreciation</t>
  </si>
  <si>
    <t>14-012</t>
  </si>
  <si>
    <t>Drinks</t>
  </si>
  <si>
    <t>14-013</t>
  </si>
  <si>
    <t>Printing</t>
  </si>
  <si>
    <t>Posters</t>
  </si>
  <si>
    <t xml:space="preserve">14-014 </t>
  </si>
  <si>
    <t>Tutorial Booklets</t>
  </si>
  <si>
    <t>Total EngLinks Expenses</t>
  </si>
  <si>
    <t>VP Student Development - Mark Godin</t>
  </si>
  <si>
    <t xml:space="preserve">SUBSIDIES </t>
  </si>
  <si>
    <t>15-001</t>
  </si>
  <si>
    <t>Safety Subsidy</t>
  </si>
  <si>
    <t>For PPE From PEO/Civil</t>
  </si>
  <si>
    <t>15-002</t>
  </si>
  <si>
    <t>Training Subsidy</t>
  </si>
  <si>
    <t>For Training from PEO</t>
  </si>
  <si>
    <t>Total Subsidies Revenue</t>
  </si>
  <si>
    <t xml:space="preserve">TRAINING </t>
  </si>
  <si>
    <t xml:space="preserve">15-010 </t>
  </si>
  <si>
    <t xml:space="preserve">Training Sessions </t>
  </si>
  <si>
    <t xml:space="preserve">Safety, Management, Marketing, Web </t>
  </si>
  <si>
    <t xml:space="preserve">15-011 </t>
  </si>
  <si>
    <t>Frosh Training</t>
  </si>
  <si>
    <t>Food, Materials</t>
  </si>
  <si>
    <t xml:space="preserve">15-012 </t>
  </si>
  <si>
    <t>CNC Mill Training</t>
  </si>
  <si>
    <t>Time, Materials</t>
  </si>
  <si>
    <t>Total Training Expenses</t>
  </si>
  <si>
    <t xml:space="preserve">CONFERENCES </t>
  </si>
  <si>
    <t xml:space="preserve">15-020 </t>
  </si>
  <si>
    <t>CEEC Tickets</t>
  </si>
  <si>
    <t xml:space="preserve">15-021 </t>
  </si>
  <si>
    <t>CIRQUE Tickets</t>
  </si>
  <si>
    <t xml:space="preserve">15-022 </t>
  </si>
  <si>
    <t>Women in Science and Engineering</t>
  </si>
  <si>
    <t>Dinner with Industry</t>
  </si>
  <si>
    <t>15-023</t>
  </si>
  <si>
    <t>Queen's Space Conference</t>
  </si>
  <si>
    <t>15-024</t>
  </si>
  <si>
    <t>Queen's Global Innovation Conference</t>
  </si>
  <si>
    <t>15-025</t>
  </si>
  <si>
    <t>Ontario Engineering Competition</t>
  </si>
  <si>
    <t>Delegate Fees</t>
  </si>
  <si>
    <t>15-026</t>
  </si>
  <si>
    <t xml:space="preserve">Trasporation Subsidy (based UOIT host) </t>
  </si>
  <si>
    <t>15-027</t>
  </si>
  <si>
    <t>Sponsorship</t>
  </si>
  <si>
    <t>For each Conference</t>
  </si>
  <si>
    <t>15-028</t>
  </si>
  <si>
    <t>Incentive</t>
  </si>
  <si>
    <t>Performance/Innovation</t>
  </si>
  <si>
    <t>Total Conferences Expenses</t>
  </si>
  <si>
    <t xml:space="preserve">DESIGN TEAMS </t>
  </si>
  <si>
    <t xml:space="preserve">15-030 </t>
  </si>
  <si>
    <t>Cleaning Supplies</t>
  </si>
  <si>
    <t>Garbage Bags, Vacuum Filters</t>
  </si>
  <si>
    <t xml:space="preserve">15-031 </t>
  </si>
  <si>
    <t xml:space="preserve">15-032 </t>
  </si>
  <si>
    <t xml:space="preserve">Dump Run </t>
  </si>
  <si>
    <t>For large Clean of Space</t>
  </si>
  <si>
    <t>15-033</t>
  </si>
  <si>
    <t>General Upkeep (Space)</t>
  </si>
  <si>
    <t>Supplies, Repairs</t>
  </si>
  <si>
    <t>15-034</t>
  </si>
  <si>
    <t>Safety Boots</t>
  </si>
  <si>
    <t>For work needs</t>
  </si>
  <si>
    <t>15-035</t>
  </si>
  <si>
    <t>Design Team Round Tables</t>
  </si>
  <si>
    <t>Pizza and Pop</t>
  </si>
  <si>
    <t>15-036</t>
  </si>
  <si>
    <t>Roster Incentive</t>
  </si>
  <si>
    <t>For Advancement</t>
  </si>
  <si>
    <t>15-037</t>
  </si>
  <si>
    <t>Polo Subsidy</t>
  </si>
  <si>
    <t>For Team Polos</t>
  </si>
  <si>
    <t>15-038</t>
  </si>
  <si>
    <t>Marketing</t>
  </si>
  <si>
    <t>Printing, Posters, Homecoming</t>
  </si>
  <si>
    <t>15-039</t>
  </si>
  <si>
    <t>Space Re-allocation</t>
  </si>
  <si>
    <t>Moving Expenses</t>
  </si>
  <si>
    <t>15-040</t>
  </si>
  <si>
    <t>Start Up Incentive</t>
  </si>
  <si>
    <t>For New Teams</t>
  </si>
  <si>
    <t>Total Design Team Expenses</t>
  </si>
  <si>
    <t xml:space="preserve">CLUBS </t>
  </si>
  <si>
    <t xml:space="preserve">15-050 </t>
  </si>
  <si>
    <t>Round Table</t>
  </si>
  <si>
    <t>Food, Supplies</t>
  </si>
  <si>
    <t>Total Clubs Expenses</t>
  </si>
  <si>
    <t>Director of Professional Development - Holly MacNeish</t>
  </si>
  <si>
    <t xml:space="preserve">AUTOCAD PARTICIPANT FEES </t>
  </si>
  <si>
    <t>16-001</t>
  </si>
  <si>
    <t>Fall Participant Cost</t>
  </si>
  <si>
    <t>16-002</t>
  </si>
  <si>
    <t>Winter 1 Participant Cost</t>
  </si>
  <si>
    <t>16-003</t>
  </si>
  <si>
    <t>Winter 2 Participant Cost</t>
  </si>
  <si>
    <t>Total AutoCAD Participant Fees Revenue</t>
  </si>
  <si>
    <t xml:space="preserve">OSPE EVENT FEES </t>
  </si>
  <si>
    <t xml:space="preserve">16-010 </t>
  </si>
  <si>
    <t>Attandance Fees</t>
  </si>
  <si>
    <t>Will ensure covers costs</t>
  </si>
  <si>
    <t>Total OSPE Event Fees Revenue</t>
  </si>
  <si>
    <t xml:space="preserve">OSPE EVENTS </t>
  </si>
  <si>
    <t xml:space="preserve">16-020 </t>
  </si>
  <si>
    <t>Transportation to Ottawa Events</t>
  </si>
  <si>
    <t>16-021</t>
  </si>
  <si>
    <t>Clark Rental (Networking Events)</t>
  </si>
  <si>
    <t>(covered by drink sales)</t>
  </si>
  <si>
    <t>Total OSPE Events Expenses</t>
  </si>
  <si>
    <t xml:space="preserve">CAREER SERVICES EVENTS </t>
  </si>
  <si>
    <t xml:space="preserve">16-030 </t>
  </si>
  <si>
    <t>Tea Room Catering</t>
  </si>
  <si>
    <t>Total Career Services Events Expenses</t>
  </si>
  <si>
    <t xml:space="preserve">P &amp; G MOCK INTERVIEWS </t>
  </si>
  <si>
    <t xml:space="preserve">16-040 </t>
  </si>
  <si>
    <t>Fall Dinner for P&amp;G Employees</t>
  </si>
  <si>
    <t>As a thank you</t>
  </si>
  <si>
    <t xml:space="preserve">16-041 </t>
  </si>
  <si>
    <t>Winter Dinner for P&amp;G Employees</t>
  </si>
  <si>
    <t>Total P &amp; G Mock Interviews Expenses</t>
  </si>
  <si>
    <t>AUTOCAD</t>
  </si>
  <si>
    <t xml:space="preserve">16-050 </t>
  </si>
  <si>
    <t>Fall Participant Fees</t>
  </si>
  <si>
    <t>16-051</t>
  </si>
  <si>
    <t>Fall Instructor Cost</t>
  </si>
  <si>
    <t xml:space="preserve">16-052 </t>
  </si>
  <si>
    <t>Fall Tea Room Catering</t>
  </si>
  <si>
    <t>16-053</t>
  </si>
  <si>
    <t>Winter 1 Participant Fees</t>
  </si>
  <si>
    <t>16-054</t>
  </si>
  <si>
    <t>Winter 1 Instructor Cost</t>
  </si>
  <si>
    <t>16-055</t>
  </si>
  <si>
    <t>Winter 1 Tea Room Catering</t>
  </si>
  <si>
    <t>16-056</t>
  </si>
  <si>
    <t>Winter 2 Participant Fees</t>
  </si>
  <si>
    <t>16-057</t>
  </si>
  <si>
    <t>Winter 2 Instructor Cost</t>
  </si>
  <si>
    <t>16-058</t>
  </si>
  <si>
    <t>Winter 2 Tea Room Catering</t>
  </si>
  <si>
    <t>Total AutoCAD Expenses</t>
  </si>
  <si>
    <t xml:space="preserve">CONSULTING INFORMATION SESSIONS </t>
  </si>
  <si>
    <t xml:space="preserve">16-060 </t>
  </si>
  <si>
    <t>BCG Clark Rental</t>
  </si>
  <si>
    <t>Covered by BCG</t>
  </si>
  <si>
    <t xml:space="preserve">16-061 </t>
  </si>
  <si>
    <t>Stroud Clark Rental</t>
  </si>
  <si>
    <t>Covered by Stroud</t>
  </si>
  <si>
    <t>16-062</t>
  </si>
  <si>
    <t xml:space="preserve">BCG Day in Toronto </t>
  </si>
  <si>
    <t>16-063</t>
  </si>
  <si>
    <t>Company Info Sessions</t>
  </si>
  <si>
    <t>TBD</t>
  </si>
  <si>
    <t>Proctor &amp; Gamble Advertisment</t>
  </si>
  <si>
    <t>Total Consulting Information Sessions Expenses</t>
  </si>
  <si>
    <t>Director of External Communications - Matthew Lawson</t>
  </si>
  <si>
    <t xml:space="preserve">CONFERENCE FEES </t>
  </si>
  <si>
    <t>17-001</t>
  </si>
  <si>
    <t>ESSCO</t>
  </si>
  <si>
    <t xml:space="preserve"> PEO-SC (York)</t>
  </si>
  <si>
    <t>17-002</t>
  </si>
  <si>
    <t>First Year Integration Conference (Carlton)</t>
  </si>
  <si>
    <t>17-003</t>
  </si>
  <si>
    <t>CFES</t>
  </si>
  <si>
    <t>National Conference on Women in Engineering (U BC)</t>
  </si>
  <si>
    <t>NCWE</t>
  </si>
  <si>
    <t>Total Conference Fees Revenue</t>
  </si>
  <si>
    <t xml:space="preserve">NEM EVENTS </t>
  </si>
  <si>
    <t xml:space="preserve">17-010 </t>
  </si>
  <si>
    <t xml:space="preserve">Clark Meet and Greet </t>
  </si>
  <si>
    <t xml:space="preserve">Admittance assuming 60 people </t>
  </si>
  <si>
    <t>Total NEM Events Revenue</t>
  </si>
  <si>
    <t>ESSCO - ANNUAL GENERAL MEETING (McMaster)</t>
  </si>
  <si>
    <t xml:space="preserve">17-020 </t>
  </si>
  <si>
    <t xml:space="preserve">Assuming 4 people </t>
  </si>
  <si>
    <t>17-021</t>
  </si>
  <si>
    <t>Transport</t>
  </si>
  <si>
    <t>Go bus</t>
  </si>
  <si>
    <t>Total ESSCO- AGM Expenses</t>
  </si>
  <si>
    <t>ESSCO - PRESIDENTS MEETING  (Laurentian University)</t>
  </si>
  <si>
    <t xml:space="preserve">17-030 </t>
  </si>
  <si>
    <t xml:space="preserve">Assuming 5 people </t>
  </si>
  <si>
    <t>17-031</t>
  </si>
  <si>
    <t>Car rental</t>
  </si>
  <si>
    <t>Enterprise - fullsize</t>
  </si>
  <si>
    <t>17-032</t>
  </si>
  <si>
    <t>Travel Cost</t>
  </si>
  <si>
    <t>Total ESSCO - Presidents Meeting Expenses</t>
  </si>
  <si>
    <t>ESSCO - PEO-SC (York)</t>
  </si>
  <si>
    <t xml:space="preserve">17-040 </t>
  </si>
  <si>
    <t xml:space="preserve">Car rental </t>
  </si>
  <si>
    <t xml:space="preserve">Enterprise - fullsize </t>
  </si>
  <si>
    <t>17-041</t>
  </si>
  <si>
    <t xml:space="preserve">Travel Expenses </t>
  </si>
  <si>
    <t>17-042</t>
  </si>
  <si>
    <t xml:space="preserve">Delegate fees </t>
  </si>
  <si>
    <t xml:space="preserve">assuming 5 people </t>
  </si>
  <si>
    <t>Total ESSCO - PEO-SC Expenses</t>
  </si>
  <si>
    <t>ESSCO - FIRST YEAR INTEGRATION CONFERENCE (Carlton)</t>
  </si>
  <si>
    <t xml:space="preserve">17-050 </t>
  </si>
  <si>
    <t xml:space="preserve">Delegate Fees </t>
  </si>
  <si>
    <t xml:space="preserve">17-051 </t>
  </si>
  <si>
    <t xml:space="preserve">17-052 </t>
  </si>
  <si>
    <t>Travel expense</t>
  </si>
  <si>
    <t>Total ESSCO FYIC Expenses</t>
  </si>
  <si>
    <t>17-060</t>
  </si>
  <si>
    <t>Just 1 delegate</t>
  </si>
  <si>
    <t>17-061</t>
  </si>
  <si>
    <t xml:space="preserve">Train </t>
  </si>
  <si>
    <t>Total Presidents Meeting Expenses</t>
  </si>
  <si>
    <t xml:space="preserve">CFES - CONGRESS  (Sherbrooke) </t>
  </si>
  <si>
    <t xml:space="preserve">17-070 </t>
  </si>
  <si>
    <t xml:space="preserve">Car Rental </t>
  </si>
  <si>
    <t xml:space="preserve">Enterprise - Minivan </t>
  </si>
  <si>
    <t xml:space="preserve">17-071 </t>
  </si>
  <si>
    <t>Travel costs</t>
  </si>
  <si>
    <t xml:space="preserve">17-072 </t>
  </si>
  <si>
    <t xml:space="preserve">Weeklong conference assuming 6 </t>
  </si>
  <si>
    <t>Total CFES Congress Expenses</t>
  </si>
  <si>
    <t xml:space="preserve">NATIONAL CONFERENCE ON WOMEN IN ENGINEERING </t>
  </si>
  <si>
    <t xml:space="preserve">17-080 </t>
  </si>
  <si>
    <t>Airplane ticket</t>
  </si>
  <si>
    <t xml:space="preserve">Aircanada/Westjet </t>
  </si>
  <si>
    <t xml:space="preserve">17-081 </t>
  </si>
  <si>
    <t xml:space="preserve">Travel costs </t>
  </si>
  <si>
    <t xml:space="preserve">taxi to and from Toronto Airport </t>
  </si>
  <si>
    <t>17-082</t>
  </si>
  <si>
    <t>train or bus to and from Toronto</t>
  </si>
  <si>
    <t>17-083</t>
  </si>
  <si>
    <t xml:space="preserve">taxi to and from Vancouver Airport </t>
  </si>
  <si>
    <t>17-084</t>
  </si>
  <si>
    <t xml:space="preserve">Delgate Fees </t>
  </si>
  <si>
    <t>Total Nation Conference on Women in Engineering Expenses</t>
  </si>
  <si>
    <t xml:space="preserve">MEMBERSHIP FEES </t>
  </si>
  <si>
    <t xml:space="preserve">17-090 </t>
  </si>
  <si>
    <t>Annual Fee</t>
  </si>
  <si>
    <t xml:space="preserve">17-091 </t>
  </si>
  <si>
    <t>Total Membership Fees Expenses</t>
  </si>
  <si>
    <t>CONFERENCE GIVE-AWAYS</t>
  </si>
  <si>
    <t xml:space="preserve">17-100 </t>
  </si>
  <si>
    <t>Patches</t>
  </si>
  <si>
    <t>They trade them at conferences</t>
  </si>
  <si>
    <t xml:space="preserve">17-101 </t>
  </si>
  <si>
    <t xml:space="preserve">Pens and lanyards </t>
  </si>
  <si>
    <t>Total Conference Give-Aways Expenses</t>
  </si>
  <si>
    <t>NEM</t>
  </si>
  <si>
    <t xml:space="preserve">17-110 </t>
  </si>
  <si>
    <t>Rube Goldberg Machine</t>
  </si>
  <si>
    <t>For supplies like wood and nails</t>
  </si>
  <si>
    <t>17-111</t>
  </si>
  <si>
    <t xml:space="preserve">Goodie Bags </t>
  </si>
  <si>
    <t>For speakers that help with NEM</t>
  </si>
  <si>
    <t>17-112</t>
  </si>
  <si>
    <t xml:space="preserve">Engineering give aways </t>
  </si>
  <si>
    <t>Engineering related goodies to entice students</t>
  </si>
  <si>
    <t>17-113</t>
  </si>
  <si>
    <t xml:space="preserve">Clark Hall Pub Meet and Greet </t>
  </si>
  <si>
    <t xml:space="preserve">Drink Tickets (assuming we meet drink sales no venue expense) </t>
  </si>
  <si>
    <t>17-114</t>
  </si>
  <si>
    <t>Travel expenses</t>
  </si>
  <si>
    <t>Getting speakers in for NEM events</t>
  </si>
  <si>
    <t>Total NEM Expenses</t>
  </si>
  <si>
    <t>Director of First Year - Stephen Martin</t>
  </si>
  <si>
    <t xml:space="preserve">FIRST YEAR CONFERENCE </t>
  </si>
  <si>
    <t>18-001</t>
  </si>
  <si>
    <t>Ticket</t>
  </si>
  <si>
    <t>Ticket price to attend</t>
  </si>
  <si>
    <t xml:space="preserve">Donation </t>
  </si>
  <si>
    <t>Total Conference Revenue</t>
  </si>
  <si>
    <t xml:space="preserve">APPRECIATION </t>
  </si>
  <si>
    <t xml:space="preserve">18-010 </t>
  </si>
  <si>
    <t>Pass Crest</t>
  </si>
  <si>
    <t>Apprection for underage</t>
  </si>
  <si>
    <t>Total Appreciation Expenses</t>
  </si>
  <si>
    <t xml:space="preserve">18-020 </t>
  </si>
  <si>
    <t>Delegate Package</t>
  </si>
  <si>
    <t>Printing, name tags, etc.</t>
  </si>
  <si>
    <t>18-021</t>
  </si>
  <si>
    <t>Venue</t>
  </si>
  <si>
    <t>Wallace Hall</t>
  </si>
  <si>
    <t>18-022</t>
  </si>
  <si>
    <t>Thank You Gifts</t>
  </si>
  <si>
    <t>Small gifts for speakers</t>
  </si>
  <si>
    <t>18-023</t>
  </si>
  <si>
    <t>P&amp;CC Colour Posters</t>
  </si>
  <si>
    <t>18-024</t>
  </si>
  <si>
    <t>Lunch</t>
  </si>
  <si>
    <t>Tea Room catering</t>
  </si>
  <si>
    <t>18-025</t>
  </si>
  <si>
    <t>Morning coffee</t>
  </si>
  <si>
    <t>Large cambros</t>
  </si>
  <si>
    <t xml:space="preserve">Decorations &amp; Water </t>
  </si>
  <si>
    <t>Total First Year Conference Expenses</t>
  </si>
  <si>
    <t>ED MEET N GREET</t>
  </si>
  <si>
    <t xml:space="preserve">18-030 </t>
  </si>
  <si>
    <t xml:space="preserve">CLARK rentals </t>
  </si>
  <si>
    <t>ARC gym rental for dodgeball</t>
  </si>
  <si>
    <t>18-031</t>
  </si>
  <si>
    <t xml:space="preserve">Baked Goods </t>
  </si>
  <si>
    <t>28-032</t>
  </si>
  <si>
    <t xml:space="preserve">Muffins </t>
  </si>
  <si>
    <t>Total ED Meet n Greet Expenses</t>
  </si>
  <si>
    <t>EXAM STRESS SESSION</t>
  </si>
  <si>
    <t>18-040</t>
  </si>
  <si>
    <t>Muffins</t>
  </si>
  <si>
    <t>18-041</t>
  </si>
  <si>
    <t>Baked Goods</t>
  </si>
  <si>
    <t>18-042</t>
  </si>
  <si>
    <t>Fruit Tray</t>
  </si>
  <si>
    <t>18-043</t>
  </si>
  <si>
    <t>Vegetable Tray</t>
  </si>
  <si>
    <t>Total Exam Stress Sessions Expenses</t>
  </si>
  <si>
    <t>Director of Finance - Amanda Brissenden</t>
  </si>
  <si>
    <t>TITLE 1</t>
  </si>
  <si>
    <t>Total Tital 1 Revenue</t>
  </si>
  <si>
    <t xml:space="preserve">TITLE 2 </t>
  </si>
  <si>
    <t>Total Tital 2 Revenue</t>
  </si>
  <si>
    <t>TITLE 3</t>
  </si>
  <si>
    <t>Total Title 3 Revenue</t>
  </si>
  <si>
    <t xml:space="preserve">FINANCIAL TRAINING </t>
  </si>
  <si>
    <t>19-001</t>
  </si>
  <si>
    <t>Food</t>
  </si>
  <si>
    <t xml:space="preserve">2 Sessions, Tea Room Catering </t>
  </si>
  <si>
    <t>19-002</t>
  </si>
  <si>
    <t xml:space="preserve">Drinks </t>
  </si>
  <si>
    <t>19-003</t>
  </si>
  <si>
    <t xml:space="preserve">Handout Printing </t>
  </si>
  <si>
    <t>Single sided, b/w</t>
  </si>
  <si>
    <t xml:space="preserve">Cash Boxes </t>
  </si>
  <si>
    <t>Total Financial Training Expenses</t>
  </si>
  <si>
    <t>Director of Services - Cole Halenda</t>
  </si>
  <si>
    <t>MANAGER HIRING ADVERTISING</t>
  </si>
  <si>
    <t>20-001</t>
  </si>
  <si>
    <t>Golden Words Adverstisement</t>
  </si>
  <si>
    <t>Quarter page ad</t>
  </si>
  <si>
    <t>20-002</t>
  </si>
  <si>
    <t>In house printing (11x17 colour)</t>
  </si>
  <si>
    <t>Total Manager Hiring Advertising Expenses</t>
  </si>
  <si>
    <t>STAFF HIRING ADVERTISING</t>
  </si>
  <si>
    <t>20-010</t>
  </si>
  <si>
    <t>20-011</t>
  </si>
  <si>
    <t>Total Staff Hiring Advertising Expenses</t>
  </si>
  <si>
    <t>MANAGER APPRECIATION</t>
  </si>
  <si>
    <t>20-020</t>
  </si>
  <si>
    <t>Fall Dinner</t>
  </si>
  <si>
    <t>Milestones Girls Night Out</t>
  </si>
  <si>
    <t>20-021</t>
  </si>
  <si>
    <t>Appreciation Dinner</t>
  </si>
  <si>
    <t>Location TBD</t>
  </si>
  <si>
    <t>20-022</t>
  </si>
  <si>
    <t>iCon Social</t>
  </si>
  <si>
    <t>Lump Sum</t>
  </si>
  <si>
    <t>Total Manager Appreciation Expenses</t>
  </si>
  <si>
    <t>SERVICE NIGHT</t>
  </si>
  <si>
    <t>20-030</t>
  </si>
  <si>
    <t>Invitations</t>
  </si>
  <si>
    <t>P&amp;CC Card Stock Quarter Page</t>
  </si>
  <si>
    <t>20-031</t>
  </si>
  <si>
    <t>Name tags</t>
  </si>
  <si>
    <t>P&amp;CC Card Stock 6 Per Page</t>
  </si>
  <si>
    <t>20-032</t>
  </si>
  <si>
    <t>Tips for Clark</t>
  </si>
  <si>
    <t>Because Everyone Has Drink Tickets</t>
  </si>
  <si>
    <t>20-033</t>
  </si>
  <si>
    <t>Raffle Tickets</t>
  </si>
  <si>
    <t>Roll of 1000</t>
  </si>
  <si>
    <t>20-034</t>
  </si>
  <si>
    <t>Services Information Brochure</t>
  </si>
  <si>
    <t>20-035</t>
  </si>
  <si>
    <t>Name Tag Holders</t>
  </si>
  <si>
    <t>Pack of 10 from Staples</t>
  </si>
  <si>
    <t>20-036</t>
  </si>
  <si>
    <t>iPad Mini</t>
  </si>
  <si>
    <t>16 GB - Grand Prize</t>
  </si>
  <si>
    <t xml:space="preserve">Jacket Pickup </t>
  </si>
  <si>
    <t>20-037</t>
  </si>
  <si>
    <t>StuCons</t>
  </si>
  <si>
    <t>Total Service Night Expenses</t>
  </si>
  <si>
    <t>MANAGER TRAINING</t>
  </si>
  <si>
    <t>20-040</t>
  </si>
  <si>
    <t>Meat Sandwich Tray</t>
  </si>
  <si>
    <t>20-041</t>
  </si>
  <si>
    <t>Vegetable Sandwich Tray</t>
  </si>
  <si>
    <t>20-042</t>
  </si>
  <si>
    <t>Coffee</t>
  </si>
  <si>
    <t>Total Manager Training Expenses</t>
  </si>
  <si>
    <t xml:space="preserve">ICON SUPPLIES </t>
  </si>
  <si>
    <t xml:space="preserve">20-050 </t>
  </si>
  <si>
    <t xml:space="preserve">Universal Desktop Charger </t>
  </si>
  <si>
    <t xml:space="preserve">Canada Computer </t>
  </si>
  <si>
    <t>20-051</t>
  </si>
  <si>
    <t xml:space="preserve">Apple 85w Charger </t>
  </si>
  <si>
    <t xml:space="preserve">Apple </t>
  </si>
  <si>
    <t>Total iCon Supplies Expenses</t>
  </si>
  <si>
    <t>Director of Information Technology - Alice Wang</t>
  </si>
  <si>
    <t xml:space="preserve">WEBSITES </t>
  </si>
  <si>
    <t>21-001</t>
  </si>
  <si>
    <t xml:space="preserve">Domain Management Fee </t>
  </si>
  <si>
    <t>Domain name fee recovery (all groups except one)</t>
  </si>
  <si>
    <t>Total AMS/ITS Expenses</t>
  </si>
  <si>
    <t>AMS/ITS</t>
  </si>
  <si>
    <t xml:space="preserve">21-010 </t>
  </si>
  <si>
    <t>Licensing Fee</t>
  </si>
  <si>
    <t>For Microsoft</t>
  </si>
  <si>
    <t>21-011</t>
  </si>
  <si>
    <t>Firewalls</t>
  </si>
  <si>
    <t>ILC and Clark Hall</t>
  </si>
  <si>
    <t>21-012</t>
  </si>
  <si>
    <t>CISCO Smartnet</t>
  </si>
  <si>
    <t>21-013</t>
  </si>
  <si>
    <t>SSL Certificates</t>
  </si>
  <si>
    <t>New\ website</t>
  </si>
  <si>
    <t>WEBSITES</t>
  </si>
  <si>
    <t>21-020</t>
  </si>
  <si>
    <t>Domain Management</t>
  </si>
  <si>
    <t>Clubs, services, groups</t>
  </si>
  <si>
    <t>21-021</t>
  </si>
  <si>
    <t xml:space="preserve">Akismet </t>
  </si>
  <si>
    <t>Total Websites Expenses</t>
  </si>
  <si>
    <t>COMPUTER MANAGERS</t>
  </si>
  <si>
    <t xml:space="preserve">21-030 </t>
  </si>
  <si>
    <t>Jacket Bars</t>
  </si>
  <si>
    <t>21-031</t>
  </si>
  <si>
    <t>Late-night meetings</t>
  </si>
  <si>
    <t>Total Computer Manager Expenses</t>
  </si>
  <si>
    <t>SERVER</t>
  </si>
  <si>
    <t>21-040</t>
  </si>
  <si>
    <t>Cloud Server</t>
  </si>
  <si>
    <t>Rackspace</t>
  </si>
  <si>
    <t>21-041</t>
  </si>
  <si>
    <t>Backups</t>
  </si>
  <si>
    <t>Total Server Expenses</t>
  </si>
  <si>
    <t>HARDWARE</t>
  </si>
  <si>
    <t>21-050</t>
  </si>
  <si>
    <t>16 GB USB</t>
  </si>
  <si>
    <t>Storage &amp; Backup</t>
  </si>
  <si>
    <t xml:space="preserve">21-051 </t>
  </si>
  <si>
    <t xml:space="preserve">8 GB USB </t>
  </si>
  <si>
    <t>21-052</t>
  </si>
  <si>
    <t>Computer</t>
  </si>
  <si>
    <t>Dell Optiplex 3010</t>
  </si>
  <si>
    <t>21-053</t>
  </si>
  <si>
    <t>IT Equipment</t>
  </si>
  <si>
    <t>Total Hardware Expenses</t>
  </si>
  <si>
    <t>Director of Events - Elizabeth Pendergast</t>
  </si>
  <si>
    <t xml:space="preserve">DEANS WINE AND CHEESE </t>
  </si>
  <si>
    <t>22-001</t>
  </si>
  <si>
    <t>Dean's Contribution</t>
  </si>
  <si>
    <t>Based off last year, no tax</t>
  </si>
  <si>
    <t>Total Dean's Wine and Cheese Revenue</t>
  </si>
  <si>
    <t xml:space="preserve">HIRING NIGHT </t>
  </si>
  <si>
    <t>22-010</t>
  </si>
  <si>
    <t>Pizza Pizza, $2.00/slice</t>
  </si>
  <si>
    <t>22-011</t>
  </si>
  <si>
    <t>Juice and pop</t>
  </si>
  <si>
    <t>22-012</t>
  </si>
  <si>
    <t xml:space="preserve">Clark </t>
  </si>
  <si>
    <t>Rental fee</t>
  </si>
  <si>
    <t>22-013</t>
  </si>
  <si>
    <t>Tips for Clark Staff</t>
  </si>
  <si>
    <t>22-014</t>
  </si>
  <si>
    <t>Prize</t>
  </si>
  <si>
    <t>Tablet or multiple smaller prizes (TBD)</t>
  </si>
  <si>
    <t>Total Hiring Night Expenses</t>
  </si>
  <si>
    <t xml:space="preserve">DEAN'S WINE AND CHEESE </t>
  </si>
  <si>
    <t>22-020</t>
  </si>
  <si>
    <t xml:space="preserve">Wine </t>
  </si>
  <si>
    <t>22-021</t>
  </si>
  <si>
    <t xml:space="preserve">Live Music </t>
  </si>
  <si>
    <t xml:space="preserve">Entertainment </t>
  </si>
  <si>
    <t>22-022</t>
  </si>
  <si>
    <t xml:space="preserve">Juice </t>
  </si>
  <si>
    <t xml:space="preserve">For punch </t>
  </si>
  <si>
    <t>22-023</t>
  </si>
  <si>
    <t xml:space="preserve">Decorations </t>
  </si>
  <si>
    <t>22-024</t>
  </si>
  <si>
    <t xml:space="preserve">Ice </t>
  </si>
  <si>
    <t xml:space="preserve">For punch and drinks </t>
  </si>
  <si>
    <t>22-025</t>
  </si>
  <si>
    <t xml:space="preserve">Invitations </t>
  </si>
  <si>
    <t>22-026</t>
  </si>
  <si>
    <t xml:space="preserve">Food and Snack </t>
  </si>
  <si>
    <t>Total Deans Wine and Cheese Expenses</t>
  </si>
  <si>
    <t xml:space="preserve">COORDINATOR EXPENSES </t>
  </si>
  <si>
    <t xml:space="preserve">22-030 </t>
  </si>
  <si>
    <t>Hoodies</t>
  </si>
  <si>
    <t>Event coordinator hoodies, includes printing</t>
  </si>
  <si>
    <t>22-031</t>
  </si>
  <si>
    <t>Buttons</t>
  </si>
  <si>
    <t>For event promotion</t>
  </si>
  <si>
    <t>22-032</t>
  </si>
  <si>
    <t>Food and Drinks</t>
  </si>
  <si>
    <t>For event training</t>
  </si>
  <si>
    <t>22-033</t>
  </si>
  <si>
    <t>Audio Equipment</t>
  </si>
  <si>
    <t xml:space="preserve">Purchasing for use at EngSoc events </t>
  </si>
  <si>
    <t>Total Coordinator Expenses</t>
  </si>
  <si>
    <t>,</t>
  </si>
  <si>
    <t>Director of Communications - Neal Hougham</t>
  </si>
  <si>
    <t xml:space="preserve">SUPPLIES </t>
  </si>
  <si>
    <t>23-001</t>
  </si>
  <si>
    <t>Pop-up Event Tent</t>
  </si>
  <si>
    <t>House of Flags</t>
  </si>
  <si>
    <t>23-002</t>
  </si>
  <si>
    <t>Vertical Banner for lounge</t>
  </si>
  <si>
    <t>23-003</t>
  </si>
  <si>
    <t>Horizontal Banner for table</t>
  </si>
  <si>
    <t>23-004</t>
  </si>
  <si>
    <t>Advertising/printing posters</t>
  </si>
  <si>
    <t>In House  (single colour page)</t>
  </si>
  <si>
    <t>23-005</t>
  </si>
  <si>
    <t>In House (poster printing)</t>
  </si>
  <si>
    <t>23-006</t>
  </si>
  <si>
    <t>Sweaters for Comm Team</t>
  </si>
  <si>
    <t>23-007</t>
  </si>
  <si>
    <t>Marketing supplies</t>
  </si>
  <si>
    <t>Chalk, markers, bristol board</t>
  </si>
  <si>
    <t>Total Supplies Expenses</t>
  </si>
  <si>
    <t>Director of Internal Affairs - Julie Tseng</t>
  </si>
  <si>
    <t xml:space="preserve">BANQUET </t>
  </si>
  <si>
    <t>24-001</t>
  </si>
  <si>
    <t xml:space="preserve">Ticket </t>
  </si>
  <si>
    <t xml:space="preserve">To accommodate increasaed capacity </t>
  </si>
  <si>
    <t>Total Council Expenses</t>
  </si>
  <si>
    <t>COUNCIL</t>
  </si>
  <si>
    <t>General</t>
  </si>
  <si>
    <t>24-010</t>
  </si>
  <si>
    <t>Writes minutes</t>
  </si>
  <si>
    <t>24-011</t>
  </si>
  <si>
    <t>Placcards</t>
  </si>
  <si>
    <t>New council members</t>
  </si>
  <si>
    <t>24-012</t>
  </si>
  <si>
    <t>Council Box</t>
  </si>
  <si>
    <t>For folders</t>
  </si>
  <si>
    <t>First Council</t>
  </si>
  <si>
    <t>24-013</t>
  </si>
  <si>
    <t>24-014</t>
  </si>
  <si>
    <t>Halloween</t>
  </si>
  <si>
    <t>24-015</t>
  </si>
  <si>
    <t>24-016</t>
  </si>
  <si>
    <t>BAF</t>
  </si>
  <si>
    <t>24-017</t>
  </si>
  <si>
    <t>24-018</t>
  </si>
  <si>
    <t>Holiday</t>
  </si>
  <si>
    <t>24-019</t>
  </si>
  <si>
    <t>24-020</t>
  </si>
  <si>
    <t>AGM</t>
  </si>
  <si>
    <t>24-021</t>
  </si>
  <si>
    <t>24-022</t>
  </si>
  <si>
    <t>Last Council</t>
  </si>
  <si>
    <t>ELECTIONS</t>
  </si>
  <si>
    <t>Exec</t>
  </si>
  <si>
    <t xml:space="preserve">24-030 </t>
  </si>
  <si>
    <t>Candidate Refunds</t>
  </si>
  <si>
    <t>24-031</t>
  </si>
  <si>
    <t>VPs and Senators</t>
  </si>
  <si>
    <t>24-032</t>
  </si>
  <si>
    <t>Advertising</t>
  </si>
  <si>
    <t>Posters, voting, nominations</t>
  </si>
  <si>
    <t>24-033</t>
  </si>
  <si>
    <t xml:space="preserve">Debates </t>
  </si>
  <si>
    <t>24-034</t>
  </si>
  <si>
    <t>24-035</t>
  </si>
  <si>
    <t>Equipment Rentals</t>
  </si>
  <si>
    <t>Year Exec</t>
  </si>
  <si>
    <t>24-036</t>
  </si>
  <si>
    <t>Posters, cards</t>
  </si>
  <si>
    <t>Total Election Expenses</t>
  </si>
  <si>
    <t>BANQUET</t>
  </si>
  <si>
    <t xml:space="preserve">24-040 </t>
  </si>
  <si>
    <t>Capacity: 150-200</t>
  </si>
  <si>
    <t>24-041</t>
  </si>
  <si>
    <t>Dinner</t>
  </si>
  <si>
    <t>24-042</t>
  </si>
  <si>
    <t>Wine</t>
  </si>
  <si>
    <t>24-043</t>
  </si>
  <si>
    <t>Gratuities</t>
  </si>
  <si>
    <t>24-044</t>
  </si>
  <si>
    <t>Sword</t>
  </si>
  <si>
    <t>Engraving</t>
  </si>
  <si>
    <t>24-045</t>
  </si>
  <si>
    <t>Trophies &amp; Plaques</t>
  </si>
  <si>
    <t>24-046</t>
  </si>
  <si>
    <t>24-047</t>
  </si>
  <si>
    <t>Awards</t>
  </si>
  <si>
    <t>Teaching specific</t>
  </si>
  <si>
    <t>24-048</t>
  </si>
  <si>
    <t>Awards Committee</t>
  </si>
  <si>
    <t>24-049</t>
  </si>
  <si>
    <t>24-050</t>
  </si>
  <si>
    <t>Busing</t>
  </si>
  <si>
    <t>To Clark after awards</t>
  </si>
  <si>
    <t>Total Banquet Expenses</t>
  </si>
  <si>
    <t xml:space="preserve">BUDDY PROGRAM </t>
  </si>
  <si>
    <t>25-001</t>
  </si>
  <si>
    <t>BBQ/Scavenger Hunt</t>
  </si>
  <si>
    <t>25-002</t>
  </si>
  <si>
    <t>Water Gun Fight</t>
  </si>
  <si>
    <t>25-003</t>
  </si>
  <si>
    <t>Cosmic Bowling</t>
  </si>
  <si>
    <t>25-004</t>
  </si>
  <si>
    <t>Boat Cruise</t>
  </si>
  <si>
    <t>25-005</t>
  </si>
  <si>
    <t xml:space="preserve">Damages Refund </t>
  </si>
  <si>
    <t>25-006</t>
  </si>
  <si>
    <t xml:space="preserve">Sandbanks Bonfire </t>
  </si>
  <si>
    <t>25-007</t>
  </si>
  <si>
    <t>Lazer Tag/Mini-Put</t>
  </si>
  <si>
    <t>25-008</t>
  </si>
  <si>
    <t>Sports Event</t>
  </si>
  <si>
    <t>25-009</t>
  </si>
  <si>
    <t>Final Event</t>
  </si>
  <si>
    <t>25-010</t>
  </si>
  <si>
    <t>Upper Year Training</t>
  </si>
  <si>
    <t>Total Buddy Program Revenue</t>
  </si>
  <si>
    <t>ATHLETICS</t>
  </si>
  <si>
    <t>25-020</t>
  </si>
  <si>
    <t>Bars</t>
  </si>
  <si>
    <t>Intramural bar sales revenue</t>
  </si>
  <si>
    <t>25-021</t>
  </si>
  <si>
    <t>Tournament Fee</t>
  </si>
  <si>
    <t>Total Athletics Revenue</t>
  </si>
  <si>
    <t>CAROL SERVICE</t>
  </si>
  <si>
    <t>25-030</t>
  </si>
  <si>
    <t>Food Sponsorship</t>
  </si>
  <si>
    <t>Total Carol Service Revenue</t>
  </si>
  <si>
    <t xml:space="preserve">DECEMBER 6TH MEMORIAL </t>
  </si>
  <si>
    <t>25-040</t>
  </si>
  <si>
    <t>Dean's Donation</t>
  </si>
  <si>
    <t>She gave us $600 last year</t>
  </si>
  <si>
    <t>Total December 6th Revenue</t>
  </si>
  <si>
    <t>TERRY FOX RUN</t>
  </si>
  <si>
    <t>25-050</t>
  </si>
  <si>
    <t>Food sale</t>
  </si>
  <si>
    <t>Estimate</t>
  </si>
  <si>
    <t>25-051</t>
  </si>
  <si>
    <t>Change donations</t>
  </si>
  <si>
    <t>25-052</t>
  </si>
  <si>
    <t>Pledge donations</t>
  </si>
  <si>
    <t>25-053</t>
  </si>
  <si>
    <t>T-Shirts</t>
  </si>
  <si>
    <t>25-054</t>
  </si>
  <si>
    <t>BBQ</t>
  </si>
  <si>
    <t>Post-run BBQ (hot dogs, burgers, drinks)</t>
  </si>
  <si>
    <t>25-055</t>
  </si>
  <si>
    <t>Raffle</t>
  </si>
  <si>
    <t>Of donated goods</t>
  </si>
  <si>
    <t>25-056</t>
  </si>
  <si>
    <t>Bottle drive</t>
  </si>
  <si>
    <t>Total Terry Fox Run Revenue</t>
  </si>
  <si>
    <t>ENG RUGBY</t>
  </si>
  <si>
    <t>25-060</t>
  </si>
  <si>
    <t>Player Fees</t>
  </si>
  <si>
    <t>Estimated number of players, no tax</t>
  </si>
  <si>
    <t>25-061</t>
  </si>
  <si>
    <t>Mouthguard Sales</t>
  </si>
  <si>
    <t>Purchased then sold to players, no tax</t>
  </si>
  <si>
    <t>25-062</t>
  </si>
  <si>
    <t>Old Jersey Sales</t>
  </si>
  <si>
    <t>Price varies depending on condition, no tax</t>
  </si>
  <si>
    <t>25-063</t>
  </si>
  <si>
    <t>Estimated amount, no tax</t>
  </si>
  <si>
    <t>Total Eng Rugby Revenue</t>
  </si>
  <si>
    <t>ENG WEEK</t>
  </si>
  <si>
    <t>25-070</t>
  </si>
  <si>
    <t>Curling</t>
  </si>
  <si>
    <t>25-071</t>
  </si>
  <si>
    <t>Thundersledz</t>
  </si>
  <si>
    <t>25-072</t>
  </si>
  <si>
    <t>Kareoke</t>
  </si>
  <si>
    <t>25-073</t>
  </si>
  <si>
    <t>All-Ages (pre-sold)</t>
  </si>
  <si>
    <t>25-074</t>
  </si>
  <si>
    <t>All-Ages (at-the-door)</t>
  </si>
  <si>
    <t>25-075</t>
  </si>
  <si>
    <t>Pub Crawl</t>
  </si>
  <si>
    <t>25-076</t>
  </si>
  <si>
    <t>Hockey</t>
  </si>
  <si>
    <t>25-077</t>
  </si>
  <si>
    <t>BOTB</t>
  </si>
  <si>
    <t>Total Eng Week Revenue</t>
  </si>
  <si>
    <t>EXTERNAL RELATIONS COMMITTEE</t>
  </si>
  <si>
    <t>25-080</t>
  </si>
  <si>
    <t>EWB Donation</t>
  </si>
  <si>
    <t>2013 listed revenue</t>
  </si>
  <si>
    <t>25-081</t>
  </si>
  <si>
    <t>ESSCO Rube Goldberg Fund</t>
  </si>
  <si>
    <t>Total External Relations Committee Revenue</t>
  </si>
  <si>
    <t>FUNGINEERING</t>
  </si>
  <si>
    <t>25-090</t>
  </si>
  <si>
    <t>Dodgeball</t>
  </si>
  <si>
    <t>Tournament 1</t>
  </si>
  <si>
    <t>25-091</t>
  </si>
  <si>
    <t>Tournament 2</t>
  </si>
  <si>
    <t>25-092</t>
  </si>
  <si>
    <t>Paintball</t>
  </si>
  <si>
    <t>Fall</t>
  </si>
  <si>
    <t>25-093</t>
  </si>
  <si>
    <t>Spring</t>
  </si>
  <si>
    <t>25-094</t>
  </si>
  <si>
    <t>Poker Tournament</t>
  </si>
  <si>
    <t>25-095</t>
  </si>
  <si>
    <t>Golf Tournament</t>
  </si>
  <si>
    <t>Total Fungineering Revenue</t>
  </si>
  <si>
    <t>FIX N CLEAN</t>
  </si>
  <si>
    <t>25-100</t>
  </si>
  <si>
    <t xml:space="preserve">Sponsorship </t>
  </si>
  <si>
    <t>Total Fix n Clean Revenue</t>
  </si>
  <si>
    <t>MOVEMBER</t>
  </si>
  <si>
    <t>25-110</t>
  </si>
  <si>
    <t>Hats</t>
  </si>
  <si>
    <t>25-111</t>
  </si>
  <si>
    <t>Shirts</t>
  </si>
  <si>
    <t>25-112</t>
  </si>
  <si>
    <t xml:space="preserve">Custom Posters </t>
  </si>
  <si>
    <t>25-113</t>
  </si>
  <si>
    <t>$3 per ticket</t>
  </si>
  <si>
    <t>25-114</t>
  </si>
  <si>
    <t>Hamburgers</t>
  </si>
  <si>
    <t>25-115</t>
  </si>
  <si>
    <t xml:space="preserve">Donations from Entry </t>
  </si>
  <si>
    <t>Total Movember Revenue</t>
  </si>
  <si>
    <t>BUDDY PROGRAM</t>
  </si>
  <si>
    <t>25-120</t>
  </si>
  <si>
    <t>Hot Dogs</t>
  </si>
  <si>
    <t>M&amp;M's (boxes of 36)</t>
  </si>
  <si>
    <t>25-121</t>
  </si>
  <si>
    <t>M&amp;M's (boxes of 150)</t>
  </si>
  <si>
    <t>25-122</t>
  </si>
  <si>
    <t>Veggie Burgers</t>
  </si>
  <si>
    <t>25-123</t>
  </si>
  <si>
    <t>Cheese</t>
  </si>
  <si>
    <t>Costco</t>
  </si>
  <si>
    <t>25-124</t>
  </si>
  <si>
    <t>Buns</t>
  </si>
  <si>
    <t>Costco (packs of 24)</t>
  </si>
  <si>
    <t>25-125</t>
  </si>
  <si>
    <t>Condiments</t>
  </si>
  <si>
    <t>Loblaws</t>
  </si>
  <si>
    <t>25-126</t>
  </si>
  <si>
    <t>Napkins</t>
  </si>
  <si>
    <t>Costco (pack of 1200 napkins)</t>
  </si>
  <si>
    <t>25-127</t>
  </si>
  <si>
    <t>Propane Tank</t>
  </si>
  <si>
    <t>Refill after Friday Patio Ritual</t>
  </si>
  <si>
    <t>25-128</t>
  </si>
  <si>
    <t>Soft Drinks</t>
  </si>
  <si>
    <t>Costco (boxes of 32 cans)</t>
  </si>
  <si>
    <t>25-129</t>
  </si>
  <si>
    <t>Water</t>
  </si>
  <si>
    <t>Costco (box of 35 bottles)</t>
  </si>
  <si>
    <t>25-130</t>
  </si>
  <si>
    <t>For tickets Staples (500 sheets)</t>
  </si>
  <si>
    <t>25-131</t>
  </si>
  <si>
    <t>Prizes</t>
  </si>
  <si>
    <t>25-132</t>
  </si>
  <si>
    <t>Water Guns</t>
  </si>
  <si>
    <t>25-133</t>
  </si>
  <si>
    <t>Entrance Fee</t>
  </si>
  <si>
    <t>On a per person basis</t>
  </si>
  <si>
    <t>25-134</t>
  </si>
  <si>
    <t>25-135</t>
  </si>
  <si>
    <t>Bowling Alley</t>
  </si>
  <si>
    <t>25-136</t>
  </si>
  <si>
    <t>25-137</t>
  </si>
  <si>
    <t>1 Cruise</t>
  </si>
  <si>
    <t>25-138</t>
  </si>
  <si>
    <t>Responsibility Deposit</t>
  </si>
  <si>
    <t>Refundable</t>
  </si>
  <si>
    <t>25-139</t>
  </si>
  <si>
    <t>DJ</t>
  </si>
  <si>
    <t>25-140</t>
  </si>
  <si>
    <t>SOCAN Fees</t>
  </si>
  <si>
    <t>25-141</t>
  </si>
  <si>
    <t>Buses</t>
  </si>
  <si>
    <t>James Reid-2 Trips</t>
  </si>
  <si>
    <t>25-142</t>
  </si>
  <si>
    <t>Damage Deposit</t>
  </si>
  <si>
    <t>Refundable damage deposit</t>
  </si>
  <si>
    <t>25-143</t>
  </si>
  <si>
    <t>4 hours, 7 StuCons (if no alcohol)</t>
  </si>
  <si>
    <t>25-144</t>
  </si>
  <si>
    <t>25-145</t>
  </si>
  <si>
    <t xml:space="preserve">Buses </t>
  </si>
  <si>
    <t>25-146</t>
  </si>
  <si>
    <t>25-147</t>
  </si>
  <si>
    <t xml:space="preserve">Lazer Tag/Mini Put </t>
  </si>
  <si>
    <t>25-148</t>
  </si>
  <si>
    <t>Put n' Blast Rental</t>
  </si>
  <si>
    <t>25-149</t>
  </si>
  <si>
    <t>For tickets, Staples (500 sheets)</t>
  </si>
  <si>
    <t>25-150</t>
  </si>
  <si>
    <t>City Park</t>
  </si>
  <si>
    <t>Free</t>
  </si>
  <si>
    <t>25-151</t>
  </si>
  <si>
    <t>Hot Chocolate</t>
  </si>
  <si>
    <t>Tea Room</t>
  </si>
  <si>
    <t>25-152</t>
  </si>
  <si>
    <t>25-153</t>
  </si>
  <si>
    <t xml:space="preserve">Comedy Club </t>
  </si>
  <si>
    <t>25-154</t>
  </si>
  <si>
    <t>25-155</t>
  </si>
  <si>
    <t xml:space="preserve">DJ </t>
  </si>
  <si>
    <t>25-156</t>
  </si>
  <si>
    <t>Room Booking</t>
  </si>
  <si>
    <t>ILC</t>
  </si>
  <si>
    <t>Total Buddy Program Expenses</t>
  </si>
  <si>
    <t>25-160</t>
  </si>
  <si>
    <t>Intramural jacket bars, to be sold</t>
  </si>
  <si>
    <t>25-161</t>
  </si>
  <si>
    <t>Advertising Materials</t>
  </si>
  <si>
    <t>Poster board, paper, paint, etc.</t>
  </si>
  <si>
    <t>25-162</t>
  </si>
  <si>
    <t>Gym rental</t>
  </si>
  <si>
    <t>For tournament (TBA)</t>
  </si>
  <si>
    <t>25-163</t>
  </si>
  <si>
    <t>25-164</t>
  </si>
  <si>
    <t xml:space="preserve">Bonds </t>
  </si>
  <si>
    <t>Total Athletics Expenses</t>
  </si>
  <si>
    <t>25-170</t>
  </si>
  <si>
    <t>Grant Hall Rental</t>
  </si>
  <si>
    <t>25-171</t>
  </si>
  <si>
    <t>Reception Room Rental</t>
  </si>
  <si>
    <t>Red Room - through ASUS</t>
  </si>
  <si>
    <t>25-172</t>
  </si>
  <si>
    <t>Fruit and Vegetable Trays</t>
  </si>
  <si>
    <t>Metro</t>
  </si>
  <si>
    <t>25-173</t>
  </si>
  <si>
    <t>25-174</t>
  </si>
  <si>
    <t>From Tea Room</t>
  </si>
  <si>
    <t>25-175</t>
  </si>
  <si>
    <t>25-176</t>
  </si>
  <si>
    <t>Napkins and Utensils</t>
  </si>
  <si>
    <t>25-177</t>
  </si>
  <si>
    <t xml:space="preserve">In House Priniting </t>
  </si>
  <si>
    <t>25-178</t>
  </si>
  <si>
    <t>25-179</t>
  </si>
  <si>
    <t>Thank-you Cards &amp; Gifts</t>
  </si>
  <si>
    <t>25-180</t>
  </si>
  <si>
    <t>Organist</t>
  </si>
  <si>
    <t>Paid by Chaplain</t>
  </si>
  <si>
    <t>25-181</t>
  </si>
  <si>
    <t>Microphones</t>
  </si>
  <si>
    <t>25-182</t>
  </si>
  <si>
    <t>Choral Risers</t>
  </si>
  <si>
    <t>Unsure if they will be needed</t>
  </si>
  <si>
    <t>25-183</t>
  </si>
  <si>
    <t>Additional Decorations</t>
  </si>
  <si>
    <t>25-184</t>
  </si>
  <si>
    <t>Piano Tuning</t>
  </si>
  <si>
    <t>Total Carol Service Expenses</t>
  </si>
  <si>
    <t xml:space="preserve">DECEMBER 6TH </t>
  </si>
  <si>
    <t>25-190</t>
  </si>
  <si>
    <t>Roses</t>
  </si>
  <si>
    <t>Red or deep violet</t>
  </si>
  <si>
    <t>25-191</t>
  </si>
  <si>
    <t>Ribbon</t>
  </si>
  <si>
    <t>White</t>
  </si>
  <si>
    <t>25-192</t>
  </si>
  <si>
    <t>Safety Pins</t>
  </si>
  <si>
    <t>For ribbons</t>
  </si>
  <si>
    <t>25-193</t>
  </si>
  <si>
    <t>EngSoc, $0.05 per page, no tax</t>
  </si>
  <si>
    <t>25-194</t>
  </si>
  <si>
    <t>A/V Equipment</t>
  </si>
  <si>
    <t>Soundsystem, projection screen</t>
  </si>
  <si>
    <t>25-195</t>
  </si>
  <si>
    <t>TeaRoom, w/ cups, cream, sugar</t>
  </si>
  <si>
    <t>25-196</t>
  </si>
  <si>
    <t>Three platters from Metro</t>
  </si>
  <si>
    <t>Total December 6th Expenses</t>
  </si>
  <si>
    <t>25-200</t>
  </si>
  <si>
    <t>Logistics</t>
  </si>
  <si>
    <t>Total Terry Fox Run Expenses</t>
  </si>
  <si>
    <t>25-210</t>
  </si>
  <si>
    <t>Referee Fees</t>
  </si>
  <si>
    <t>Per-game basis, no tax</t>
  </si>
  <si>
    <t>25-211</t>
  </si>
  <si>
    <t>Bus Transportation</t>
  </si>
  <si>
    <t>Average cost to Ottawa/Hamilton</t>
  </si>
  <si>
    <t>25-212</t>
  </si>
  <si>
    <t>Field Rental</t>
  </si>
  <si>
    <t>25-213</t>
  </si>
  <si>
    <t>Mouthguards</t>
  </si>
  <si>
    <t>To sell to players</t>
  </si>
  <si>
    <t>25-214</t>
  </si>
  <si>
    <t>Tackle Pads</t>
  </si>
  <si>
    <t>Based on UK pricing, looking for Canadian supplier</t>
  </si>
  <si>
    <t>25-215</t>
  </si>
  <si>
    <t>First Aid Refill</t>
  </si>
  <si>
    <t>To replenish first aid kit supplies</t>
  </si>
  <si>
    <t>25-216</t>
  </si>
  <si>
    <t xml:space="preserve">Sidewalk Sale Fee </t>
  </si>
  <si>
    <t>No tax</t>
  </si>
  <si>
    <t>25-217</t>
  </si>
  <si>
    <t>Uniform subsidy</t>
  </si>
  <si>
    <t>For team members</t>
  </si>
  <si>
    <t>25-218</t>
  </si>
  <si>
    <t xml:space="preserve">Replacement Equipment </t>
  </si>
  <si>
    <t xml:space="preserve">Growing Team needs more supplies -&gt; added with approval from Emily and Sam </t>
  </si>
  <si>
    <t>Total Eng Rugby Expenses</t>
  </si>
  <si>
    <t>25-220</t>
  </si>
  <si>
    <t>Curling Club Deposit</t>
  </si>
  <si>
    <t>Four sheets</t>
  </si>
  <si>
    <t>25-221</t>
  </si>
  <si>
    <t>Based on last year</t>
  </si>
  <si>
    <t>25-222</t>
  </si>
  <si>
    <t>Junior StuCons</t>
  </si>
  <si>
    <t>25-223</t>
  </si>
  <si>
    <t>Senior StuCon</t>
  </si>
  <si>
    <t>25-224</t>
  </si>
  <si>
    <t>Duct Tape</t>
  </si>
  <si>
    <t>From storage</t>
  </si>
  <si>
    <t>All-Ages</t>
  </si>
  <si>
    <t>25-225</t>
  </si>
  <si>
    <t>25-226</t>
  </si>
  <si>
    <t>Assuming DJ is not inluded in venue price</t>
  </si>
  <si>
    <t>25-227</t>
  </si>
  <si>
    <t>Decorations/Miscellaneous</t>
  </si>
  <si>
    <t>25-228</t>
  </si>
  <si>
    <t>Clark Hall</t>
  </si>
  <si>
    <t>Assuming drink target is met</t>
  </si>
  <si>
    <t>25-229</t>
  </si>
  <si>
    <t>25-230</t>
  </si>
  <si>
    <t>Senior StuCons</t>
  </si>
  <si>
    <t>25-231</t>
  </si>
  <si>
    <t>Rink Rental</t>
  </si>
  <si>
    <t>25-232</t>
  </si>
  <si>
    <t>Assuming the memorial centre</t>
  </si>
  <si>
    <t>25-233</t>
  </si>
  <si>
    <t>Referees</t>
  </si>
  <si>
    <t>25-234</t>
  </si>
  <si>
    <t>Trophy</t>
  </si>
  <si>
    <t>25-235</t>
  </si>
  <si>
    <t>After Party</t>
  </si>
  <si>
    <t>25-236</t>
  </si>
  <si>
    <t>25-237</t>
  </si>
  <si>
    <t>25-238</t>
  </si>
  <si>
    <t>25-239</t>
  </si>
  <si>
    <t>Food Colouring</t>
  </si>
  <si>
    <t>For purple Turbo</t>
  </si>
  <si>
    <t xml:space="preserve">25-240 </t>
  </si>
  <si>
    <t>25-241</t>
  </si>
  <si>
    <t>Based off of last Year</t>
  </si>
  <si>
    <t>25-242</t>
  </si>
  <si>
    <t>Bracelets</t>
  </si>
  <si>
    <t>25-243</t>
  </si>
  <si>
    <t>25-244</t>
  </si>
  <si>
    <t>MC Fee</t>
  </si>
  <si>
    <t>25-245</t>
  </si>
  <si>
    <t xml:space="preserve">25-246 </t>
  </si>
  <si>
    <t>Garbage Removal</t>
  </si>
  <si>
    <t>based off last year</t>
  </si>
  <si>
    <t>25-247</t>
  </si>
  <si>
    <t>Rope</t>
  </si>
  <si>
    <t>25-248</t>
  </si>
  <si>
    <t>25-249</t>
  </si>
  <si>
    <t>Assuming Tearoom</t>
  </si>
  <si>
    <t>25-250</t>
  </si>
  <si>
    <t>25-251</t>
  </si>
  <si>
    <t>No-Snow Option</t>
  </si>
  <si>
    <t>Extra materials to build race-able Thundersledz</t>
  </si>
  <si>
    <t>25-252</t>
  </si>
  <si>
    <t>EngWeek Sweaters</t>
  </si>
  <si>
    <t>Based off last year</t>
  </si>
  <si>
    <t>25-253</t>
  </si>
  <si>
    <t>Posters 8.5x11</t>
  </si>
  <si>
    <t>25-254</t>
  </si>
  <si>
    <t>Posters 11x17</t>
  </si>
  <si>
    <t>25-255</t>
  </si>
  <si>
    <t>Tent Cards</t>
  </si>
  <si>
    <t>Card-stock, matte</t>
  </si>
  <si>
    <t>25-256</t>
  </si>
  <si>
    <t xml:space="preserve">Tickets </t>
  </si>
  <si>
    <t xml:space="preserve">Pencils </t>
  </si>
  <si>
    <t>Total Eng Week Expenses</t>
  </si>
  <si>
    <t>Santa Claus Parade</t>
  </si>
  <si>
    <t>25-260</t>
  </si>
  <si>
    <t>25-261</t>
  </si>
  <si>
    <t>Trailer Rental</t>
  </si>
  <si>
    <t>25-262</t>
  </si>
  <si>
    <t>Truck Driver</t>
  </si>
  <si>
    <t>previously has been volunteers</t>
  </si>
  <si>
    <t>25-263</t>
  </si>
  <si>
    <t>Generator</t>
  </si>
  <si>
    <t>Previously by donation</t>
  </si>
  <si>
    <t>25-264</t>
  </si>
  <si>
    <t>Gasoline</t>
  </si>
  <si>
    <t/>
  </si>
  <si>
    <t xml:space="preserve">25-265 </t>
  </si>
  <si>
    <t>Materials</t>
  </si>
  <si>
    <t>Previously by donation (Rona)</t>
  </si>
  <si>
    <t>25-266</t>
  </si>
  <si>
    <t>Scaffolding</t>
  </si>
  <si>
    <t>United Rentals Donation</t>
  </si>
  <si>
    <t>25-267</t>
  </si>
  <si>
    <t>No cost if taken place at school</t>
  </si>
  <si>
    <t xml:space="preserve">25-268 </t>
  </si>
  <si>
    <t xml:space="preserve">25-269 </t>
  </si>
  <si>
    <t>For activities</t>
  </si>
  <si>
    <t xml:space="preserve">25-270 </t>
  </si>
  <si>
    <t>Other materials</t>
  </si>
  <si>
    <t>"Queen's Eng Helps Study"</t>
  </si>
  <si>
    <t xml:space="preserve">25-271 </t>
  </si>
  <si>
    <t>To feed student volunteers</t>
  </si>
  <si>
    <t>"Chalk Math"</t>
  </si>
  <si>
    <t>25-272</t>
  </si>
  <si>
    <t>Chalk</t>
  </si>
  <si>
    <t>In pack quantity</t>
  </si>
  <si>
    <t>25-273</t>
  </si>
  <si>
    <t>Queen's covers, no cost (cost denotes per hour)</t>
  </si>
  <si>
    <t>Total External Relations Committee Expenses</t>
  </si>
  <si>
    <t>Dodgeball (2)</t>
  </si>
  <si>
    <t xml:space="preserve">25-280 </t>
  </si>
  <si>
    <t>Prizes (1st Tournament)</t>
  </si>
  <si>
    <t>25-281</t>
  </si>
  <si>
    <t>Prizes (2nd Tournament)</t>
  </si>
  <si>
    <t>25-282</t>
  </si>
  <si>
    <t>Gym Rental (1st Tournament)</t>
  </si>
  <si>
    <t>25-283</t>
  </si>
  <si>
    <t>Gym Rentals (2nd Tournament)</t>
  </si>
  <si>
    <t>25-284</t>
  </si>
  <si>
    <t>Tape for Lines</t>
  </si>
  <si>
    <t>Based on last year (projected)</t>
  </si>
  <si>
    <t>Paintball (2)</t>
  </si>
  <si>
    <t xml:space="preserve">25-285 </t>
  </si>
  <si>
    <t>Prizes (Fall)</t>
  </si>
  <si>
    <t>25-286</t>
  </si>
  <si>
    <t>Prizes (Spring)</t>
  </si>
  <si>
    <t>25-287</t>
  </si>
  <si>
    <t>Admission Cost (Fall)</t>
  </si>
  <si>
    <t>25-288</t>
  </si>
  <si>
    <t>Admission Cost (Spring)</t>
  </si>
  <si>
    <t>25-289</t>
  </si>
  <si>
    <t>Buses (Fall)</t>
  </si>
  <si>
    <t>25-290</t>
  </si>
  <si>
    <t>Buses (Spring)</t>
  </si>
  <si>
    <t>25-291</t>
  </si>
  <si>
    <t>Pizza (Fall)</t>
  </si>
  <si>
    <t>25-292</t>
  </si>
  <si>
    <t>Pizza (Spring)</t>
  </si>
  <si>
    <t>25-293</t>
  </si>
  <si>
    <t>Extra Paint (Fall)</t>
  </si>
  <si>
    <t>Based on last year demands</t>
  </si>
  <si>
    <t>25-294</t>
  </si>
  <si>
    <t>Extra Paint (Spring)</t>
  </si>
  <si>
    <t xml:space="preserve">25-295 </t>
  </si>
  <si>
    <t>Based on last year ideas</t>
  </si>
  <si>
    <t>25-296</t>
  </si>
  <si>
    <t>Space Reservation</t>
  </si>
  <si>
    <t>25-297</t>
  </si>
  <si>
    <t>2 slices per person</t>
  </si>
  <si>
    <t>25-298</t>
  </si>
  <si>
    <t>24-packs of pop and water</t>
  </si>
  <si>
    <t>Coffehouse (2)</t>
  </si>
  <si>
    <t>25-299</t>
  </si>
  <si>
    <t>Booking Tea Room (1.0)</t>
  </si>
  <si>
    <t>25-300</t>
  </si>
  <si>
    <t>Booking Tea Room (2.0)</t>
  </si>
  <si>
    <t>25-301</t>
  </si>
  <si>
    <t>Equipment Rentals (1.0)</t>
  </si>
  <si>
    <t>25-302</t>
  </si>
  <si>
    <t>Equipment Rentals (2.0)</t>
  </si>
  <si>
    <t>25-303</t>
  </si>
  <si>
    <t>Greens Fees</t>
  </si>
  <si>
    <t>Belle Park Fairways 40-Round Pack</t>
  </si>
  <si>
    <t>25-304</t>
  </si>
  <si>
    <t>Rental Clubs</t>
  </si>
  <si>
    <t>Estimation for group discount</t>
  </si>
  <si>
    <t>25-305</t>
  </si>
  <si>
    <t>Estimation for a group prizes</t>
  </si>
  <si>
    <t>Mud Yoga</t>
  </si>
  <si>
    <t xml:space="preserve">25-306 </t>
  </si>
  <si>
    <t>Tarp</t>
  </si>
  <si>
    <t>20ftx30ft all purpose, Home Depot</t>
  </si>
  <si>
    <t>25-307</t>
  </si>
  <si>
    <t>Dirt</t>
  </si>
  <si>
    <t>Black Earth (including delivery)</t>
  </si>
  <si>
    <t>25-308</t>
  </si>
  <si>
    <t>Yoga Instructor</t>
  </si>
  <si>
    <t>Estimation; payment for instructor</t>
  </si>
  <si>
    <t>slacklining/bbq</t>
  </si>
  <si>
    <t>Total Fungineering Expenses</t>
  </si>
  <si>
    <t xml:space="preserve">25-310 </t>
  </si>
  <si>
    <t>Cleaning supplies</t>
  </si>
  <si>
    <t>Adding to existing supplies in ILC locker</t>
  </si>
  <si>
    <t>25-311</t>
  </si>
  <si>
    <t>Payback for volunteers</t>
  </si>
  <si>
    <t>25-312</t>
  </si>
  <si>
    <t>25-313</t>
  </si>
  <si>
    <t>Senior Apprecition</t>
  </si>
  <si>
    <t>25-314</t>
  </si>
  <si>
    <t>Volunteer Appreciation</t>
  </si>
  <si>
    <t>25-315</t>
  </si>
  <si>
    <t>Sponsor Appreciation</t>
  </si>
  <si>
    <t>Total Fix n Clean Expenses</t>
  </si>
  <si>
    <t>25-320</t>
  </si>
  <si>
    <t>Clark Hall Booking Deposit</t>
  </si>
  <si>
    <t>Assuming drink sales are met</t>
  </si>
  <si>
    <t>25-321</t>
  </si>
  <si>
    <t>Raffle Prizes</t>
  </si>
  <si>
    <t>For raffle winners</t>
  </si>
  <si>
    <t>25-322</t>
  </si>
  <si>
    <t xml:space="preserve">Prize for best Prof Mo </t>
  </si>
  <si>
    <t>Prize for competition winner</t>
  </si>
  <si>
    <t>25-323</t>
  </si>
  <si>
    <t>Minimum 12</t>
  </si>
  <si>
    <t>25-324</t>
  </si>
  <si>
    <t xml:space="preserve">Movember Committee Fundraising Ideas </t>
  </si>
  <si>
    <t>25-325</t>
  </si>
  <si>
    <t>Hamburger Patties</t>
  </si>
  <si>
    <t>12 patty package</t>
  </si>
  <si>
    <t>25-326</t>
  </si>
  <si>
    <t>Hamburger Buns</t>
  </si>
  <si>
    <t>12 bun package</t>
  </si>
  <si>
    <t>25-327</t>
  </si>
  <si>
    <t>Propane</t>
  </si>
  <si>
    <t>Refill propane tank</t>
  </si>
  <si>
    <t>25-328</t>
  </si>
  <si>
    <t>Relish</t>
  </si>
  <si>
    <t>25-329</t>
  </si>
  <si>
    <t>Ketchup</t>
  </si>
  <si>
    <t>25-330</t>
  </si>
  <si>
    <t>Mustard</t>
  </si>
  <si>
    <t>25-331</t>
  </si>
  <si>
    <t>Custom Posters</t>
  </si>
  <si>
    <t>Also sold as Mov. Gear</t>
  </si>
  <si>
    <t>25-332</t>
  </si>
  <si>
    <t>advertise on pavement</t>
  </si>
  <si>
    <t>25-333</t>
  </si>
  <si>
    <t>Poster Board</t>
  </si>
  <si>
    <t>For EngDay</t>
  </si>
  <si>
    <t>25-334</t>
  </si>
  <si>
    <t>Paper for print flyers</t>
  </si>
  <si>
    <t>25-335</t>
  </si>
  <si>
    <t>estimate from SpreadShirts.com</t>
  </si>
  <si>
    <t>25-336</t>
  </si>
  <si>
    <t>estimate from CustomInk.com</t>
  </si>
  <si>
    <t>25-337</t>
  </si>
  <si>
    <t xml:space="preserve">Donate all Profit </t>
  </si>
  <si>
    <t>Total Movember Expenses</t>
  </si>
  <si>
    <t>*NEW</t>
  </si>
  <si>
    <t>APSC 161 3D Parts</t>
  </si>
  <si>
    <t>***NEW</t>
  </si>
  <si>
    <t>GW Advertising</t>
  </si>
  <si>
    <t>late filing penalties</t>
  </si>
  <si>
    <t>Shovel</t>
  </si>
  <si>
    <t>Replace Jay's Shovel Cause TeaRoom Lost it</t>
  </si>
  <si>
    <t>online voting system</t>
  </si>
  <si>
    <t>**</t>
  </si>
  <si>
    <t>Business Cards</t>
  </si>
  <si>
    <t>Microphone</t>
  </si>
  <si>
    <t>For Board conference meetings</t>
  </si>
  <si>
    <t>CFES - PRESIDENT'S MEETING (McGill)</t>
  </si>
  <si>
    <t>Website Rental</t>
  </si>
  <si>
    <t>QPID Donation</t>
  </si>
  <si>
    <t>5 Days Campaign for Youth Shelter</t>
  </si>
  <si>
    <t>Flickr Pro</t>
  </si>
  <si>
    <t>2014-2015 Expenses</t>
  </si>
  <si>
    <t>CRA Late Filing Penalty</t>
  </si>
  <si>
    <t>Unknown</t>
  </si>
  <si>
    <t>From Trophy House</t>
  </si>
  <si>
    <t>Other Sources</t>
  </si>
  <si>
    <t>00-081</t>
  </si>
  <si>
    <t>ATM Revenue</t>
  </si>
  <si>
    <t>ATM in Clark</t>
  </si>
  <si>
    <t>OTHER SOURCES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</si>
</sst>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"/>
    <numFmt numFmtId="166" formatCode="&quot;$&quot;#,##0.000"/>
    <numFmt numFmtId="167" formatCode="0.000%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2"/>
      <name val="Segoe UI"/>
      <family val="2"/>
    </font>
    <font>
      <b/>
      <sz val="26"/>
      <color rgb="FF7030A0"/>
      <name val="Segoe UI"/>
      <family val="2"/>
    </font>
    <font>
      <b/>
      <sz val="12"/>
      <name val="Segoe UI"/>
      <family val="2"/>
    </font>
    <font>
      <b/>
      <sz val="12"/>
      <color theme="0"/>
      <name val="Segoe UI"/>
      <family val="2"/>
    </font>
    <font>
      <sz val="10"/>
      <name val="Segoe UI"/>
      <family val="2"/>
    </font>
    <font>
      <b/>
      <sz val="13"/>
      <name val="Segoe UI"/>
      <family val="2"/>
    </font>
    <font>
      <i/>
      <sz val="12"/>
      <name val="Segoe UI"/>
      <family val="2"/>
    </font>
    <font>
      <sz val="13"/>
      <name val="Segoe UI"/>
      <family val="2"/>
    </font>
    <font>
      <b/>
      <sz val="14"/>
      <name val="Segoe UI"/>
      <family val="2"/>
    </font>
    <font>
      <sz val="14"/>
      <name val="Segoe UI"/>
      <family val="2"/>
    </font>
    <font>
      <b/>
      <sz val="26"/>
      <color rgb="FF660099"/>
      <name val="Segoe UI Light"/>
      <family val="2"/>
    </font>
    <font>
      <b/>
      <sz val="26"/>
      <color rgb="FF7030A0"/>
      <name val="Segoe UI Light"/>
      <family val="2"/>
    </font>
    <font>
      <b/>
      <i/>
      <sz val="12"/>
      <name val="Segoe UI"/>
      <family val="2"/>
    </font>
    <font>
      <sz val="12"/>
      <color theme="0"/>
      <name val="Segoe U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2"/>
      <color rgb="FFFF0000"/>
      <name val="Segoe U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0099"/>
        <bgColor indexed="64"/>
      </patternFill>
    </fill>
    <fill>
      <patternFill patternType="solid">
        <fgColor rgb="FFFECB00"/>
        <bgColor indexed="64"/>
      </patternFill>
    </fill>
    <fill>
      <patternFill patternType="solid">
        <fgColor rgb="FFFECB00"/>
        <bgColor rgb="FF000000"/>
      </patternFill>
    </fill>
    <fill>
      <patternFill patternType="solid">
        <fgColor rgb="FF66009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2">
    <xf numFmtId="0" fontId="0" fillId="0" borderId="0"/>
    <xf numFmtId="44" fontId="7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0"/>
    <xf numFmtId="164" fontId="2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09">
    <xf numFmtId="0" fontId="0" fillId="0" borderId="0" xfId="0"/>
    <xf numFmtId="49" fontId="9" fillId="2" borderId="0" xfId="0" applyNumberFormat="1" applyFont="1" applyFill="1" applyBorder="1"/>
    <xf numFmtId="49" fontId="10" fillId="2" borderId="2" xfId="0" applyNumberFormat="1" applyFont="1" applyFill="1" applyBorder="1" applyAlignment="1">
      <alignment vertical="center"/>
    </xf>
    <xf numFmtId="165" fontId="11" fillId="4" borderId="3" xfId="0" applyNumberFormat="1" applyFont="1" applyFill="1" applyBorder="1" applyAlignment="1">
      <alignment horizontal="center"/>
    </xf>
    <xf numFmtId="0" fontId="9" fillId="2" borderId="0" xfId="0" applyFont="1" applyFill="1" applyBorder="1"/>
    <xf numFmtId="165" fontId="9" fillId="2" borderId="0" xfId="0" applyNumberFormat="1" applyFont="1" applyFill="1" applyBorder="1"/>
    <xf numFmtId="0" fontId="11" fillId="2" borderId="0" xfId="0" applyFont="1" applyFill="1" applyBorder="1"/>
    <xf numFmtId="0" fontId="14" fillId="2" borderId="0" xfId="0" applyFont="1" applyFill="1" applyBorder="1"/>
    <xf numFmtId="165" fontId="11" fillId="8" borderId="8" xfId="0" applyNumberFormat="1" applyFont="1" applyFill="1" applyBorder="1" applyAlignment="1">
      <alignment horizontal="center"/>
    </xf>
    <xf numFmtId="0" fontId="16" fillId="2" borderId="0" xfId="0" applyFont="1" applyFill="1" applyBorder="1"/>
    <xf numFmtId="0" fontId="18" fillId="0" borderId="4" xfId="0" applyFont="1" applyFill="1" applyBorder="1"/>
    <xf numFmtId="0" fontId="18" fillId="2" borderId="0" xfId="0" applyFont="1" applyFill="1" applyBorder="1"/>
    <xf numFmtId="0" fontId="18" fillId="2" borderId="4" xfId="0" applyFont="1" applyFill="1" applyBorder="1"/>
    <xf numFmtId="0" fontId="17" fillId="2" borderId="0" xfId="0" applyFont="1" applyFill="1" applyBorder="1"/>
    <xf numFmtId="0" fontId="18" fillId="0" borderId="6" xfId="0" applyFont="1" applyFill="1" applyBorder="1"/>
    <xf numFmtId="0" fontId="9" fillId="2" borderId="0" xfId="0" applyFont="1" applyFill="1"/>
    <xf numFmtId="0" fontId="11" fillId="2" borderId="0" xfId="0" applyFont="1" applyFill="1"/>
    <xf numFmtId="165" fontId="9" fillId="2" borderId="0" xfId="0" applyNumberFormat="1" applyFont="1" applyFill="1"/>
    <xf numFmtId="49" fontId="12" fillId="6" borderId="12" xfId="0" applyNumberFormat="1" applyFont="1" applyFill="1" applyBorder="1" applyAlignment="1">
      <alignment horizontal="center"/>
    </xf>
    <xf numFmtId="49" fontId="12" fillId="9" borderId="12" xfId="0" applyNumberFormat="1" applyFont="1" applyFill="1" applyBorder="1" applyAlignment="1">
      <alignment horizontal="center"/>
    </xf>
    <xf numFmtId="0" fontId="21" fillId="2" borderId="4" xfId="0" applyFont="1" applyFill="1" applyBorder="1"/>
    <xf numFmtId="49" fontId="22" fillId="2" borderId="0" xfId="0" applyNumberFormat="1" applyFont="1" applyFill="1" applyBorder="1"/>
    <xf numFmtId="1" fontId="9" fillId="2" borderId="0" xfId="0" applyNumberFormat="1" applyFont="1" applyFill="1" applyBorder="1"/>
    <xf numFmtId="165" fontId="9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65" fontId="18" fillId="5" borderId="0" xfId="0" applyNumberFormat="1" applyFont="1" applyFill="1" applyBorder="1" applyAlignment="1">
      <alignment horizontal="center"/>
    </xf>
    <xf numFmtId="165" fontId="18" fillId="2" borderId="0" xfId="0" applyNumberFormat="1" applyFont="1" applyFill="1" applyBorder="1" applyAlignment="1">
      <alignment horizontal="center"/>
    </xf>
    <xf numFmtId="165" fontId="18" fillId="2" borderId="5" xfId="0" applyNumberFormat="1" applyFont="1" applyFill="1" applyBorder="1" applyAlignment="1">
      <alignment horizontal="center"/>
    </xf>
    <xf numFmtId="165" fontId="18" fillId="5" borderId="7" xfId="0" applyNumberFormat="1" applyFont="1" applyFill="1" applyBorder="1" applyAlignment="1">
      <alignment horizontal="center"/>
    </xf>
    <xf numFmtId="165" fontId="18" fillId="5" borderId="8" xfId="0" applyNumberFormat="1" applyFont="1" applyFill="1" applyBorder="1" applyAlignment="1">
      <alignment horizontal="center"/>
    </xf>
    <xf numFmtId="165" fontId="18" fillId="5" borderId="5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7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/>
    <xf numFmtId="3" fontId="9" fillId="2" borderId="10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3" fontId="11" fillId="2" borderId="10" xfId="0" applyNumberFormat="1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1" fillId="2" borderId="9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7" fillId="2" borderId="6" xfId="0" applyFont="1" applyFill="1" applyBorder="1" applyAlignment="1">
      <alignment horizontal="left"/>
    </xf>
    <xf numFmtId="166" fontId="9" fillId="2" borderId="0" xfId="0" applyNumberFormat="1" applyFont="1" applyFill="1" applyBorder="1" applyAlignment="1">
      <alignment horizontal="center"/>
    </xf>
    <xf numFmtId="167" fontId="9" fillId="5" borderId="0" xfId="0" applyNumberFormat="1" applyFont="1" applyFill="1" applyBorder="1" applyAlignment="1">
      <alignment horizontal="center"/>
    </xf>
    <xf numFmtId="165" fontId="9" fillId="5" borderId="0" xfId="0" applyNumberFormat="1" applyFont="1" applyFill="1" applyBorder="1" applyAlignment="1">
      <alignment horizontal="center" wrapText="1"/>
    </xf>
    <xf numFmtId="0" fontId="0" fillId="0" borderId="0" xfId="0"/>
    <xf numFmtId="165" fontId="9" fillId="2" borderId="3" xfId="0" applyNumberFormat="1" applyFont="1" applyFill="1" applyBorder="1"/>
    <xf numFmtId="165" fontId="17" fillId="5" borderId="5" xfId="0" applyNumberFormat="1" applyFont="1" applyFill="1" applyBorder="1" applyAlignment="1">
      <alignment horizontal="center"/>
    </xf>
    <xf numFmtId="0" fontId="16" fillId="10" borderId="7" xfId="0" applyFont="1" applyFill="1" applyBorder="1"/>
    <xf numFmtId="0" fontId="9" fillId="2" borderId="7" xfId="0" applyFont="1" applyFill="1" applyBorder="1"/>
    <xf numFmtId="165" fontId="9" fillId="10" borderId="7" xfId="0" applyNumberFormat="1" applyFont="1" applyFill="1" applyBorder="1"/>
    <xf numFmtId="1" fontId="9" fillId="10" borderId="7" xfId="0" applyNumberFormat="1" applyFont="1" applyFill="1" applyBorder="1"/>
    <xf numFmtId="165" fontId="9" fillId="10" borderId="8" xfId="0" applyNumberFormat="1" applyFont="1" applyFill="1" applyBorder="1"/>
    <xf numFmtId="0" fontId="0" fillId="2" borderId="0" xfId="0" applyFill="1"/>
    <xf numFmtId="165" fontId="9" fillId="2" borderId="0" xfId="0" applyNumberFormat="1" applyFont="1" applyFill="1" applyAlignment="1">
      <alignment wrapText="1"/>
    </xf>
    <xf numFmtId="165" fontId="17" fillId="5" borderId="7" xfId="0" applyNumberFormat="1" applyFont="1" applyFill="1" applyBorder="1" applyAlignment="1">
      <alignment horizontal="center" wrapText="1"/>
    </xf>
    <xf numFmtId="165" fontId="17" fillId="2" borderId="0" xfId="0" applyNumberFormat="1" applyFont="1" applyFill="1" applyBorder="1" applyAlignment="1">
      <alignment horizontal="center" wrapText="1"/>
    </xf>
    <xf numFmtId="165" fontId="17" fillId="5" borderId="0" xfId="0" applyNumberFormat="1" applyFont="1" applyFill="1" applyBorder="1" applyAlignment="1">
      <alignment horizontal="center" wrapText="1"/>
    </xf>
    <xf numFmtId="165" fontId="17" fillId="7" borderId="7" xfId="0" applyNumberFormat="1" applyFont="1" applyFill="1" applyBorder="1" applyAlignment="1">
      <alignment horizontal="center" wrapText="1"/>
    </xf>
    <xf numFmtId="165" fontId="14" fillId="2" borderId="0" xfId="0" applyNumberFormat="1" applyFont="1" applyFill="1" applyBorder="1" applyAlignment="1">
      <alignment horizontal="center" wrapText="1"/>
    </xf>
    <xf numFmtId="165" fontId="9" fillId="2" borderId="10" xfId="0" applyNumberFormat="1" applyFont="1" applyFill="1" applyBorder="1" applyAlignment="1">
      <alignment horizontal="center" wrapText="1"/>
    </xf>
    <xf numFmtId="165" fontId="9" fillId="2" borderId="0" xfId="0" applyNumberFormat="1" applyFont="1" applyFill="1" applyBorder="1" applyAlignment="1">
      <alignment wrapText="1"/>
    </xf>
    <xf numFmtId="165" fontId="11" fillId="2" borderId="0" xfId="0" applyNumberFormat="1" applyFont="1" applyFill="1" applyBorder="1" applyAlignment="1">
      <alignment horizontal="center" wrapText="1"/>
    </xf>
    <xf numFmtId="165" fontId="11" fillId="2" borderId="10" xfId="0" applyNumberFormat="1" applyFont="1" applyFill="1" applyBorder="1" applyAlignment="1">
      <alignment horizontal="center" wrapText="1"/>
    </xf>
    <xf numFmtId="165" fontId="9" fillId="2" borderId="0" xfId="0" applyNumberFormat="1" applyFont="1" applyFill="1" applyBorder="1" applyAlignment="1">
      <alignment horizontal="center" wrapText="1"/>
    </xf>
    <xf numFmtId="165" fontId="11" fillId="7" borderId="7" xfId="0" applyNumberFormat="1" applyFont="1" applyFill="1" applyBorder="1" applyAlignment="1">
      <alignment horizontal="center" wrapText="1"/>
    </xf>
    <xf numFmtId="165" fontId="11" fillId="2" borderId="2" xfId="0" applyNumberFormat="1" applyFont="1" applyFill="1" applyBorder="1" applyAlignment="1">
      <alignment horizontal="center" wrapText="1"/>
    </xf>
    <xf numFmtId="49" fontId="12" fillId="6" borderId="9" xfId="0" applyNumberFormat="1" applyFont="1" applyFill="1" applyBorder="1" applyAlignment="1">
      <alignment horizontal="center" wrapText="1"/>
    </xf>
    <xf numFmtId="0" fontId="15" fillId="2" borderId="4" xfId="0" quotePrefix="1" applyFont="1" applyFill="1" applyBorder="1"/>
    <xf numFmtId="49" fontId="9" fillId="2" borderId="0" xfId="0" applyNumberFormat="1" applyFont="1" applyFill="1" applyBorder="1"/>
    <xf numFmtId="0" fontId="9" fillId="2" borderId="0" xfId="0" applyFont="1" applyFill="1" applyBorder="1"/>
    <xf numFmtId="165" fontId="9" fillId="2" borderId="0" xfId="0" applyNumberFormat="1" applyFont="1" applyFill="1" applyBorder="1"/>
    <xf numFmtId="0" fontId="11" fillId="2" borderId="0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 applyBorder="1"/>
    <xf numFmtId="0" fontId="17" fillId="2" borderId="0" xfId="0" applyFont="1" applyFill="1" applyBorder="1"/>
    <xf numFmtId="0" fontId="9" fillId="2" borderId="0" xfId="0" applyFont="1" applyFill="1"/>
    <xf numFmtId="165" fontId="9" fillId="2" borderId="0" xfId="0" applyNumberFormat="1" applyFont="1" applyFill="1"/>
    <xf numFmtId="49" fontId="22" fillId="2" borderId="0" xfId="0" applyNumberFormat="1" applyFont="1" applyFill="1" applyBorder="1"/>
    <xf numFmtId="1" fontId="9" fillId="2" borderId="0" xfId="0" applyNumberFormat="1" applyFont="1" applyFill="1" applyBorder="1"/>
    <xf numFmtId="165" fontId="9" fillId="2" borderId="0" xfId="0" applyNumberFormat="1" applyFont="1" applyFill="1" applyAlignment="1"/>
    <xf numFmtId="165" fontId="9" fillId="2" borderId="0" xfId="0" applyNumberFormat="1" applyFont="1" applyFill="1" applyBorder="1" applyAlignment="1"/>
    <xf numFmtId="49" fontId="22" fillId="2" borderId="0" xfId="0" applyNumberFormat="1" applyFont="1" applyFill="1" applyBorder="1"/>
    <xf numFmtId="49" fontId="9" fillId="2" borderId="0" xfId="0" applyNumberFormat="1" applyFont="1" applyFill="1" applyBorder="1"/>
    <xf numFmtId="0" fontId="9" fillId="2" borderId="0" xfId="0" applyFont="1" applyFill="1" applyBorder="1"/>
    <xf numFmtId="165" fontId="9" fillId="2" borderId="0" xfId="0" applyNumberFormat="1" applyFont="1" applyFill="1" applyBorder="1"/>
    <xf numFmtId="0" fontId="11" fillId="2" borderId="0" xfId="0" applyFont="1" applyFill="1" applyBorder="1"/>
    <xf numFmtId="0" fontId="14" fillId="2" borderId="0" xfId="0" applyFont="1" applyFill="1" applyBorder="1"/>
    <xf numFmtId="0" fontId="16" fillId="2" borderId="0" xfId="0" applyFont="1" applyFill="1" applyBorder="1"/>
    <xf numFmtId="0" fontId="18" fillId="2" borderId="0" xfId="0" applyFont="1" applyFill="1" applyBorder="1"/>
    <xf numFmtId="0" fontId="17" fillId="2" borderId="0" xfId="0" applyFont="1" applyFill="1" applyBorder="1"/>
    <xf numFmtId="0" fontId="9" fillId="2" borderId="0" xfId="0" applyFont="1" applyFill="1"/>
    <xf numFmtId="0" fontId="11" fillId="2" borderId="0" xfId="0" applyFont="1" applyFill="1"/>
    <xf numFmtId="165" fontId="9" fillId="2" borderId="0" xfId="0" applyNumberFormat="1" applyFont="1" applyFill="1"/>
    <xf numFmtId="1" fontId="9" fillId="2" borderId="0" xfId="0" applyNumberFormat="1" applyFont="1" applyFill="1" applyBorder="1"/>
    <xf numFmtId="3" fontId="9" fillId="5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center"/>
    </xf>
    <xf numFmtId="0" fontId="11" fillId="2" borderId="4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5" fontId="9" fillId="4" borderId="0" xfId="0" applyNumberFormat="1" applyFont="1" applyFill="1" applyAlignment="1">
      <alignment horizontal="center"/>
    </xf>
    <xf numFmtId="165" fontId="9" fillId="11" borderId="0" xfId="0" applyNumberFormat="1" applyFont="1" applyFill="1" applyAlignment="1">
      <alignment horizontal="center"/>
    </xf>
    <xf numFmtId="165" fontId="9" fillId="4" borderId="0" xfId="0" applyNumberFormat="1" applyFont="1" applyFill="1" applyAlignment="1">
      <alignment horizontal="center" wrapText="1"/>
    </xf>
    <xf numFmtId="1" fontId="9" fillId="4" borderId="0" xfId="0" applyNumberFormat="1" applyFont="1" applyFill="1" applyAlignment="1">
      <alignment horizontal="center"/>
    </xf>
    <xf numFmtId="165" fontId="9" fillId="4" borderId="5" xfId="0" applyNumberFormat="1" applyFont="1" applyFill="1" applyBorder="1" applyAlignment="1">
      <alignment horizontal="center"/>
    </xf>
    <xf numFmtId="165" fontId="9" fillId="11" borderId="0" xfId="0" applyNumberFormat="1" applyFont="1" applyFill="1" applyAlignment="1">
      <alignment horizontal="center" wrapText="1"/>
    </xf>
    <xf numFmtId="1" fontId="9" fillId="11" borderId="0" xfId="0" applyNumberFormat="1" applyFont="1" applyFill="1" applyAlignment="1">
      <alignment horizontal="center"/>
    </xf>
    <xf numFmtId="165" fontId="9" fillId="11" borderId="5" xfId="0" applyNumberFormat="1" applyFont="1" applyFill="1" applyBorder="1" applyAlignment="1">
      <alignment horizontal="center"/>
    </xf>
    <xf numFmtId="0" fontId="9" fillId="0" borderId="0" xfId="0" applyFont="1"/>
    <xf numFmtId="165" fontId="9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5" fontId="17" fillId="5" borderId="3" xfId="0" applyNumberFormat="1" applyFont="1" applyFill="1" applyBorder="1" applyAlignment="1">
      <alignment horizontal="center"/>
    </xf>
    <xf numFmtId="165" fontId="17" fillId="2" borderId="5" xfId="0" applyNumberFormat="1" applyFont="1" applyFill="1" applyBorder="1" applyAlignment="1">
      <alignment horizontal="center"/>
    </xf>
    <xf numFmtId="165" fontId="17" fillId="5" borderId="8" xfId="0" applyNumberFormat="1" applyFont="1" applyFill="1" applyBorder="1" applyAlignment="1">
      <alignment horizontal="center"/>
    </xf>
    <xf numFmtId="49" fontId="9" fillId="2" borderId="0" xfId="0" applyNumberFormat="1" applyFont="1" applyFill="1" applyBorder="1"/>
    <xf numFmtId="49" fontId="11" fillId="2" borderId="0" xfId="0" applyNumberFormat="1" applyFont="1" applyFill="1" applyBorder="1" applyAlignment="1">
      <alignment horizontal="center"/>
    </xf>
    <xf numFmtId="0" fontId="13" fillId="0" borderId="0" xfId="0" applyFont="1"/>
    <xf numFmtId="9" fontId="11" fillId="2" borderId="0" xfId="0" applyNumberFormat="1" applyFont="1" applyFill="1" applyBorder="1"/>
    <xf numFmtId="4" fontId="11" fillId="2" borderId="0" xfId="0" applyNumberFormat="1" applyFont="1" applyFill="1" applyBorder="1"/>
    <xf numFmtId="3" fontId="14" fillId="2" borderId="0" xfId="0" applyNumberFormat="1" applyFont="1" applyFill="1" applyBorder="1"/>
    <xf numFmtId="9" fontId="14" fillId="2" borderId="0" xfId="0" applyNumberFormat="1" applyFont="1" applyFill="1" applyBorder="1"/>
    <xf numFmtId="4" fontId="14" fillId="2" borderId="0" xfId="0" applyNumberFormat="1" applyFont="1" applyFill="1" applyBorder="1"/>
    <xf numFmtId="0" fontId="11" fillId="2" borderId="0" xfId="0" applyFont="1" applyFill="1" applyBorder="1" applyAlignment="1">
      <alignment horizontal="center"/>
    </xf>
    <xf numFmtId="3" fontId="16" fillId="2" borderId="0" xfId="0" applyNumberFormat="1" applyFont="1" applyFill="1" applyBorder="1"/>
    <xf numFmtId="9" fontId="16" fillId="2" borderId="0" xfId="0" applyNumberFormat="1" applyFont="1" applyFill="1" applyBorder="1"/>
    <xf numFmtId="4" fontId="16" fillId="2" borderId="0" xfId="0" applyNumberFormat="1" applyFont="1" applyFill="1" applyBorder="1"/>
    <xf numFmtId="0" fontId="18" fillId="2" borderId="0" xfId="0" applyFont="1" applyFill="1" applyBorder="1"/>
    <xf numFmtId="0" fontId="9" fillId="2" borderId="0" xfId="0" applyFont="1" applyFill="1"/>
    <xf numFmtId="165" fontId="9" fillId="2" borderId="0" xfId="0" applyNumberFormat="1" applyFont="1" applyFill="1"/>
    <xf numFmtId="0" fontId="17" fillId="2" borderId="0" xfId="0" applyFont="1" applyFill="1" applyBorder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22" fillId="2" borderId="0" xfId="0" applyNumberFormat="1" applyFont="1" applyFill="1" applyBorder="1"/>
    <xf numFmtId="3" fontId="9" fillId="5" borderId="0" xfId="0" applyNumberFormat="1" applyFont="1" applyFill="1" applyBorder="1"/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vertical="center"/>
    </xf>
    <xf numFmtId="49" fontId="10" fillId="2" borderId="7" xfId="0" applyNumberFormat="1" applyFont="1" applyFill="1" applyBorder="1" applyAlignment="1">
      <alignment vertical="center"/>
    </xf>
    <xf numFmtId="0" fontId="11" fillId="3" borderId="4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165" fontId="11" fillId="2" borderId="2" xfId="0" applyNumberFormat="1" applyFont="1" applyFill="1" applyBorder="1" applyAlignment="1">
      <alignment horizontal="center"/>
    </xf>
    <xf numFmtId="165" fontId="11" fillId="4" borderId="2" xfId="0" applyNumberFormat="1" applyFont="1" applyFill="1" applyBorder="1" applyAlignment="1">
      <alignment horizontal="center"/>
    </xf>
    <xf numFmtId="165" fontId="11" fillId="7" borderId="7" xfId="0" applyNumberFormat="1" applyFont="1" applyFill="1" applyBorder="1" applyAlignment="1">
      <alignment horizontal="center"/>
    </xf>
    <xf numFmtId="165" fontId="11" fillId="7" borderId="8" xfId="0" applyNumberFormat="1" applyFont="1" applyFill="1" applyBorder="1" applyAlignment="1">
      <alignment horizontal="center"/>
    </xf>
    <xf numFmtId="0" fontId="11" fillId="2" borderId="4" xfId="0" applyFont="1" applyFill="1" applyBorder="1"/>
    <xf numFmtId="0" fontId="9" fillId="2" borderId="0" xfId="0" applyFont="1" applyFill="1" applyBorder="1"/>
    <xf numFmtId="165" fontId="9" fillId="2" borderId="0" xfId="0" applyNumberFormat="1" applyFont="1" applyFill="1" applyBorder="1"/>
    <xf numFmtId="165" fontId="9" fillId="2" borderId="5" xfId="0" applyNumberFormat="1" applyFont="1" applyFill="1" applyBorder="1"/>
    <xf numFmtId="0" fontId="9" fillId="5" borderId="0" xfId="0" applyFont="1" applyFill="1" applyBorder="1"/>
    <xf numFmtId="0" fontId="9" fillId="2" borderId="4" xfId="0" applyFont="1" applyFill="1" applyBorder="1"/>
    <xf numFmtId="3" fontId="9" fillId="2" borderId="0" xfId="0" applyNumberFormat="1" applyFont="1" applyFill="1" applyBorder="1"/>
    <xf numFmtId="4" fontId="9" fillId="2" borderId="0" xfId="0" applyNumberFormat="1" applyFont="1" applyFill="1" applyBorder="1"/>
    <xf numFmtId="0" fontId="11" fillId="2" borderId="9" xfId="0" applyFont="1" applyFill="1" applyBorder="1"/>
    <xf numFmtId="0" fontId="11" fillId="2" borderId="0" xfId="0" applyFont="1" applyFill="1" applyBorder="1"/>
    <xf numFmtId="9" fontId="9" fillId="2" borderId="0" xfId="0" applyNumberFormat="1" applyFont="1" applyFill="1" applyBorder="1"/>
    <xf numFmtId="0" fontId="14" fillId="2" borderId="4" xfId="0" applyFont="1" applyFill="1" applyBorder="1"/>
    <xf numFmtId="0" fontId="14" fillId="2" borderId="0" xfId="0" applyFont="1" applyFill="1" applyBorder="1"/>
    <xf numFmtId="165" fontId="11" fillId="8" borderId="7" xfId="0" applyNumberFormat="1" applyFont="1" applyFill="1" applyBorder="1" applyAlignment="1">
      <alignment horizontal="center"/>
    </xf>
    <xf numFmtId="0" fontId="15" fillId="2" borderId="4" xfId="0" applyFont="1" applyFill="1" applyBorder="1"/>
    <xf numFmtId="0" fontId="16" fillId="2" borderId="4" xfId="0" applyFont="1" applyFill="1" applyBorder="1"/>
    <xf numFmtId="0" fontId="16" fillId="2" borderId="0" xfId="0" applyFont="1" applyFill="1" applyBorder="1"/>
    <xf numFmtId="165" fontId="17" fillId="7" borderId="7" xfId="0" applyNumberFormat="1" applyFont="1" applyFill="1" applyBorder="1" applyAlignment="1">
      <alignment horizontal="center"/>
    </xf>
    <xf numFmtId="165" fontId="17" fillId="7" borderId="8" xfId="0" applyNumberFormat="1" applyFont="1" applyFill="1" applyBorder="1" applyAlignment="1">
      <alignment horizontal="center"/>
    </xf>
    <xf numFmtId="0" fontId="17" fillId="5" borderId="0" xfId="0" applyFont="1" applyFill="1" applyBorder="1"/>
    <xf numFmtId="0" fontId="17" fillId="2" borderId="0" xfId="0" applyFont="1" applyFill="1" applyBorder="1"/>
    <xf numFmtId="0" fontId="17" fillId="5" borderId="7" xfId="0" applyFont="1" applyFill="1" applyBorder="1"/>
    <xf numFmtId="49" fontId="12" fillId="9" borderId="6" xfId="0" applyNumberFormat="1" applyFont="1" applyFill="1" applyBorder="1" applyAlignment="1"/>
    <xf numFmtId="49" fontId="12" fillId="6" borderId="9" xfId="0" applyNumberFormat="1" applyFont="1" applyFill="1" applyBorder="1" applyAlignment="1">
      <alignment horizontal="center"/>
    </xf>
    <xf numFmtId="49" fontId="12" fillId="9" borderId="10" xfId="0" applyNumberFormat="1" applyFont="1" applyFill="1" applyBorder="1" applyAlignment="1">
      <alignment horizontal="center"/>
    </xf>
    <xf numFmtId="0" fontId="17" fillId="2" borderId="4" xfId="0" applyFont="1" applyFill="1" applyBorder="1"/>
    <xf numFmtId="0" fontId="11" fillId="3" borderId="0" xfId="0" applyFont="1" applyFill="1" applyBorder="1" applyAlignment="1">
      <alignment horizontal="center"/>
    </xf>
    <xf numFmtId="0" fontId="15" fillId="2" borderId="0" xfId="0" applyFont="1" applyFill="1" applyBorder="1"/>
    <xf numFmtId="0" fontId="11" fillId="5" borderId="0" xfId="0" applyFont="1" applyFill="1" applyBorder="1"/>
    <xf numFmtId="165" fontId="11" fillId="2" borderId="10" xfId="0" applyNumberFormat="1" applyFont="1" applyFill="1" applyBorder="1" applyAlignment="1">
      <alignment horizontal="center"/>
    </xf>
    <xf numFmtId="165" fontId="11" fillId="2" borderId="11" xfId="0" applyNumberFormat="1" applyFont="1" applyFill="1" applyBorder="1" applyAlignment="1">
      <alignment horizontal="center"/>
    </xf>
    <xf numFmtId="49" fontId="12" fillId="9" borderId="8" xfId="0" applyNumberFormat="1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49" fontId="12" fillId="9" borderId="7" xfId="0" applyNumberFormat="1" applyFont="1" applyFill="1" applyBorder="1" applyAlignment="1">
      <alignment horizontal="center"/>
    </xf>
    <xf numFmtId="1" fontId="11" fillId="2" borderId="10" xfId="0" applyNumberFormat="1" applyFont="1" applyFill="1" applyBorder="1" applyAlignment="1">
      <alignment horizontal="center"/>
    </xf>
    <xf numFmtId="1" fontId="12" fillId="9" borderId="10" xfId="0" applyNumberFormat="1" applyFont="1" applyFill="1" applyBorder="1" applyAlignment="1">
      <alignment horizontal="center"/>
    </xf>
    <xf numFmtId="1" fontId="11" fillId="4" borderId="2" xfId="0" applyNumberFormat="1" applyFont="1" applyFill="1" applyBorder="1" applyAlignment="1">
      <alignment horizontal="center"/>
    </xf>
    <xf numFmtId="1" fontId="11" fillId="7" borderId="7" xfId="0" applyNumberFormat="1" applyFont="1" applyFill="1" applyBorder="1" applyAlignment="1">
      <alignment horizontal="center"/>
    </xf>
    <xf numFmtId="1" fontId="9" fillId="2" borderId="0" xfId="0" applyNumberFormat="1" applyFont="1" applyFill="1" applyBorder="1"/>
    <xf numFmtId="1" fontId="11" fillId="8" borderId="7" xfId="0" applyNumberFormat="1" applyFont="1" applyFill="1" applyBorder="1" applyAlignment="1">
      <alignment horizontal="center"/>
    </xf>
    <xf numFmtId="1" fontId="17" fillId="7" borderId="7" xfId="0" applyNumberFormat="1" applyFont="1" applyFill="1" applyBorder="1" applyAlignment="1">
      <alignment horizontal="center"/>
    </xf>
    <xf numFmtId="165" fontId="9" fillId="5" borderId="0" xfId="0" applyNumberFormat="1" applyFont="1" applyFill="1" applyBorder="1" applyAlignment="1">
      <alignment horizontal="center"/>
    </xf>
    <xf numFmtId="1" fontId="9" fillId="5" borderId="0" xfId="0" applyNumberFormat="1" applyFont="1" applyFill="1" applyBorder="1" applyAlignment="1">
      <alignment horizontal="center"/>
    </xf>
    <xf numFmtId="165" fontId="9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65" fontId="11" fillId="2" borderId="3" xfId="0" applyNumberFormat="1" applyFont="1" applyFill="1" applyBorder="1" applyAlignment="1">
      <alignment horizontal="center"/>
    </xf>
    <xf numFmtId="165" fontId="11" fillId="2" borderId="0" xfId="0" applyNumberFormat="1" applyFont="1" applyFill="1" applyBorder="1" applyAlignment="1">
      <alignment horizontal="center"/>
    </xf>
    <xf numFmtId="165" fontId="11" fillId="2" borderId="5" xfId="0" applyNumberFormat="1" applyFont="1" applyFill="1" applyBorder="1" applyAlignment="1">
      <alignment horizontal="center"/>
    </xf>
    <xf numFmtId="165" fontId="12" fillId="9" borderId="10" xfId="0" applyNumberFormat="1" applyFont="1" applyFill="1" applyBorder="1" applyAlignment="1">
      <alignment horizontal="center"/>
    </xf>
    <xf numFmtId="165" fontId="12" fillId="6" borderId="11" xfId="0" applyNumberFormat="1" applyFont="1" applyFill="1" applyBorder="1" applyAlignment="1">
      <alignment horizontal="center"/>
    </xf>
    <xf numFmtId="165" fontId="9" fillId="5" borderId="5" xfId="0" applyNumberFormat="1" applyFont="1" applyFill="1" applyBorder="1" applyAlignment="1">
      <alignment horizontal="center"/>
    </xf>
    <xf numFmtId="165" fontId="9" fillId="2" borderId="5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  <xf numFmtId="1" fontId="14" fillId="2" borderId="0" xfId="0" applyNumberFormat="1" applyFont="1" applyFill="1" applyBorder="1" applyAlignment="1">
      <alignment horizontal="center"/>
    </xf>
    <xf numFmtId="165" fontId="14" fillId="2" borderId="5" xfId="0" applyNumberFormat="1" applyFont="1" applyFill="1" applyBorder="1" applyAlignment="1">
      <alignment horizontal="center"/>
    </xf>
    <xf numFmtId="165" fontId="17" fillId="5" borderId="0" xfId="0" applyNumberFormat="1" applyFont="1" applyFill="1" applyBorder="1" applyAlignment="1">
      <alignment horizontal="center"/>
    </xf>
    <xf numFmtId="165" fontId="17" fillId="2" borderId="0" xfId="0" applyNumberFormat="1" applyFont="1" applyFill="1" applyBorder="1" applyAlignment="1">
      <alignment horizontal="center"/>
    </xf>
    <xf numFmtId="0" fontId="17" fillId="2" borderId="6" xfId="0" applyFont="1" applyFill="1" applyBorder="1"/>
    <xf numFmtId="165" fontId="17" fillId="5" borderId="7" xfId="0" applyNumberFormat="1" applyFont="1" applyFill="1" applyBorder="1" applyAlignment="1">
      <alignment horizontal="center"/>
    </xf>
    <xf numFmtId="165" fontId="9" fillId="2" borderId="10" xfId="0" applyNumberFormat="1" applyFont="1" applyFill="1" applyBorder="1" applyAlignment="1">
      <alignment horizontal="center"/>
    </xf>
    <xf numFmtId="1" fontId="9" fillId="2" borderId="10" xfId="0" applyNumberFormat="1" applyFont="1" applyFill="1" applyBorder="1" applyAlignment="1">
      <alignment horizontal="center"/>
    </xf>
    <xf numFmtId="49" fontId="9" fillId="2" borderId="1" xfId="0" applyNumberFormat="1" applyFont="1" applyFill="1" applyBorder="1"/>
    <xf numFmtId="49" fontId="9" fillId="2" borderId="2" xfId="0" applyNumberFormat="1" applyFont="1" applyFill="1" applyBorder="1"/>
    <xf numFmtId="0" fontId="17" fillId="5" borderId="0" xfId="0" applyFont="1" applyFill="1" applyBorder="1" applyAlignment="1">
      <alignment horizontal="center"/>
    </xf>
    <xf numFmtId="0" fontId="17" fillId="5" borderId="7" xfId="0" applyFont="1" applyFill="1" applyBorder="1" applyAlignment="1">
      <alignment horizontal="center"/>
    </xf>
    <xf numFmtId="0" fontId="9" fillId="5" borderId="0" xfId="0" applyNumberFormat="1" applyFont="1" applyFill="1" applyBorder="1" applyAlignment="1">
      <alignment horizontal="center"/>
    </xf>
    <xf numFmtId="0" fontId="13" fillId="2" borderId="0" xfId="0" applyFont="1" applyFill="1"/>
    <xf numFmtId="165" fontId="9" fillId="5" borderId="0" xfId="0" applyNumberFormat="1" applyFont="1" applyFill="1" applyBorder="1"/>
    <xf numFmtId="0" fontId="25" fillId="2" borderId="0" xfId="0" applyFont="1" applyFill="1" applyBorder="1"/>
    <xf numFmtId="3" fontId="25" fillId="2" borderId="0" xfId="0" applyNumberFormat="1" applyFont="1" applyFill="1" applyBorder="1"/>
    <xf numFmtId="165" fontId="25" fillId="2" borderId="0" xfId="0" applyNumberFormat="1" applyFont="1" applyFill="1" applyBorder="1" applyAlignment="1">
      <alignment horizontal="center"/>
    </xf>
    <xf numFmtId="165" fontId="25" fillId="2" borderId="0" xfId="0" applyNumberFormat="1" applyFont="1" applyFill="1" applyBorder="1" applyAlignment="1">
      <alignment horizontal="left"/>
    </xf>
    <xf numFmtId="1" fontId="25" fillId="2" borderId="0" xfId="0" applyNumberFormat="1" applyFon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" fontId="9" fillId="2" borderId="7" xfId="0" applyNumberFormat="1" applyFont="1" applyFill="1" applyBorder="1" applyAlignment="1">
      <alignment horizontal="center"/>
    </xf>
    <xf numFmtId="165" fontId="11" fillId="2" borderId="7" xfId="0" applyNumberFormat="1" applyFont="1" applyFill="1" applyBorder="1" applyAlignment="1">
      <alignment horizontal="center"/>
    </xf>
    <xf numFmtId="165" fontId="11" fillId="2" borderId="8" xfId="0" applyNumberFormat="1" applyFont="1" applyFill="1" applyBorder="1" applyAlignment="1">
      <alignment horizontal="center"/>
    </xf>
    <xf numFmtId="4" fontId="9" fillId="2" borderId="7" xfId="0" applyNumberFormat="1" applyFont="1" applyFill="1" applyBorder="1"/>
    <xf numFmtId="165" fontId="9" fillId="2" borderId="8" xfId="0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0" xfId="0" applyFont="1" applyFill="1" applyBorder="1" applyAlignment="1"/>
    <xf numFmtId="165" fontId="9" fillId="2" borderId="3" xfId="0" applyNumberFormat="1" applyFont="1" applyFill="1" applyBorder="1" applyAlignment="1">
      <alignment horizontal="center"/>
    </xf>
    <xf numFmtId="165" fontId="9" fillId="5" borderId="5" xfId="1" applyNumberFormat="1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9" fillId="2" borderId="9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center"/>
    </xf>
    <xf numFmtId="49" fontId="9" fillId="2" borderId="2" xfId="0" applyNumberFormat="1" applyFont="1" applyFill="1" applyBorder="1" applyAlignment="1"/>
    <xf numFmtId="49" fontId="12" fillId="9" borderId="7" xfId="0" applyNumberFormat="1" applyFont="1" applyFill="1" applyBorder="1" applyAlignment="1"/>
    <xf numFmtId="0" fontId="11" fillId="3" borderId="0" xfId="0" applyFont="1" applyFill="1" applyBorder="1" applyAlignment="1"/>
    <xf numFmtId="0" fontId="11" fillId="2" borderId="0" xfId="0" applyFont="1" applyFill="1" applyBorder="1" applyAlignment="1"/>
    <xf numFmtId="0" fontId="9" fillId="5" borderId="0" xfId="0" applyFont="1" applyFill="1" applyBorder="1" applyAlignment="1"/>
    <xf numFmtId="0" fontId="11" fillId="2" borderId="9" xfId="0" applyFont="1" applyFill="1" applyBorder="1" applyAlignment="1"/>
    <xf numFmtId="0" fontId="14" fillId="2" borderId="0" xfId="0" applyFont="1" applyFill="1" applyBorder="1" applyAlignment="1"/>
    <xf numFmtId="0" fontId="16" fillId="2" borderId="0" xfId="0" applyFont="1" applyFill="1" applyBorder="1" applyAlignment="1"/>
    <xf numFmtId="0" fontId="17" fillId="5" borderId="0" xfId="0" applyFont="1" applyFill="1" applyBorder="1" applyAlignment="1"/>
    <xf numFmtId="0" fontId="17" fillId="2" borderId="0" xfId="0" applyFont="1" applyFill="1" applyBorder="1" applyAlignment="1"/>
    <xf numFmtId="0" fontId="17" fillId="5" borderId="7" xfId="0" applyFont="1" applyFill="1" applyBorder="1" applyAlignment="1"/>
    <xf numFmtId="0" fontId="9" fillId="2" borderId="0" xfId="0" applyFont="1" applyFill="1" applyAlignment="1"/>
    <xf numFmtId="3" fontId="9" fillId="2" borderId="7" xfId="0" applyNumberFormat="1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9" fillId="10" borderId="7" xfId="0" applyFont="1" applyFill="1" applyBorder="1" applyAlignment="1">
      <alignment horizontal="center"/>
    </xf>
    <xf numFmtId="0" fontId="17" fillId="7" borderId="7" xfId="0" applyFont="1" applyFill="1" applyBorder="1" applyAlignment="1">
      <alignment horizontal="center"/>
    </xf>
    <xf numFmtId="3" fontId="9" fillId="5" borderId="0" xfId="0" applyNumberFormat="1" applyFont="1" applyFill="1" applyBorder="1" applyAlignment="1">
      <alignment horizontal="center" wrapText="1"/>
    </xf>
    <xf numFmtId="165" fontId="9" fillId="2" borderId="5" xfId="1" applyNumberFormat="1" applyFont="1" applyFill="1" applyBorder="1" applyAlignment="1">
      <alignment horizontal="center"/>
    </xf>
    <xf numFmtId="0" fontId="9" fillId="2" borderId="5" xfId="0" applyFont="1" applyFill="1" applyBorder="1"/>
    <xf numFmtId="44" fontId="9" fillId="2" borderId="0" xfId="1" applyFont="1" applyFill="1" applyBorder="1"/>
    <xf numFmtId="44" fontId="9" fillId="2" borderId="0" xfId="0" applyNumberFormat="1" applyFont="1" applyFill="1" applyBorder="1"/>
    <xf numFmtId="0" fontId="17" fillId="7" borderId="6" xfId="0" applyFont="1" applyFill="1" applyBorder="1" applyAlignment="1">
      <alignment horizontal="left"/>
    </xf>
    <xf numFmtId="0" fontId="17" fillId="7" borderId="7" xfId="0" applyFont="1" applyFill="1" applyBorder="1" applyAlignment="1">
      <alignment horizontal="left"/>
    </xf>
    <xf numFmtId="49" fontId="19" fillId="2" borderId="1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49" fontId="20" fillId="2" borderId="0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20" fillId="2" borderId="7" xfId="0" applyNumberFormat="1" applyFont="1" applyFill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49" fontId="11" fillId="9" borderId="6" xfId="0" applyNumberFormat="1" applyFont="1" applyFill="1" applyBorder="1" applyAlignment="1">
      <alignment horizontal="center"/>
    </xf>
    <xf numFmtId="49" fontId="11" fillId="9" borderId="8" xfId="0" applyNumberFormat="1" applyFont="1" applyFill="1" applyBorder="1" applyAlignment="1">
      <alignment horizontal="center"/>
    </xf>
    <xf numFmtId="0" fontId="11" fillId="7" borderId="6" xfId="0" applyFont="1" applyFill="1" applyBorder="1" applyAlignment="1">
      <alignment horizontal="left"/>
    </xf>
    <xf numFmtId="0" fontId="11" fillId="7" borderId="7" xfId="0" applyFont="1" applyFill="1" applyBorder="1" applyAlignment="1">
      <alignment horizontal="left"/>
    </xf>
    <xf numFmtId="0" fontId="17" fillId="7" borderId="6" xfId="0" applyFont="1" applyFill="1" applyBorder="1" applyAlignment="1">
      <alignment horizontal="left"/>
    </xf>
    <xf numFmtId="0" fontId="17" fillId="7" borderId="7" xfId="0" applyFont="1" applyFill="1" applyBorder="1" applyAlignment="1">
      <alignment horizontal="left"/>
    </xf>
    <xf numFmtId="49" fontId="11" fillId="2" borderId="1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49" fontId="20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/>
    </xf>
    <xf numFmtId="49" fontId="11" fillId="2" borderId="9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9" fillId="2" borderId="5" xfId="0" applyNumberFormat="1" applyFont="1" applyFill="1" applyBorder="1" applyAlignment="1">
      <alignment horizontal="center"/>
    </xf>
    <xf numFmtId="49" fontId="9" fillId="2" borderId="6" xfId="0" applyNumberFormat="1" applyFont="1" applyFill="1" applyBorder="1" applyAlignment="1">
      <alignment horizontal="center"/>
    </xf>
    <xf numFmtId="49" fontId="9" fillId="2" borderId="7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0" xfId="0" applyNumberFormat="1" applyFont="1" applyFill="1" applyBorder="1" applyAlignment="1">
      <alignment horizontal="center" vertical="center"/>
    </xf>
    <xf numFmtId="49" fontId="19" fillId="2" borderId="5" xfId="0" applyNumberFormat="1" applyFont="1" applyFill="1" applyBorder="1" applyAlignment="1">
      <alignment horizontal="center" vertical="center"/>
    </xf>
    <xf numFmtId="49" fontId="19" fillId="2" borderId="6" xfId="0" applyNumberFormat="1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horizontal="center" vertical="center" wrapText="1"/>
    </xf>
    <xf numFmtId="49" fontId="20" fillId="2" borderId="2" xfId="0" applyNumberFormat="1" applyFont="1" applyFill="1" applyBorder="1" applyAlignment="1">
      <alignment horizontal="center" vertical="center" wrapText="1"/>
    </xf>
    <xf numFmtId="49" fontId="20" fillId="2" borderId="3" xfId="0" applyNumberFormat="1" applyFont="1" applyFill="1" applyBorder="1" applyAlignment="1">
      <alignment horizontal="center" vertical="center" wrapText="1"/>
    </xf>
    <xf numFmtId="49" fontId="20" fillId="2" borderId="4" xfId="0" applyNumberFormat="1" applyFont="1" applyFill="1" applyBorder="1" applyAlignment="1">
      <alignment horizontal="center" vertical="center" wrapText="1"/>
    </xf>
    <xf numFmtId="49" fontId="20" fillId="2" borderId="0" xfId="0" applyNumberFormat="1" applyFont="1" applyFill="1" applyBorder="1" applyAlignment="1">
      <alignment horizontal="center" vertical="center" wrapText="1"/>
    </xf>
    <xf numFmtId="49" fontId="20" fillId="2" borderId="5" xfId="0" applyNumberFormat="1" applyFont="1" applyFill="1" applyBorder="1" applyAlignment="1">
      <alignment horizontal="center" vertical="center" wrapText="1"/>
    </xf>
    <xf numFmtId="49" fontId="20" fillId="2" borderId="6" xfId="0" applyNumberFormat="1" applyFont="1" applyFill="1" applyBorder="1" applyAlignment="1">
      <alignment horizontal="center" vertical="center" wrapText="1"/>
    </xf>
    <xf numFmtId="49" fontId="20" fillId="2" borderId="7" xfId="0" applyNumberFormat="1" applyFont="1" applyFill="1" applyBorder="1" applyAlignment="1">
      <alignment horizontal="center" vertical="center" wrapText="1"/>
    </xf>
    <xf numFmtId="49" fontId="20" fillId="2" borderId="8" xfId="0" applyNumberFormat="1" applyFont="1" applyFill="1" applyBorder="1" applyAlignment="1">
      <alignment horizontal="center" vertical="center" wrapText="1"/>
    </xf>
  </cellXfs>
  <cellStyles count="212">
    <cellStyle name="Currency" xfId="1" builtinId="4"/>
    <cellStyle name="Currency 2" xfId="78"/>
    <cellStyle name="Followed Hyperlink" xfId="16" builtinId="9" hidden="1"/>
    <cellStyle name="Followed Hyperlink" xfId="28" builtinId="9" hidden="1"/>
    <cellStyle name="Followed Hyperlink" xfId="18" builtinId="9" hidden="1"/>
    <cellStyle name="Followed Hyperlink" xfId="60" builtinId="9" hidden="1"/>
    <cellStyle name="Followed Hyperlink" xfId="70" builtinId="9" hidden="1"/>
    <cellStyle name="Followed Hyperlink" xfId="58" builtinId="9" hidden="1"/>
    <cellStyle name="Followed Hyperlink" xfId="48" builtinId="9" hidden="1"/>
    <cellStyle name="Followed Hyperlink" xfId="38" builtinId="9" hidden="1"/>
    <cellStyle name="Followed Hyperlink" xfId="82" builtinId="9" hidden="1"/>
    <cellStyle name="Followed Hyperlink" xfId="98" builtinId="9" hidden="1"/>
    <cellStyle name="Followed Hyperlink" xfId="114" builtinId="9" hidden="1"/>
    <cellStyle name="Followed Hyperlink" xfId="130" builtinId="9" hidden="1"/>
    <cellStyle name="Followed Hyperlink" xfId="147" builtinId="9" hidden="1"/>
    <cellStyle name="Followed Hyperlink" xfId="163" builtinId="9" hidden="1"/>
    <cellStyle name="Followed Hyperlink" xfId="179" builtinId="9" hidden="1"/>
    <cellStyle name="Followed Hyperlink" xfId="195" builtinId="9" hidden="1"/>
    <cellStyle name="Followed Hyperlink" xfId="211" builtinId="9" hidden="1"/>
    <cellStyle name="Followed Hyperlink" xfId="128" builtinId="9" hidden="1"/>
    <cellStyle name="Followed Hyperlink" xfId="140" builtinId="9" hidden="1"/>
    <cellStyle name="Followed Hyperlink" xfId="153" builtinId="9" hidden="1"/>
    <cellStyle name="Followed Hyperlink" xfId="161" builtinId="9" hidden="1"/>
    <cellStyle name="Followed Hyperlink" xfId="173" builtinId="9" hidden="1"/>
    <cellStyle name="Followed Hyperlink" xfId="185" builtinId="9" hidden="1"/>
    <cellStyle name="Followed Hyperlink" xfId="193" builtinId="9" hidden="1"/>
    <cellStyle name="Followed Hyperlink" xfId="205" builtinId="9" hidden="1"/>
    <cellStyle name="Followed Hyperlink" xfId="197" builtinId="9" hidden="1"/>
    <cellStyle name="Followed Hyperlink" xfId="165" builtinId="9" hidden="1"/>
    <cellStyle name="Followed Hyperlink" xfId="132" builtinId="9" hidden="1"/>
    <cellStyle name="Followed Hyperlink" xfId="104" builtinId="9" hidden="1"/>
    <cellStyle name="Followed Hyperlink" xfId="112" builtinId="9" hidden="1"/>
    <cellStyle name="Followed Hyperlink" xfId="120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92" builtinId="9" hidden="1"/>
    <cellStyle name="Followed Hyperlink" xfId="100" builtinId="9" hidden="1"/>
    <cellStyle name="Followed Hyperlink" xfId="116" builtinId="9" hidden="1"/>
    <cellStyle name="Followed Hyperlink" xfId="108" builtinId="9" hidden="1"/>
    <cellStyle name="Followed Hyperlink" xfId="96" builtinId="9" hidden="1"/>
    <cellStyle name="Followed Hyperlink" xfId="149" builtinId="9" hidden="1"/>
    <cellStyle name="Followed Hyperlink" xfId="181" builtinId="9" hidden="1"/>
    <cellStyle name="Followed Hyperlink" xfId="209" builtinId="9" hidden="1"/>
    <cellStyle name="Followed Hyperlink" xfId="201" builtinId="9" hidden="1"/>
    <cellStyle name="Followed Hyperlink" xfId="189" builtinId="9" hidden="1"/>
    <cellStyle name="Followed Hyperlink" xfId="177" builtinId="9" hidden="1"/>
    <cellStyle name="Followed Hyperlink" xfId="169" builtinId="9" hidden="1"/>
    <cellStyle name="Followed Hyperlink" xfId="157" builtinId="9" hidden="1"/>
    <cellStyle name="Followed Hyperlink" xfId="145" builtinId="9" hidden="1"/>
    <cellStyle name="Followed Hyperlink" xfId="136" builtinId="9" hidden="1"/>
    <cellStyle name="Followed Hyperlink" xfId="124" builtinId="9" hidden="1"/>
    <cellStyle name="Followed Hyperlink" xfId="203" builtinId="9" hidden="1"/>
    <cellStyle name="Followed Hyperlink" xfId="187" builtinId="9" hidden="1"/>
    <cellStyle name="Followed Hyperlink" xfId="171" builtinId="9" hidden="1"/>
    <cellStyle name="Followed Hyperlink" xfId="155" builtinId="9" hidden="1"/>
    <cellStyle name="Followed Hyperlink" xfId="138" builtinId="9" hidden="1"/>
    <cellStyle name="Followed Hyperlink" xfId="122" builtinId="9" hidden="1"/>
    <cellStyle name="Followed Hyperlink" xfId="106" builtinId="9" hidden="1"/>
    <cellStyle name="Followed Hyperlink" xfId="90" builtinId="9" hidden="1"/>
    <cellStyle name="Followed Hyperlink" xfId="32" builtinId="9" hidden="1"/>
    <cellStyle name="Followed Hyperlink" xfId="42" builtinId="9" hidden="1"/>
    <cellStyle name="Followed Hyperlink" xfId="54" builtinId="9" hidden="1"/>
    <cellStyle name="Followed Hyperlink" xfId="64" builtinId="9" hidden="1"/>
    <cellStyle name="Followed Hyperlink" xfId="74" builtinId="9" hidden="1"/>
    <cellStyle name="Followed Hyperlink" xfId="44" builtinId="9" hidden="1"/>
    <cellStyle name="Followed Hyperlink" xfId="24" builtinId="9" hidden="1"/>
    <cellStyle name="Followed Hyperlink" xfId="20" builtinId="9" hidden="1"/>
    <cellStyle name="Followed Hyperlink" xfId="10" builtinId="9" hidden="1"/>
    <cellStyle name="Followed Hyperlink" xfId="118" builtinId="9" hidden="1"/>
    <cellStyle name="Followed Hyperlink" xfId="110" builtinId="9" hidden="1"/>
    <cellStyle name="Followed Hyperlink" xfId="94" builtinId="9" hidden="1"/>
    <cellStyle name="Followed Hyperlink" xfId="86" builtinId="9" hidden="1"/>
    <cellStyle name="Followed Hyperlink" xfId="76" builtinId="9" hidden="1"/>
    <cellStyle name="Followed Hyperlink" xfId="40" builtinId="9" hidden="1"/>
    <cellStyle name="Followed Hyperlink" xfId="46" builtinId="9" hidden="1"/>
    <cellStyle name="Followed Hyperlink" xfId="50" builtinId="9" hidden="1"/>
    <cellStyle name="Followed Hyperlink" xfId="62" builtinId="9" hidden="1"/>
    <cellStyle name="Followed Hyperlink" xfId="66" builtinId="9" hidden="1"/>
    <cellStyle name="Followed Hyperlink" xfId="72" builtinId="9" hidden="1"/>
    <cellStyle name="Followed Hyperlink" xfId="52" builtinId="9" hidden="1"/>
    <cellStyle name="Followed Hyperlink" xfId="36" builtinId="9" hidden="1"/>
    <cellStyle name="Followed Hyperlink" xfId="22" builtinId="9" hidden="1"/>
    <cellStyle name="Followed Hyperlink" xfId="30" builtinId="9" hidden="1"/>
    <cellStyle name="Followed Hyperlink" xfId="14" builtinId="9" hidden="1"/>
    <cellStyle name="Followed Hyperlink" xfId="12" builtinId="9" hidden="1"/>
    <cellStyle name="Followed Hyperlink" xfId="26" builtinId="9" hidden="1"/>
    <cellStyle name="Followed Hyperlink" xfId="68" builtinId="9" hidden="1"/>
    <cellStyle name="Followed Hyperlink" xfId="56" builtinId="9" hidden="1"/>
    <cellStyle name="Followed Hyperlink" xfId="34" builtinId="9" hidden="1"/>
    <cellStyle name="Followed Hyperlink" xfId="102" builtinId="9" hidden="1"/>
    <cellStyle name="Followed Hyperlink" xfId="175" builtinId="9" hidden="1"/>
    <cellStyle name="Followed Hyperlink" xfId="159" builtinId="9" hidden="1"/>
    <cellStyle name="Followed Hyperlink" xfId="151" builtinId="9" hidden="1"/>
    <cellStyle name="Followed Hyperlink" xfId="142" builtinId="9" hidden="1"/>
    <cellStyle name="Followed Hyperlink" xfId="134" builtinId="9" hidden="1"/>
    <cellStyle name="Followed Hyperlink" xfId="126" builtinId="9" hidden="1"/>
    <cellStyle name="Followed Hyperlink" xfId="167" builtinId="9" hidden="1"/>
    <cellStyle name="Followed Hyperlink" xfId="191" builtinId="9" hidden="1"/>
    <cellStyle name="Followed Hyperlink" xfId="183" builtinId="9" hidden="1"/>
    <cellStyle name="Followed Hyperlink" xfId="199" builtinId="9" hidden="1"/>
    <cellStyle name="Followed Hyperlink" xfId="207" builtinId="9" hidden="1"/>
    <cellStyle name="Hyperlink" xfId="101" builtinId="8" hidden="1"/>
    <cellStyle name="Hyperlink" xfId="91" builtinId="8" hidden="1"/>
    <cellStyle name="Hyperlink" xfId="71" builtinId="8" hidden="1"/>
    <cellStyle name="Hyperlink" xfId="61" builtinId="8" hidden="1"/>
    <cellStyle name="Hyperlink" xfId="53" builtinId="8" hidden="1"/>
    <cellStyle name="Hyperlink" xfId="148" builtinId="8" hidden="1"/>
    <cellStyle name="Hyperlink" xfId="154" builtinId="8" hidden="1"/>
    <cellStyle name="Hyperlink" xfId="160" builtinId="8" hidden="1"/>
    <cellStyle name="Hyperlink" xfId="166" builtinId="8" hidden="1"/>
    <cellStyle name="Hyperlink" xfId="168" builtinId="8" hidden="1"/>
    <cellStyle name="Hyperlink" xfId="170" builtinId="8" hidden="1"/>
    <cellStyle name="Hyperlink" xfId="176" builtinId="8" hidden="1"/>
    <cellStyle name="Hyperlink" xfId="182" builtinId="8" hidden="1"/>
    <cellStyle name="Hyperlink" xfId="184" builtinId="8" hidden="1"/>
    <cellStyle name="Hyperlink" xfId="190" builtinId="8" hidden="1"/>
    <cellStyle name="Hyperlink" xfId="192" builtinId="8" hidden="1"/>
    <cellStyle name="Hyperlink" xfId="194" builtinId="8" hidden="1"/>
    <cellStyle name="Hyperlink" xfId="202" builtinId="8" hidden="1"/>
    <cellStyle name="Hyperlink" xfId="206" builtinId="8" hidden="1"/>
    <cellStyle name="Hyperlink" xfId="208" builtinId="8" hidden="1"/>
    <cellStyle name="Hyperlink" xfId="204" builtinId="8" hidden="1"/>
    <cellStyle name="Hyperlink" xfId="196" builtinId="8" hidden="1"/>
    <cellStyle name="Hyperlink" xfId="188" builtinId="8" hidden="1"/>
    <cellStyle name="Hyperlink" xfId="180" builtinId="8" hidden="1"/>
    <cellStyle name="Hyperlink" xfId="200" builtinId="8" hidden="1"/>
    <cellStyle name="Hyperlink" xfId="178" builtinId="8" hidden="1"/>
    <cellStyle name="Hyperlink" xfId="127" builtinId="8" hidden="1"/>
    <cellStyle name="Hyperlink" xfId="129" builtinId="8" hidden="1"/>
    <cellStyle name="Hyperlink" xfId="133" builtinId="8" hidden="1"/>
    <cellStyle name="Hyperlink" xfId="137" builtinId="8" hidden="1"/>
    <cellStyle name="Hyperlink" xfId="141" builtinId="8" hidden="1"/>
    <cellStyle name="Hyperlink" xfId="144" builtinId="8" hidden="1"/>
    <cellStyle name="Hyperlink" xfId="150" builtinId="8" hidden="1"/>
    <cellStyle name="Hyperlink" xfId="152" builtinId="8" hidden="1"/>
    <cellStyle name="Hyperlink" xfId="113" builtinId="8" hidden="1"/>
    <cellStyle name="Hyperlink" xfId="119" builtinId="8" hidden="1"/>
    <cellStyle name="Hyperlink" xfId="121" builtinId="8" hidden="1"/>
    <cellStyle name="Hyperlink" xfId="125" builtinId="8" hidden="1"/>
    <cellStyle name="Hyperlink" xfId="111" builtinId="8" hidden="1"/>
    <cellStyle name="Hyperlink" xfId="105" builtinId="8" hidden="1"/>
    <cellStyle name="Hyperlink" xfId="103" builtinId="8" hidden="1"/>
    <cellStyle name="Hyperlink" xfId="109" builtinId="8" hidden="1"/>
    <cellStyle name="Hyperlink" xfId="117" builtinId="8" hidden="1"/>
    <cellStyle name="Hyperlink" xfId="146" builtinId="8" hidden="1"/>
    <cellStyle name="Hyperlink" xfId="135" builtinId="8" hidden="1"/>
    <cellStyle name="Hyperlink" xfId="158" builtinId="8" hidden="1"/>
    <cellStyle name="Hyperlink" xfId="172" builtinId="8" hidden="1"/>
    <cellStyle name="Hyperlink" xfId="210" builtinId="8" hidden="1"/>
    <cellStyle name="Hyperlink" xfId="198" builtinId="8" hidden="1"/>
    <cellStyle name="Hyperlink" xfId="186" builtinId="8" hidden="1"/>
    <cellStyle name="Hyperlink" xfId="174" builtinId="8" hidden="1"/>
    <cellStyle name="Hyperlink" xfId="162" builtinId="8" hidden="1"/>
    <cellStyle name="Hyperlink" xfId="115" builtinId="8" hidden="1"/>
    <cellStyle name="Hyperlink" xfId="81" builtinId="8" hidden="1"/>
    <cellStyle name="Hyperlink" xfId="89" builtinId="8" hidden="1"/>
    <cellStyle name="Hyperlink" xfId="95" builtinId="8" hidden="1"/>
    <cellStyle name="Hyperlink" xfId="97" builtinId="8" hidden="1"/>
    <cellStyle name="Hyperlink" xfId="99" builtinId="8" hidden="1"/>
    <cellStyle name="Hyperlink" xfId="83" builtinId="8" hidden="1"/>
    <cellStyle name="Hyperlink" xfId="65" builtinId="8" hidden="1"/>
    <cellStyle name="Hyperlink" xfId="27" builtinId="8" hidden="1"/>
    <cellStyle name="Hyperlink" xfId="29" builtinId="8" hidden="1"/>
    <cellStyle name="Hyperlink" xfId="35" builtinId="8" hidden="1"/>
    <cellStyle name="Hyperlink" xfId="37" builtinId="8" hidden="1"/>
    <cellStyle name="Hyperlink" xfId="39" builtinId="8" hidden="1"/>
    <cellStyle name="Hyperlink" xfId="43" builtinId="8" hidden="1"/>
    <cellStyle name="Hyperlink" xfId="45" builtinId="8" hidden="1"/>
    <cellStyle name="Hyperlink" xfId="17" builtinId="8" hidden="1"/>
    <cellStyle name="Hyperlink" xfId="21" builtinId="8" hidden="1"/>
    <cellStyle name="Hyperlink" xfId="25" builtinId="8" hidden="1"/>
    <cellStyle name="Hyperlink" xfId="15" builtinId="8" hidden="1"/>
    <cellStyle name="Hyperlink" xfId="11" builtinId="8" hidden="1"/>
    <cellStyle name="Hyperlink" xfId="9" builtinId="8" hidden="1"/>
    <cellStyle name="Hyperlink" xfId="13" builtinId="8" hidden="1"/>
    <cellStyle name="Hyperlink" xfId="19" builtinId="8" hidden="1"/>
    <cellStyle name="Hyperlink" xfId="41" builtinId="8" hidden="1"/>
    <cellStyle name="Hyperlink" xfId="49" builtinId="8" hidden="1"/>
    <cellStyle name="Hyperlink" xfId="33" builtinId="8" hidden="1"/>
    <cellStyle name="Hyperlink" xfId="23" builtinId="8" hidden="1"/>
    <cellStyle name="Hyperlink" xfId="31" builtinId="8" hidden="1"/>
    <cellStyle name="Hyperlink" xfId="93" builtinId="8" hidden="1"/>
    <cellStyle name="Hyperlink" xfId="57" builtinId="8" hidden="1"/>
    <cellStyle name="Hyperlink" xfId="59" builtinId="8" hidden="1"/>
    <cellStyle name="Hyperlink" xfId="63" builtinId="8" hidden="1"/>
    <cellStyle name="Hyperlink" xfId="67" builtinId="8" hidden="1"/>
    <cellStyle name="Hyperlink" xfId="69" builtinId="8" hidden="1"/>
    <cellStyle name="Hyperlink" xfId="73" builtinId="8" hidden="1"/>
    <cellStyle name="Hyperlink" xfId="75" builtinId="8" hidden="1"/>
    <cellStyle name="Hyperlink" xfId="79" builtinId="8" hidden="1"/>
    <cellStyle name="Hyperlink" xfId="85" builtinId="8" hidden="1"/>
    <cellStyle name="Hyperlink" xfId="87" builtinId="8" hidden="1"/>
    <cellStyle name="Hyperlink" xfId="123" builtinId="8" hidden="1"/>
    <cellStyle name="Hyperlink" xfId="107" builtinId="8" hidden="1"/>
    <cellStyle name="Hyperlink" xfId="47" builtinId="8" hidden="1"/>
    <cellStyle name="Hyperlink" xfId="51" builtinId="8" hidden="1"/>
    <cellStyle name="Hyperlink" xfId="55" builtinId="8" hidden="1"/>
    <cellStyle name="Hyperlink" xfId="139" builtinId="8" hidden="1"/>
    <cellStyle name="Hyperlink" xfId="131" builtinId="8" hidden="1"/>
    <cellStyle name="Hyperlink" xfId="156" builtinId="8" hidden="1"/>
    <cellStyle name="Hyperlink" xfId="164" builtinId="8" hidden="1"/>
    <cellStyle name="Normal" xfId="0" builtinId="0"/>
    <cellStyle name="Normal 2" xfId="2"/>
    <cellStyle name="Normal 2 2" xfId="5"/>
    <cellStyle name="Normal 2 3" xfId="6"/>
    <cellStyle name="Normal 2 4" xfId="7"/>
    <cellStyle name="Normal 2 5" xfId="8"/>
    <cellStyle name="Normal 2 6" xfId="143"/>
    <cellStyle name="Normal 3" xfId="3"/>
    <cellStyle name="Normal 4" xfId="4"/>
    <cellStyle name="Normal 5" xfId="77"/>
  </cellStyles>
  <dxfs count="0"/>
  <tableStyles count="0" defaultTableStyle="TableStyleMedium2" defaultPivotStyle="PivotStyleLight16"/>
  <colors>
    <mruColors>
      <color rgb="FF660099"/>
      <color rgb="FFFECB00"/>
      <color rgb="FFDB9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hyperlink" Target="#SUMMARY!A1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SUMMARY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SUMMARY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hyperlink" Target="#SUMMARY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hyperlink" Target="#SUMMARY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SUMMARY!A1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0</xdr:row>
      <xdr:rowOff>114300</xdr:rowOff>
    </xdr:from>
    <xdr:to>
      <xdr:col>1</xdr:col>
      <xdr:colOff>1752600</xdr:colOff>
      <xdr:row>3</xdr:row>
      <xdr:rowOff>352425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08" y="114316"/>
          <a:ext cx="1344386" cy="17154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  <xdr:oneCellAnchor>
    <xdr:from>
      <xdr:col>2</xdr:col>
      <xdr:colOff>409575</xdr:colOff>
      <xdr:row>0</xdr:row>
      <xdr:rowOff>114300</xdr:rowOff>
    </xdr:from>
    <xdr:ext cx="1343025" cy="1714500"/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352425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0</xdr:row>
      <xdr:rowOff>114300</xdr:rowOff>
    </xdr:from>
    <xdr:to>
      <xdr:col>2</xdr:col>
      <xdr:colOff>1752600</xdr:colOff>
      <xdr:row>3</xdr:row>
      <xdr:rowOff>361950</xdr:rowOff>
    </xdr:to>
    <xdr:pic>
      <xdr:nvPicPr>
        <xdr:cNvPr id="10" name="Picture 9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8787" y="114316"/>
          <a:ext cx="1344386" cy="1709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0"/>
  <sheetViews>
    <sheetView tabSelected="1" zoomScale="75" zoomScaleNormal="75" zoomScalePageLayoutView="70" workbookViewId="0">
      <pane xSplit="2" ySplit="6" topLeftCell="C22" activePane="bottomRight" state="frozen"/>
      <selection pane="topRight" activeCell="C1" sqref="C1"/>
      <selection pane="bottomLeft" activeCell="A4" sqref="A4"/>
      <selection pane="bottomRight" activeCell="E129" sqref="E129"/>
    </sheetView>
  </sheetViews>
  <sheetFormatPr defaultColWidth="8.85546875" defaultRowHeight="17.25" x14ac:dyDescent="0.3"/>
  <cols>
    <col min="1" max="1" width="10.5703125" style="15" customWidth="1"/>
    <col min="2" max="2" width="44.5703125" style="15" bestFit="1" customWidth="1"/>
    <col min="3" max="3" width="51.140625" style="17" customWidth="1"/>
    <col min="4" max="4" width="51.140625" style="135" hidden="1" customWidth="1"/>
    <col min="5" max="5" width="52.140625" style="5" customWidth="1"/>
    <col min="6" max="6" width="12" style="4" hidden="1" customWidth="1"/>
    <col min="7" max="7" width="24" style="4" hidden="1" customWidth="1"/>
    <col min="8" max="8" width="8.85546875" style="15"/>
    <col min="9" max="9" width="11.140625" style="15" bestFit="1" customWidth="1"/>
    <col min="10" max="10" width="14.28515625" style="15" customWidth="1"/>
    <col min="11" max="16384" width="8.85546875" style="15"/>
  </cols>
  <sheetData>
    <row r="1" spans="1:9" s="1" customFormat="1" ht="38.25" x14ac:dyDescent="0.3">
      <c r="A1" s="121"/>
      <c r="B1" s="2"/>
      <c r="C1" s="262" t="s">
        <v>0</v>
      </c>
      <c r="D1" s="263"/>
      <c r="E1" s="264"/>
      <c r="F1" s="121"/>
      <c r="G1" s="121"/>
      <c r="H1" s="121"/>
      <c r="I1" s="121"/>
    </row>
    <row r="2" spans="1:9" s="1" customFormat="1" ht="38.25" x14ac:dyDescent="0.3">
      <c r="A2" s="140"/>
      <c r="B2" s="141"/>
      <c r="C2" s="265"/>
      <c r="D2" s="266"/>
      <c r="E2" s="267"/>
      <c r="F2" s="121"/>
      <c r="G2" s="121"/>
      <c r="H2" s="121"/>
      <c r="I2" s="121"/>
    </row>
    <row r="3" spans="1:9" s="1" customFormat="1" ht="38.25" x14ac:dyDescent="0.3">
      <c r="A3" s="140"/>
      <c r="B3" s="141"/>
      <c r="C3" s="265"/>
      <c r="D3" s="266"/>
      <c r="E3" s="267"/>
      <c r="F3" s="121"/>
      <c r="G3" s="121"/>
      <c r="H3" s="121"/>
      <c r="I3" s="121"/>
    </row>
    <row r="4" spans="1:9" s="1" customFormat="1" ht="38.25" x14ac:dyDescent="0.3">
      <c r="A4" s="142"/>
      <c r="B4" s="143"/>
      <c r="C4" s="268"/>
      <c r="D4" s="269"/>
      <c r="E4" s="270"/>
      <c r="F4" s="121"/>
      <c r="G4" s="121"/>
      <c r="H4" s="121"/>
      <c r="I4" s="121"/>
    </row>
    <row r="5" spans="1:9" s="1" customFormat="1" x14ac:dyDescent="0.3">
      <c r="A5" s="277"/>
      <c r="B5" s="278"/>
      <c r="C5" s="279" t="s">
        <v>1</v>
      </c>
      <c r="D5" s="279"/>
      <c r="E5" s="279"/>
      <c r="F5" s="122"/>
      <c r="G5" s="122"/>
      <c r="H5" s="121"/>
      <c r="I5" s="121"/>
    </row>
    <row r="6" spans="1:9" s="1" customFormat="1" x14ac:dyDescent="0.3">
      <c r="A6" s="271"/>
      <c r="B6" s="272"/>
      <c r="C6" s="18" t="s">
        <v>2</v>
      </c>
      <c r="D6" s="18" t="s">
        <v>3</v>
      </c>
      <c r="E6" s="19" t="s">
        <v>4</v>
      </c>
      <c r="F6" s="122"/>
      <c r="G6" s="122"/>
      <c r="H6" s="121"/>
      <c r="I6" s="121"/>
    </row>
    <row r="7" spans="1:9" s="1" customFormat="1" x14ac:dyDescent="0.3">
      <c r="A7" s="144"/>
      <c r="B7" s="145"/>
      <c r="C7" s="146"/>
      <c r="D7" s="146"/>
      <c r="E7" s="3"/>
      <c r="F7" s="122"/>
      <c r="G7" s="122"/>
      <c r="H7" s="121"/>
      <c r="I7" s="121"/>
    </row>
    <row r="8" spans="1:9" s="1" customFormat="1" x14ac:dyDescent="0.3">
      <c r="A8" s="273" t="s">
        <v>5</v>
      </c>
      <c r="B8" s="274"/>
      <c r="C8" s="148"/>
      <c r="D8" s="148"/>
      <c r="E8" s="149"/>
      <c r="F8" s="122"/>
      <c r="G8" s="122"/>
      <c r="H8" s="121"/>
      <c r="I8" s="121"/>
    </row>
    <row r="9" spans="1:9" s="4" customFormat="1" x14ac:dyDescent="0.3">
      <c r="A9" s="150" t="s">
        <v>6</v>
      </c>
      <c r="B9" s="151"/>
      <c r="C9" s="152"/>
      <c r="D9" s="152"/>
      <c r="E9" s="153"/>
      <c r="F9" s="151"/>
      <c r="G9" s="151"/>
      <c r="H9" s="151"/>
      <c r="I9" s="151"/>
    </row>
    <row r="10" spans="1:9" s="4" customFormat="1" x14ac:dyDescent="0.3">
      <c r="A10" s="150"/>
      <c r="B10" s="154" t="s">
        <v>7</v>
      </c>
      <c r="C10" s="191">
        <f>General!H11</f>
        <v>2700</v>
      </c>
      <c r="D10" s="191">
        <f>General!I11</f>
        <v>0</v>
      </c>
      <c r="E10" s="200">
        <f>General!J11</f>
        <v>941.05</v>
      </c>
      <c r="F10" s="151"/>
      <c r="G10" s="151"/>
      <c r="H10" s="151"/>
      <c r="I10" s="151"/>
    </row>
    <row r="11" spans="1:9" s="4" customFormat="1" x14ac:dyDescent="0.3">
      <c r="A11" s="155"/>
      <c r="B11" s="156" t="s">
        <v>8</v>
      </c>
      <c r="C11" s="193">
        <f>SUM(General!H13:H14)</f>
        <v>750</v>
      </c>
      <c r="D11" s="193">
        <f>SUM(General!I13:I14)</f>
        <v>2220.9799999999991</v>
      </c>
      <c r="E11" s="201">
        <f>SUM(General!J13:J14)</f>
        <v>3302.98</v>
      </c>
      <c r="F11" s="151"/>
      <c r="G11" s="151"/>
      <c r="H11" s="151"/>
      <c r="I11" s="157"/>
    </row>
    <row r="12" spans="1:9" s="4" customFormat="1" x14ac:dyDescent="0.3">
      <c r="A12" s="155"/>
      <c r="B12" s="139" t="s">
        <v>9</v>
      </c>
      <c r="C12" s="191">
        <f>General!H17</f>
        <v>240</v>
      </c>
      <c r="D12" s="191">
        <f>General!I17</f>
        <v>321.39999999999998</v>
      </c>
      <c r="E12" s="200">
        <f>General!J17</f>
        <v>321.39999999999998</v>
      </c>
      <c r="F12" s="151"/>
      <c r="G12" s="151"/>
      <c r="H12" s="151"/>
      <c r="I12" s="157"/>
    </row>
    <row r="13" spans="1:9" s="4" customFormat="1" x14ac:dyDescent="0.3">
      <c r="A13" s="155"/>
      <c r="B13" s="156" t="s">
        <v>10</v>
      </c>
      <c r="C13" s="193">
        <f>General!H19</f>
        <v>36941.64</v>
      </c>
      <c r="D13" s="193">
        <f>General!I19</f>
        <v>21549.289999999997</v>
      </c>
      <c r="E13" s="201">
        <f>General!J19</f>
        <v>37036.769999999997</v>
      </c>
      <c r="F13" s="151"/>
      <c r="G13" s="123"/>
      <c r="H13" s="151"/>
      <c r="I13" s="157"/>
    </row>
    <row r="14" spans="1:9" s="4" customFormat="1" x14ac:dyDescent="0.3">
      <c r="A14" s="155"/>
      <c r="B14" s="139" t="s">
        <v>11</v>
      </c>
      <c r="C14" s="191">
        <f>General!H21</f>
        <v>9040</v>
      </c>
      <c r="D14" s="191">
        <f>General!I21</f>
        <v>9040</v>
      </c>
      <c r="E14" s="200">
        <f>General!J21</f>
        <v>9040</v>
      </c>
      <c r="F14" s="151"/>
      <c r="G14" s="151"/>
      <c r="H14" s="151"/>
      <c r="I14" s="157"/>
    </row>
    <row r="15" spans="1:9" s="4" customFormat="1" x14ac:dyDescent="0.3">
      <c r="A15" s="155"/>
      <c r="B15" s="156" t="s">
        <v>12</v>
      </c>
      <c r="C15" s="193">
        <f>SUM(General!H23:H24)</f>
        <v>159461.14000000001</v>
      </c>
      <c r="D15" s="193">
        <f>SUM(General!I23:I24)</f>
        <v>149679.59</v>
      </c>
      <c r="E15" s="201">
        <f>SUM(General!J23:J24)</f>
        <v>149679.59</v>
      </c>
      <c r="F15" s="151"/>
      <c r="G15" s="151"/>
      <c r="H15" s="151"/>
      <c r="I15" s="157"/>
    </row>
    <row r="16" spans="1:9" s="4" customFormat="1" x14ac:dyDescent="0.3">
      <c r="A16" s="155"/>
      <c r="B16" s="139" t="s">
        <v>13</v>
      </c>
      <c r="C16" s="191">
        <f>SUM(General!H27:H28)</f>
        <v>26000</v>
      </c>
      <c r="D16" s="191">
        <f>SUM(General!I27:I28)</f>
        <v>14865</v>
      </c>
      <c r="E16" s="200">
        <f>SUM(General!J27:J28)</f>
        <v>24976.25</v>
      </c>
      <c r="F16" s="151"/>
      <c r="G16" s="151"/>
      <c r="H16" s="151"/>
      <c r="I16" s="157"/>
    </row>
    <row r="17" spans="1:10" s="4" customFormat="1" x14ac:dyDescent="0.3">
      <c r="A17" s="155"/>
      <c r="B17" s="156" t="s">
        <v>14</v>
      </c>
      <c r="C17" s="193">
        <f>General!H31</f>
        <v>500</v>
      </c>
      <c r="D17" s="193">
        <f>General!I31</f>
        <v>305</v>
      </c>
      <c r="E17" s="201">
        <f>General!J31</f>
        <v>305</v>
      </c>
      <c r="F17" s="151"/>
      <c r="G17" s="151"/>
      <c r="H17" s="151"/>
      <c r="I17" s="157"/>
      <c r="J17" s="151"/>
    </row>
    <row r="18" spans="1:10" s="4" customFormat="1" x14ac:dyDescent="0.3">
      <c r="A18" s="155"/>
      <c r="B18" s="139" t="s">
        <v>15</v>
      </c>
      <c r="C18" s="191">
        <f>General!H33</f>
        <v>6930</v>
      </c>
      <c r="D18" s="191">
        <f>General!I33</f>
        <v>13724.05</v>
      </c>
      <c r="E18" s="200">
        <f>General!J33</f>
        <v>13724.05</v>
      </c>
      <c r="F18" s="151"/>
      <c r="G18" s="151"/>
      <c r="H18" s="151"/>
      <c r="I18" s="157"/>
      <c r="J18" s="151"/>
    </row>
    <row r="19" spans="1:10" s="151" customFormat="1" x14ac:dyDescent="0.3">
      <c r="A19" s="155"/>
      <c r="B19" s="156"/>
      <c r="C19" s="193"/>
      <c r="D19" s="193"/>
      <c r="E19" s="201"/>
      <c r="I19" s="157"/>
    </row>
    <row r="20" spans="1:10" s="6" customFormat="1" x14ac:dyDescent="0.3">
      <c r="A20" s="150"/>
      <c r="B20" s="158" t="s">
        <v>16</v>
      </c>
      <c r="C20" s="179">
        <f>SUM(C10:C18)</f>
        <v>242562.78000000003</v>
      </c>
      <c r="D20" s="179">
        <f>SUM(D10:D18)</f>
        <v>211705.31</v>
      </c>
      <c r="E20" s="180">
        <f>SUM(E10:E18)</f>
        <v>239327.08999999997</v>
      </c>
      <c r="F20" s="151"/>
      <c r="G20" s="124"/>
      <c r="H20" s="159"/>
      <c r="I20" s="125"/>
      <c r="J20" s="125"/>
    </row>
    <row r="21" spans="1:10" s="6" customFormat="1" x14ac:dyDescent="0.3">
      <c r="A21" s="150"/>
      <c r="B21" s="159"/>
      <c r="C21" s="196"/>
      <c r="D21" s="196"/>
      <c r="E21" s="197"/>
      <c r="F21" s="156"/>
      <c r="G21" s="124"/>
      <c r="H21" s="159"/>
      <c r="I21" s="125"/>
      <c r="J21" s="125"/>
    </row>
    <row r="22" spans="1:10" s="6" customFormat="1" x14ac:dyDescent="0.3">
      <c r="A22" s="150" t="s">
        <v>17</v>
      </c>
      <c r="B22" s="151"/>
      <c r="C22" s="193"/>
      <c r="D22" s="193"/>
      <c r="E22" s="201"/>
      <c r="F22" s="156"/>
      <c r="G22" s="124"/>
      <c r="H22" s="159"/>
      <c r="I22" s="125"/>
      <c r="J22" s="125"/>
    </row>
    <row r="23" spans="1:10" s="4" customFormat="1" x14ac:dyDescent="0.3">
      <c r="A23" s="155"/>
      <c r="B23" s="139" t="s">
        <v>18</v>
      </c>
      <c r="C23" s="191">
        <f>'11-PRES'!H10</f>
        <v>0</v>
      </c>
      <c r="D23" s="191">
        <f>'11-PRES'!I10</f>
        <v>0</v>
      </c>
      <c r="E23" s="200">
        <f>'11-PRES'!J10</f>
        <v>0</v>
      </c>
      <c r="F23" s="151" t="s">
        <v>19</v>
      </c>
      <c r="G23" s="152">
        <f t="shared" ref="G23:G37" si="0">C23-C71</f>
        <v>-10187.76</v>
      </c>
      <c r="H23" s="151"/>
      <c r="I23" s="157"/>
      <c r="J23" s="151"/>
    </row>
    <row r="24" spans="1:10" s="4" customFormat="1" x14ac:dyDescent="0.3">
      <c r="A24" s="155"/>
      <c r="B24" s="156" t="s">
        <v>20</v>
      </c>
      <c r="C24" s="193">
        <f>'12-VPOPS'!H10</f>
        <v>0</v>
      </c>
      <c r="D24" s="193">
        <f>'12-VPOPS'!I10</f>
        <v>0</v>
      </c>
      <c r="E24" s="201">
        <f>'12-VPOPS'!J10</f>
        <v>0</v>
      </c>
      <c r="F24" s="151" t="s">
        <v>21</v>
      </c>
      <c r="G24" s="152">
        <f t="shared" si="0"/>
        <v>-2352.66</v>
      </c>
      <c r="H24" s="151"/>
      <c r="I24" s="157"/>
      <c r="J24" s="151"/>
    </row>
    <row r="25" spans="1:10" s="4" customFormat="1" x14ac:dyDescent="0.3">
      <c r="A25" s="155"/>
      <c r="B25" s="139" t="s">
        <v>22</v>
      </c>
      <c r="C25" s="191">
        <f>'13-VPSA'!H10</f>
        <v>0</v>
      </c>
      <c r="D25" s="191">
        <f>'13-VPSA'!I10</f>
        <v>0</v>
      </c>
      <c r="E25" s="200">
        <f>'13-VPSA'!J10</f>
        <v>0</v>
      </c>
      <c r="F25" s="151" t="s">
        <v>23</v>
      </c>
      <c r="G25" s="152">
        <f t="shared" si="0"/>
        <v>-1101.7499999999998</v>
      </c>
      <c r="H25" s="151"/>
      <c r="I25" s="157"/>
      <c r="J25" s="151"/>
    </row>
    <row r="26" spans="1:10" s="4" customFormat="1" x14ac:dyDescent="0.3">
      <c r="A26" s="155"/>
      <c r="B26" s="156" t="s">
        <v>24</v>
      </c>
      <c r="C26" s="193">
        <f>'14-VPA'!H14</f>
        <v>8000</v>
      </c>
      <c r="D26" s="193">
        <f>'14-VPA'!I14</f>
        <v>3636.6000000000004</v>
      </c>
      <c r="E26" s="201">
        <f>'14-VPA'!J14</f>
        <v>3636.6</v>
      </c>
      <c r="F26" s="151" t="s">
        <v>25</v>
      </c>
      <c r="G26" s="152">
        <f t="shared" si="0"/>
        <v>-1166.7250000000004</v>
      </c>
      <c r="H26" s="151"/>
      <c r="I26" s="157"/>
      <c r="J26" s="151"/>
    </row>
    <row r="27" spans="1:10" s="4" customFormat="1" x14ac:dyDescent="0.3">
      <c r="A27" s="155"/>
      <c r="B27" s="139" t="s">
        <v>26</v>
      </c>
      <c r="C27" s="191">
        <f>'15-VPSD'!H15</f>
        <v>490</v>
      </c>
      <c r="D27" s="191">
        <f>'15-VPSD'!I15</f>
        <v>0</v>
      </c>
      <c r="E27" s="200">
        <f>'15-VPSD'!J15</f>
        <v>0</v>
      </c>
      <c r="F27" s="151" t="s">
        <v>27</v>
      </c>
      <c r="G27" s="152">
        <f t="shared" si="0"/>
        <v>-12863.7</v>
      </c>
      <c r="H27" s="151"/>
      <c r="I27" s="157"/>
      <c r="J27" s="151"/>
    </row>
    <row r="28" spans="1:10" s="4" customFormat="1" x14ac:dyDescent="0.3">
      <c r="A28" s="155"/>
      <c r="B28" s="156" t="s">
        <v>28</v>
      </c>
      <c r="C28" s="193">
        <f>'16-PD'!H21</f>
        <v>8900</v>
      </c>
      <c r="D28" s="193">
        <f>'16-PD'!I21</f>
        <v>7245</v>
      </c>
      <c r="E28" s="201">
        <f>'16-PD'!J21</f>
        <v>7245</v>
      </c>
      <c r="F28" s="151" t="s">
        <v>29</v>
      </c>
      <c r="G28" s="152">
        <f t="shared" si="0"/>
        <v>-695.09999999999854</v>
      </c>
      <c r="H28" s="151"/>
      <c r="I28" s="157"/>
      <c r="J28" s="151"/>
    </row>
    <row r="29" spans="1:10" s="4" customFormat="1" x14ac:dyDescent="0.3">
      <c r="A29" s="155"/>
      <c r="B29" s="139" t="s">
        <v>30</v>
      </c>
      <c r="C29" s="191">
        <f>'17-EXCOM'!H21</f>
        <v>900</v>
      </c>
      <c r="D29" s="191">
        <f>'17-EXCOM'!I21</f>
        <v>640.52</v>
      </c>
      <c r="E29" s="200">
        <f>'17-EXCOM'!J21</f>
        <v>0</v>
      </c>
      <c r="F29" s="151" t="s">
        <v>31</v>
      </c>
      <c r="G29" s="152">
        <f t="shared" si="0"/>
        <v>-12637.555799999998</v>
      </c>
      <c r="H29" s="151"/>
      <c r="I29" s="157"/>
      <c r="J29" s="151"/>
    </row>
    <row r="30" spans="1:10" s="4" customFormat="1" x14ac:dyDescent="0.3">
      <c r="A30" s="155"/>
      <c r="B30" s="156" t="s">
        <v>32</v>
      </c>
      <c r="C30" s="193">
        <f>'18-FY'!H14</f>
        <v>3389.9999999999995</v>
      </c>
      <c r="D30" s="193">
        <f>'18-FY'!I14</f>
        <v>5957.25</v>
      </c>
      <c r="E30" s="201">
        <f>'18-FY'!J14</f>
        <v>5897.25</v>
      </c>
      <c r="F30" s="151" t="s">
        <v>33</v>
      </c>
      <c r="G30" s="152">
        <f t="shared" si="0"/>
        <v>-1528.8899999999999</v>
      </c>
      <c r="H30" s="151"/>
      <c r="I30" s="157"/>
      <c r="J30" s="151"/>
    </row>
    <row r="31" spans="1:10" s="4" customFormat="1" x14ac:dyDescent="0.3">
      <c r="A31" s="155"/>
      <c r="B31" s="139" t="s">
        <v>34</v>
      </c>
      <c r="C31" s="191">
        <f>'19-FINANCE'!H47</f>
        <v>0</v>
      </c>
      <c r="D31" s="191">
        <f>'19-FINANCE'!I47</f>
        <v>0</v>
      </c>
      <c r="E31" s="200">
        <f>'19-FINANCE'!J47</f>
        <v>0</v>
      </c>
      <c r="F31" s="151" t="s">
        <v>35</v>
      </c>
      <c r="G31" s="152">
        <f t="shared" si="0"/>
        <v>-267.81</v>
      </c>
      <c r="H31" s="151"/>
      <c r="I31" s="157"/>
      <c r="J31" s="151"/>
    </row>
    <row r="32" spans="1:10" s="4" customFormat="1" x14ac:dyDescent="0.3">
      <c r="A32" s="155"/>
      <c r="B32" s="156" t="s">
        <v>36</v>
      </c>
      <c r="C32" s="193">
        <f>'20-SERVICES'!H10</f>
        <v>0</v>
      </c>
      <c r="D32" s="193">
        <f>'20-SERVICES'!I10</f>
        <v>0</v>
      </c>
      <c r="E32" s="201">
        <f>'20-SERVICES'!J10</f>
        <v>0</v>
      </c>
      <c r="F32" s="151" t="s">
        <v>37</v>
      </c>
      <c r="G32" s="152">
        <f t="shared" si="0"/>
        <v>-2714.1329000000001</v>
      </c>
      <c r="H32" s="151"/>
      <c r="I32" s="157"/>
      <c r="J32" s="151"/>
    </row>
    <row r="33" spans="1:10" s="4" customFormat="1" x14ac:dyDescent="0.3">
      <c r="A33" s="155"/>
      <c r="B33" s="139" t="s">
        <v>38</v>
      </c>
      <c r="C33" s="191">
        <f>'21-IT'!H14</f>
        <v>225</v>
      </c>
      <c r="D33" s="191">
        <f>'21-IT'!I14</f>
        <v>0</v>
      </c>
      <c r="E33" s="200">
        <f>'21-IT'!J14</f>
        <v>0</v>
      </c>
      <c r="F33" s="151" t="s">
        <v>39</v>
      </c>
      <c r="G33" s="152">
        <f t="shared" si="0"/>
        <v>-5009.9395999999997</v>
      </c>
      <c r="H33" s="151"/>
      <c r="I33" s="157"/>
      <c r="J33" s="151"/>
    </row>
    <row r="34" spans="1:10" s="4" customFormat="1" x14ac:dyDescent="0.3">
      <c r="A34" s="155"/>
      <c r="B34" s="156" t="s">
        <v>40</v>
      </c>
      <c r="C34" s="193">
        <f>'22-EVENTS'!H14</f>
        <v>1000</v>
      </c>
      <c r="D34" s="193">
        <f>'22-EVENTS'!I14</f>
        <v>1000</v>
      </c>
      <c r="E34" s="201">
        <f>'22-EVENTS'!J14</f>
        <v>1000</v>
      </c>
      <c r="F34" s="151" t="s">
        <v>41</v>
      </c>
      <c r="G34" s="152">
        <f t="shared" si="0"/>
        <v>-4518.07</v>
      </c>
      <c r="H34" s="151"/>
      <c r="I34" s="157"/>
      <c r="J34" s="151"/>
    </row>
    <row r="35" spans="1:10" s="4" customFormat="1" x14ac:dyDescent="0.3">
      <c r="A35" s="155"/>
      <c r="B35" s="139" t="s">
        <v>42</v>
      </c>
      <c r="C35" s="191">
        <f>'23-COMM'!H10</f>
        <v>0</v>
      </c>
      <c r="D35" s="191">
        <f>'23-COMM'!I10</f>
        <v>0</v>
      </c>
      <c r="E35" s="200">
        <f>'23-COMM'!J10</f>
        <v>0</v>
      </c>
      <c r="F35" s="151" t="s">
        <v>43</v>
      </c>
      <c r="G35" s="152">
        <f t="shared" si="0"/>
        <v>-3839.74</v>
      </c>
      <c r="H35" s="151"/>
      <c r="I35" s="157"/>
      <c r="J35" s="151"/>
    </row>
    <row r="36" spans="1:10" s="4" customFormat="1" x14ac:dyDescent="0.3">
      <c r="A36" s="155"/>
      <c r="B36" s="156" t="s">
        <v>44</v>
      </c>
      <c r="C36" s="193">
        <f>'24-IA'!H14</f>
        <v>1700</v>
      </c>
      <c r="D36" s="193">
        <f>'24-IA'!I14</f>
        <v>0</v>
      </c>
      <c r="E36" s="201">
        <f>'24-IA'!J14</f>
        <v>0</v>
      </c>
      <c r="F36" s="151" t="s">
        <v>45</v>
      </c>
      <c r="G36" s="152">
        <f t="shared" si="0"/>
        <v>-13687.774999999996</v>
      </c>
      <c r="H36" s="151"/>
      <c r="I36" s="157"/>
      <c r="J36" s="151"/>
    </row>
    <row r="37" spans="1:10" s="4" customFormat="1" x14ac:dyDescent="0.3">
      <c r="A37" s="155"/>
      <c r="B37" s="139" t="s">
        <v>46</v>
      </c>
      <c r="C37" s="191">
        <f>'25-EVPOS'!H101</f>
        <v>49487.418299999998</v>
      </c>
      <c r="D37" s="191">
        <f>'25-EVPOS'!I101</f>
        <v>14795.34</v>
      </c>
      <c r="E37" s="200">
        <f>'25-EVPOS'!J101</f>
        <v>15015.59</v>
      </c>
      <c r="F37" s="151" t="s">
        <v>47</v>
      </c>
      <c r="G37" s="152">
        <f t="shared" si="0"/>
        <v>-567.11399999999412</v>
      </c>
      <c r="H37" s="151"/>
      <c r="I37" s="157"/>
      <c r="J37" s="151"/>
    </row>
    <row r="38" spans="1:10" s="4" customFormat="1" x14ac:dyDescent="0.3">
      <c r="A38" s="155"/>
      <c r="B38" s="156"/>
      <c r="C38" s="193"/>
      <c r="D38" s="193"/>
      <c r="E38" s="201"/>
      <c r="F38" s="151"/>
      <c r="G38" s="151"/>
      <c r="H38" s="151"/>
      <c r="I38" s="157"/>
      <c r="J38" s="151"/>
    </row>
    <row r="39" spans="1:10" s="4" customFormat="1" x14ac:dyDescent="0.3">
      <c r="A39" s="150"/>
      <c r="B39" s="158" t="s">
        <v>48</v>
      </c>
      <c r="C39" s="179">
        <f>SUM(C23:C38)</f>
        <v>74092.41829999999</v>
      </c>
      <c r="D39" s="179">
        <f>SUM(D23:D38)</f>
        <v>33274.710000000006</v>
      </c>
      <c r="E39" s="180">
        <f>SUM(E23:E38)</f>
        <v>32794.44</v>
      </c>
      <c r="F39" s="156"/>
      <c r="G39" s="160"/>
      <c r="H39" s="156"/>
      <c r="I39" s="156"/>
      <c r="J39" s="157"/>
    </row>
    <row r="40" spans="1:10" s="4" customFormat="1" x14ac:dyDescent="0.3">
      <c r="A40" s="150"/>
      <c r="B40" s="159"/>
      <c r="C40" s="196"/>
      <c r="D40" s="196"/>
      <c r="E40" s="197"/>
      <c r="F40" s="156"/>
      <c r="G40" s="160"/>
      <c r="H40" s="156"/>
      <c r="I40" s="156"/>
      <c r="J40" s="157"/>
    </row>
    <row r="41" spans="1:10" s="6" customFormat="1" x14ac:dyDescent="0.3">
      <c r="A41" s="150" t="s">
        <v>49</v>
      </c>
      <c r="B41" s="151"/>
      <c r="C41" s="193"/>
      <c r="D41" s="193"/>
      <c r="E41" s="201"/>
      <c r="F41" s="156"/>
      <c r="G41" s="124"/>
      <c r="H41" s="159"/>
      <c r="I41" s="123"/>
      <c r="J41" s="125"/>
    </row>
    <row r="42" spans="1:10" s="4" customFormat="1" x14ac:dyDescent="0.3">
      <c r="A42" s="155"/>
      <c r="B42" s="139" t="s">
        <v>50</v>
      </c>
      <c r="C42" s="191">
        <f>General!H41</f>
        <v>7623</v>
      </c>
      <c r="D42" s="191">
        <f>General!I41</f>
        <v>4446.68</v>
      </c>
      <c r="E42" s="200">
        <f>General!J41</f>
        <v>7622.88</v>
      </c>
      <c r="F42" s="151"/>
      <c r="G42" s="160"/>
      <c r="H42" s="151"/>
      <c r="I42" s="157"/>
      <c r="J42" s="151"/>
    </row>
    <row r="43" spans="1:10" s="4" customFormat="1" x14ac:dyDescent="0.3">
      <c r="A43" s="155"/>
      <c r="B43" s="156" t="s">
        <v>51</v>
      </c>
      <c r="C43" s="193">
        <f>General!H43</f>
        <v>39960.959999999999</v>
      </c>
      <c r="D43" s="193">
        <f>General!I43</f>
        <v>23310.49</v>
      </c>
      <c r="E43" s="201">
        <f>General!J43</f>
        <v>39960.839999999997</v>
      </c>
      <c r="F43" s="151"/>
      <c r="G43" s="160"/>
      <c r="H43" s="151"/>
      <c r="I43" s="157"/>
      <c r="J43" s="151"/>
    </row>
    <row r="44" spans="1:10" s="4" customFormat="1" x14ac:dyDescent="0.3">
      <c r="A44" s="155"/>
      <c r="B44" s="139" t="s">
        <v>52</v>
      </c>
      <c r="C44" s="191">
        <f>General!H45</f>
        <v>16404.84</v>
      </c>
      <c r="D44" s="191">
        <f>General!I45</f>
        <v>9360.4500000000007</v>
      </c>
      <c r="E44" s="200">
        <f>General!J45</f>
        <v>16404.810000000001</v>
      </c>
      <c r="F44" s="151"/>
      <c r="G44" s="160"/>
      <c r="H44" s="151"/>
      <c r="I44" s="157"/>
      <c r="J44" s="151"/>
    </row>
    <row r="45" spans="1:10" s="4" customFormat="1" x14ac:dyDescent="0.3">
      <c r="A45" s="155"/>
      <c r="B45" s="156" t="s">
        <v>53</v>
      </c>
      <c r="C45" s="193">
        <f>General!H47</f>
        <v>3384.96</v>
      </c>
      <c r="D45" s="193">
        <f>General!I47</f>
        <v>1878.86</v>
      </c>
      <c r="E45" s="201">
        <f>General!J47</f>
        <v>3384.99</v>
      </c>
      <c r="F45" s="151"/>
      <c r="G45" s="160"/>
      <c r="H45" s="151"/>
      <c r="I45" s="157" t="s">
        <v>54</v>
      </c>
      <c r="J45" s="151"/>
    </row>
    <row r="46" spans="1:10" s="4" customFormat="1" x14ac:dyDescent="0.3">
      <c r="A46" s="155"/>
      <c r="B46" s="139" t="s">
        <v>55</v>
      </c>
      <c r="C46" s="191">
        <f>General!H49</f>
        <v>3264</v>
      </c>
      <c r="D46" s="191">
        <f>General!I49</f>
        <v>1802</v>
      </c>
      <c r="E46" s="200">
        <f>General!J49</f>
        <v>3264</v>
      </c>
      <c r="F46" s="151"/>
      <c r="G46" s="160"/>
      <c r="H46" s="151"/>
      <c r="I46" s="157"/>
      <c r="J46" s="151"/>
    </row>
    <row r="47" spans="1:10" s="4" customFormat="1" x14ac:dyDescent="0.3">
      <c r="A47" s="155"/>
      <c r="B47" s="156" t="s">
        <v>56</v>
      </c>
      <c r="C47" s="193">
        <f>SUM(General!H51:H52)</f>
        <v>2860.56</v>
      </c>
      <c r="D47" s="193">
        <f>SUM(General!I51:I52)</f>
        <v>1922.36</v>
      </c>
      <c r="E47" s="201">
        <f>General!J51</f>
        <v>3128.91</v>
      </c>
      <c r="F47" s="151"/>
      <c r="G47" s="160"/>
      <c r="H47" s="151"/>
      <c r="I47" s="157"/>
      <c r="J47" s="151"/>
    </row>
    <row r="48" spans="1:10" s="4" customFormat="1" x14ac:dyDescent="0.3">
      <c r="A48" s="155"/>
      <c r="B48" s="139"/>
      <c r="C48" s="191"/>
      <c r="D48" s="191"/>
      <c r="E48" s="200"/>
      <c r="F48" s="151"/>
      <c r="G48" s="160"/>
      <c r="H48" s="151"/>
      <c r="I48" s="157"/>
      <c r="J48" s="151"/>
    </row>
    <row r="49" spans="1:10" s="4" customFormat="1" x14ac:dyDescent="0.3">
      <c r="A49" s="150"/>
      <c r="B49" s="158" t="s">
        <v>57</v>
      </c>
      <c r="C49" s="179">
        <f>SUM(C42:C47)</f>
        <v>73498.320000000007</v>
      </c>
      <c r="D49" s="179">
        <f>SUM(D42:D47)</f>
        <v>42720.840000000004</v>
      </c>
      <c r="E49" s="180">
        <f>SUM(E42:E47)</f>
        <v>73766.430000000008</v>
      </c>
      <c r="F49" s="156"/>
      <c r="G49" s="160"/>
      <c r="H49" s="151"/>
      <c r="I49" s="157"/>
      <c r="J49" s="157"/>
    </row>
    <row r="50" spans="1:10" s="4" customFormat="1" x14ac:dyDescent="0.3">
      <c r="A50" s="150"/>
      <c r="B50" s="159"/>
      <c r="C50" s="196"/>
      <c r="D50" s="196"/>
      <c r="E50" s="197"/>
      <c r="F50" s="156"/>
      <c r="G50" s="160"/>
      <c r="H50" s="156"/>
      <c r="I50" s="156"/>
      <c r="J50" s="157"/>
    </row>
    <row r="51" spans="1:10" s="7" customFormat="1" ht="18.75" x14ac:dyDescent="0.35">
      <c r="A51" s="150" t="s">
        <v>1574</v>
      </c>
      <c r="B51" s="151"/>
      <c r="C51" s="193"/>
      <c r="D51" s="193"/>
      <c r="E51" s="201"/>
      <c r="F51" s="126"/>
      <c r="G51" s="127"/>
      <c r="H51" s="126"/>
      <c r="I51" s="126"/>
      <c r="J51" s="128"/>
    </row>
    <row r="52" spans="1:10" s="7" customFormat="1" ht="18.75" x14ac:dyDescent="0.35">
      <c r="A52" s="155"/>
      <c r="B52" s="139" t="s">
        <v>1572</v>
      </c>
      <c r="C52" s="191">
        <f>General!H35</f>
        <v>0</v>
      </c>
      <c r="D52" s="191">
        <f>General!I51</f>
        <v>0</v>
      </c>
      <c r="E52" s="200">
        <f>General!J35</f>
        <v>5030.57</v>
      </c>
      <c r="F52" s="126"/>
      <c r="G52" s="127"/>
      <c r="H52" s="126"/>
      <c r="I52" s="126"/>
      <c r="J52" s="128"/>
    </row>
    <row r="53" spans="1:10" s="4" customFormat="1" x14ac:dyDescent="0.3">
      <c r="A53" s="155"/>
      <c r="B53" s="156"/>
      <c r="C53" s="193"/>
      <c r="D53" s="193"/>
      <c r="E53" s="201"/>
      <c r="F53" s="151"/>
      <c r="G53" s="160"/>
      <c r="H53" s="151"/>
      <c r="I53" s="157"/>
      <c r="J53" s="151"/>
    </row>
    <row r="54" spans="1:10" s="4" customFormat="1" x14ac:dyDescent="0.3">
      <c r="A54" s="150"/>
      <c r="B54" s="158" t="s">
        <v>57</v>
      </c>
      <c r="C54" s="179">
        <f>SUM(C52:C52)</f>
        <v>0</v>
      </c>
      <c r="D54" s="179">
        <f>SUM(D52:D52)</f>
        <v>0</v>
      </c>
      <c r="E54" s="180">
        <f>SUM(E52:E52)</f>
        <v>5030.57</v>
      </c>
      <c r="F54" s="151"/>
      <c r="G54" s="160"/>
      <c r="H54" s="151"/>
      <c r="I54" s="157"/>
      <c r="J54" s="151"/>
    </row>
    <row r="55" spans="1:10" s="4" customFormat="1" x14ac:dyDescent="0.3">
      <c r="A55" s="150"/>
      <c r="B55" s="159"/>
      <c r="C55" s="196"/>
      <c r="D55" s="196"/>
      <c r="E55" s="197"/>
      <c r="F55" s="151"/>
      <c r="G55" s="160"/>
      <c r="H55" s="151"/>
      <c r="I55" s="157"/>
      <c r="J55" s="151"/>
    </row>
    <row r="56" spans="1:10" s="151" customFormat="1" ht="18.75" x14ac:dyDescent="0.35">
      <c r="A56" s="161"/>
      <c r="B56" s="162" t="s">
        <v>58</v>
      </c>
      <c r="C56" s="196">
        <f>SUM(C39+C20+C49)</f>
        <v>390153.51830000005</v>
      </c>
      <c r="D56" s="196">
        <f>SUM(D39+D20+D49)</f>
        <v>287700.86000000004</v>
      </c>
      <c r="E56" s="197">
        <f>E39+E20+E49+E54</f>
        <v>350918.52999999997</v>
      </c>
      <c r="G56" s="160"/>
      <c r="I56" s="157"/>
    </row>
    <row r="57" spans="1:10" s="151" customFormat="1" ht="18.75" x14ac:dyDescent="0.35">
      <c r="A57" s="161"/>
      <c r="B57" s="162"/>
      <c r="C57" s="196"/>
      <c r="D57" s="196"/>
      <c r="E57" s="197"/>
      <c r="G57" s="160"/>
      <c r="I57" s="157"/>
    </row>
    <row r="58" spans="1:10" s="4" customFormat="1" x14ac:dyDescent="0.3">
      <c r="A58" s="273" t="s">
        <v>59</v>
      </c>
      <c r="B58" s="274"/>
      <c r="C58" s="148"/>
      <c r="D58" s="148"/>
      <c r="E58" s="8"/>
      <c r="F58" s="156"/>
      <c r="G58" s="160"/>
      <c r="H58" s="151"/>
      <c r="I58" s="157"/>
      <c r="J58" s="157"/>
    </row>
    <row r="59" spans="1:10" s="4" customFormat="1" x14ac:dyDescent="0.3">
      <c r="A59" s="150" t="s">
        <v>60</v>
      </c>
      <c r="B59" s="151"/>
      <c r="C59" s="193"/>
      <c r="D59" s="193"/>
      <c r="E59" s="201"/>
      <c r="F59" s="156"/>
      <c r="G59" s="160"/>
      <c r="H59" s="151"/>
      <c r="I59" s="157"/>
      <c r="J59" s="157"/>
    </row>
    <row r="60" spans="1:10" s="4" customFormat="1" x14ac:dyDescent="0.3">
      <c r="A60" s="155"/>
      <c r="B60" s="139" t="s">
        <v>61</v>
      </c>
      <c r="C60" s="191">
        <f>General!H61</f>
        <v>2520</v>
      </c>
      <c r="D60" s="191">
        <f>General!I61</f>
        <v>0</v>
      </c>
      <c r="E60" s="200">
        <f>General!J61</f>
        <v>1020.11</v>
      </c>
      <c r="F60" s="156"/>
      <c r="G60" s="160"/>
      <c r="H60" s="151"/>
      <c r="I60" s="157"/>
      <c r="J60" s="157"/>
    </row>
    <row r="61" spans="1:10" s="4" customFormat="1" x14ac:dyDescent="0.3">
      <c r="A61" s="155"/>
      <c r="B61" s="156" t="s">
        <v>62</v>
      </c>
      <c r="C61" s="193">
        <f>SUM(General!H63:H66)</f>
        <v>5313.48</v>
      </c>
      <c r="D61" s="193">
        <f>SUM(General!I63:I66)</f>
        <v>2111.96</v>
      </c>
      <c r="E61" s="201">
        <f>SUM(General!J63:J65)</f>
        <v>3832.54</v>
      </c>
      <c r="F61" s="156"/>
      <c r="G61" s="160"/>
      <c r="H61" s="151"/>
      <c r="I61" s="157"/>
      <c r="J61" s="157"/>
    </row>
    <row r="62" spans="1:10" s="4" customFormat="1" x14ac:dyDescent="0.3">
      <c r="A62" s="155"/>
      <c r="B62" s="139" t="s">
        <v>9</v>
      </c>
      <c r="C62" s="191">
        <f>General!H69</f>
        <v>135.6</v>
      </c>
      <c r="D62" s="191">
        <f>General!I69</f>
        <v>11.29</v>
      </c>
      <c r="E62" s="200">
        <f>General!J69</f>
        <v>11.29</v>
      </c>
      <c r="F62" s="156"/>
      <c r="G62" s="160"/>
      <c r="H62" s="151"/>
      <c r="I62" s="157"/>
      <c r="J62" s="157"/>
    </row>
    <row r="63" spans="1:10" s="4" customFormat="1" x14ac:dyDescent="0.3">
      <c r="A63" s="155"/>
      <c r="B63" s="156" t="s">
        <v>63</v>
      </c>
      <c r="C63" s="193">
        <f>General!H71</f>
        <v>1695</v>
      </c>
      <c r="D63" s="193">
        <f>General!I71</f>
        <v>0</v>
      </c>
      <c r="E63" s="201">
        <f>General!J71</f>
        <v>0</v>
      </c>
      <c r="F63" s="156"/>
      <c r="G63" s="160"/>
      <c r="H63" s="151"/>
      <c r="I63" s="157"/>
      <c r="J63" s="157"/>
    </row>
    <row r="64" spans="1:10" s="4" customFormat="1" x14ac:dyDescent="0.3">
      <c r="A64" s="155"/>
      <c r="B64" s="139" t="s">
        <v>64</v>
      </c>
      <c r="C64" s="191">
        <f>General!H73</f>
        <v>12429.999999999998</v>
      </c>
      <c r="D64" s="191">
        <f>General!I73</f>
        <v>0</v>
      </c>
      <c r="E64" s="200">
        <f>General!J73</f>
        <v>12653.34</v>
      </c>
      <c r="F64" s="156"/>
      <c r="G64" s="160"/>
      <c r="H64" s="151"/>
      <c r="I64" s="157"/>
      <c r="J64" s="157"/>
    </row>
    <row r="65" spans="1:10" s="4" customFormat="1" x14ac:dyDescent="0.3">
      <c r="A65" s="155"/>
      <c r="B65" s="156" t="s">
        <v>65</v>
      </c>
      <c r="C65" s="193">
        <f>General!H75</f>
        <v>9195.375</v>
      </c>
      <c r="D65" s="193">
        <f>General!I75</f>
        <v>18.75</v>
      </c>
      <c r="E65" s="201">
        <f>General!J75</f>
        <v>9351.6299999999992</v>
      </c>
      <c r="F65" s="156"/>
      <c r="G65" s="160"/>
      <c r="H65" s="151"/>
      <c r="I65" s="157"/>
      <c r="J65" s="157"/>
    </row>
    <row r="66" spans="1:10" s="4" customFormat="1" x14ac:dyDescent="0.3">
      <c r="A66" s="155"/>
      <c r="B66" s="139" t="s">
        <v>66</v>
      </c>
      <c r="C66" s="191">
        <f>General!H77</f>
        <v>5196.87</v>
      </c>
      <c r="D66" s="191">
        <f>General!I77</f>
        <v>5445.16</v>
      </c>
      <c r="E66" s="200">
        <f>General!J77</f>
        <v>10639.77</v>
      </c>
      <c r="F66" s="156"/>
      <c r="G66" s="160"/>
      <c r="H66" s="151"/>
      <c r="I66" s="157"/>
      <c r="J66" s="157"/>
    </row>
    <row r="67" spans="1:10" s="4" customFormat="1" x14ac:dyDescent="0.3">
      <c r="A67" s="155"/>
      <c r="B67" s="156"/>
      <c r="C67" s="193"/>
      <c r="D67" s="193"/>
      <c r="E67" s="201"/>
      <c r="F67" s="156"/>
      <c r="G67" s="160"/>
      <c r="H67" s="151"/>
      <c r="I67" s="157"/>
      <c r="J67" s="157"/>
    </row>
    <row r="68" spans="1:10" s="4" customFormat="1" x14ac:dyDescent="0.3">
      <c r="A68" s="150"/>
      <c r="B68" s="158" t="s">
        <v>67</v>
      </c>
      <c r="C68" s="179">
        <f>SUM(C60:C67)</f>
        <v>36486.324999999997</v>
      </c>
      <c r="D68" s="179">
        <f>SUM(D60:D67)</f>
        <v>7587.16</v>
      </c>
      <c r="E68" s="180">
        <f>SUM(E60:E67)</f>
        <v>37508.679999999993</v>
      </c>
      <c r="F68" s="156"/>
      <c r="G68" s="160"/>
      <c r="H68" s="151"/>
      <c r="I68" s="157"/>
      <c r="J68" s="157"/>
    </row>
    <row r="69" spans="1:10" s="4" customFormat="1" x14ac:dyDescent="0.3">
      <c r="A69" s="150"/>
      <c r="B69" s="159"/>
      <c r="C69" s="196"/>
      <c r="D69" s="196"/>
      <c r="E69" s="197"/>
      <c r="F69" s="156"/>
      <c r="G69" s="160"/>
      <c r="H69" s="151"/>
      <c r="I69" s="157"/>
      <c r="J69" s="157"/>
    </row>
    <row r="70" spans="1:10" s="4" customFormat="1" x14ac:dyDescent="0.3">
      <c r="A70" s="150" t="s">
        <v>68</v>
      </c>
      <c r="B70" s="151"/>
      <c r="C70" s="193"/>
      <c r="D70" s="193"/>
      <c r="E70" s="201"/>
      <c r="F70" s="156"/>
      <c r="G70" s="160"/>
      <c r="H70" s="151"/>
      <c r="I70" s="157"/>
      <c r="J70" s="157"/>
    </row>
    <row r="71" spans="1:10" s="4" customFormat="1" x14ac:dyDescent="0.3">
      <c r="A71" s="164"/>
      <c r="B71" s="139" t="s">
        <v>18</v>
      </c>
      <c r="C71" s="191">
        <f>'11-PRES'!H45</f>
        <v>10187.76</v>
      </c>
      <c r="D71" s="191">
        <f>'11-PRES'!I45</f>
        <v>8260.25</v>
      </c>
      <c r="E71" s="200">
        <f>'11-PRES'!J45</f>
        <v>8948.43</v>
      </c>
      <c r="F71" s="156"/>
      <c r="G71" s="160"/>
      <c r="H71" s="151"/>
      <c r="I71" s="157"/>
      <c r="J71" s="157"/>
    </row>
    <row r="72" spans="1:10" s="4" customFormat="1" x14ac:dyDescent="0.3">
      <c r="A72" s="164"/>
      <c r="B72" s="156" t="s">
        <v>20</v>
      </c>
      <c r="C72" s="193">
        <f>'12-VPOPS'!H26</f>
        <v>2352.66</v>
      </c>
      <c r="D72" s="193">
        <f>'12-VPOPS'!I26</f>
        <v>119.05000000000001</v>
      </c>
      <c r="E72" s="201">
        <f>'12-VPOPS'!J26</f>
        <v>1240.05</v>
      </c>
      <c r="F72" s="156"/>
      <c r="G72" s="160"/>
      <c r="H72" s="151"/>
      <c r="I72" s="157"/>
      <c r="J72" s="157"/>
    </row>
    <row r="73" spans="1:10" s="4" customFormat="1" x14ac:dyDescent="0.3">
      <c r="A73" s="164"/>
      <c r="B73" s="139" t="s">
        <v>22</v>
      </c>
      <c r="C73" s="191">
        <f>'13-VPSA'!H28</f>
        <v>1101.7499999999998</v>
      </c>
      <c r="D73" s="191">
        <f>'13-VPSA'!I28</f>
        <v>40.49</v>
      </c>
      <c r="E73" s="200">
        <f>'13-VPSA'!J28</f>
        <v>0</v>
      </c>
      <c r="F73" s="156"/>
      <c r="G73" s="160"/>
      <c r="H73" s="151"/>
      <c r="I73" s="157"/>
      <c r="J73" s="157"/>
    </row>
    <row r="74" spans="1:10" s="4" customFormat="1" x14ac:dyDescent="0.3">
      <c r="A74" s="164"/>
      <c r="B74" s="156" t="s">
        <v>24</v>
      </c>
      <c r="C74" s="193">
        <f>'14-VPA'!H31</f>
        <v>9166.7250000000004</v>
      </c>
      <c r="D74" s="193">
        <f>'14-VPA'!I27</f>
        <v>2442.88</v>
      </c>
      <c r="E74" s="201">
        <f>'14-VPA'!J31</f>
        <v>4587.57</v>
      </c>
      <c r="F74" s="156"/>
      <c r="G74" s="160"/>
      <c r="H74" s="151"/>
      <c r="I74" s="157"/>
      <c r="J74" s="157"/>
    </row>
    <row r="75" spans="1:10" s="4" customFormat="1" x14ac:dyDescent="0.3">
      <c r="A75" s="164"/>
      <c r="B75" s="139" t="s">
        <v>26</v>
      </c>
      <c r="C75" s="191">
        <f>'15-VPSD'!H62</f>
        <v>13353.7</v>
      </c>
      <c r="D75" s="191">
        <f>'15-VPSD'!I62</f>
        <v>2569.0099999999998</v>
      </c>
      <c r="E75" s="200">
        <f>'15-VPSD'!J62</f>
        <v>3730.23</v>
      </c>
      <c r="F75" s="156"/>
      <c r="G75" s="160"/>
      <c r="H75" s="151"/>
      <c r="I75" s="157"/>
      <c r="J75" s="157"/>
    </row>
    <row r="76" spans="1:10" s="4" customFormat="1" x14ac:dyDescent="0.3">
      <c r="A76" s="164"/>
      <c r="B76" s="156" t="s">
        <v>28</v>
      </c>
      <c r="C76" s="193">
        <f>'16-PD'!H66</f>
        <v>9595.0999999999985</v>
      </c>
      <c r="D76" s="193">
        <f>'16-PD'!I66</f>
        <v>7781.4599999999991</v>
      </c>
      <c r="E76" s="201">
        <f>'16-PD'!J66</f>
        <v>7826.6599999999989</v>
      </c>
      <c r="F76" s="156"/>
      <c r="G76" s="151"/>
      <c r="H76" s="151"/>
      <c r="I76" s="151"/>
      <c r="J76" s="151"/>
    </row>
    <row r="77" spans="1:10" s="4" customFormat="1" x14ac:dyDescent="0.3">
      <c r="A77" s="164"/>
      <c r="B77" s="139" t="s">
        <v>30</v>
      </c>
      <c r="C77" s="191">
        <f>'17-EXCOM'!H94</f>
        <v>13537.555799999998</v>
      </c>
      <c r="D77" s="191">
        <f>'17-EXCOM'!I94</f>
        <v>6512.8499999999995</v>
      </c>
      <c r="E77" s="200">
        <f>'17-EXCOM'!J94</f>
        <v>7167.57</v>
      </c>
      <c r="F77" s="156"/>
      <c r="G77" s="151"/>
      <c r="H77" s="151"/>
      <c r="I77" s="151"/>
      <c r="J77" s="151"/>
    </row>
    <row r="78" spans="1:10" s="4" customFormat="1" x14ac:dyDescent="0.3">
      <c r="A78" s="164"/>
      <c r="B78" s="156" t="s">
        <v>32</v>
      </c>
      <c r="C78" s="193">
        <f>'18-FY'!H51</f>
        <v>4918.8899999999994</v>
      </c>
      <c r="D78" s="193">
        <f>'18-FY'!I51</f>
        <v>6174.44</v>
      </c>
      <c r="E78" s="201">
        <f>'18-FY'!J51</f>
        <v>6230.94</v>
      </c>
      <c r="F78" s="156"/>
      <c r="G78" s="151"/>
      <c r="H78" s="151"/>
      <c r="I78" s="151"/>
      <c r="J78" s="151"/>
    </row>
    <row r="79" spans="1:10" s="4" customFormat="1" x14ac:dyDescent="0.3">
      <c r="A79" s="164"/>
      <c r="B79" s="139" t="s">
        <v>34</v>
      </c>
      <c r="C79" s="191">
        <f>'19-FINANCE'!H62</f>
        <v>267.81</v>
      </c>
      <c r="D79" s="191">
        <f>'19-FINANCE'!I62</f>
        <v>302.08</v>
      </c>
      <c r="E79" s="200">
        <f>'19-FINANCE'!J62</f>
        <v>291.89</v>
      </c>
      <c r="F79" s="156"/>
      <c r="G79" s="151"/>
      <c r="H79" s="151"/>
      <c r="I79" s="151"/>
      <c r="J79" s="151"/>
    </row>
    <row r="80" spans="1:10" s="4" customFormat="1" x14ac:dyDescent="0.3">
      <c r="A80" s="164"/>
      <c r="B80" s="156" t="s">
        <v>36</v>
      </c>
      <c r="C80" s="193">
        <f>'20-SERVICES'!H60</f>
        <v>2714.1329000000001</v>
      </c>
      <c r="D80" s="193">
        <f>'20-SERVICES'!I60</f>
        <v>1830.21</v>
      </c>
      <c r="E80" s="201">
        <f>'20-SERVICES'!J60</f>
        <v>2035.8600000000001</v>
      </c>
      <c r="F80" s="156"/>
      <c r="G80" s="160"/>
      <c r="H80" s="151"/>
      <c r="I80" s="157"/>
      <c r="J80" s="157"/>
    </row>
    <row r="81" spans="1:10" s="4" customFormat="1" x14ac:dyDescent="0.3">
      <c r="A81" s="164"/>
      <c r="B81" s="139" t="s">
        <v>38</v>
      </c>
      <c r="C81" s="191">
        <f>'21-IT'!H50</f>
        <v>5234.9395999999997</v>
      </c>
      <c r="D81" s="191">
        <f>'21-IT'!I50</f>
        <v>2007.54</v>
      </c>
      <c r="E81" s="200">
        <f>'21-IT'!J50</f>
        <v>2007.54</v>
      </c>
      <c r="F81" s="156"/>
      <c r="G81" s="160"/>
      <c r="H81" s="151"/>
      <c r="I81" s="157"/>
      <c r="J81" s="157"/>
    </row>
    <row r="82" spans="1:10" s="4" customFormat="1" x14ac:dyDescent="0.3">
      <c r="A82" s="164"/>
      <c r="B82" s="156" t="s">
        <v>40</v>
      </c>
      <c r="C82" s="193">
        <f>'22-EVENTS'!H45</f>
        <v>5518.07</v>
      </c>
      <c r="D82" s="193">
        <f>'22-EVENTS'!I45</f>
        <v>3685.74</v>
      </c>
      <c r="E82" s="201">
        <f>'22-EVENTS'!J45</f>
        <v>3685.74</v>
      </c>
      <c r="F82" s="156"/>
      <c r="G82" s="160"/>
      <c r="H82" s="151"/>
      <c r="I82" s="157"/>
      <c r="J82" s="157"/>
    </row>
    <row r="83" spans="1:10" s="4" customFormat="1" x14ac:dyDescent="0.3">
      <c r="A83" s="164"/>
      <c r="B83" s="139" t="s">
        <v>42</v>
      </c>
      <c r="C83" s="191">
        <f>'23-COMM'!H24</f>
        <v>3839.74</v>
      </c>
      <c r="D83" s="191">
        <f>'23-COMM'!I24</f>
        <v>224.87</v>
      </c>
      <c r="E83" s="200">
        <f>'23-COMM'!J24</f>
        <v>1609.8299999999997</v>
      </c>
      <c r="F83" s="156"/>
      <c r="G83" s="160"/>
      <c r="H83" s="151"/>
      <c r="I83" s="157"/>
      <c r="J83" s="157"/>
    </row>
    <row r="84" spans="1:10" s="4" customFormat="1" x14ac:dyDescent="0.3">
      <c r="A84" s="164"/>
      <c r="B84" s="156" t="s">
        <v>44</v>
      </c>
      <c r="C84" s="193">
        <f>'24-IA'!H60</f>
        <v>15387.774999999996</v>
      </c>
      <c r="D84" s="193">
        <f>'24-IA'!I60</f>
        <v>10927.869999999999</v>
      </c>
      <c r="E84" s="201">
        <f>'24-IA'!J60</f>
        <v>11374.119999999999</v>
      </c>
      <c r="F84" s="156"/>
      <c r="G84" s="160"/>
      <c r="H84" s="151"/>
      <c r="I84" s="157"/>
      <c r="J84" s="157"/>
    </row>
    <row r="85" spans="1:10" s="4" customFormat="1" x14ac:dyDescent="0.3">
      <c r="A85" s="164"/>
      <c r="B85" s="139" t="s">
        <v>46</v>
      </c>
      <c r="C85" s="191">
        <f>'25-EVPOS'!H358</f>
        <v>50054.532299999992</v>
      </c>
      <c r="D85" s="191">
        <f>'25-EVPOS'!I358</f>
        <v>11603.77</v>
      </c>
      <c r="E85" s="200">
        <f>'25-EVPOS'!J358</f>
        <v>13584.030000000002</v>
      </c>
      <c r="F85" s="156"/>
      <c r="G85" s="160"/>
      <c r="H85" s="151"/>
      <c r="I85" s="157"/>
      <c r="J85" s="157"/>
    </row>
    <row r="86" spans="1:10" s="4" customFormat="1" x14ac:dyDescent="0.3">
      <c r="A86" s="155"/>
      <c r="B86" s="151" t="s">
        <v>54</v>
      </c>
      <c r="C86" s="193"/>
      <c r="D86" s="193"/>
      <c r="E86" s="201"/>
      <c r="F86" s="156"/>
      <c r="G86" s="151"/>
      <c r="H86" s="151"/>
      <c r="I86" s="151"/>
      <c r="J86" s="151"/>
    </row>
    <row r="87" spans="1:10" s="4" customFormat="1" x14ac:dyDescent="0.3">
      <c r="A87" s="155"/>
      <c r="B87" s="154" t="s">
        <v>69</v>
      </c>
      <c r="C87" s="191">
        <f>0.1*SUM(C71:C85)</f>
        <v>14723.11406</v>
      </c>
      <c r="D87" s="191"/>
      <c r="E87" s="200"/>
      <c r="F87" s="156"/>
      <c r="G87" s="160"/>
      <c r="H87" s="151"/>
      <c r="I87" s="157"/>
      <c r="J87" s="157"/>
    </row>
    <row r="88" spans="1:10" s="4" customFormat="1" x14ac:dyDescent="0.3">
      <c r="A88" s="155"/>
      <c r="B88" s="151"/>
      <c r="C88" s="193"/>
      <c r="D88" s="193"/>
      <c r="E88" s="201"/>
      <c r="F88" s="156"/>
      <c r="G88" s="160"/>
      <c r="H88" s="151"/>
      <c r="I88" s="157"/>
      <c r="J88" s="157"/>
    </row>
    <row r="89" spans="1:10" s="4" customFormat="1" x14ac:dyDescent="0.3">
      <c r="A89" s="155"/>
      <c r="B89" s="158" t="s">
        <v>70</v>
      </c>
      <c r="C89" s="179">
        <f>SUM(C71:C88)</f>
        <v>161954.25465999998</v>
      </c>
      <c r="D89" s="179">
        <f>SUM(D71:D88)</f>
        <v>64482.510000000009</v>
      </c>
      <c r="E89" s="180">
        <f>SUM(E71:E88)</f>
        <v>74320.459999999992</v>
      </c>
      <c r="F89" s="156"/>
      <c r="G89" s="160"/>
      <c r="H89" s="151"/>
      <c r="I89" s="157"/>
      <c r="J89" s="157"/>
    </row>
    <row r="90" spans="1:10" s="4" customFormat="1" x14ac:dyDescent="0.3">
      <c r="A90" s="155"/>
      <c r="B90" s="151"/>
      <c r="C90" s="193"/>
      <c r="D90" s="193"/>
      <c r="E90" s="201"/>
      <c r="F90" s="156"/>
      <c r="G90" s="151"/>
      <c r="H90" s="151"/>
      <c r="I90" s="151"/>
      <c r="J90" s="151"/>
    </row>
    <row r="91" spans="1:10" s="4" customFormat="1" x14ac:dyDescent="0.3">
      <c r="A91" s="150" t="s">
        <v>71</v>
      </c>
      <c r="B91" s="151"/>
      <c r="C91" s="193"/>
      <c r="D91" s="193"/>
      <c r="E91" s="201"/>
      <c r="F91" s="156"/>
      <c r="G91" s="160"/>
      <c r="H91" s="151"/>
      <c r="I91" s="157"/>
      <c r="J91" s="157"/>
    </row>
    <row r="92" spans="1:10" s="4" customFormat="1" x14ac:dyDescent="0.3">
      <c r="A92" s="155"/>
      <c r="B92" s="139" t="s">
        <v>72</v>
      </c>
      <c r="C92" s="191">
        <f>SUM(General!H83:H86)</f>
        <v>29042</v>
      </c>
      <c r="D92" s="191">
        <f>SUM(General!I83:I87)</f>
        <v>5625.78</v>
      </c>
      <c r="E92" s="200">
        <f>SUM(General!J83:J86)</f>
        <v>29042</v>
      </c>
      <c r="F92" s="156"/>
      <c r="G92" s="160"/>
      <c r="H92" s="151"/>
      <c r="I92" s="157"/>
      <c r="J92" s="157"/>
    </row>
    <row r="93" spans="1:10" s="4" customFormat="1" x14ac:dyDescent="0.3">
      <c r="A93" s="155"/>
      <c r="B93" s="151" t="s">
        <v>73</v>
      </c>
      <c r="C93" s="193">
        <f>General!H89</f>
        <v>797.32799999999997</v>
      </c>
      <c r="D93" s="193">
        <f>General!I89</f>
        <v>149.41999999999999</v>
      </c>
      <c r="E93" s="201">
        <f>General!J89</f>
        <v>764.47</v>
      </c>
      <c r="F93" s="156"/>
      <c r="G93" s="160"/>
      <c r="H93" s="151"/>
      <c r="I93" s="157"/>
      <c r="J93" s="157"/>
    </row>
    <row r="94" spans="1:10" s="4" customFormat="1" x14ac:dyDescent="0.3">
      <c r="A94" s="155"/>
      <c r="B94" s="154" t="s">
        <v>74</v>
      </c>
      <c r="C94" s="191">
        <f>General!H91</f>
        <v>1203.1199999999999</v>
      </c>
      <c r="D94" s="191">
        <f>General!I91</f>
        <v>226.93</v>
      </c>
      <c r="E94" s="200">
        <f>General!J91</f>
        <v>1237.92</v>
      </c>
      <c r="F94" s="156"/>
      <c r="G94" s="151"/>
      <c r="H94" s="151"/>
      <c r="I94" s="151"/>
      <c r="J94" s="151"/>
    </row>
    <row r="95" spans="1:10" s="4" customFormat="1" x14ac:dyDescent="0.3">
      <c r="A95" s="164"/>
      <c r="B95" s="151" t="s">
        <v>75</v>
      </c>
      <c r="C95" s="193">
        <f>SUM(General!H93:H94)</f>
        <v>6762.9</v>
      </c>
      <c r="D95" s="193">
        <f>SUM(General!I93:I94)</f>
        <v>5494.47</v>
      </c>
      <c r="E95" s="201">
        <f>SUM(General!J93:J94)</f>
        <v>7268.97</v>
      </c>
      <c r="F95" s="156"/>
      <c r="G95" s="151"/>
      <c r="H95" s="151"/>
      <c r="I95" s="151"/>
      <c r="J95" s="151"/>
    </row>
    <row r="96" spans="1:10" s="4" customFormat="1" x14ac:dyDescent="0.3">
      <c r="A96" s="155"/>
      <c r="B96" s="154"/>
      <c r="C96" s="191"/>
      <c r="D96" s="191"/>
      <c r="E96" s="200"/>
      <c r="F96" s="156"/>
      <c r="G96" s="160"/>
      <c r="H96" s="151"/>
      <c r="I96" s="157"/>
      <c r="J96" s="157"/>
    </row>
    <row r="97" spans="1:10" s="4" customFormat="1" x14ac:dyDescent="0.3">
      <c r="A97" s="155"/>
      <c r="B97" s="158" t="s">
        <v>76</v>
      </c>
      <c r="C97" s="179">
        <f>SUM(C92:C95)</f>
        <v>37805.347999999998</v>
      </c>
      <c r="D97" s="179">
        <f>SUM(D92:D95)</f>
        <v>11496.6</v>
      </c>
      <c r="E97" s="180">
        <f>SUM(E92:E95)</f>
        <v>38313.360000000001</v>
      </c>
      <c r="F97" s="156"/>
      <c r="G97" s="160"/>
      <c r="H97" s="151"/>
      <c r="I97" s="157"/>
      <c r="J97" s="157"/>
    </row>
    <row r="98" spans="1:10" s="4" customFormat="1" x14ac:dyDescent="0.3">
      <c r="A98" s="155"/>
      <c r="B98" s="151"/>
      <c r="C98" s="193"/>
      <c r="D98" s="193"/>
      <c r="E98" s="201"/>
      <c r="F98" s="156"/>
      <c r="G98" s="160"/>
      <c r="H98" s="151"/>
      <c r="I98" s="157"/>
      <c r="J98" s="157"/>
    </row>
    <row r="99" spans="1:10" s="4" customFormat="1" x14ac:dyDescent="0.3">
      <c r="A99" s="150" t="s">
        <v>77</v>
      </c>
      <c r="B99" s="151"/>
      <c r="C99" s="193"/>
      <c r="D99" s="193"/>
      <c r="E99" s="201"/>
      <c r="F99" s="156"/>
      <c r="G99" s="151"/>
      <c r="H99" s="151"/>
      <c r="I99" s="151"/>
      <c r="J99" s="151"/>
    </row>
    <row r="100" spans="1:10" s="4" customFormat="1" x14ac:dyDescent="0.3">
      <c r="A100" s="155"/>
      <c r="B100" s="139" t="s">
        <v>78</v>
      </c>
      <c r="C100" s="191">
        <f>SUM(General!H100:H102)</f>
        <v>20735.5</v>
      </c>
      <c r="D100" s="191">
        <f>SUM(General!I100:I102)</f>
        <v>18435.96</v>
      </c>
      <c r="E100" s="200">
        <f>SUM(General!J100:J102)</f>
        <v>25599.829999999998</v>
      </c>
      <c r="F100" s="156"/>
      <c r="G100" s="151"/>
      <c r="H100" s="151"/>
      <c r="I100" s="151"/>
      <c r="J100" s="151"/>
    </row>
    <row r="101" spans="1:10" s="4" customFormat="1" x14ac:dyDescent="0.3">
      <c r="A101" s="155" t="s">
        <v>54</v>
      </c>
      <c r="B101" s="151" t="s">
        <v>79</v>
      </c>
      <c r="C101" s="193">
        <f>SUM(General!H104:H106)</f>
        <v>67391.8</v>
      </c>
      <c r="D101" s="193">
        <f>SUM(General!I104:I106)</f>
        <v>68145.279999999999</v>
      </c>
      <c r="E101" s="201">
        <f>SUM(General!J104:J106)</f>
        <v>68145.279999999999</v>
      </c>
      <c r="F101" s="156"/>
      <c r="G101" s="151"/>
      <c r="H101" s="151"/>
      <c r="I101" s="151"/>
      <c r="J101" s="151"/>
    </row>
    <row r="102" spans="1:10" s="4" customFormat="1" x14ac:dyDescent="0.3">
      <c r="A102" s="155"/>
      <c r="B102" s="154" t="s">
        <v>80</v>
      </c>
      <c r="C102" s="191">
        <f>General!H108</f>
        <v>20280</v>
      </c>
      <c r="D102" s="191">
        <f>General!I108</f>
        <v>0</v>
      </c>
      <c r="E102" s="200">
        <f>General!J108</f>
        <v>20280</v>
      </c>
      <c r="F102" s="156"/>
      <c r="G102" s="151"/>
      <c r="H102" s="151"/>
      <c r="I102" s="151"/>
      <c r="J102" s="151"/>
    </row>
    <row r="103" spans="1:10" s="4" customFormat="1" x14ac:dyDescent="0.3">
      <c r="A103" s="155"/>
      <c r="B103" s="151" t="s">
        <v>81</v>
      </c>
      <c r="C103" s="193">
        <f>SUM(General!H110:H111)</f>
        <v>5280</v>
      </c>
      <c r="D103" s="193">
        <f>SUM(General!I110:I111)</f>
        <v>2343.19</v>
      </c>
      <c r="E103" s="201">
        <f>SUM(General!J110:J111)</f>
        <v>5585.08</v>
      </c>
      <c r="F103" s="156"/>
      <c r="G103" s="151"/>
      <c r="H103" s="151"/>
      <c r="I103" s="151"/>
      <c r="J103" s="151"/>
    </row>
    <row r="104" spans="1:10" s="4" customFormat="1" x14ac:dyDescent="0.3">
      <c r="A104" s="150"/>
      <c r="B104" s="154" t="s">
        <v>82</v>
      </c>
      <c r="C104" s="191">
        <f>SUM(General!H114:H115)</f>
        <v>5135.4000000000005</v>
      </c>
      <c r="D104" s="191">
        <f>SUM(General!I114:I115)</f>
        <v>0</v>
      </c>
      <c r="E104" s="200">
        <f>SUM(General!J114:J115)</f>
        <v>5364.04</v>
      </c>
      <c r="F104" s="156"/>
      <c r="G104" s="151"/>
      <c r="H104" s="151"/>
      <c r="I104" s="151"/>
      <c r="J104" s="151"/>
    </row>
    <row r="105" spans="1:10" s="4" customFormat="1" x14ac:dyDescent="0.3">
      <c r="A105" s="150"/>
      <c r="B105" s="151" t="s">
        <v>83</v>
      </c>
      <c r="C105" s="193">
        <f>SUM(General!H118:H122)</f>
        <v>3710.4838199999995</v>
      </c>
      <c r="D105" s="193">
        <f>SUM(General!I118:I122)</f>
        <v>2094.27</v>
      </c>
      <c r="E105" s="201">
        <f>SUM(General!J118:J122)</f>
        <v>4783.13</v>
      </c>
      <c r="F105" s="156"/>
      <c r="G105" s="151"/>
      <c r="H105" s="151"/>
      <c r="I105" s="151"/>
      <c r="J105" s="151"/>
    </row>
    <row r="106" spans="1:10" s="4" customFormat="1" x14ac:dyDescent="0.3">
      <c r="A106" s="155"/>
      <c r="B106" s="154"/>
      <c r="C106" s="191"/>
      <c r="D106" s="191"/>
      <c r="E106" s="200"/>
      <c r="F106" s="156"/>
      <c r="G106" s="151"/>
      <c r="H106" s="151"/>
      <c r="I106" s="151"/>
      <c r="J106" s="151"/>
    </row>
    <row r="107" spans="1:10" s="4" customFormat="1" x14ac:dyDescent="0.3">
      <c r="A107" s="155"/>
      <c r="B107" s="158" t="s">
        <v>84</v>
      </c>
      <c r="C107" s="179">
        <f>SUM(C100:C105)</f>
        <v>122533.18381999999</v>
      </c>
      <c r="D107" s="179">
        <f>SUM(D100:D105)</f>
        <v>91018.7</v>
      </c>
      <c r="E107" s="180">
        <f>SUM(E100:E105)</f>
        <v>129757.36</v>
      </c>
      <c r="F107" s="156"/>
      <c r="G107" s="151"/>
      <c r="H107" s="151"/>
      <c r="I107" s="151"/>
      <c r="J107" s="151"/>
    </row>
    <row r="108" spans="1:10" s="4" customFormat="1" x14ac:dyDescent="0.3">
      <c r="A108" s="155"/>
      <c r="B108" s="159"/>
      <c r="C108" s="196"/>
      <c r="D108" s="196"/>
      <c r="E108" s="197"/>
      <c r="F108" s="156"/>
      <c r="G108" s="151"/>
      <c r="H108" s="151"/>
      <c r="I108" s="151"/>
      <c r="J108" s="151"/>
    </row>
    <row r="109" spans="1:10" s="4" customFormat="1" x14ac:dyDescent="0.3">
      <c r="A109" s="150" t="s">
        <v>85</v>
      </c>
      <c r="B109" s="151"/>
      <c r="C109" s="193"/>
      <c r="D109" s="193"/>
      <c r="E109" s="201"/>
      <c r="F109" s="156"/>
      <c r="G109" s="151"/>
      <c r="H109" s="151"/>
      <c r="I109" s="151"/>
      <c r="J109" s="151"/>
    </row>
    <row r="110" spans="1:10" s="4" customFormat="1" x14ac:dyDescent="0.3">
      <c r="A110" s="150"/>
      <c r="B110" s="154" t="s">
        <v>86</v>
      </c>
      <c r="C110" s="191">
        <f>SUM(General!H128:H129)</f>
        <v>930</v>
      </c>
      <c r="D110" s="191">
        <f>General!I128</f>
        <v>0</v>
      </c>
      <c r="E110" s="200">
        <f>General!J128</f>
        <v>0</v>
      </c>
      <c r="F110" s="156"/>
      <c r="G110" s="151"/>
      <c r="H110" s="151"/>
      <c r="I110" s="151"/>
      <c r="J110" s="151"/>
    </row>
    <row r="111" spans="1:10" s="4" customFormat="1" x14ac:dyDescent="0.3">
      <c r="A111" s="150"/>
      <c r="B111" s="151" t="s">
        <v>87</v>
      </c>
      <c r="C111" s="193">
        <f>General!H132</f>
        <v>523.68719999999985</v>
      </c>
      <c r="D111" s="193">
        <f>General!I132</f>
        <v>256.40999999999997</v>
      </c>
      <c r="E111" s="201">
        <f>General!J132</f>
        <v>256.41000000000003</v>
      </c>
      <c r="F111" s="156"/>
      <c r="G111" s="151"/>
      <c r="H111" s="151"/>
      <c r="I111" s="151"/>
      <c r="J111" s="151"/>
    </row>
    <row r="112" spans="1:10" s="4" customFormat="1" x14ac:dyDescent="0.3">
      <c r="A112" s="150"/>
      <c r="B112" s="154" t="s">
        <v>88</v>
      </c>
      <c r="C112" s="191">
        <f>SUM(General!H134:H142)</f>
        <v>9556.2900000000009</v>
      </c>
      <c r="D112" s="191">
        <f>SUM(General!I134:I143)</f>
        <v>12392.9</v>
      </c>
      <c r="E112" s="200">
        <f>SUM(General!J134:J141)</f>
        <v>10835.269999999997</v>
      </c>
      <c r="F112" s="156"/>
      <c r="G112" s="160"/>
      <c r="H112" s="151"/>
      <c r="I112" s="157"/>
      <c r="J112" s="157"/>
    </row>
    <row r="113" spans="1:10" s="4" customFormat="1" x14ac:dyDescent="0.3">
      <c r="A113" s="150"/>
      <c r="B113" s="151" t="s">
        <v>89</v>
      </c>
      <c r="C113" s="193">
        <f>General!H146</f>
        <v>822</v>
      </c>
      <c r="D113" s="193">
        <f>General!I146</f>
        <v>477.13000000000011</v>
      </c>
      <c r="E113" s="201">
        <f>General!J146</f>
        <v>582.97</v>
      </c>
      <c r="F113" s="156"/>
      <c r="G113" s="160"/>
      <c r="H113" s="151"/>
      <c r="I113" s="157"/>
      <c r="J113" s="157"/>
    </row>
    <row r="114" spans="1:10" s="9" customFormat="1" ht="18.75" x14ac:dyDescent="0.35">
      <c r="A114" s="150"/>
      <c r="B114" s="154" t="s">
        <v>90</v>
      </c>
      <c r="C114" s="191">
        <f>General!H148</f>
        <v>542.4</v>
      </c>
      <c r="D114" s="191">
        <f>General!I148</f>
        <v>125.48</v>
      </c>
      <c r="E114" s="200">
        <f>General!J148</f>
        <v>553.08000000000004</v>
      </c>
      <c r="F114" s="130"/>
      <c r="G114" s="131"/>
      <c r="H114" s="130"/>
      <c r="I114" s="130"/>
      <c r="J114" s="132"/>
    </row>
    <row r="115" spans="1:10" s="9" customFormat="1" ht="18.75" x14ac:dyDescent="0.35">
      <c r="A115" s="150"/>
      <c r="B115" s="151" t="s">
        <v>91</v>
      </c>
      <c r="C115" s="193">
        <f>General!H150</f>
        <v>957.81</v>
      </c>
      <c r="D115" s="193">
        <f>General!I150</f>
        <v>474.14</v>
      </c>
      <c r="E115" s="201">
        <f>General!J150</f>
        <v>1153.6099999999999</v>
      </c>
      <c r="F115" s="130"/>
      <c r="G115" s="131"/>
      <c r="H115" s="130"/>
      <c r="I115" s="130"/>
      <c r="J115" s="132"/>
    </row>
    <row r="116" spans="1:10" s="11" customFormat="1" ht="20.25" x14ac:dyDescent="0.35">
      <c r="A116" s="150"/>
      <c r="B116" s="154" t="s">
        <v>92</v>
      </c>
      <c r="C116" s="191">
        <f>General!H152</f>
        <v>900</v>
      </c>
      <c r="D116" s="191">
        <f>General!I152</f>
        <v>147.5</v>
      </c>
      <c r="E116" s="200">
        <f>General!J152</f>
        <v>477.97</v>
      </c>
      <c r="F116" s="136"/>
      <c r="G116" s="136"/>
      <c r="H116" s="133"/>
      <c r="I116" s="133"/>
      <c r="J116" s="133"/>
    </row>
    <row r="117" spans="1:10" s="11" customFormat="1" ht="20.25" x14ac:dyDescent="0.35">
      <c r="A117" s="150"/>
      <c r="B117" s="151" t="s">
        <v>93</v>
      </c>
      <c r="C117" s="193">
        <f>General!H154</f>
        <v>536.75</v>
      </c>
      <c r="D117" s="193">
        <f>General!I154</f>
        <v>462.48</v>
      </c>
      <c r="E117" s="201">
        <f>General!J154</f>
        <v>773.63</v>
      </c>
      <c r="F117" s="133"/>
      <c r="G117" s="133"/>
      <c r="H117" s="133"/>
      <c r="I117" s="133"/>
      <c r="J117" s="133"/>
    </row>
    <row r="118" spans="1:10" s="11" customFormat="1" ht="20.25" x14ac:dyDescent="0.35">
      <c r="A118" s="150"/>
      <c r="B118" s="154" t="s">
        <v>94</v>
      </c>
      <c r="C118" s="191">
        <f>General!H156</f>
        <v>104.4</v>
      </c>
      <c r="D118" s="191">
        <f>General!I156</f>
        <v>0</v>
      </c>
      <c r="E118" s="200">
        <f>General!J156</f>
        <v>0</v>
      </c>
      <c r="F118" s="133"/>
      <c r="G118" s="133"/>
      <c r="H118" s="133"/>
      <c r="I118" s="133"/>
      <c r="J118" s="133"/>
    </row>
    <row r="119" spans="1:10" s="11" customFormat="1" ht="20.25" x14ac:dyDescent="0.35">
      <c r="A119" s="150"/>
      <c r="B119" s="151" t="s">
        <v>95</v>
      </c>
      <c r="C119" s="193">
        <f>General!H158</f>
        <v>0</v>
      </c>
      <c r="D119" s="193">
        <f>General!I158</f>
        <v>0</v>
      </c>
      <c r="E119" s="201">
        <f>General!J158</f>
        <v>0</v>
      </c>
      <c r="F119" s="133"/>
      <c r="G119" s="133"/>
      <c r="H119" s="133"/>
      <c r="I119" s="133"/>
      <c r="J119" s="133"/>
    </row>
    <row r="120" spans="1:10" s="4" customFormat="1" x14ac:dyDescent="0.3">
      <c r="A120" s="150"/>
      <c r="B120" s="154" t="s">
        <v>96</v>
      </c>
      <c r="C120" s="191">
        <f>General!H160</f>
        <v>15000</v>
      </c>
      <c r="D120" s="191">
        <f>General!I160</f>
        <v>40.49</v>
      </c>
      <c r="E120" s="200">
        <f>General!J160</f>
        <v>2106.2399999999998</v>
      </c>
      <c r="F120" s="151"/>
      <c r="G120" s="151"/>
      <c r="H120" s="151"/>
      <c r="I120" s="151"/>
      <c r="J120" s="151"/>
    </row>
    <row r="121" spans="1:10" x14ac:dyDescent="0.3">
      <c r="A121" s="150"/>
      <c r="B121" s="151"/>
      <c r="C121" s="193"/>
      <c r="D121" s="193"/>
      <c r="E121" s="201"/>
    </row>
    <row r="122" spans="1:10" x14ac:dyDescent="0.3">
      <c r="A122" s="155"/>
      <c r="B122" s="158" t="s">
        <v>97</v>
      </c>
      <c r="C122" s="179">
        <f>SUM(C110:C121)</f>
        <v>29873.337200000002</v>
      </c>
      <c r="D122" s="179">
        <f>SUM(D110:D121)</f>
        <v>14376.529999999997</v>
      </c>
      <c r="E122" s="180">
        <f>SUM(E110:E121)</f>
        <v>16739.179999999993</v>
      </c>
    </row>
    <row r="123" spans="1:10" x14ac:dyDescent="0.3">
      <c r="A123" s="155"/>
      <c r="B123" s="156"/>
      <c r="C123" s="193"/>
      <c r="D123" s="193"/>
      <c r="E123" s="201"/>
    </row>
    <row r="124" spans="1:10" ht="18.75" x14ac:dyDescent="0.35">
      <c r="A124" s="165"/>
      <c r="B124" s="162" t="s">
        <v>98</v>
      </c>
      <c r="C124" s="203">
        <f>C122+C107+C97+C89+C68</f>
        <v>388652.44867999997</v>
      </c>
      <c r="D124" s="203">
        <f>D122+D107+D97+D89+D68</f>
        <v>188961.50000000003</v>
      </c>
      <c r="E124" s="205">
        <f>E122+E107+E97+E89+E68</f>
        <v>296639.03999999992</v>
      </c>
    </row>
    <row r="125" spans="1:10" ht="18.75" x14ac:dyDescent="0.35">
      <c r="A125" s="165"/>
      <c r="B125" s="162"/>
      <c r="C125" s="203"/>
      <c r="D125" s="203"/>
      <c r="E125" s="205"/>
    </row>
    <row r="126" spans="1:10" ht="20.25" x14ac:dyDescent="0.35">
      <c r="A126" s="275" t="s">
        <v>99</v>
      </c>
      <c r="B126" s="276"/>
      <c r="C126" s="167"/>
      <c r="D126" s="167"/>
      <c r="E126" s="168"/>
    </row>
    <row r="127" spans="1:10" ht="20.25" x14ac:dyDescent="0.35">
      <c r="A127" s="10"/>
      <c r="B127" s="169" t="s">
        <v>100</v>
      </c>
      <c r="C127" s="25">
        <f>C56</f>
        <v>390153.51830000005</v>
      </c>
      <c r="D127" s="25">
        <f>D56</f>
        <v>287700.86000000004</v>
      </c>
      <c r="E127" s="30">
        <f>E56</f>
        <v>350918.52999999997</v>
      </c>
    </row>
    <row r="128" spans="1:10" ht="20.25" x14ac:dyDescent="0.35">
      <c r="A128" s="12"/>
      <c r="B128" s="170" t="s">
        <v>101</v>
      </c>
      <c r="C128" s="26">
        <f>C124</f>
        <v>388652.44867999997</v>
      </c>
      <c r="D128" s="26">
        <f>D124</f>
        <v>188961.50000000003</v>
      </c>
      <c r="E128" s="27">
        <f>E124</f>
        <v>296639.03999999992</v>
      </c>
    </row>
    <row r="129" spans="1:5" ht="20.25" x14ac:dyDescent="0.35">
      <c r="A129" s="14"/>
      <c r="B129" s="171" t="s">
        <v>102</v>
      </c>
      <c r="C129" s="28">
        <f>C127-C128</f>
        <v>1501.0696200000821</v>
      </c>
      <c r="D129" s="28">
        <f>D127-D128</f>
        <v>98739.360000000015</v>
      </c>
      <c r="E129" s="29">
        <f>E127-E128</f>
        <v>54279.490000000049</v>
      </c>
    </row>
    <row r="130" spans="1:5" x14ac:dyDescent="0.3">
      <c r="A130" s="134"/>
      <c r="B130" s="99"/>
      <c r="C130" s="135"/>
      <c r="E130" s="152"/>
    </row>
  </sheetData>
  <mergeCells count="7">
    <mergeCell ref="C1:E4"/>
    <mergeCell ref="A6:B6"/>
    <mergeCell ref="A8:B8"/>
    <mergeCell ref="A58:B58"/>
    <mergeCell ref="A126:B126"/>
    <mergeCell ref="A5:B5"/>
    <mergeCell ref="C5:E5"/>
  </mergeCells>
  <pageMargins left="0" right="0" top="0" bottom="0" header="0" footer="0"/>
  <pageSetup orientation="portrait" horizontalDpi="4294967292" verticalDpi="4294967292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="70" zoomScaleNormal="70" zoomScalePageLayoutView="70" workbookViewId="0">
      <pane xSplit="3" ySplit="6" topLeftCell="D16" activePane="bottomRight" state="frozen"/>
      <selection pane="topRight" activeCell="C1" sqref="C1"/>
      <selection pane="bottomLeft" activeCell="A4" sqref="A4"/>
      <selection pane="bottomRight" activeCell="D39" sqref="D39"/>
    </sheetView>
  </sheetViews>
  <sheetFormatPr defaultColWidth="8.85546875" defaultRowHeight="17.25" x14ac:dyDescent="0.3"/>
  <cols>
    <col min="1" max="2" width="13.85546875" style="15" customWidth="1"/>
    <col min="3" max="3" width="29.42578125" style="41" customWidth="1"/>
    <col min="4" max="4" width="33.42578125" style="17" bestFit="1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x14ac:dyDescent="0.3">
      <c r="A1" s="212"/>
      <c r="B1" s="213"/>
      <c r="C1" s="31"/>
      <c r="D1" s="262" t="s">
        <v>670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 t="s">
        <v>671</v>
      </c>
      <c r="B9" s="159"/>
      <c r="C9" s="103"/>
      <c r="D9" s="152"/>
      <c r="E9" s="152"/>
      <c r="F9" s="188"/>
      <c r="G9" s="152"/>
      <c r="H9" s="152"/>
      <c r="I9" s="152"/>
      <c r="J9" s="153"/>
      <c r="K9" s="151"/>
      <c r="L9" s="151"/>
      <c r="M9" s="151"/>
      <c r="N9" s="151"/>
      <c r="O9" s="151"/>
    </row>
    <row r="10" spans="1:15" s="4" customFormat="1" x14ac:dyDescent="0.3">
      <c r="A10" s="150"/>
      <c r="B10" s="182" t="s">
        <v>672</v>
      </c>
      <c r="C10" s="182" t="s">
        <v>673</v>
      </c>
      <c r="D10" s="191" t="s">
        <v>674</v>
      </c>
      <c r="E10" s="191">
        <v>15</v>
      </c>
      <c r="F10" s="192">
        <v>200</v>
      </c>
      <c r="G10" s="191">
        <f>E10*F10</f>
        <v>3000</v>
      </c>
      <c r="H10" s="191">
        <f>G10</f>
        <v>3000</v>
      </c>
      <c r="I10" s="191">
        <f>4897.25+60</f>
        <v>4957.25</v>
      </c>
      <c r="J10" s="200">
        <v>4897.25</v>
      </c>
      <c r="K10" s="151"/>
      <c r="L10" s="151"/>
      <c r="M10" s="151"/>
      <c r="N10" s="151"/>
      <c r="O10" s="151"/>
    </row>
    <row r="11" spans="1:15" s="151" customFormat="1" x14ac:dyDescent="0.3">
      <c r="A11" s="155"/>
      <c r="C11" s="104" t="s">
        <v>675</v>
      </c>
      <c r="D11" s="193"/>
      <c r="E11" s="193"/>
      <c r="F11" s="194"/>
      <c r="G11" s="193"/>
      <c r="H11" s="193"/>
      <c r="I11" s="193">
        <v>1000</v>
      </c>
      <c r="J11" s="201">
        <v>1000</v>
      </c>
      <c r="N11" s="157"/>
    </row>
    <row r="12" spans="1:15" s="4" customFormat="1" x14ac:dyDescent="0.3">
      <c r="A12" s="155"/>
      <c r="B12" s="158" t="s">
        <v>676</v>
      </c>
      <c r="C12" s="35"/>
      <c r="D12" s="210"/>
      <c r="E12" s="210"/>
      <c r="F12" s="211"/>
      <c r="G12" s="210"/>
      <c r="H12" s="179">
        <v>3389.9999999999995</v>
      </c>
      <c r="I12" s="179">
        <f>I10+I11</f>
        <v>5957.25</v>
      </c>
      <c r="J12" s="180">
        <f>SUM(J10:J11)</f>
        <v>5897.25</v>
      </c>
      <c r="K12" s="151"/>
      <c r="L12" s="151"/>
      <c r="M12" s="151"/>
      <c r="N12" s="157"/>
      <c r="O12" s="151"/>
    </row>
    <row r="13" spans="1:15" s="4" customFormat="1" x14ac:dyDescent="0.3">
      <c r="A13" s="150"/>
      <c r="B13" s="159"/>
      <c r="C13" s="129"/>
      <c r="D13" s="196"/>
      <c r="E13" s="196"/>
      <c r="F13" s="202"/>
      <c r="G13" s="196"/>
      <c r="H13" s="196"/>
      <c r="I13" s="196"/>
      <c r="J13" s="197"/>
      <c r="K13" s="156"/>
      <c r="L13" s="160"/>
      <c r="M13" s="156"/>
      <c r="N13" s="156"/>
      <c r="O13" s="157"/>
    </row>
    <row r="14" spans="1:15" s="7" customFormat="1" ht="18.75" x14ac:dyDescent="0.35">
      <c r="A14" s="161"/>
      <c r="B14" s="162"/>
      <c r="C14" s="37" t="s">
        <v>58</v>
      </c>
      <c r="D14" s="203"/>
      <c r="E14" s="203"/>
      <c r="F14" s="204"/>
      <c r="G14" s="203"/>
      <c r="H14" s="203">
        <v>3389.9999999999995</v>
      </c>
      <c r="I14" s="203">
        <f>I12</f>
        <v>5957.25</v>
      </c>
      <c r="J14" s="205">
        <f>J12</f>
        <v>5897.25</v>
      </c>
      <c r="K14" s="126"/>
      <c r="L14" s="127"/>
      <c r="M14" s="126"/>
      <c r="N14" s="126"/>
      <c r="O14" s="128"/>
    </row>
    <row r="15" spans="1:15" s="7" customFormat="1" ht="18.75" x14ac:dyDescent="0.35">
      <c r="A15" s="161"/>
      <c r="B15" s="162"/>
      <c r="C15" s="37"/>
      <c r="D15" s="196"/>
      <c r="E15" s="196"/>
      <c r="F15" s="202"/>
      <c r="G15" s="196"/>
      <c r="H15" s="196"/>
      <c r="I15" s="196"/>
      <c r="J15" s="197"/>
      <c r="K15" s="126"/>
      <c r="L15" s="127"/>
      <c r="M15" s="126"/>
      <c r="N15" s="126"/>
      <c r="O15" s="128"/>
    </row>
    <row r="16" spans="1:15" s="4" customFormat="1" x14ac:dyDescent="0.3">
      <c r="A16" s="273" t="s">
        <v>59</v>
      </c>
      <c r="B16" s="274"/>
      <c r="C16" s="274"/>
      <c r="D16" s="148"/>
      <c r="E16" s="163"/>
      <c r="F16" s="189"/>
      <c r="G16" s="163"/>
      <c r="H16" s="163"/>
      <c r="I16" s="163"/>
      <c r="J16" s="149"/>
      <c r="K16" s="129"/>
      <c r="L16" s="129"/>
      <c r="M16" s="151"/>
      <c r="N16" s="151"/>
      <c r="O16" s="151"/>
    </row>
    <row r="17" spans="1:15" s="6" customFormat="1" x14ac:dyDescent="0.3">
      <c r="A17" s="150" t="s">
        <v>677</v>
      </c>
      <c r="B17" s="159"/>
      <c r="C17" s="103"/>
      <c r="D17" s="193"/>
      <c r="E17" s="193"/>
      <c r="F17" s="194"/>
      <c r="G17" s="193"/>
      <c r="H17" s="193"/>
      <c r="I17" s="193"/>
      <c r="J17" s="201"/>
      <c r="K17" s="156"/>
      <c r="L17" s="124"/>
      <c r="M17" s="159"/>
      <c r="N17" s="123"/>
      <c r="O17" s="125"/>
    </row>
    <row r="18" spans="1:15" s="4" customFormat="1" x14ac:dyDescent="0.3">
      <c r="A18" s="155"/>
      <c r="B18" s="182" t="s">
        <v>678</v>
      </c>
      <c r="C18" s="102" t="s">
        <v>679</v>
      </c>
      <c r="D18" s="191" t="s">
        <v>680</v>
      </c>
      <c r="E18" s="191">
        <v>10</v>
      </c>
      <c r="F18" s="192">
        <v>20</v>
      </c>
      <c r="G18" s="191">
        <f>F18*E18</f>
        <v>200</v>
      </c>
      <c r="H18" s="191">
        <f>G18*1.13</f>
        <v>225.99999999999997</v>
      </c>
      <c r="I18" s="191">
        <v>314.82</v>
      </c>
      <c r="J18" s="200">
        <v>314.82</v>
      </c>
      <c r="K18" s="151"/>
      <c r="L18" s="160"/>
      <c r="M18" s="151"/>
      <c r="N18" s="157"/>
      <c r="O18" s="151"/>
    </row>
    <row r="19" spans="1:15" s="4" customFormat="1" x14ac:dyDescent="0.3">
      <c r="A19" s="155"/>
      <c r="B19" s="151"/>
      <c r="C19" s="104"/>
      <c r="D19" s="193"/>
      <c r="E19" s="193"/>
      <c r="F19" s="194"/>
      <c r="G19" s="193"/>
      <c r="H19" s="193"/>
      <c r="I19" s="193"/>
      <c r="J19" s="201"/>
      <c r="K19" s="151"/>
      <c r="L19" s="160"/>
      <c r="M19" s="151">
        <f>275.72+73.45+5.39+184.77+34.33+107.4+12.06+57.23+57.46</f>
        <v>807.81000000000006</v>
      </c>
      <c r="N19" s="157"/>
      <c r="O19" s="151"/>
    </row>
    <row r="20" spans="1:15" s="4" customFormat="1" x14ac:dyDescent="0.3">
      <c r="A20" s="155"/>
      <c r="B20" s="158" t="s">
        <v>681</v>
      </c>
      <c r="C20" s="38"/>
      <c r="D20" s="179"/>
      <c r="E20" s="179"/>
      <c r="F20" s="184"/>
      <c r="G20" s="179"/>
      <c r="H20" s="179">
        <f>H18</f>
        <v>225.99999999999997</v>
      </c>
      <c r="I20" s="179">
        <f>I18</f>
        <v>314.82</v>
      </c>
      <c r="J20" s="180">
        <f>J18</f>
        <v>314.82</v>
      </c>
      <c r="K20" s="151"/>
      <c r="L20" s="160"/>
      <c r="M20" s="151"/>
      <c r="N20" s="157"/>
      <c r="O20" s="151"/>
    </row>
    <row r="21" spans="1:15" s="4" customFormat="1" x14ac:dyDescent="0.3">
      <c r="A21" s="150"/>
      <c r="B21" s="159"/>
      <c r="C21" s="129"/>
      <c r="D21" s="196"/>
      <c r="E21" s="196"/>
      <c r="F21" s="202"/>
      <c r="G21" s="196"/>
      <c r="H21" s="196"/>
      <c r="I21" s="196"/>
      <c r="J21" s="197"/>
      <c r="K21" s="156"/>
      <c r="L21" s="160"/>
      <c r="M21" s="151"/>
      <c r="N21" s="157"/>
      <c r="O21" s="157"/>
    </row>
    <row r="22" spans="1:15" s="4" customFormat="1" x14ac:dyDescent="0.3">
      <c r="A22" s="150" t="s">
        <v>671</v>
      </c>
      <c r="B22" s="159"/>
      <c r="C22" s="103"/>
      <c r="D22" s="193"/>
      <c r="E22" s="193"/>
      <c r="F22" s="194"/>
      <c r="G22" s="193"/>
      <c r="H22" s="193"/>
      <c r="I22" s="193"/>
      <c r="J22" s="201"/>
      <c r="K22" s="156"/>
      <c r="L22" s="160"/>
      <c r="M22" s="151"/>
      <c r="N22" s="157"/>
      <c r="O22" s="157"/>
    </row>
    <row r="23" spans="1:15" s="4" customFormat="1" x14ac:dyDescent="0.3">
      <c r="A23" s="164"/>
      <c r="B23" s="182" t="s">
        <v>682</v>
      </c>
      <c r="C23" s="102" t="s">
        <v>683</v>
      </c>
      <c r="D23" s="191" t="s">
        <v>684</v>
      </c>
      <c r="E23" s="191">
        <v>180</v>
      </c>
      <c r="F23" s="192">
        <v>1</v>
      </c>
      <c r="G23" s="191">
        <f t="shared" ref="G23:G28" si="0">F23*E23</f>
        <v>180</v>
      </c>
      <c r="H23" s="191">
        <f t="shared" ref="H23:H28" si="1">G23*1.13</f>
        <v>203.39999999999998</v>
      </c>
      <c r="I23" s="191">
        <v>618.16999999999996</v>
      </c>
      <c r="J23" s="200">
        <v>618.16999999999996</v>
      </c>
      <c r="K23" s="156"/>
      <c r="L23" s="160"/>
      <c r="M23" s="151"/>
      <c r="N23" s="157"/>
      <c r="O23" s="157"/>
    </row>
    <row r="24" spans="1:15" s="4" customFormat="1" x14ac:dyDescent="0.3">
      <c r="A24" s="164"/>
      <c r="B24" s="103" t="s">
        <v>685</v>
      </c>
      <c r="C24" s="104" t="s">
        <v>686</v>
      </c>
      <c r="D24" s="193" t="s">
        <v>687</v>
      </c>
      <c r="E24" s="193">
        <v>500</v>
      </c>
      <c r="F24" s="194">
        <v>1</v>
      </c>
      <c r="G24" s="193">
        <f t="shared" si="0"/>
        <v>500</v>
      </c>
      <c r="H24" s="193">
        <f t="shared" si="1"/>
        <v>565</v>
      </c>
      <c r="I24" s="193">
        <v>305.10000000000002</v>
      </c>
      <c r="J24" s="201">
        <f>56.5+305.1</f>
        <v>361.6</v>
      </c>
      <c r="K24" s="156"/>
      <c r="L24" s="160"/>
      <c r="M24" s="151"/>
      <c r="N24" s="157"/>
      <c r="O24" s="157"/>
    </row>
    <row r="25" spans="1:15" s="4" customFormat="1" x14ac:dyDescent="0.3">
      <c r="A25" s="164"/>
      <c r="B25" s="182" t="s">
        <v>688</v>
      </c>
      <c r="C25" s="102" t="s">
        <v>689</v>
      </c>
      <c r="D25" s="191" t="s">
        <v>690</v>
      </c>
      <c r="E25" s="191">
        <v>40</v>
      </c>
      <c r="F25" s="192">
        <v>3</v>
      </c>
      <c r="G25" s="191">
        <f t="shared" si="0"/>
        <v>120</v>
      </c>
      <c r="H25" s="191">
        <f t="shared" si="1"/>
        <v>135.6</v>
      </c>
      <c r="I25" s="191">
        <f>30+100</f>
        <v>130</v>
      </c>
      <c r="J25" s="200">
        <f>100+30</f>
        <v>130</v>
      </c>
      <c r="K25" s="156"/>
      <c r="L25" s="160"/>
      <c r="M25" s="151"/>
      <c r="N25" s="157"/>
      <c r="O25" s="157"/>
    </row>
    <row r="26" spans="1:15" s="4" customFormat="1" x14ac:dyDescent="0.3">
      <c r="A26" s="164"/>
      <c r="B26" s="103" t="s">
        <v>691</v>
      </c>
      <c r="C26" s="104" t="s">
        <v>411</v>
      </c>
      <c r="D26" s="193" t="s">
        <v>692</v>
      </c>
      <c r="E26" s="193">
        <v>1</v>
      </c>
      <c r="F26" s="194">
        <v>15</v>
      </c>
      <c r="G26" s="193">
        <f t="shared" si="0"/>
        <v>15</v>
      </c>
      <c r="H26" s="193">
        <f t="shared" si="1"/>
        <v>16.95</v>
      </c>
      <c r="I26" s="193">
        <v>24.26</v>
      </c>
      <c r="J26" s="201">
        <v>24.26</v>
      </c>
      <c r="K26" s="156"/>
      <c r="L26" s="160"/>
      <c r="M26" s="151"/>
      <c r="N26" s="157"/>
      <c r="O26" s="157"/>
    </row>
    <row r="27" spans="1:15" s="4" customFormat="1" x14ac:dyDescent="0.3">
      <c r="A27" s="164"/>
      <c r="B27" s="182" t="s">
        <v>693</v>
      </c>
      <c r="C27" s="102" t="s">
        <v>694</v>
      </c>
      <c r="D27" s="191" t="s">
        <v>695</v>
      </c>
      <c r="E27" s="191">
        <v>10</v>
      </c>
      <c r="F27" s="192">
        <v>200</v>
      </c>
      <c r="G27" s="191">
        <f t="shared" si="0"/>
        <v>2000</v>
      </c>
      <c r="H27" s="191">
        <f t="shared" si="1"/>
        <v>2260</v>
      </c>
      <c r="I27" s="191">
        <f>3429.83+84+177.64</f>
        <v>3691.47</v>
      </c>
      <c r="J27" s="200">
        <v>3691.47</v>
      </c>
      <c r="K27" s="156"/>
      <c r="L27" s="160"/>
      <c r="M27" s="151"/>
      <c r="N27" s="157"/>
      <c r="O27" s="157"/>
    </row>
    <row r="28" spans="1:15" s="4" customFormat="1" x14ac:dyDescent="0.3">
      <c r="A28" s="164"/>
      <c r="B28" s="103" t="s">
        <v>696</v>
      </c>
      <c r="C28" s="104" t="s">
        <v>697</v>
      </c>
      <c r="D28" s="193" t="s">
        <v>698</v>
      </c>
      <c r="E28" s="193">
        <v>65</v>
      </c>
      <c r="F28" s="194">
        <v>2</v>
      </c>
      <c r="G28" s="193">
        <f t="shared" si="0"/>
        <v>130</v>
      </c>
      <c r="H28" s="193">
        <f t="shared" si="1"/>
        <v>146.89999999999998</v>
      </c>
      <c r="I28" s="193"/>
      <c r="J28" s="201"/>
      <c r="K28" s="156"/>
      <c r="L28" s="160"/>
      <c r="M28" s="151"/>
      <c r="N28" s="157"/>
      <c r="O28" s="157"/>
    </row>
    <row r="29" spans="1:15" s="4" customFormat="1" x14ac:dyDescent="0.3">
      <c r="A29" s="155"/>
      <c r="B29" s="154"/>
      <c r="C29" s="182" t="s">
        <v>699</v>
      </c>
      <c r="D29" s="191"/>
      <c r="E29" s="191"/>
      <c r="F29" s="192"/>
      <c r="G29" s="191"/>
      <c r="H29" s="191"/>
      <c r="I29" s="191">
        <f>50.85+46.8</f>
        <v>97.65</v>
      </c>
      <c r="J29" s="200">
        <f>46.8+50.85</f>
        <v>97.65</v>
      </c>
      <c r="K29" s="156"/>
      <c r="L29" s="151"/>
      <c r="M29" s="151"/>
      <c r="N29" s="151"/>
      <c r="O29" s="151"/>
    </row>
    <row r="30" spans="1:15" s="4" customFormat="1" x14ac:dyDescent="0.3">
      <c r="A30" s="155"/>
      <c r="B30" s="158" t="s">
        <v>700</v>
      </c>
      <c r="C30" s="36"/>
      <c r="D30" s="179"/>
      <c r="E30" s="179"/>
      <c r="F30" s="184"/>
      <c r="G30" s="179"/>
      <c r="H30" s="179">
        <f>SUM(H23:H29)</f>
        <v>3327.85</v>
      </c>
      <c r="I30" s="179">
        <f>SUM(I23:I29)</f>
        <v>4866.6499999999996</v>
      </c>
      <c r="J30" s="180">
        <f>SUM(J23:J29)</f>
        <v>4923.1499999999996</v>
      </c>
      <c r="K30" s="156"/>
      <c r="L30" s="151"/>
      <c r="M30" s="151"/>
      <c r="N30" s="151"/>
      <c r="O30" s="151"/>
    </row>
    <row r="31" spans="1:15" s="4" customFormat="1" x14ac:dyDescent="0.3">
      <c r="A31" s="155"/>
      <c r="B31" s="151"/>
      <c r="C31" s="103"/>
      <c r="D31" s="193"/>
      <c r="E31" s="193"/>
      <c r="F31" s="194"/>
      <c r="G31" s="193"/>
      <c r="H31" s="193"/>
      <c r="I31" s="193"/>
      <c r="J31" s="201"/>
      <c r="K31" s="156"/>
      <c r="L31" s="160"/>
      <c r="M31" s="151"/>
      <c r="N31" s="157"/>
      <c r="O31" s="157"/>
    </row>
    <row r="32" spans="1:15" s="4" customFormat="1" x14ac:dyDescent="0.3">
      <c r="A32" s="150" t="s">
        <v>701</v>
      </c>
      <c r="B32" s="159"/>
      <c r="C32" s="103"/>
      <c r="D32" s="193"/>
      <c r="E32" s="193"/>
      <c r="F32" s="194"/>
      <c r="G32" s="193"/>
      <c r="H32" s="193"/>
      <c r="I32" s="193"/>
      <c r="J32" s="201"/>
      <c r="K32" s="156"/>
      <c r="L32" s="160"/>
      <c r="M32" s="151"/>
      <c r="N32" s="157"/>
      <c r="O32" s="157"/>
    </row>
    <row r="33" spans="1:15" s="4" customFormat="1" x14ac:dyDescent="0.3">
      <c r="A33" s="155"/>
      <c r="B33" s="182" t="s">
        <v>702</v>
      </c>
      <c r="C33" s="102" t="s">
        <v>703</v>
      </c>
      <c r="D33" s="191" t="s">
        <v>704</v>
      </c>
      <c r="E33" s="191">
        <v>100</v>
      </c>
      <c r="F33" s="192">
        <v>4</v>
      </c>
      <c r="G33" s="191">
        <f>F33*E33</f>
        <v>400</v>
      </c>
      <c r="H33" s="191">
        <f>G33*1.13</f>
        <v>451.99999999999994</v>
      </c>
      <c r="I33" s="191">
        <v>350</v>
      </c>
      <c r="J33" s="200">
        <v>350</v>
      </c>
      <c r="K33" s="156"/>
      <c r="L33" s="160"/>
      <c r="M33" s="151"/>
      <c r="N33" s="157"/>
      <c r="O33" s="157"/>
    </row>
    <row r="34" spans="1:15" s="4" customFormat="1" x14ac:dyDescent="0.3">
      <c r="A34" s="155"/>
      <c r="B34" s="103" t="s">
        <v>705</v>
      </c>
      <c r="C34" s="103" t="s">
        <v>706</v>
      </c>
      <c r="D34" s="193" t="s">
        <v>695</v>
      </c>
      <c r="E34" s="193">
        <v>28</v>
      </c>
      <c r="F34" s="194">
        <v>5</v>
      </c>
      <c r="G34" s="193">
        <f>F34*E34</f>
        <v>140</v>
      </c>
      <c r="H34" s="193">
        <f>G34*1.13</f>
        <v>158.19999999999999</v>
      </c>
      <c r="I34" s="193">
        <v>246.34</v>
      </c>
      <c r="J34" s="201">
        <v>246.34</v>
      </c>
      <c r="K34" s="156"/>
      <c r="L34" s="160"/>
      <c r="M34" s="151"/>
      <c r="N34" s="157"/>
      <c r="O34" s="157"/>
    </row>
    <row r="35" spans="1:15" s="4" customFormat="1" x14ac:dyDescent="0.3">
      <c r="A35" s="155"/>
      <c r="B35" s="182" t="s">
        <v>707</v>
      </c>
      <c r="C35" s="182" t="s">
        <v>708</v>
      </c>
      <c r="D35" s="191" t="s">
        <v>695</v>
      </c>
      <c r="E35" s="191">
        <v>36</v>
      </c>
      <c r="F35" s="192">
        <v>2</v>
      </c>
      <c r="G35" s="191">
        <f>F35*E35</f>
        <v>72</v>
      </c>
      <c r="H35" s="191">
        <f>G35*1.13</f>
        <v>81.359999999999985</v>
      </c>
      <c r="I35" s="191"/>
      <c r="J35" s="200"/>
      <c r="K35" s="156"/>
      <c r="L35" s="160"/>
      <c r="M35" s="151"/>
      <c r="N35" s="157"/>
      <c r="O35" s="157"/>
    </row>
    <row r="36" spans="1:15" s="151" customFormat="1" x14ac:dyDescent="0.3">
      <c r="A36" s="155"/>
      <c r="C36" s="103"/>
      <c r="D36" s="193"/>
      <c r="E36" s="193"/>
      <c r="F36" s="194"/>
      <c r="G36" s="193"/>
      <c r="H36" s="193"/>
      <c r="I36" s="193"/>
      <c r="J36" s="201"/>
      <c r="K36" s="156"/>
      <c r="L36" s="160"/>
      <c r="N36" s="157"/>
      <c r="O36" s="157"/>
    </row>
    <row r="37" spans="1:15" s="4" customFormat="1" x14ac:dyDescent="0.3">
      <c r="A37" s="155"/>
      <c r="B37" s="158" t="s">
        <v>709</v>
      </c>
      <c r="C37" s="36"/>
      <c r="D37" s="179"/>
      <c r="E37" s="179"/>
      <c r="F37" s="184"/>
      <c r="G37" s="179"/>
      <c r="H37" s="179">
        <f>SUM(H33:H35)</f>
        <v>691.56</v>
      </c>
      <c r="I37" s="179">
        <f>SUM(I33:I35)</f>
        <v>596.34</v>
      </c>
      <c r="J37" s="180">
        <f>SUM(J32:J35)</f>
        <v>596.34</v>
      </c>
      <c r="K37" s="156"/>
      <c r="L37" s="160"/>
      <c r="M37" s="151"/>
      <c r="N37" s="157"/>
      <c r="O37" s="157"/>
    </row>
    <row r="38" spans="1:15" s="4" customFormat="1" ht="16.5" customHeight="1" x14ac:dyDescent="0.3">
      <c r="A38" s="155"/>
      <c r="B38" s="151"/>
      <c r="C38" s="103"/>
      <c r="D38" s="193"/>
      <c r="E38" s="193"/>
      <c r="F38" s="194"/>
      <c r="G38" s="193"/>
      <c r="H38" s="193"/>
      <c r="I38" s="193"/>
      <c r="J38" s="201"/>
      <c r="K38" s="156"/>
      <c r="L38" s="160"/>
      <c r="M38" s="151"/>
      <c r="N38" s="157"/>
      <c r="O38" s="157"/>
    </row>
    <row r="39" spans="1:15" s="4" customFormat="1" x14ac:dyDescent="0.3">
      <c r="A39" s="150" t="s">
        <v>710</v>
      </c>
      <c r="B39" s="159"/>
      <c r="C39" s="103"/>
      <c r="D39" s="193"/>
      <c r="E39" s="193"/>
      <c r="F39" s="194"/>
      <c r="G39" s="193"/>
      <c r="H39" s="193"/>
      <c r="I39" s="193"/>
      <c r="J39" s="201"/>
      <c r="K39" s="156"/>
      <c r="L39" s="151"/>
      <c r="M39" s="151"/>
      <c r="N39" s="151"/>
      <c r="O39" s="151"/>
    </row>
    <row r="40" spans="1:15" s="4" customFormat="1" x14ac:dyDescent="0.3">
      <c r="A40" s="150"/>
      <c r="B40" s="182" t="s">
        <v>711</v>
      </c>
      <c r="C40" s="182" t="s">
        <v>712</v>
      </c>
      <c r="D40" s="191" t="s">
        <v>695</v>
      </c>
      <c r="E40" s="191">
        <v>36</v>
      </c>
      <c r="F40" s="192">
        <v>4</v>
      </c>
      <c r="G40" s="191">
        <f>F40*E40</f>
        <v>144</v>
      </c>
      <c r="H40" s="191">
        <f>G40*1.13</f>
        <v>162.71999999999997</v>
      </c>
      <c r="I40" s="191">
        <v>396.63</v>
      </c>
      <c r="J40" s="200">
        <v>396.63</v>
      </c>
      <c r="K40" s="156"/>
      <c r="L40" s="151"/>
      <c r="M40" s="151"/>
      <c r="N40" s="151"/>
      <c r="O40" s="151"/>
    </row>
    <row r="41" spans="1:15" s="4" customFormat="1" x14ac:dyDescent="0.3">
      <c r="A41" s="150"/>
      <c r="B41" s="103" t="s">
        <v>713</v>
      </c>
      <c r="C41" s="103" t="s">
        <v>714</v>
      </c>
      <c r="D41" s="193" t="s">
        <v>695</v>
      </c>
      <c r="E41" s="193">
        <v>28</v>
      </c>
      <c r="F41" s="194">
        <v>4</v>
      </c>
      <c r="G41" s="193">
        <f>F41*E41</f>
        <v>112</v>
      </c>
      <c r="H41" s="193">
        <f>G41*1.13</f>
        <v>126.55999999999999</v>
      </c>
      <c r="I41" s="193"/>
      <c r="J41" s="201"/>
      <c r="K41" s="156"/>
      <c r="L41" s="151"/>
      <c r="M41" s="151"/>
      <c r="N41" s="151"/>
      <c r="O41" s="151"/>
    </row>
    <row r="42" spans="1:15" s="4" customFormat="1" x14ac:dyDescent="0.3">
      <c r="A42" s="150"/>
      <c r="B42" s="182" t="s">
        <v>715</v>
      </c>
      <c r="C42" s="182" t="s">
        <v>716</v>
      </c>
      <c r="D42" s="191" t="s">
        <v>695</v>
      </c>
      <c r="E42" s="191">
        <v>45</v>
      </c>
      <c r="F42" s="192">
        <v>4</v>
      </c>
      <c r="G42" s="191">
        <f>F42*E42</f>
        <v>180</v>
      </c>
      <c r="H42" s="191">
        <f>G42*1.13</f>
        <v>203.39999999999998</v>
      </c>
      <c r="I42" s="191"/>
      <c r="J42" s="200"/>
      <c r="K42" s="156"/>
      <c r="L42" s="151"/>
      <c r="M42" s="151"/>
      <c r="N42" s="151"/>
      <c r="O42" s="151"/>
    </row>
    <row r="43" spans="1:15" s="4" customFormat="1" x14ac:dyDescent="0.3">
      <c r="A43" s="150"/>
      <c r="B43" s="103" t="s">
        <v>717</v>
      </c>
      <c r="C43" s="103" t="s">
        <v>718</v>
      </c>
      <c r="D43" s="193" t="s">
        <v>695</v>
      </c>
      <c r="E43" s="193">
        <v>40</v>
      </c>
      <c r="F43" s="194">
        <v>4</v>
      </c>
      <c r="G43" s="193">
        <f>F43*E43</f>
        <v>160</v>
      </c>
      <c r="H43" s="193">
        <f>G43*1.13</f>
        <v>180.79999999999998</v>
      </c>
      <c r="I43" s="193"/>
      <c r="J43" s="201"/>
      <c r="K43" s="156"/>
      <c r="L43" s="151"/>
      <c r="M43" s="151"/>
      <c r="N43" s="151"/>
      <c r="O43" s="151"/>
    </row>
    <row r="44" spans="1:15" s="4" customFormat="1" x14ac:dyDescent="0.3">
      <c r="A44" s="150"/>
      <c r="B44" s="178"/>
      <c r="C44" s="182"/>
      <c r="D44" s="191"/>
      <c r="E44" s="191"/>
      <c r="F44" s="192"/>
      <c r="G44" s="191"/>
      <c r="H44" s="191"/>
      <c r="I44" s="191"/>
      <c r="J44" s="200"/>
      <c r="K44" s="156"/>
      <c r="L44" s="151"/>
      <c r="M44" s="151"/>
      <c r="N44" s="151"/>
      <c r="O44" s="151"/>
    </row>
    <row r="45" spans="1:15" s="4" customFormat="1" x14ac:dyDescent="0.3">
      <c r="A45" s="155"/>
      <c r="B45" s="158" t="s">
        <v>719</v>
      </c>
      <c r="C45" s="36"/>
      <c r="D45" s="179"/>
      <c r="E45" s="179"/>
      <c r="F45" s="184"/>
      <c r="G45" s="179"/>
      <c r="H45" s="179">
        <f>SUM(H40:H43)</f>
        <v>673.4799999999999</v>
      </c>
      <c r="I45" s="179">
        <f>SUM(I40:I43)</f>
        <v>396.63</v>
      </c>
      <c r="J45" s="180">
        <f>SUM(J40:J43)</f>
        <v>396.63</v>
      </c>
      <c r="K45" s="156"/>
      <c r="L45" s="160"/>
      <c r="M45" s="151"/>
      <c r="N45" s="157"/>
      <c r="O45" s="157"/>
    </row>
    <row r="46" spans="1:15" s="4" customFormat="1" x14ac:dyDescent="0.3">
      <c r="A46" s="155"/>
      <c r="B46" s="151"/>
      <c r="C46" s="104"/>
      <c r="D46" s="193"/>
      <c r="E46" s="193"/>
      <c r="F46" s="194"/>
      <c r="G46" s="193"/>
      <c r="H46" s="193"/>
      <c r="I46" s="193"/>
      <c r="J46" s="201"/>
      <c r="K46" s="156"/>
      <c r="L46" s="160"/>
      <c r="M46" s="151"/>
      <c r="N46" s="157"/>
      <c r="O46" s="157"/>
    </row>
    <row r="47" spans="1:15" s="9" customFormat="1" ht="18.75" x14ac:dyDescent="0.35">
      <c r="A47" s="165"/>
      <c r="B47" s="166"/>
      <c r="C47" s="37" t="s">
        <v>98</v>
      </c>
      <c r="D47" s="203"/>
      <c r="E47" s="203"/>
      <c r="F47" s="204"/>
      <c r="G47" s="203"/>
      <c r="H47" s="203">
        <f>H45+H37+H30+H20</f>
        <v>4918.8899999999994</v>
      </c>
      <c r="I47" s="203">
        <f>I45+I37+I30+I20</f>
        <v>6174.44</v>
      </c>
      <c r="J47" s="205">
        <f>J45+J37+J30+J20</f>
        <v>6230.94</v>
      </c>
      <c r="K47" s="130"/>
      <c r="L47" s="131"/>
      <c r="M47" s="130"/>
      <c r="N47" s="130"/>
      <c r="O47" s="132"/>
    </row>
    <row r="48" spans="1:15" s="9" customFormat="1" ht="18.75" x14ac:dyDescent="0.35">
      <c r="A48" s="165"/>
      <c r="B48" s="166"/>
      <c r="C48" s="37"/>
      <c r="D48" s="203"/>
      <c r="E48" s="203"/>
      <c r="F48" s="204"/>
      <c r="G48" s="203"/>
      <c r="H48" s="203"/>
      <c r="I48" s="203"/>
      <c r="J48" s="205"/>
      <c r="K48" s="130"/>
      <c r="L48" s="131"/>
      <c r="M48" s="130"/>
      <c r="N48" s="130"/>
      <c r="O48" s="132"/>
    </row>
    <row r="49" spans="1:15" s="11" customFormat="1" ht="20.25" x14ac:dyDescent="0.35">
      <c r="A49" s="275" t="s">
        <v>99</v>
      </c>
      <c r="B49" s="276"/>
      <c r="C49" s="276"/>
      <c r="D49" s="167"/>
      <c r="E49" s="167"/>
      <c r="F49" s="190"/>
      <c r="G49" s="167"/>
      <c r="H49" s="167"/>
      <c r="I49" s="167"/>
      <c r="J49" s="168"/>
      <c r="K49" s="136"/>
      <c r="L49" s="136"/>
      <c r="M49" s="133"/>
      <c r="N49" s="133"/>
      <c r="O49" s="133"/>
    </row>
    <row r="50" spans="1:15" s="13" customFormat="1" ht="20.25" x14ac:dyDescent="0.35">
      <c r="A50" s="175"/>
      <c r="B50" s="169" t="s">
        <v>100</v>
      </c>
      <c r="C50" s="214"/>
      <c r="D50" s="206"/>
      <c r="E50" s="206"/>
      <c r="F50" s="206"/>
      <c r="G50" s="206"/>
      <c r="H50" s="206">
        <f>H14</f>
        <v>3389.9999999999995</v>
      </c>
      <c r="I50" s="206">
        <f>I14</f>
        <v>5957.25</v>
      </c>
      <c r="J50" s="118">
        <f>J14</f>
        <v>5897.25</v>
      </c>
      <c r="K50" s="170"/>
      <c r="L50" s="170"/>
      <c r="M50" s="170"/>
      <c r="N50" s="170"/>
      <c r="O50" s="170"/>
    </row>
    <row r="51" spans="1:15" s="13" customFormat="1" ht="20.25" x14ac:dyDescent="0.35">
      <c r="A51" s="175"/>
      <c r="B51" s="170" t="s">
        <v>101</v>
      </c>
      <c r="C51" s="136"/>
      <c r="D51" s="207"/>
      <c r="E51" s="207"/>
      <c r="F51" s="207"/>
      <c r="G51" s="207"/>
      <c r="H51" s="207">
        <f>H47</f>
        <v>4918.8899999999994</v>
      </c>
      <c r="I51" s="207">
        <f>I47</f>
        <v>6174.44</v>
      </c>
      <c r="J51" s="119">
        <f>J47</f>
        <v>6230.94</v>
      </c>
      <c r="K51" s="170"/>
      <c r="L51" s="170"/>
      <c r="M51" s="170"/>
      <c r="N51" s="170"/>
      <c r="O51" s="170"/>
    </row>
    <row r="52" spans="1:15" s="13" customFormat="1" ht="20.25" x14ac:dyDescent="0.35">
      <c r="A52" s="208"/>
      <c r="B52" s="171" t="s">
        <v>102</v>
      </c>
      <c r="C52" s="215"/>
      <c r="D52" s="209"/>
      <c r="E52" s="209"/>
      <c r="F52" s="209"/>
      <c r="G52" s="209"/>
      <c r="H52" s="209">
        <f>H50-H51</f>
        <v>-1528.8899999999999</v>
      </c>
      <c r="I52" s="209">
        <f>I51-I50</f>
        <v>217.1899999999996</v>
      </c>
      <c r="J52" s="120">
        <f>J51-J50</f>
        <v>333.6899999999996</v>
      </c>
      <c r="K52" s="170"/>
      <c r="L52" s="170"/>
      <c r="M52" s="170"/>
      <c r="N52" s="170"/>
      <c r="O52" s="170"/>
    </row>
    <row r="53" spans="1:15" s="4" customFormat="1" x14ac:dyDescent="0.3">
      <c r="A53" s="134"/>
      <c r="B53" s="134"/>
      <c r="C53" s="42"/>
      <c r="D53" s="135"/>
      <c r="E53" s="152"/>
      <c r="F53" s="188"/>
      <c r="G53" s="152"/>
      <c r="H53" s="152"/>
      <c r="I53" s="152"/>
      <c r="J53" s="152"/>
      <c r="K53" s="151"/>
      <c r="L53" s="151"/>
      <c r="M53" s="151"/>
      <c r="N53" s="151"/>
      <c r="O53" s="151"/>
    </row>
  </sheetData>
  <mergeCells count="6">
    <mergeCell ref="A8:C8"/>
    <mergeCell ref="A16:C16"/>
    <mergeCell ref="A49:C49"/>
    <mergeCell ref="D1:J4"/>
    <mergeCell ref="A5:C5"/>
    <mergeCell ref="D5:E5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M55" sqref="M55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34.85546875" style="17" bestFit="1" customWidth="1"/>
    <col min="5" max="5" width="12" style="5" bestFit="1" customWidth="1"/>
    <col min="6" max="6" width="10.85546875" style="22" bestFit="1" customWidth="1"/>
    <col min="7" max="7" width="10.5703125" style="5" bestFit="1" customWidth="1"/>
    <col min="8" max="8" width="12.570312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4" s="1" customFormat="1" ht="38.25" x14ac:dyDescent="0.3">
      <c r="A1" s="212"/>
      <c r="B1" s="213"/>
      <c r="C1" s="31"/>
      <c r="D1" s="262" t="s">
        <v>720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</row>
    <row r="2" spans="1:14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</row>
    <row r="3" spans="1:14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</row>
    <row r="4" spans="1:14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</row>
    <row r="5" spans="1:14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</row>
    <row r="6" spans="1:14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</row>
    <row r="7" spans="1:14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</row>
    <row r="8" spans="1:14" s="1" customFormat="1" hidden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</row>
    <row r="9" spans="1:14" s="4" customFormat="1" hidden="1" x14ac:dyDescent="0.3">
      <c r="A9" s="150" t="s">
        <v>721</v>
      </c>
      <c r="B9" s="159"/>
      <c r="C9" s="103"/>
      <c r="D9" s="152"/>
      <c r="E9" s="152"/>
      <c r="F9" s="188"/>
      <c r="G9" s="152"/>
      <c r="H9" s="152"/>
      <c r="I9" s="152"/>
      <c r="J9" s="153"/>
      <c r="K9" s="151"/>
      <c r="L9" s="151"/>
      <c r="M9" s="151"/>
      <c r="N9" s="151"/>
    </row>
    <row r="10" spans="1:14" s="4" customFormat="1" hidden="1" x14ac:dyDescent="0.3">
      <c r="A10" s="150"/>
      <c r="B10" s="182"/>
      <c r="C10" s="182"/>
      <c r="D10" s="191"/>
      <c r="E10" s="191"/>
      <c r="F10" s="192"/>
      <c r="G10" s="191">
        <f t="shared" ref="G10:G15" si="0">E10*F10</f>
        <v>0</v>
      </c>
      <c r="H10" s="191">
        <f t="shared" ref="H10:H15" si="1">G10*1.13</f>
        <v>0</v>
      </c>
      <c r="I10" s="191"/>
      <c r="J10" s="200"/>
      <c r="K10" s="151"/>
      <c r="L10" s="151"/>
      <c r="M10" s="151"/>
      <c r="N10" s="151"/>
    </row>
    <row r="11" spans="1:14" s="4" customFormat="1" hidden="1" x14ac:dyDescent="0.3">
      <c r="A11" s="155"/>
      <c r="B11" s="151"/>
      <c r="C11" s="104"/>
      <c r="D11" s="193"/>
      <c r="E11" s="193"/>
      <c r="F11" s="194"/>
      <c r="G11" s="193">
        <f t="shared" si="0"/>
        <v>0</v>
      </c>
      <c r="H11" s="193">
        <f t="shared" si="1"/>
        <v>0</v>
      </c>
      <c r="I11" s="193"/>
      <c r="J11" s="201"/>
      <c r="K11" s="151"/>
      <c r="L11" s="151"/>
      <c r="M11" s="151"/>
      <c r="N11" s="157"/>
    </row>
    <row r="12" spans="1:14" s="4" customFormat="1" hidden="1" x14ac:dyDescent="0.3">
      <c r="A12" s="155"/>
      <c r="B12" s="154"/>
      <c r="C12" s="102"/>
      <c r="D12" s="191" t="s">
        <v>54</v>
      </c>
      <c r="E12" s="191"/>
      <c r="F12" s="192"/>
      <c r="G12" s="191">
        <f t="shared" si="0"/>
        <v>0</v>
      </c>
      <c r="H12" s="191">
        <f t="shared" si="1"/>
        <v>0</v>
      </c>
      <c r="I12" s="191"/>
      <c r="J12" s="200"/>
      <c r="K12" s="151"/>
      <c r="L12" s="151"/>
      <c r="M12" s="151"/>
      <c r="N12" s="157"/>
    </row>
    <row r="13" spans="1:14" s="4" customFormat="1" hidden="1" x14ac:dyDescent="0.3">
      <c r="A13" s="155"/>
      <c r="B13" s="151"/>
      <c r="C13" s="104"/>
      <c r="D13" s="193"/>
      <c r="E13" s="193"/>
      <c r="F13" s="194"/>
      <c r="G13" s="193">
        <f t="shared" si="0"/>
        <v>0</v>
      </c>
      <c r="H13" s="193">
        <f t="shared" si="1"/>
        <v>0</v>
      </c>
      <c r="I13" s="193"/>
      <c r="J13" s="201"/>
      <c r="K13" s="151"/>
      <c r="L13" s="123"/>
      <c r="M13" s="151"/>
      <c r="N13" s="157"/>
    </row>
    <row r="14" spans="1:14" s="4" customFormat="1" hidden="1" x14ac:dyDescent="0.3">
      <c r="A14" s="155"/>
      <c r="B14" s="154"/>
      <c r="C14" s="102"/>
      <c r="D14" s="191"/>
      <c r="E14" s="191"/>
      <c r="F14" s="192"/>
      <c r="G14" s="191">
        <f t="shared" si="0"/>
        <v>0</v>
      </c>
      <c r="H14" s="191">
        <f t="shared" si="1"/>
        <v>0</v>
      </c>
      <c r="I14" s="191"/>
      <c r="J14" s="200"/>
      <c r="K14" s="151"/>
      <c r="L14" s="151"/>
      <c r="M14" s="151"/>
      <c r="N14" s="157"/>
    </row>
    <row r="15" spans="1:14" s="4" customFormat="1" hidden="1" x14ac:dyDescent="0.3">
      <c r="A15" s="155"/>
      <c r="B15" s="151"/>
      <c r="C15" s="104"/>
      <c r="D15" s="193"/>
      <c r="E15" s="193"/>
      <c r="F15" s="194"/>
      <c r="G15" s="193">
        <f t="shared" si="0"/>
        <v>0</v>
      </c>
      <c r="H15" s="193">
        <f t="shared" si="1"/>
        <v>0</v>
      </c>
      <c r="I15" s="193"/>
      <c r="J15" s="201"/>
      <c r="K15" s="151"/>
      <c r="L15" s="151"/>
      <c r="M15" s="151"/>
      <c r="N15" s="157"/>
    </row>
    <row r="16" spans="1:14" s="4" customFormat="1" hidden="1" x14ac:dyDescent="0.3">
      <c r="A16" s="155"/>
      <c r="B16" s="154"/>
      <c r="C16" s="102"/>
      <c r="D16" s="191"/>
      <c r="E16" s="191"/>
      <c r="F16" s="192"/>
      <c r="G16" s="191"/>
      <c r="H16" s="191"/>
      <c r="I16" s="191"/>
      <c r="J16" s="200"/>
      <c r="K16" s="151"/>
      <c r="L16" s="151"/>
      <c r="M16" s="151"/>
      <c r="N16" s="157"/>
    </row>
    <row r="17" spans="1:15" s="4" customFormat="1" hidden="1" x14ac:dyDescent="0.3">
      <c r="A17" s="155"/>
      <c r="B17" s="158" t="s">
        <v>722</v>
      </c>
      <c r="C17" s="35"/>
      <c r="D17" s="210"/>
      <c r="E17" s="210"/>
      <c r="F17" s="211"/>
      <c r="G17" s="210"/>
      <c r="H17" s="179">
        <f>SUM(H9:H15)</f>
        <v>0</v>
      </c>
      <c r="I17" s="179">
        <f>SUM(I9:I15)</f>
        <v>0</v>
      </c>
      <c r="J17" s="180">
        <f>SUM(J9:J15)</f>
        <v>0</v>
      </c>
      <c r="K17" s="151"/>
      <c r="L17" s="151"/>
      <c r="M17" s="151"/>
      <c r="N17" s="157"/>
      <c r="O17" s="151"/>
    </row>
    <row r="18" spans="1:15" s="6" customFormat="1" hidden="1" x14ac:dyDescent="0.3">
      <c r="A18" s="150"/>
      <c r="B18" s="159"/>
      <c r="C18" s="129"/>
      <c r="D18" s="196"/>
      <c r="E18" s="196"/>
      <c r="F18" s="202"/>
      <c r="G18" s="196"/>
      <c r="H18" s="196"/>
      <c r="I18" s="196"/>
      <c r="J18" s="197"/>
      <c r="K18" s="156"/>
      <c r="L18" s="124"/>
      <c r="M18" s="159"/>
      <c r="N18" s="125"/>
      <c r="O18" s="125"/>
    </row>
    <row r="19" spans="1:15" s="6" customFormat="1" hidden="1" x14ac:dyDescent="0.3">
      <c r="A19" s="150" t="s">
        <v>723</v>
      </c>
      <c r="B19" s="159"/>
      <c r="C19" s="103"/>
      <c r="D19" s="193"/>
      <c r="E19" s="193"/>
      <c r="F19" s="194"/>
      <c r="G19" s="193"/>
      <c r="H19" s="193"/>
      <c r="I19" s="193"/>
      <c r="J19" s="201"/>
      <c r="K19" s="156"/>
      <c r="L19" s="124"/>
      <c r="M19" s="159"/>
      <c r="N19" s="125"/>
      <c r="O19" s="125"/>
    </row>
    <row r="20" spans="1:15" s="4" customFormat="1" hidden="1" x14ac:dyDescent="0.3">
      <c r="A20" s="155"/>
      <c r="B20" s="182"/>
      <c r="C20" s="102"/>
      <c r="D20" s="191"/>
      <c r="E20" s="191"/>
      <c r="F20" s="192"/>
      <c r="G20" s="191">
        <f>E20*F20</f>
        <v>0</v>
      </c>
      <c r="H20" s="191">
        <f>G20*1.13</f>
        <v>0</v>
      </c>
      <c r="I20" s="191"/>
      <c r="J20" s="200"/>
      <c r="K20" s="151"/>
      <c r="L20" s="151"/>
      <c r="M20" s="151"/>
      <c r="N20" s="157"/>
      <c r="O20" s="151"/>
    </row>
    <row r="21" spans="1:15" s="4" customFormat="1" hidden="1" x14ac:dyDescent="0.3">
      <c r="A21" s="155"/>
      <c r="B21" s="103"/>
      <c r="C21" s="104"/>
      <c r="D21" s="193"/>
      <c r="E21" s="193"/>
      <c r="F21" s="194"/>
      <c r="G21" s="193">
        <f t="shared" ref="G21:G27" si="2">E21*F21</f>
        <v>0</v>
      </c>
      <c r="H21" s="193">
        <f t="shared" ref="H21:H27" si="3">G21*1.13</f>
        <v>0</v>
      </c>
      <c r="I21" s="193"/>
      <c r="J21" s="201"/>
      <c r="K21" s="151"/>
      <c r="L21" s="151"/>
      <c r="M21" s="151"/>
      <c r="N21" s="157"/>
      <c r="O21" s="151"/>
    </row>
    <row r="22" spans="1:15" s="4" customFormat="1" hidden="1" x14ac:dyDescent="0.3">
      <c r="A22" s="155"/>
      <c r="B22" s="182"/>
      <c r="C22" s="102"/>
      <c r="D22" s="191"/>
      <c r="E22" s="191"/>
      <c r="F22" s="192"/>
      <c r="G22" s="191">
        <f t="shared" si="2"/>
        <v>0</v>
      </c>
      <c r="H22" s="191">
        <f t="shared" si="3"/>
        <v>0</v>
      </c>
      <c r="I22" s="191"/>
      <c r="J22" s="200"/>
      <c r="K22" s="151"/>
      <c r="L22" s="151"/>
      <c r="M22" s="151"/>
      <c r="N22" s="157"/>
      <c r="O22" s="151"/>
    </row>
    <row r="23" spans="1:15" s="4" customFormat="1" hidden="1" x14ac:dyDescent="0.3">
      <c r="A23" s="155"/>
      <c r="B23" s="103"/>
      <c r="C23" s="104"/>
      <c r="D23" s="193"/>
      <c r="E23" s="193"/>
      <c r="F23" s="194"/>
      <c r="G23" s="193">
        <f t="shared" si="2"/>
        <v>0</v>
      </c>
      <c r="H23" s="193">
        <f t="shared" si="3"/>
        <v>0</v>
      </c>
      <c r="I23" s="193"/>
      <c r="J23" s="201"/>
      <c r="K23" s="151"/>
      <c r="L23" s="151"/>
      <c r="M23" s="151"/>
      <c r="N23" s="157"/>
      <c r="O23" s="151"/>
    </row>
    <row r="24" spans="1:15" s="4" customFormat="1" hidden="1" x14ac:dyDescent="0.3">
      <c r="A24" s="155"/>
      <c r="B24" s="182"/>
      <c r="C24" s="102"/>
      <c r="D24" s="191"/>
      <c r="E24" s="191"/>
      <c r="F24" s="192"/>
      <c r="G24" s="191">
        <f t="shared" si="2"/>
        <v>0</v>
      </c>
      <c r="H24" s="191">
        <f t="shared" si="3"/>
        <v>0</v>
      </c>
      <c r="I24" s="191"/>
      <c r="J24" s="200"/>
      <c r="K24" s="151"/>
      <c r="L24" s="151"/>
      <c r="M24" s="151"/>
      <c r="N24" s="157"/>
      <c r="O24" s="151"/>
    </row>
    <row r="25" spans="1:15" s="4" customFormat="1" hidden="1" x14ac:dyDescent="0.3">
      <c r="A25" s="155"/>
      <c r="B25" s="103"/>
      <c r="C25" s="104"/>
      <c r="D25" s="193"/>
      <c r="E25" s="193"/>
      <c r="F25" s="194"/>
      <c r="G25" s="193">
        <f t="shared" si="2"/>
        <v>0</v>
      </c>
      <c r="H25" s="193">
        <f t="shared" si="3"/>
        <v>0</v>
      </c>
      <c r="I25" s="193"/>
      <c r="J25" s="201"/>
      <c r="K25" s="151"/>
      <c r="L25" s="151"/>
      <c r="M25" s="151"/>
      <c r="N25" s="157"/>
      <c r="O25" s="151"/>
    </row>
    <row r="26" spans="1:15" s="4" customFormat="1" hidden="1" x14ac:dyDescent="0.3">
      <c r="A26" s="155"/>
      <c r="B26" s="182"/>
      <c r="C26" s="102"/>
      <c r="D26" s="191"/>
      <c r="E26" s="191"/>
      <c r="F26" s="192"/>
      <c r="G26" s="191">
        <f t="shared" si="2"/>
        <v>0</v>
      </c>
      <c r="H26" s="191">
        <f t="shared" si="3"/>
        <v>0</v>
      </c>
      <c r="I26" s="191"/>
      <c r="J26" s="200"/>
      <c r="K26" s="151"/>
      <c r="L26" s="151"/>
      <c r="M26" s="151"/>
      <c r="N26" s="157"/>
      <c r="O26" s="151"/>
    </row>
    <row r="27" spans="1:15" s="4" customFormat="1" hidden="1" x14ac:dyDescent="0.3">
      <c r="A27" s="155"/>
      <c r="B27" s="103"/>
      <c r="C27" s="104"/>
      <c r="D27" s="193"/>
      <c r="E27" s="193"/>
      <c r="F27" s="194"/>
      <c r="G27" s="193">
        <f t="shared" si="2"/>
        <v>0</v>
      </c>
      <c r="H27" s="193">
        <f t="shared" si="3"/>
        <v>0</v>
      </c>
      <c r="I27" s="193"/>
      <c r="J27" s="201"/>
      <c r="K27" s="151"/>
      <c r="L27" s="151"/>
      <c r="M27" s="151"/>
      <c r="N27" s="157"/>
      <c r="O27" s="151"/>
    </row>
    <row r="28" spans="1:15" s="4" customFormat="1" hidden="1" x14ac:dyDescent="0.3">
      <c r="A28" s="155"/>
      <c r="B28" s="182"/>
      <c r="C28" s="102"/>
      <c r="D28" s="191"/>
      <c r="E28" s="191"/>
      <c r="F28" s="192"/>
      <c r="G28" s="191"/>
      <c r="H28" s="191"/>
      <c r="I28" s="191"/>
      <c r="J28" s="200"/>
      <c r="K28" s="151"/>
      <c r="L28" s="151"/>
      <c r="M28" s="151"/>
      <c r="N28" s="157"/>
      <c r="O28" s="151"/>
    </row>
    <row r="29" spans="1:15" s="4" customFormat="1" hidden="1" x14ac:dyDescent="0.3">
      <c r="A29" s="150"/>
      <c r="B29" s="158" t="s">
        <v>724</v>
      </c>
      <c r="C29" s="36"/>
      <c r="D29" s="179"/>
      <c r="E29" s="179"/>
      <c r="F29" s="184"/>
      <c r="G29" s="179"/>
      <c r="H29" s="179">
        <f>SUM(H20:H28)</f>
        <v>0</v>
      </c>
      <c r="I29" s="179">
        <f>SUM(I20:I28)</f>
        <v>0</v>
      </c>
      <c r="J29" s="180">
        <f>SUM(J20:J28)</f>
        <v>0</v>
      </c>
      <c r="K29" s="156"/>
      <c r="L29" s="160"/>
      <c r="M29" s="156"/>
      <c r="N29" s="156"/>
      <c r="O29" s="157"/>
    </row>
    <row r="30" spans="1:15" s="4" customFormat="1" hidden="1" x14ac:dyDescent="0.3">
      <c r="A30" s="150"/>
      <c r="B30" s="159"/>
      <c r="C30" s="129"/>
      <c r="D30" s="196"/>
      <c r="E30" s="196"/>
      <c r="F30" s="202"/>
      <c r="G30" s="196"/>
      <c r="H30" s="196"/>
      <c r="I30" s="196"/>
      <c r="J30" s="197"/>
      <c r="K30" s="156"/>
      <c r="L30" s="160"/>
      <c r="M30" s="156"/>
      <c r="N30" s="156"/>
      <c r="O30" s="157"/>
    </row>
    <row r="31" spans="1:15" s="6" customFormat="1" hidden="1" x14ac:dyDescent="0.3">
      <c r="A31" s="150" t="s">
        <v>725</v>
      </c>
      <c r="B31" s="159"/>
      <c r="C31" s="103"/>
      <c r="D31" s="193"/>
      <c r="E31" s="193"/>
      <c r="F31" s="194"/>
      <c r="G31" s="193"/>
      <c r="H31" s="193"/>
      <c r="I31" s="193"/>
      <c r="J31" s="201"/>
      <c r="K31" s="156"/>
      <c r="L31" s="124"/>
      <c r="M31" s="159"/>
      <c r="N31" s="123"/>
      <c r="O31" s="125"/>
    </row>
    <row r="32" spans="1:15" s="4" customFormat="1" hidden="1" x14ac:dyDescent="0.3">
      <c r="A32" s="155"/>
      <c r="B32" s="154"/>
      <c r="C32" s="102"/>
      <c r="D32" s="191"/>
      <c r="E32" s="191"/>
      <c r="F32" s="192"/>
      <c r="G32" s="191">
        <f>E32*F32</f>
        <v>0</v>
      </c>
      <c r="H32" s="191">
        <f>G32*1.13</f>
        <v>0</v>
      </c>
      <c r="I32" s="191"/>
      <c r="J32" s="200"/>
      <c r="K32" s="151"/>
      <c r="L32" s="160"/>
      <c r="M32" s="151"/>
      <c r="N32" s="157"/>
      <c r="O32" s="151"/>
    </row>
    <row r="33" spans="1:15" s="4" customFormat="1" hidden="1" x14ac:dyDescent="0.3">
      <c r="A33" s="155"/>
      <c r="B33" s="151"/>
      <c r="C33" s="104"/>
      <c r="D33" s="193"/>
      <c r="E33" s="193"/>
      <c r="F33" s="194"/>
      <c r="G33" s="193">
        <f t="shared" ref="G33:G39" si="4">E33*F33</f>
        <v>0</v>
      </c>
      <c r="H33" s="193">
        <f t="shared" ref="H33:H39" si="5">G33*1.13</f>
        <v>0</v>
      </c>
      <c r="I33" s="193"/>
      <c r="J33" s="201"/>
      <c r="K33" s="151"/>
      <c r="L33" s="160"/>
      <c r="M33" s="151"/>
      <c r="N33" s="157"/>
      <c r="O33" s="151"/>
    </row>
    <row r="34" spans="1:15" s="4" customFormat="1" hidden="1" x14ac:dyDescent="0.3">
      <c r="A34" s="155"/>
      <c r="B34" s="154"/>
      <c r="C34" s="102"/>
      <c r="D34" s="191"/>
      <c r="E34" s="191"/>
      <c r="F34" s="192"/>
      <c r="G34" s="191">
        <f t="shared" si="4"/>
        <v>0</v>
      </c>
      <c r="H34" s="191">
        <f t="shared" si="5"/>
        <v>0</v>
      </c>
      <c r="I34" s="191"/>
      <c r="J34" s="200"/>
      <c r="K34" s="151"/>
      <c r="L34" s="160"/>
      <c r="M34" s="151"/>
      <c r="N34" s="157"/>
      <c r="O34" s="151"/>
    </row>
    <row r="35" spans="1:15" s="4" customFormat="1" hidden="1" x14ac:dyDescent="0.3">
      <c r="A35" s="155"/>
      <c r="B35" s="151"/>
      <c r="C35" s="104"/>
      <c r="D35" s="193"/>
      <c r="E35" s="193"/>
      <c r="F35" s="194"/>
      <c r="G35" s="193">
        <f t="shared" si="4"/>
        <v>0</v>
      </c>
      <c r="H35" s="193">
        <f t="shared" si="5"/>
        <v>0</v>
      </c>
      <c r="I35" s="193"/>
      <c r="J35" s="201"/>
      <c r="K35" s="151"/>
      <c r="L35" s="160"/>
      <c r="M35" s="151"/>
      <c r="N35" s="157"/>
      <c r="O35" s="151"/>
    </row>
    <row r="36" spans="1:15" s="4" customFormat="1" hidden="1" x14ac:dyDescent="0.3">
      <c r="A36" s="155"/>
      <c r="B36" s="154"/>
      <c r="C36" s="102"/>
      <c r="D36" s="191"/>
      <c r="E36" s="191"/>
      <c r="F36" s="192"/>
      <c r="G36" s="191">
        <f t="shared" si="4"/>
        <v>0</v>
      </c>
      <c r="H36" s="191">
        <f t="shared" si="5"/>
        <v>0</v>
      </c>
      <c r="I36" s="191"/>
      <c r="J36" s="233"/>
      <c r="K36" s="151"/>
      <c r="L36" s="160"/>
      <c r="M36" s="151"/>
      <c r="N36" s="157"/>
      <c r="O36" s="151"/>
    </row>
    <row r="37" spans="1:15" s="4" customFormat="1" hidden="1" x14ac:dyDescent="0.3">
      <c r="A37" s="155"/>
      <c r="B37" s="151"/>
      <c r="C37" s="104"/>
      <c r="D37" s="193"/>
      <c r="E37" s="193"/>
      <c r="F37" s="194"/>
      <c r="G37" s="193">
        <f t="shared" si="4"/>
        <v>0</v>
      </c>
      <c r="H37" s="193">
        <f t="shared" si="5"/>
        <v>0</v>
      </c>
      <c r="I37" s="193"/>
      <c r="J37" s="201"/>
      <c r="K37" s="151"/>
      <c r="L37" s="160"/>
      <c r="M37" s="151"/>
      <c r="N37" s="157"/>
      <c r="O37" s="151"/>
    </row>
    <row r="38" spans="1:15" s="4" customFormat="1" hidden="1" x14ac:dyDescent="0.3">
      <c r="A38" s="155"/>
      <c r="B38" s="154"/>
      <c r="C38" s="102"/>
      <c r="D38" s="191"/>
      <c r="E38" s="191"/>
      <c r="F38" s="192"/>
      <c r="G38" s="191">
        <f t="shared" si="4"/>
        <v>0</v>
      </c>
      <c r="H38" s="191">
        <f t="shared" si="5"/>
        <v>0</v>
      </c>
      <c r="I38" s="191"/>
      <c r="J38" s="200"/>
      <c r="K38" s="151"/>
      <c r="L38" s="160"/>
      <c r="M38" s="151"/>
      <c r="N38" s="157"/>
      <c r="O38" s="151"/>
    </row>
    <row r="39" spans="1:15" s="4" customFormat="1" hidden="1" x14ac:dyDescent="0.3">
      <c r="A39" s="155"/>
      <c r="B39" s="151"/>
      <c r="C39" s="104"/>
      <c r="D39" s="193"/>
      <c r="E39" s="193"/>
      <c r="F39" s="194"/>
      <c r="G39" s="193">
        <f t="shared" si="4"/>
        <v>0</v>
      </c>
      <c r="H39" s="193">
        <f t="shared" si="5"/>
        <v>0</v>
      </c>
      <c r="I39" s="193"/>
      <c r="J39" s="201"/>
      <c r="K39" s="151"/>
      <c r="L39" s="160"/>
      <c r="M39" s="151"/>
      <c r="N39" s="157"/>
      <c r="O39" s="151"/>
    </row>
    <row r="40" spans="1:15" s="4" customFormat="1" hidden="1" x14ac:dyDescent="0.3">
      <c r="A40" s="155"/>
      <c r="B40" s="154"/>
      <c r="C40" s="102"/>
      <c r="D40" s="191"/>
      <c r="E40" s="191"/>
      <c r="F40" s="192"/>
      <c r="G40" s="191"/>
      <c r="H40" s="191"/>
      <c r="I40" s="191"/>
      <c r="J40" s="200"/>
      <c r="K40" s="151"/>
      <c r="L40" s="160"/>
      <c r="M40" s="151"/>
      <c r="N40" s="157"/>
      <c r="O40" s="151"/>
    </row>
    <row r="41" spans="1:15" s="4" customFormat="1" hidden="1" x14ac:dyDescent="0.3">
      <c r="A41" s="150"/>
      <c r="B41" s="158" t="s">
        <v>726</v>
      </c>
      <c r="C41" s="36"/>
      <c r="D41" s="179"/>
      <c r="E41" s="179"/>
      <c r="F41" s="184"/>
      <c r="G41" s="179"/>
      <c r="H41" s="179">
        <f>SUM(H32:H40)</f>
        <v>0</v>
      </c>
      <c r="I41" s="179">
        <f>SUM(I32:I40)</f>
        <v>0</v>
      </c>
      <c r="J41" s="180">
        <f>SUM(J32:J40)</f>
        <v>0</v>
      </c>
      <c r="K41" s="156"/>
      <c r="L41" s="160"/>
      <c r="M41" s="151"/>
      <c r="N41" s="157"/>
      <c r="O41" s="157"/>
    </row>
    <row r="42" spans="1:15" s="4" customFormat="1" hidden="1" x14ac:dyDescent="0.3">
      <c r="A42" s="150"/>
      <c r="B42" s="159"/>
      <c r="C42" s="129"/>
      <c r="D42" s="196"/>
      <c r="E42" s="196"/>
      <c r="F42" s="202"/>
      <c r="G42" s="196"/>
      <c r="H42" s="196"/>
      <c r="I42" s="196"/>
      <c r="J42" s="197"/>
      <c r="K42" s="156"/>
      <c r="L42" s="160"/>
      <c r="M42" s="156"/>
      <c r="N42" s="156"/>
      <c r="O42" s="157"/>
    </row>
    <row r="43" spans="1:15" s="7" customFormat="1" ht="18.75" hidden="1" x14ac:dyDescent="0.35">
      <c r="A43" s="161"/>
      <c r="B43" s="162"/>
      <c r="C43" s="37" t="s">
        <v>58</v>
      </c>
      <c r="D43" s="203"/>
      <c r="E43" s="203"/>
      <c r="F43" s="204"/>
      <c r="G43" s="203"/>
      <c r="H43" s="203">
        <f>H29+H41+H17</f>
        <v>0</v>
      </c>
      <c r="I43" s="203">
        <f>I29+I41+I17</f>
        <v>0</v>
      </c>
      <c r="J43" s="205">
        <f>J29+J41+J17</f>
        <v>0</v>
      </c>
      <c r="K43" s="126"/>
      <c r="L43" s="127"/>
      <c r="M43" s="126"/>
      <c r="N43" s="126"/>
      <c r="O43" s="128"/>
    </row>
    <row r="44" spans="1:15" s="7" customFormat="1" ht="18.75" hidden="1" x14ac:dyDescent="0.35">
      <c r="A44" s="161"/>
      <c r="B44" s="162"/>
      <c r="C44" s="37"/>
      <c r="D44" s="196"/>
      <c r="E44" s="196"/>
      <c r="F44" s="202"/>
      <c r="G44" s="196"/>
      <c r="H44" s="196"/>
      <c r="I44" s="196"/>
      <c r="J44" s="197"/>
      <c r="K44" s="126"/>
      <c r="L44" s="127"/>
      <c r="M44" s="126"/>
      <c r="N44" s="126"/>
      <c r="O44" s="128"/>
    </row>
    <row r="45" spans="1:15" s="90" customFormat="1" x14ac:dyDescent="0.3">
      <c r="A45" s="273" t="s">
        <v>5</v>
      </c>
      <c r="B45" s="274"/>
      <c r="C45" s="274"/>
      <c r="D45" s="148"/>
      <c r="E45" s="148"/>
      <c r="F45" s="187"/>
      <c r="G45" s="148"/>
      <c r="H45" s="148"/>
      <c r="I45" s="148"/>
      <c r="J45" s="149"/>
      <c r="K45" s="122"/>
      <c r="L45" s="122"/>
      <c r="M45" s="121"/>
      <c r="N45" s="121"/>
      <c r="O45" s="121"/>
    </row>
    <row r="46" spans="1:15" s="91" customFormat="1" x14ac:dyDescent="0.3">
      <c r="A46" s="150"/>
      <c r="B46" s="159"/>
      <c r="C46" s="129"/>
      <c r="D46" s="196"/>
      <c r="E46" s="196"/>
      <c r="F46" s="202"/>
      <c r="G46" s="196"/>
      <c r="H46" s="196"/>
      <c r="I46" s="196"/>
      <c r="J46" s="197"/>
      <c r="K46" s="156"/>
      <c r="L46" s="160"/>
      <c r="M46" s="156"/>
      <c r="N46" s="156"/>
      <c r="O46" s="157"/>
    </row>
    <row r="47" spans="1:15" s="94" customFormat="1" ht="18.75" x14ac:dyDescent="0.35">
      <c r="A47" s="161"/>
      <c r="B47" s="162"/>
      <c r="C47" s="37" t="s">
        <v>58</v>
      </c>
      <c r="D47" s="203"/>
      <c r="E47" s="203"/>
      <c r="F47" s="204"/>
      <c r="G47" s="203"/>
      <c r="H47" s="203">
        <v>0</v>
      </c>
      <c r="I47" s="203">
        <v>0</v>
      </c>
      <c r="J47" s="205">
        <v>0</v>
      </c>
      <c r="K47" s="126"/>
      <c r="L47" s="127"/>
      <c r="M47" s="126"/>
      <c r="N47" s="126"/>
      <c r="O47" s="128"/>
    </row>
    <row r="48" spans="1:15" s="94" customFormat="1" ht="18.75" x14ac:dyDescent="0.35">
      <c r="A48" s="161"/>
      <c r="B48" s="162"/>
      <c r="C48" s="37"/>
      <c r="D48" s="196"/>
      <c r="E48" s="196"/>
      <c r="F48" s="202"/>
      <c r="G48" s="196"/>
      <c r="H48" s="196"/>
      <c r="I48" s="196"/>
      <c r="J48" s="197"/>
      <c r="K48" s="126"/>
      <c r="L48" s="127"/>
      <c r="M48" s="126"/>
      <c r="N48" s="126"/>
      <c r="O48" s="128"/>
    </row>
    <row r="49" spans="1:15" s="4" customFormat="1" x14ac:dyDescent="0.3">
      <c r="A49" s="273" t="s">
        <v>59</v>
      </c>
      <c r="B49" s="274"/>
      <c r="C49" s="274"/>
      <c r="D49" s="148"/>
      <c r="E49" s="163"/>
      <c r="F49" s="189"/>
      <c r="G49" s="163"/>
      <c r="H49" s="163"/>
      <c r="I49" s="163"/>
      <c r="J49" s="149"/>
      <c r="K49" s="129"/>
      <c r="L49" s="129"/>
      <c r="M49" s="151"/>
      <c r="N49" s="151"/>
      <c r="O49" s="151"/>
    </row>
    <row r="50" spans="1:15" s="6" customFormat="1" x14ac:dyDescent="0.3">
      <c r="A50" s="150" t="s">
        <v>727</v>
      </c>
      <c r="B50" s="159"/>
      <c r="C50" s="103"/>
      <c r="D50" s="193"/>
      <c r="E50" s="193"/>
      <c r="F50" s="194"/>
      <c r="G50" s="193"/>
      <c r="H50" s="193"/>
      <c r="I50" s="193"/>
      <c r="J50" s="201"/>
      <c r="K50" s="156"/>
      <c r="L50" s="124"/>
      <c r="M50" s="159"/>
      <c r="N50" s="123"/>
      <c r="O50" s="125"/>
    </row>
    <row r="51" spans="1:15" s="4" customFormat="1" x14ac:dyDescent="0.3">
      <c r="A51" s="155"/>
      <c r="B51" s="182" t="s">
        <v>728</v>
      </c>
      <c r="C51" s="182" t="s">
        <v>729</v>
      </c>
      <c r="D51" s="191" t="s">
        <v>730</v>
      </c>
      <c r="E51" s="191">
        <v>75</v>
      </c>
      <c r="F51" s="192">
        <v>2</v>
      </c>
      <c r="G51" s="191">
        <f>E51*F51</f>
        <v>150</v>
      </c>
      <c r="H51" s="191">
        <f>G51*1.13</f>
        <v>169.49999999999997</v>
      </c>
      <c r="I51" s="191">
        <v>237.62</v>
      </c>
      <c r="J51" s="200">
        <v>237.62</v>
      </c>
      <c r="K51" s="151"/>
      <c r="L51" s="160"/>
      <c r="M51" s="151"/>
      <c r="N51" s="157"/>
      <c r="O51" s="151"/>
    </row>
    <row r="52" spans="1:15" s="4" customFormat="1" x14ac:dyDescent="0.3">
      <c r="A52" s="155"/>
      <c r="B52" s="103" t="s">
        <v>731</v>
      </c>
      <c r="C52" s="103" t="s">
        <v>732</v>
      </c>
      <c r="D52" s="193" t="s">
        <v>730</v>
      </c>
      <c r="E52" s="193">
        <f>40</f>
        <v>40</v>
      </c>
      <c r="F52" s="194">
        <v>2</v>
      </c>
      <c r="G52" s="193">
        <f>E52*F52</f>
        <v>80</v>
      </c>
      <c r="H52" s="193">
        <f>G52*1.13</f>
        <v>90.399999999999991</v>
      </c>
      <c r="I52" s="193"/>
      <c r="J52" s="201"/>
      <c r="K52" s="151"/>
      <c r="L52" s="160"/>
      <c r="M52" s="151"/>
      <c r="N52" s="157"/>
      <c r="O52" s="151"/>
    </row>
    <row r="53" spans="1:15" s="4" customFormat="1" x14ac:dyDescent="0.3">
      <c r="A53" s="155"/>
      <c r="B53" s="182" t="s">
        <v>733</v>
      </c>
      <c r="C53" s="182" t="s">
        <v>734</v>
      </c>
      <c r="D53" s="182" t="s">
        <v>735</v>
      </c>
      <c r="E53" s="191">
        <v>0.05</v>
      </c>
      <c r="F53" s="192">
        <f>70*2</f>
        <v>140</v>
      </c>
      <c r="G53" s="191">
        <f>E53*F53</f>
        <v>7</v>
      </c>
      <c r="H53" s="191">
        <f>G53*1.13</f>
        <v>7.9099999999999993</v>
      </c>
      <c r="I53" s="191"/>
      <c r="J53" s="200"/>
      <c r="K53" s="151"/>
      <c r="L53" s="160"/>
      <c r="M53" s="151"/>
      <c r="N53" s="157"/>
      <c r="O53" s="151"/>
    </row>
    <row r="54" spans="1:15" s="4" customFormat="1" x14ac:dyDescent="0.3">
      <c r="A54" s="155"/>
      <c r="B54" s="103"/>
      <c r="C54" s="104" t="s">
        <v>736</v>
      </c>
      <c r="D54" s="193"/>
      <c r="E54" s="193"/>
      <c r="F54" s="194"/>
      <c r="G54" s="193"/>
      <c r="H54" s="193"/>
      <c r="I54" s="193">
        <v>54.27</v>
      </c>
      <c r="J54" s="201">
        <v>54.27</v>
      </c>
      <c r="K54" s="151"/>
      <c r="L54" s="160"/>
      <c r="M54" s="151"/>
      <c r="N54" s="157"/>
      <c r="O54" s="151"/>
    </row>
    <row r="55" spans="1:15" s="151" customFormat="1" x14ac:dyDescent="0.3">
      <c r="A55" s="155" t="s">
        <v>362</v>
      </c>
      <c r="B55" s="103"/>
      <c r="C55" s="104" t="s">
        <v>1553</v>
      </c>
      <c r="D55" s="193"/>
      <c r="E55" s="193"/>
      <c r="F55" s="194"/>
      <c r="G55" s="193"/>
      <c r="H55" s="193"/>
      <c r="I55" s="193">
        <v>10.19</v>
      </c>
      <c r="J55" s="201"/>
      <c r="L55" s="160"/>
      <c r="N55" s="157"/>
    </row>
    <row r="56" spans="1:15" s="4" customFormat="1" x14ac:dyDescent="0.3">
      <c r="A56" s="155"/>
      <c r="B56" s="158" t="s">
        <v>737</v>
      </c>
      <c r="C56" s="38"/>
      <c r="D56" s="179"/>
      <c r="E56" s="179"/>
      <c r="F56" s="184"/>
      <c r="G56" s="179"/>
      <c r="H56" s="179">
        <f>SUM(H50:H54)</f>
        <v>267.81</v>
      </c>
      <c r="I56" s="179">
        <f>SUM(I50:I55)</f>
        <v>302.08</v>
      </c>
      <c r="J56" s="180">
        <f>SUM(J50:J54)</f>
        <v>291.89</v>
      </c>
      <c r="K56" s="151"/>
      <c r="L56" s="160"/>
      <c r="M56" s="151"/>
      <c r="N56" s="157"/>
      <c r="O56" s="151"/>
    </row>
    <row r="57" spans="1:15" s="4" customFormat="1" x14ac:dyDescent="0.3">
      <c r="A57" s="155"/>
      <c r="B57" s="151"/>
      <c r="C57" s="104"/>
      <c r="D57" s="193"/>
      <c r="E57" s="193"/>
      <c r="F57" s="194"/>
      <c r="G57" s="193"/>
      <c r="H57" s="193"/>
      <c r="I57" s="193"/>
      <c r="J57" s="201"/>
      <c r="K57" s="156"/>
      <c r="L57" s="160"/>
      <c r="M57" s="151"/>
      <c r="N57" s="157"/>
      <c r="O57" s="157"/>
    </row>
    <row r="58" spans="1:15" s="9" customFormat="1" ht="18.75" x14ac:dyDescent="0.35">
      <c r="A58" s="165"/>
      <c r="B58" s="166"/>
      <c r="C58" s="37" t="s">
        <v>98</v>
      </c>
      <c r="D58" s="203"/>
      <c r="E58" s="203"/>
      <c r="F58" s="204"/>
      <c r="G58" s="203"/>
      <c r="H58" s="203">
        <f>H56</f>
        <v>267.81</v>
      </c>
      <c r="I58" s="203">
        <f>I56</f>
        <v>302.08</v>
      </c>
      <c r="J58" s="205">
        <f>J56</f>
        <v>291.89</v>
      </c>
      <c r="K58" s="130"/>
      <c r="L58" s="131"/>
      <c r="M58" s="130"/>
      <c r="N58" s="130"/>
      <c r="O58" s="132"/>
    </row>
    <row r="59" spans="1:15" s="9" customFormat="1" ht="18.75" x14ac:dyDescent="0.35">
      <c r="A59" s="165"/>
      <c r="B59" s="166"/>
      <c r="C59" s="37"/>
      <c r="D59" s="203"/>
      <c r="E59" s="203"/>
      <c r="F59" s="204"/>
      <c r="G59" s="203"/>
      <c r="H59" s="203"/>
      <c r="I59" s="203"/>
      <c r="J59" s="205"/>
      <c r="K59" s="130"/>
      <c r="L59" s="131"/>
      <c r="M59" s="130"/>
      <c r="N59" s="130"/>
      <c r="O59" s="132"/>
    </row>
    <row r="60" spans="1:15" s="11" customFormat="1" ht="20.25" x14ac:dyDescent="0.35">
      <c r="A60" s="275" t="s">
        <v>99</v>
      </c>
      <c r="B60" s="276"/>
      <c r="C60" s="276"/>
      <c r="D60" s="167"/>
      <c r="E60" s="167"/>
      <c r="F60" s="190"/>
      <c r="G60" s="167"/>
      <c r="H60" s="167"/>
      <c r="I60" s="167"/>
      <c r="J60" s="168"/>
      <c r="K60" s="136"/>
      <c r="L60" s="136"/>
      <c r="M60" s="133"/>
      <c r="N60" s="133"/>
      <c r="O60" s="133"/>
    </row>
    <row r="61" spans="1:15" s="13" customFormat="1" ht="20.25" x14ac:dyDescent="0.35">
      <c r="A61" s="175"/>
      <c r="B61" s="169" t="s">
        <v>100</v>
      </c>
      <c r="C61" s="214"/>
      <c r="D61" s="206"/>
      <c r="E61" s="206"/>
      <c r="F61" s="206"/>
      <c r="G61" s="206"/>
      <c r="H61" s="206">
        <f>H43</f>
        <v>0</v>
      </c>
      <c r="I61" s="206">
        <f>I43</f>
        <v>0</v>
      </c>
      <c r="J61" s="118">
        <f>J43</f>
        <v>0</v>
      </c>
      <c r="K61" s="170"/>
      <c r="L61" s="170"/>
      <c r="M61" s="170"/>
      <c r="N61" s="170"/>
      <c r="O61" s="170"/>
    </row>
    <row r="62" spans="1:15" s="13" customFormat="1" ht="20.25" x14ac:dyDescent="0.35">
      <c r="A62" s="175"/>
      <c r="B62" s="170" t="s">
        <v>101</v>
      </c>
      <c r="C62" s="136"/>
      <c r="D62" s="207"/>
      <c r="E62" s="207"/>
      <c r="F62" s="207"/>
      <c r="G62" s="207"/>
      <c r="H62" s="207">
        <f>H58</f>
        <v>267.81</v>
      </c>
      <c r="I62" s="207">
        <f>I58</f>
        <v>302.08</v>
      </c>
      <c r="J62" s="119">
        <f>J58</f>
        <v>291.89</v>
      </c>
      <c r="K62" s="170"/>
      <c r="L62" s="170"/>
      <c r="M62" s="170"/>
      <c r="N62" s="170"/>
      <c r="O62" s="170"/>
    </row>
    <row r="63" spans="1:15" s="13" customFormat="1" ht="20.25" x14ac:dyDescent="0.35">
      <c r="A63" s="208"/>
      <c r="B63" s="171" t="s">
        <v>102</v>
      </c>
      <c r="C63" s="215"/>
      <c r="D63" s="209"/>
      <c r="E63" s="209"/>
      <c r="F63" s="209"/>
      <c r="G63" s="209"/>
      <c r="H63" s="209">
        <f>H61-H62</f>
        <v>-267.81</v>
      </c>
      <c r="I63" s="209">
        <f>I61-I62</f>
        <v>-302.08</v>
      </c>
      <c r="J63" s="120">
        <f>J61-J62</f>
        <v>-291.89</v>
      </c>
      <c r="K63" s="170"/>
      <c r="L63" s="170"/>
      <c r="M63" s="170"/>
      <c r="N63" s="170"/>
      <c r="O63" s="170"/>
    </row>
    <row r="64" spans="1:15" s="4" customFormat="1" x14ac:dyDescent="0.3">
      <c r="A64" s="134"/>
      <c r="B64" s="134"/>
      <c r="C64" s="42"/>
      <c r="D64" s="135"/>
      <c r="E64" s="152"/>
      <c r="F64" s="188"/>
      <c r="G64" s="152"/>
      <c r="H64" s="152"/>
      <c r="I64" s="152"/>
      <c r="J64" s="152"/>
      <c r="K64" s="151"/>
      <c r="L64" s="151"/>
      <c r="M64" s="151"/>
      <c r="N64" s="151"/>
      <c r="O64" s="151"/>
    </row>
  </sheetData>
  <mergeCells count="7">
    <mergeCell ref="A60:C60"/>
    <mergeCell ref="D1:J4"/>
    <mergeCell ref="A5:C5"/>
    <mergeCell ref="D5:E5"/>
    <mergeCell ref="A8:C8"/>
    <mergeCell ref="A49:C49"/>
    <mergeCell ref="A45:C45"/>
  </mergeCells>
  <pageMargins left="0" right="0" top="0" bottom="0" header="0" footer="0"/>
  <pageSetup scale="48" fitToHeight="0" orientation="landscape" horizontalDpi="4294967292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2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V53" sqref="V53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39.7109375" style="17" bestFit="1" customWidth="1"/>
    <col min="5" max="5" width="12" style="5" bestFit="1" customWidth="1"/>
    <col min="6" max="6" width="10.85546875" style="22" bestFit="1" customWidth="1"/>
    <col min="7" max="7" width="17.42578125" style="5" customWidth="1"/>
    <col min="8" max="8" width="18.140625" style="5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x14ac:dyDescent="0.3">
      <c r="A1" s="212"/>
      <c r="B1" s="213"/>
      <c r="C1" s="31"/>
      <c r="D1" s="262" t="s">
        <v>738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90" customFormat="1" x14ac:dyDescent="0.3">
      <c r="A9" s="105"/>
      <c r="B9" s="106"/>
      <c r="C9" s="129"/>
      <c r="D9" s="196"/>
      <c r="E9" s="196"/>
      <c r="F9" s="202"/>
      <c r="G9" s="196"/>
      <c r="H9" s="196"/>
      <c r="I9" s="196"/>
      <c r="J9" s="197"/>
      <c r="K9" s="122"/>
      <c r="L9" s="122"/>
      <c r="M9" s="121"/>
      <c r="N9" s="121"/>
      <c r="O9" s="121"/>
    </row>
    <row r="10" spans="1:15" s="7" customFormat="1" ht="18.75" x14ac:dyDescent="0.35">
      <c r="A10" s="161"/>
      <c r="B10" s="162"/>
      <c r="C10" s="37" t="s">
        <v>58</v>
      </c>
      <c r="D10" s="203"/>
      <c r="E10" s="203"/>
      <c r="F10" s="204"/>
      <c r="G10" s="203"/>
      <c r="H10" s="203">
        <v>0</v>
      </c>
      <c r="I10" s="203">
        <v>0</v>
      </c>
      <c r="J10" s="205">
        <v>0</v>
      </c>
      <c r="K10" s="126"/>
      <c r="L10" s="127"/>
      <c r="M10" s="126"/>
      <c r="N10" s="126"/>
      <c r="O10" s="128"/>
    </row>
    <row r="11" spans="1:15" s="7" customFormat="1" ht="18.75" x14ac:dyDescent="0.35">
      <c r="A11" s="161"/>
      <c r="B11" s="162"/>
      <c r="C11" s="37"/>
      <c r="D11" s="196"/>
      <c r="E11" s="196"/>
      <c r="F11" s="202"/>
      <c r="G11" s="196"/>
      <c r="H11" s="196"/>
      <c r="I11" s="196"/>
      <c r="J11" s="197"/>
      <c r="K11" s="126"/>
      <c r="L11" s="127"/>
      <c r="M11" s="126"/>
      <c r="N11" s="126"/>
      <c r="O11" s="128"/>
    </row>
    <row r="12" spans="1:15" s="4" customFormat="1" x14ac:dyDescent="0.3">
      <c r="A12" s="273" t="s">
        <v>59</v>
      </c>
      <c r="B12" s="274"/>
      <c r="C12" s="274"/>
      <c r="D12" s="148"/>
      <c r="E12" s="163"/>
      <c r="F12" s="189"/>
      <c r="G12" s="163"/>
      <c r="H12" s="163"/>
      <c r="I12" s="163"/>
      <c r="J12" s="149"/>
      <c r="K12" s="129"/>
      <c r="L12" s="129"/>
      <c r="M12" s="151"/>
      <c r="N12" s="151"/>
      <c r="O12" s="151"/>
    </row>
    <row r="13" spans="1:15" s="6" customFormat="1" x14ac:dyDescent="0.3">
      <c r="A13" s="150" t="s">
        <v>739</v>
      </c>
      <c r="B13" s="159"/>
      <c r="C13" s="103"/>
      <c r="D13" s="193"/>
      <c r="E13" s="193"/>
      <c r="F13" s="194"/>
      <c r="G13" s="193"/>
      <c r="H13" s="193"/>
      <c r="I13" s="193"/>
      <c r="J13" s="201"/>
      <c r="K13" s="156"/>
      <c r="L13" s="124"/>
      <c r="M13" s="159"/>
      <c r="N13" s="123"/>
      <c r="O13" s="125"/>
    </row>
    <row r="14" spans="1:15" s="4" customFormat="1" x14ac:dyDescent="0.3">
      <c r="A14" s="155"/>
      <c r="B14" s="182" t="s">
        <v>740</v>
      </c>
      <c r="C14" s="102" t="s">
        <v>741</v>
      </c>
      <c r="D14" s="191" t="s">
        <v>742</v>
      </c>
      <c r="E14" s="191">
        <v>165.95</v>
      </c>
      <c r="F14" s="192">
        <v>1</v>
      </c>
      <c r="G14" s="191">
        <f>F14*E14</f>
        <v>165.95</v>
      </c>
      <c r="H14" s="191">
        <f>G14*1.13</f>
        <v>187.52349999999996</v>
      </c>
      <c r="I14" s="191"/>
      <c r="J14" s="200"/>
      <c r="K14" s="151"/>
      <c r="L14" s="160"/>
      <c r="M14" s="151"/>
      <c r="N14" s="157"/>
      <c r="O14" s="151"/>
    </row>
    <row r="15" spans="1:15" s="151" customFormat="1" x14ac:dyDescent="0.3">
      <c r="A15" s="155"/>
      <c r="B15" s="103" t="s">
        <v>743</v>
      </c>
      <c r="C15" s="104" t="s">
        <v>411</v>
      </c>
      <c r="D15" s="193" t="s">
        <v>744</v>
      </c>
      <c r="E15" s="193">
        <v>0.5</v>
      </c>
      <c r="F15" s="194">
        <v>40</v>
      </c>
      <c r="G15" s="193">
        <f>E15*F15</f>
        <v>20</v>
      </c>
      <c r="H15" s="193">
        <f>G15*1.13</f>
        <v>22.599999999999998</v>
      </c>
      <c r="I15" s="193"/>
      <c r="J15" s="201"/>
      <c r="L15" s="160"/>
      <c r="N15" s="157"/>
    </row>
    <row r="16" spans="1:15" s="4" customFormat="1" x14ac:dyDescent="0.3">
      <c r="A16" s="155"/>
      <c r="B16" s="182"/>
      <c r="C16" s="102"/>
      <c r="D16" s="191"/>
      <c r="E16" s="191"/>
      <c r="F16" s="192"/>
      <c r="G16" s="191"/>
      <c r="H16" s="191"/>
      <c r="I16" s="191"/>
      <c r="J16" s="200"/>
      <c r="K16" s="151"/>
      <c r="L16" s="160"/>
      <c r="M16" s="151"/>
      <c r="N16" s="157"/>
      <c r="O16" s="151"/>
    </row>
    <row r="17" spans="1:15" s="4" customFormat="1" x14ac:dyDescent="0.3">
      <c r="A17" s="155"/>
      <c r="B17" s="236" t="s">
        <v>745</v>
      </c>
      <c r="C17" s="38"/>
      <c r="D17" s="179"/>
      <c r="E17" s="179"/>
      <c r="F17" s="184"/>
      <c r="G17" s="179"/>
      <c r="H17" s="179">
        <f>SUM(H13:H15)</f>
        <v>210.12349999999995</v>
      </c>
      <c r="I17" s="179">
        <f>SUM(I13:I15)</f>
        <v>0</v>
      </c>
      <c r="J17" s="180">
        <f>SUM(J13:J15)</f>
        <v>0</v>
      </c>
      <c r="K17" s="151"/>
      <c r="L17" s="160"/>
      <c r="M17" s="151"/>
      <c r="N17" s="157"/>
      <c r="O17" s="151"/>
    </row>
    <row r="18" spans="1:15" s="4" customFormat="1" x14ac:dyDescent="0.3">
      <c r="A18" s="150"/>
      <c r="B18" s="103"/>
      <c r="C18" s="129"/>
      <c r="D18" s="196"/>
      <c r="E18" s="196"/>
      <c r="F18" s="202"/>
      <c r="G18" s="196"/>
      <c r="H18" s="196"/>
      <c r="I18" s="196"/>
      <c r="J18" s="197"/>
      <c r="K18" s="156"/>
      <c r="L18" s="160"/>
      <c r="M18" s="151"/>
      <c r="N18" s="157"/>
      <c r="O18" s="157"/>
    </row>
    <row r="19" spans="1:15" s="4" customFormat="1" x14ac:dyDescent="0.3">
      <c r="A19" s="150" t="s">
        <v>746</v>
      </c>
      <c r="B19" s="103"/>
      <c r="C19" s="103"/>
      <c r="D19" s="193"/>
      <c r="E19" s="193"/>
      <c r="F19" s="194"/>
      <c r="G19" s="193"/>
      <c r="H19" s="193"/>
      <c r="I19" s="193"/>
      <c r="J19" s="201"/>
      <c r="K19" s="156"/>
      <c r="L19" s="160"/>
      <c r="M19" s="151"/>
      <c r="N19" s="157"/>
      <c r="O19" s="157"/>
    </row>
    <row r="20" spans="1:15" s="4" customFormat="1" x14ac:dyDescent="0.3">
      <c r="A20" s="164"/>
      <c r="B20" s="182" t="s">
        <v>747</v>
      </c>
      <c r="C20" s="102" t="s">
        <v>741</v>
      </c>
      <c r="D20" s="191" t="s">
        <v>742</v>
      </c>
      <c r="E20" s="191">
        <v>165.95</v>
      </c>
      <c r="F20" s="192">
        <v>1</v>
      </c>
      <c r="G20" s="191">
        <f>F20*E20</f>
        <v>165.95</v>
      </c>
      <c r="H20" s="191">
        <f>G20*1.13</f>
        <v>187.52349999999996</v>
      </c>
      <c r="I20" s="191"/>
      <c r="J20" s="200"/>
      <c r="K20" s="156"/>
      <c r="L20" s="160"/>
      <c r="M20" s="151"/>
      <c r="N20" s="157"/>
      <c r="O20" s="157"/>
    </row>
    <row r="21" spans="1:15" s="151" customFormat="1" x14ac:dyDescent="0.3">
      <c r="A21" s="164"/>
      <c r="B21" s="103" t="s">
        <v>748</v>
      </c>
      <c r="C21" s="104" t="s">
        <v>411</v>
      </c>
      <c r="D21" s="193" t="s">
        <v>744</v>
      </c>
      <c r="E21" s="193">
        <v>0.5</v>
      </c>
      <c r="F21" s="194">
        <v>40</v>
      </c>
      <c r="G21" s="193">
        <f>E21*F21</f>
        <v>20</v>
      </c>
      <c r="H21" s="193">
        <f>G21*1.13</f>
        <v>22.599999999999998</v>
      </c>
      <c r="I21" s="193"/>
      <c r="J21" s="201"/>
      <c r="K21" s="156"/>
      <c r="L21" s="160"/>
      <c r="N21" s="157"/>
      <c r="O21" s="157"/>
    </row>
    <row r="22" spans="1:15" s="4" customFormat="1" x14ac:dyDescent="0.3">
      <c r="A22" s="155"/>
      <c r="B22" s="182"/>
      <c r="C22" s="182"/>
      <c r="D22" s="191"/>
      <c r="E22" s="191"/>
      <c r="F22" s="192"/>
      <c r="G22" s="191"/>
      <c r="H22" s="191"/>
      <c r="I22" s="191"/>
      <c r="J22" s="200"/>
      <c r="K22" s="156"/>
      <c r="L22" s="151"/>
      <c r="M22" s="151"/>
      <c r="N22" s="151"/>
      <c r="O22" s="151"/>
    </row>
    <row r="23" spans="1:15" s="4" customFormat="1" x14ac:dyDescent="0.3">
      <c r="A23" s="155"/>
      <c r="B23" s="236" t="s">
        <v>749</v>
      </c>
      <c r="C23" s="36"/>
      <c r="D23" s="179"/>
      <c r="E23" s="179"/>
      <c r="F23" s="184"/>
      <c r="G23" s="179"/>
      <c r="H23" s="179">
        <f>SUM(H20:H22)</f>
        <v>210.12349999999995</v>
      </c>
      <c r="I23" s="179">
        <f>SUM(I20:I22)</f>
        <v>0</v>
      </c>
      <c r="J23" s="180">
        <f>SUM(J20:J22)</f>
        <v>0</v>
      </c>
      <c r="K23" s="156"/>
      <c r="L23" s="151"/>
      <c r="M23" s="151"/>
      <c r="N23" s="151"/>
      <c r="O23" s="151"/>
    </row>
    <row r="24" spans="1:15" s="4" customFormat="1" x14ac:dyDescent="0.3">
      <c r="A24" s="155"/>
      <c r="B24" s="103"/>
      <c r="C24" s="103"/>
      <c r="D24" s="193"/>
      <c r="E24" s="193"/>
      <c r="F24" s="194"/>
      <c r="G24" s="193"/>
      <c r="H24" s="193"/>
      <c r="I24" s="193"/>
      <c r="J24" s="201"/>
      <c r="K24" s="156"/>
      <c r="L24" s="160"/>
      <c r="M24" s="151"/>
      <c r="N24" s="157"/>
      <c r="O24" s="157"/>
    </row>
    <row r="25" spans="1:15" s="4" customFormat="1" x14ac:dyDescent="0.3">
      <c r="A25" s="150" t="s">
        <v>750</v>
      </c>
      <c r="B25" s="103"/>
      <c r="C25" s="103"/>
      <c r="D25" s="193"/>
      <c r="E25" s="193"/>
      <c r="F25" s="194"/>
      <c r="G25" s="193"/>
      <c r="H25" s="193"/>
      <c r="I25" s="193"/>
      <c r="J25" s="201"/>
      <c r="K25" s="156"/>
      <c r="L25" s="160"/>
      <c r="M25" s="151"/>
      <c r="N25" s="157"/>
      <c r="O25" s="157"/>
    </row>
    <row r="26" spans="1:15" s="4" customFormat="1" x14ac:dyDescent="0.3">
      <c r="A26" s="155"/>
      <c r="B26" s="182" t="s">
        <v>751</v>
      </c>
      <c r="C26" s="102" t="s">
        <v>752</v>
      </c>
      <c r="D26" s="191" t="s">
        <v>753</v>
      </c>
      <c r="E26" s="191">
        <v>40</v>
      </c>
      <c r="F26" s="192">
        <v>6</v>
      </c>
      <c r="G26" s="191">
        <f>E26*F26</f>
        <v>240</v>
      </c>
      <c r="H26" s="191">
        <f>G26*1.13</f>
        <v>271.2</v>
      </c>
      <c r="I26" s="191">
        <v>205.8</v>
      </c>
      <c r="J26" s="200">
        <v>205.8</v>
      </c>
      <c r="K26" s="156"/>
      <c r="L26" s="160"/>
      <c r="M26" s="151"/>
      <c r="N26" s="157"/>
      <c r="O26" s="157"/>
    </row>
    <row r="27" spans="1:15" s="151" customFormat="1" x14ac:dyDescent="0.3">
      <c r="A27" s="164"/>
      <c r="B27" s="103" t="s">
        <v>754</v>
      </c>
      <c r="C27" s="104" t="s">
        <v>755</v>
      </c>
      <c r="D27" s="193" t="s">
        <v>756</v>
      </c>
      <c r="E27" s="193">
        <v>30</v>
      </c>
      <c r="F27" s="194">
        <v>22</v>
      </c>
      <c r="G27" s="193">
        <f>E27*F27</f>
        <v>660</v>
      </c>
      <c r="H27" s="193">
        <f>G27</f>
        <v>660</v>
      </c>
      <c r="I27" s="193">
        <v>563.55999999999995</v>
      </c>
      <c r="J27" s="201">
        <v>563.55999999999995</v>
      </c>
      <c r="K27" s="156"/>
      <c r="L27" s="160"/>
      <c r="N27" s="157"/>
      <c r="O27" s="157"/>
    </row>
    <row r="28" spans="1:15" s="151" customFormat="1" x14ac:dyDescent="0.3">
      <c r="A28" s="155"/>
      <c r="B28" s="182" t="s">
        <v>757</v>
      </c>
      <c r="C28" s="182" t="s">
        <v>758</v>
      </c>
      <c r="D28" s="191" t="s">
        <v>759</v>
      </c>
      <c r="E28" s="191">
        <v>300</v>
      </c>
      <c r="F28" s="192">
        <v>1</v>
      </c>
      <c r="G28" s="191">
        <f>E28*F28</f>
        <v>300</v>
      </c>
      <c r="H28" s="191">
        <f>G28</f>
        <v>300</v>
      </c>
      <c r="I28" s="191">
        <v>300</v>
      </c>
      <c r="J28" s="200">
        <v>300</v>
      </c>
      <c r="K28" s="156"/>
    </row>
    <row r="29" spans="1:15" s="4" customFormat="1" x14ac:dyDescent="0.3">
      <c r="A29" s="164" t="s">
        <v>362</v>
      </c>
      <c r="B29" s="103"/>
      <c r="C29" s="103" t="s">
        <v>1554</v>
      </c>
      <c r="D29" s="193" t="s">
        <v>1555</v>
      </c>
      <c r="E29" s="193"/>
      <c r="F29" s="194"/>
      <c r="G29" s="193"/>
      <c r="H29" s="193"/>
      <c r="I29" s="193"/>
      <c r="J29" s="201">
        <v>45.19</v>
      </c>
      <c r="K29" s="156"/>
      <c r="L29" s="160"/>
      <c r="M29" s="151"/>
      <c r="N29" s="157"/>
      <c r="O29" s="157"/>
    </row>
    <row r="30" spans="1:15" s="4" customFormat="1" x14ac:dyDescent="0.3">
      <c r="A30" s="155"/>
      <c r="B30" s="236" t="s">
        <v>760</v>
      </c>
      <c r="C30" s="36"/>
      <c r="D30" s="179"/>
      <c r="E30" s="179"/>
      <c r="F30" s="184"/>
      <c r="G30" s="179"/>
      <c r="H30" s="179">
        <f>SUM(H26:H29)</f>
        <v>1231.2</v>
      </c>
      <c r="I30" s="179">
        <f>SUM(I26:I29)</f>
        <v>1069.3599999999999</v>
      </c>
      <c r="J30" s="180">
        <f>SUM(J26:J29)</f>
        <v>1114.55</v>
      </c>
      <c r="K30" s="156"/>
      <c r="L30" s="160"/>
      <c r="M30" s="151"/>
      <c r="N30" s="157"/>
      <c r="O30" s="157"/>
    </row>
    <row r="31" spans="1:15" s="4" customFormat="1" x14ac:dyDescent="0.3">
      <c r="A31" s="155"/>
      <c r="B31" s="103"/>
      <c r="C31" s="129"/>
      <c r="D31" s="196"/>
      <c r="E31" s="196"/>
      <c r="F31" s="202"/>
      <c r="G31" s="196"/>
      <c r="H31" s="196"/>
      <c r="I31" s="196"/>
      <c r="J31" s="197"/>
      <c r="K31" s="156"/>
      <c r="L31" s="160"/>
      <c r="M31" s="151"/>
      <c r="N31" s="157"/>
      <c r="O31" s="157"/>
    </row>
    <row r="32" spans="1:15" s="4" customFormat="1" x14ac:dyDescent="0.3">
      <c r="A32" s="150" t="s">
        <v>761</v>
      </c>
      <c r="B32" s="103"/>
      <c r="C32" s="103"/>
      <c r="D32" s="193"/>
      <c r="E32" s="193"/>
      <c r="F32" s="194"/>
      <c r="G32" s="193"/>
      <c r="H32" s="193"/>
      <c r="I32" s="193"/>
      <c r="J32" s="201"/>
      <c r="K32" s="156"/>
      <c r="L32" s="151"/>
      <c r="M32" s="151"/>
      <c r="N32" s="151"/>
      <c r="O32" s="151"/>
    </row>
    <row r="33" spans="1:15" s="4" customFormat="1" x14ac:dyDescent="0.3">
      <c r="A33" s="150"/>
      <c r="B33" s="182" t="s">
        <v>762</v>
      </c>
      <c r="C33" s="182" t="s">
        <v>763</v>
      </c>
      <c r="D33" s="191" t="s">
        <v>764</v>
      </c>
      <c r="E33" s="191">
        <v>0.64</v>
      </c>
      <c r="F33" s="192">
        <v>100</v>
      </c>
      <c r="G33" s="191">
        <f t="shared" ref="G33:G39" si="0">E33*F33</f>
        <v>64</v>
      </c>
      <c r="H33" s="191">
        <f t="shared" ref="H33:H39" si="1">G33*1.13</f>
        <v>72.319999999999993</v>
      </c>
      <c r="I33" s="191"/>
      <c r="J33" s="200"/>
      <c r="K33" s="156"/>
      <c r="L33" s="151"/>
      <c r="M33" s="151"/>
      <c r="N33" s="151"/>
      <c r="O33" s="151"/>
    </row>
    <row r="34" spans="1:15" s="4" customFormat="1" x14ac:dyDescent="0.3">
      <c r="A34" s="150"/>
      <c r="B34" s="103" t="s">
        <v>765</v>
      </c>
      <c r="C34" s="103" t="s">
        <v>766</v>
      </c>
      <c r="D34" s="193" t="s">
        <v>767</v>
      </c>
      <c r="E34" s="193">
        <v>0.64</v>
      </c>
      <c r="F34" s="194">
        <v>4</v>
      </c>
      <c r="G34" s="193">
        <f t="shared" si="0"/>
        <v>2.56</v>
      </c>
      <c r="H34" s="193">
        <f t="shared" si="1"/>
        <v>2.8927999999999998</v>
      </c>
      <c r="I34" s="193"/>
      <c r="J34" s="201"/>
      <c r="K34" s="156"/>
      <c r="L34" s="151"/>
      <c r="M34" s="151"/>
      <c r="N34" s="151"/>
      <c r="O34" s="151"/>
    </row>
    <row r="35" spans="1:15" s="4" customFormat="1" x14ac:dyDescent="0.3">
      <c r="A35" s="150"/>
      <c r="B35" s="182" t="s">
        <v>768</v>
      </c>
      <c r="C35" s="182" t="s">
        <v>769</v>
      </c>
      <c r="D35" s="50" t="s">
        <v>770</v>
      </c>
      <c r="E35" s="191">
        <v>90</v>
      </c>
      <c r="F35" s="192">
        <v>1</v>
      </c>
      <c r="G35" s="191">
        <f t="shared" si="0"/>
        <v>90</v>
      </c>
      <c r="H35" s="191">
        <f t="shared" si="1"/>
        <v>101.69999999999999</v>
      </c>
      <c r="I35" s="191"/>
      <c r="J35" s="200"/>
      <c r="K35" s="156"/>
      <c r="L35" s="151"/>
      <c r="M35" s="151"/>
      <c r="N35" s="151"/>
      <c r="O35" s="151"/>
    </row>
    <row r="36" spans="1:15" s="4" customFormat="1" x14ac:dyDescent="0.3">
      <c r="A36" s="150"/>
      <c r="B36" s="103" t="s">
        <v>771</v>
      </c>
      <c r="C36" s="103" t="s">
        <v>772</v>
      </c>
      <c r="D36" s="193" t="s">
        <v>773</v>
      </c>
      <c r="E36" s="193">
        <v>5.51</v>
      </c>
      <c r="F36" s="194">
        <v>1</v>
      </c>
      <c r="G36" s="193">
        <f t="shared" si="0"/>
        <v>5.51</v>
      </c>
      <c r="H36" s="193">
        <f t="shared" si="1"/>
        <v>6.2262999999999993</v>
      </c>
      <c r="I36" s="193"/>
      <c r="J36" s="201"/>
      <c r="K36" s="156"/>
      <c r="L36" s="151"/>
      <c r="M36" s="151"/>
      <c r="N36" s="151"/>
      <c r="O36" s="151"/>
    </row>
    <row r="37" spans="1:15" s="4" customFormat="1" x14ac:dyDescent="0.3">
      <c r="A37" s="150"/>
      <c r="B37" s="182" t="s">
        <v>774</v>
      </c>
      <c r="C37" s="182" t="s">
        <v>775</v>
      </c>
      <c r="D37" s="191"/>
      <c r="E37" s="191">
        <v>0.79</v>
      </c>
      <c r="F37" s="192">
        <v>150</v>
      </c>
      <c r="G37" s="191">
        <f t="shared" si="0"/>
        <v>118.5</v>
      </c>
      <c r="H37" s="191">
        <f t="shared" si="1"/>
        <v>133.905</v>
      </c>
      <c r="I37" s="191"/>
      <c r="J37" s="200"/>
      <c r="K37" s="156"/>
      <c r="L37" s="151"/>
      <c r="M37" s="151"/>
      <c r="N37" s="151"/>
      <c r="O37" s="151"/>
    </row>
    <row r="38" spans="1:15" s="4" customFormat="1" x14ac:dyDescent="0.3">
      <c r="A38" s="150"/>
      <c r="B38" s="103" t="s">
        <v>776</v>
      </c>
      <c r="C38" s="103" t="s">
        <v>777</v>
      </c>
      <c r="D38" s="193" t="s">
        <v>778</v>
      </c>
      <c r="E38" s="193">
        <v>6.96</v>
      </c>
      <c r="F38" s="194">
        <v>3</v>
      </c>
      <c r="G38" s="193">
        <f t="shared" si="0"/>
        <v>20.88</v>
      </c>
      <c r="H38" s="193">
        <f t="shared" si="1"/>
        <v>23.594399999999997</v>
      </c>
      <c r="I38" s="193"/>
      <c r="J38" s="201"/>
      <c r="K38" s="156"/>
      <c r="L38" s="151"/>
      <c r="M38" s="151"/>
      <c r="N38" s="151"/>
      <c r="O38" s="151"/>
    </row>
    <row r="39" spans="1:15" s="4" customFormat="1" x14ac:dyDescent="0.3">
      <c r="A39" s="150"/>
      <c r="B39" s="182" t="s">
        <v>779</v>
      </c>
      <c r="C39" s="182" t="s">
        <v>780</v>
      </c>
      <c r="D39" s="191" t="s">
        <v>781</v>
      </c>
      <c r="E39" s="191">
        <v>329</v>
      </c>
      <c r="F39" s="192">
        <v>1</v>
      </c>
      <c r="G39" s="191">
        <f t="shared" si="0"/>
        <v>329</v>
      </c>
      <c r="H39" s="191">
        <f t="shared" si="1"/>
        <v>371.77</v>
      </c>
      <c r="I39" s="191">
        <v>338.04</v>
      </c>
      <c r="J39" s="200">
        <v>338.04</v>
      </c>
      <c r="K39" s="156"/>
      <c r="L39" s="151"/>
      <c r="M39" s="151"/>
      <c r="N39" s="151"/>
      <c r="O39" s="151"/>
    </row>
    <row r="40" spans="1:15" s="4" customFormat="1" x14ac:dyDescent="0.3">
      <c r="A40" s="150" t="s">
        <v>782</v>
      </c>
      <c r="B40" s="159" t="s">
        <v>783</v>
      </c>
      <c r="C40" s="103" t="s">
        <v>784</v>
      </c>
      <c r="D40" s="193"/>
      <c r="E40" s="193"/>
      <c r="F40" s="194"/>
      <c r="G40" s="193"/>
      <c r="H40" s="193"/>
      <c r="I40" s="193">
        <v>244.08</v>
      </c>
      <c r="J40" s="201">
        <v>244.08</v>
      </c>
      <c r="K40" s="156"/>
      <c r="L40" s="151"/>
      <c r="M40" s="151"/>
      <c r="N40" s="151"/>
      <c r="O40" s="151"/>
    </row>
    <row r="41" spans="1:15" s="4" customFormat="1" x14ac:dyDescent="0.3">
      <c r="A41" s="155"/>
      <c r="B41" s="158" t="s">
        <v>785</v>
      </c>
      <c r="C41" s="36"/>
      <c r="D41" s="179"/>
      <c r="E41" s="179"/>
      <c r="F41" s="184"/>
      <c r="G41" s="179"/>
      <c r="H41" s="179">
        <f>SUM(H33:H40)</f>
        <v>712.4085</v>
      </c>
      <c r="I41" s="179">
        <f>SUM(I33:I40)</f>
        <v>582.12</v>
      </c>
      <c r="J41" s="180">
        <f>SUM(J33:J40)</f>
        <v>582.12</v>
      </c>
      <c r="K41" s="156"/>
      <c r="L41" s="160"/>
      <c r="M41" s="151"/>
      <c r="N41" s="157"/>
      <c r="O41" s="157"/>
    </row>
    <row r="42" spans="1:15" s="4" customFormat="1" x14ac:dyDescent="0.3">
      <c r="A42" s="155"/>
      <c r="B42" s="159"/>
      <c r="C42" s="129"/>
      <c r="D42" s="196"/>
      <c r="E42" s="196"/>
      <c r="F42" s="202"/>
      <c r="G42" s="196"/>
      <c r="H42" s="196"/>
      <c r="I42" s="196"/>
      <c r="J42" s="197"/>
      <c r="K42" s="156"/>
      <c r="L42" s="160"/>
      <c r="M42" s="151"/>
      <c r="N42" s="157"/>
      <c r="O42" s="157"/>
    </row>
    <row r="43" spans="1:15" s="4" customFormat="1" x14ac:dyDescent="0.3">
      <c r="A43" s="150" t="s">
        <v>786</v>
      </c>
      <c r="B43" s="159"/>
      <c r="C43" s="103"/>
      <c r="D43" s="193"/>
      <c r="E43" s="193"/>
      <c r="F43" s="194"/>
      <c r="G43" s="193"/>
      <c r="H43" s="193"/>
      <c r="I43" s="193"/>
      <c r="J43" s="201"/>
      <c r="K43" s="156"/>
      <c r="L43" s="151"/>
      <c r="M43" s="151"/>
      <c r="N43" s="151"/>
      <c r="O43" s="151"/>
    </row>
    <row r="44" spans="1:15" s="4" customFormat="1" x14ac:dyDescent="0.3">
      <c r="A44" s="150"/>
      <c r="B44" s="182" t="s">
        <v>787</v>
      </c>
      <c r="C44" s="182" t="s">
        <v>788</v>
      </c>
      <c r="D44" s="50" t="s">
        <v>695</v>
      </c>
      <c r="E44" s="191">
        <v>70</v>
      </c>
      <c r="F44" s="192">
        <v>1</v>
      </c>
      <c r="G44" s="191">
        <f>E44*F44</f>
        <v>70</v>
      </c>
      <c r="H44" s="191">
        <f>G44*1.13</f>
        <v>79.099999999999994</v>
      </c>
      <c r="I44" s="191"/>
      <c r="J44" s="200">
        <v>160.46</v>
      </c>
      <c r="K44" s="156"/>
      <c r="L44" s="151"/>
      <c r="M44" s="151"/>
      <c r="N44" s="151"/>
      <c r="O44" s="151"/>
    </row>
    <row r="45" spans="1:15" s="151" customFormat="1" x14ac:dyDescent="0.3">
      <c r="A45" s="150"/>
      <c r="B45" s="103" t="s">
        <v>789</v>
      </c>
      <c r="C45" s="103" t="s">
        <v>790</v>
      </c>
      <c r="D45" s="70" t="s">
        <v>695</v>
      </c>
      <c r="E45" s="193">
        <v>60</v>
      </c>
      <c r="F45" s="194">
        <v>1</v>
      </c>
      <c r="G45" s="193">
        <f>E45*F45</f>
        <v>60</v>
      </c>
      <c r="H45" s="193">
        <f>G45*1.13</f>
        <v>67.8</v>
      </c>
      <c r="I45" s="193"/>
      <c r="J45" s="201"/>
      <c r="K45" s="156"/>
    </row>
    <row r="46" spans="1:15" s="151" customFormat="1" x14ac:dyDescent="0.3">
      <c r="A46" s="150"/>
      <c r="B46" s="182" t="s">
        <v>791</v>
      </c>
      <c r="C46" s="182" t="s">
        <v>792</v>
      </c>
      <c r="D46" s="50" t="s">
        <v>695</v>
      </c>
      <c r="E46" s="191">
        <v>40</v>
      </c>
      <c r="F46" s="192">
        <v>1</v>
      </c>
      <c r="G46" s="191">
        <f>E46*F46</f>
        <v>40</v>
      </c>
      <c r="H46" s="191">
        <f>G46*1.13</f>
        <v>45.199999999999996</v>
      </c>
      <c r="I46" s="191"/>
      <c r="J46" s="200"/>
      <c r="K46" s="156"/>
    </row>
    <row r="47" spans="1:15" s="151" customFormat="1" x14ac:dyDescent="0.3">
      <c r="A47" s="150"/>
      <c r="B47" s="103"/>
      <c r="C47" s="103"/>
      <c r="D47" s="193"/>
      <c r="E47" s="193"/>
      <c r="F47" s="194"/>
      <c r="G47" s="193"/>
      <c r="H47" s="193"/>
      <c r="I47" s="193"/>
      <c r="J47" s="201"/>
      <c r="K47" s="156"/>
    </row>
    <row r="48" spans="1:15" s="4" customFormat="1" x14ac:dyDescent="0.3">
      <c r="A48" s="155"/>
      <c r="B48" s="236" t="s">
        <v>793</v>
      </c>
      <c r="C48" s="36"/>
      <c r="D48" s="179"/>
      <c r="E48" s="179"/>
      <c r="F48" s="184"/>
      <c r="G48" s="179"/>
      <c r="H48" s="179">
        <f>SUM(H44:H47)</f>
        <v>192.09999999999997</v>
      </c>
      <c r="I48" s="179">
        <f>SUM(I44:I47)</f>
        <v>0</v>
      </c>
      <c r="J48" s="180">
        <f>SUM(J44:J47)</f>
        <v>160.46</v>
      </c>
      <c r="K48" s="156"/>
      <c r="L48" s="160"/>
      <c r="M48" s="151"/>
      <c r="N48" s="157"/>
      <c r="O48" s="157"/>
    </row>
    <row r="49" spans="1:15" s="151" customFormat="1" x14ac:dyDescent="0.3">
      <c r="A49" s="155"/>
      <c r="B49" s="103"/>
      <c r="C49" s="129"/>
      <c r="D49" s="196"/>
      <c r="E49" s="196"/>
      <c r="F49" s="202"/>
      <c r="G49" s="196"/>
      <c r="H49" s="196"/>
      <c r="I49" s="196"/>
      <c r="J49" s="197"/>
      <c r="K49" s="156"/>
      <c r="L49" s="160"/>
      <c r="N49" s="157"/>
      <c r="O49" s="157"/>
    </row>
    <row r="50" spans="1:15" s="151" customFormat="1" x14ac:dyDescent="0.3">
      <c r="A50" s="150" t="s">
        <v>794</v>
      </c>
      <c r="B50" s="103"/>
      <c r="C50" s="103"/>
      <c r="D50" s="193"/>
      <c r="E50" s="193"/>
      <c r="F50" s="194"/>
      <c r="G50" s="193"/>
      <c r="H50" s="193"/>
      <c r="I50" s="193"/>
      <c r="J50" s="201"/>
      <c r="K50" s="156"/>
    </row>
    <row r="51" spans="1:15" s="151" customFormat="1" x14ac:dyDescent="0.3">
      <c r="A51" s="150"/>
      <c r="B51" s="182" t="s">
        <v>795</v>
      </c>
      <c r="C51" s="182" t="s">
        <v>796</v>
      </c>
      <c r="D51" s="50" t="s">
        <v>797</v>
      </c>
      <c r="E51" s="191">
        <v>59.99</v>
      </c>
      <c r="F51" s="192">
        <v>1</v>
      </c>
      <c r="G51" s="191">
        <f>E51*F51</f>
        <v>59.99</v>
      </c>
      <c r="H51" s="191">
        <f>G51*1.13</f>
        <v>67.788699999999992</v>
      </c>
      <c r="I51" s="191">
        <v>178.73</v>
      </c>
      <c r="J51" s="200">
        <v>178.73</v>
      </c>
      <c r="K51" s="156"/>
    </row>
    <row r="52" spans="1:15" s="151" customFormat="1" x14ac:dyDescent="0.3">
      <c r="A52" s="150"/>
      <c r="B52" s="103" t="s">
        <v>798</v>
      </c>
      <c r="C52" s="103" t="s">
        <v>799</v>
      </c>
      <c r="D52" s="70" t="s">
        <v>800</v>
      </c>
      <c r="E52" s="193">
        <v>79.989999999999995</v>
      </c>
      <c r="F52" s="194">
        <v>1</v>
      </c>
      <c r="G52" s="193">
        <f>E52*F52</f>
        <v>79.989999999999995</v>
      </c>
      <c r="H52" s="193">
        <f>G52*1.13</f>
        <v>90.388699999999986</v>
      </c>
      <c r="I52" s="193"/>
      <c r="J52" s="201"/>
      <c r="K52" s="156"/>
    </row>
    <row r="53" spans="1:15" s="151" customFormat="1" x14ac:dyDescent="0.3">
      <c r="A53" s="150"/>
      <c r="B53" s="178"/>
      <c r="C53" s="182"/>
      <c r="D53" s="191"/>
      <c r="E53" s="191"/>
      <c r="F53" s="192"/>
      <c r="G53" s="191"/>
      <c r="H53" s="191"/>
      <c r="I53" s="191"/>
      <c r="J53" s="200"/>
      <c r="K53" s="156"/>
    </row>
    <row r="54" spans="1:15" s="151" customFormat="1" x14ac:dyDescent="0.3">
      <c r="A54" s="155"/>
      <c r="B54" s="158" t="s">
        <v>801</v>
      </c>
      <c r="C54" s="36"/>
      <c r="D54" s="179"/>
      <c r="E54" s="179"/>
      <c r="F54" s="184"/>
      <c r="G54" s="179"/>
      <c r="H54" s="179">
        <f>SUM(H51:H53)</f>
        <v>158.17739999999998</v>
      </c>
      <c r="I54" s="179">
        <f>SUM(I51:I53)</f>
        <v>178.73</v>
      </c>
      <c r="J54" s="180">
        <f>SUM(J51:J53)</f>
        <v>178.73</v>
      </c>
      <c r="K54" s="156"/>
      <c r="L54" s="160"/>
      <c r="N54" s="157"/>
      <c r="O54" s="157"/>
    </row>
    <row r="55" spans="1:15" s="4" customFormat="1" x14ac:dyDescent="0.3">
      <c r="A55" s="155"/>
      <c r="B55" s="151"/>
      <c r="C55" s="104"/>
      <c r="D55" s="193"/>
      <c r="E55" s="193"/>
      <c r="F55" s="194"/>
      <c r="G55" s="193"/>
      <c r="H55" s="193"/>
      <c r="I55" s="193"/>
      <c r="J55" s="201"/>
      <c r="K55" s="156"/>
      <c r="L55" s="160"/>
      <c r="M55" s="151"/>
      <c r="N55" s="157"/>
      <c r="O55" s="157"/>
    </row>
    <row r="56" spans="1:15" s="9" customFormat="1" ht="18.75" x14ac:dyDescent="0.35">
      <c r="A56" s="165"/>
      <c r="B56" s="166"/>
      <c r="C56" s="37" t="s">
        <v>98</v>
      </c>
      <c r="D56" s="203"/>
      <c r="E56" s="203"/>
      <c r="F56" s="204"/>
      <c r="G56" s="203"/>
      <c r="H56" s="203">
        <f>H48+H41+H30+H23+H17+H54</f>
        <v>2714.1329000000001</v>
      </c>
      <c r="I56" s="203">
        <f>I48+I41+I30+I23+I17+I54</f>
        <v>1830.21</v>
      </c>
      <c r="J56" s="205">
        <f>J48+J41+J30+J23+J17+J54</f>
        <v>2035.8600000000001</v>
      </c>
      <c r="K56" s="130"/>
      <c r="L56" s="131"/>
      <c r="M56" s="130"/>
      <c r="N56" s="130"/>
      <c r="O56" s="132"/>
    </row>
    <row r="57" spans="1:15" s="9" customFormat="1" ht="18.75" x14ac:dyDescent="0.35">
      <c r="A57" s="165"/>
      <c r="B57" s="166"/>
      <c r="C57" s="37"/>
      <c r="D57" s="203"/>
      <c r="E57" s="203"/>
      <c r="F57" s="204"/>
      <c r="G57" s="203"/>
      <c r="H57" s="203"/>
      <c r="I57" s="203"/>
      <c r="J57" s="205"/>
      <c r="K57" s="130"/>
      <c r="L57" s="131"/>
      <c r="M57" s="130"/>
      <c r="N57" s="130"/>
      <c r="O57" s="132"/>
    </row>
    <row r="58" spans="1:15" s="11" customFormat="1" ht="20.25" x14ac:dyDescent="0.35">
      <c r="A58" s="275" t="s">
        <v>99</v>
      </c>
      <c r="B58" s="276"/>
      <c r="C58" s="276"/>
      <c r="D58" s="167"/>
      <c r="E58" s="167"/>
      <c r="F58" s="190"/>
      <c r="G58" s="167"/>
      <c r="H58" s="167"/>
      <c r="I58" s="167"/>
      <c r="J58" s="168"/>
      <c r="K58" s="136"/>
      <c r="L58" s="136"/>
      <c r="M58" s="133"/>
      <c r="N58" s="133"/>
      <c r="O58" s="133"/>
    </row>
    <row r="59" spans="1:15" s="13" customFormat="1" ht="20.25" x14ac:dyDescent="0.35">
      <c r="A59" s="175"/>
      <c r="B59" s="169" t="s">
        <v>100</v>
      </c>
      <c r="C59" s="214"/>
      <c r="D59" s="206"/>
      <c r="E59" s="206"/>
      <c r="F59" s="206"/>
      <c r="G59" s="206"/>
      <c r="H59" s="206">
        <f>H10</f>
        <v>0</v>
      </c>
      <c r="I59" s="206">
        <f>I10</f>
        <v>0</v>
      </c>
      <c r="J59" s="118">
        <f>J10</f>
        <v>0</v>
      </c>
      <c r="K59" s="170"/>
      <c r="L59" s="170"/>
      <c r="M59" s="170"/>
      <c r="N59" s="170"/>
      <c r="O59" s="170"/>
    </row>
    <row r="60" spans="1:15" s="13" customFormat="1" ht="20.25" x14ac:dyDescent="0.35">
      <c r="A60" s="175"/>
      <c r="B60" s="170" t="s">
        <v>101</v>
      </c>
      <c r="C60" s="136"/>
      <c r="D60" s="207"/>
      <c r="E60" s="207"/>
      <c r="F60" s="207"/>
      <c r="G60" s="207"/>
      <c r="H60" s="207">
        <f>H56</f>
        <v>2714.1329000000001</v>
      </c>
      <c r="I60" s="207">
        <f>I56</f>
        <v>1830.21</v>
      </c>
      <c r="J60" s="119">
        <f>J56</f>
        <v>2035.8600000000001</v>
      </c>
      <c r="K60" s="170"/>
      <c r="L60" s="170"/>
      <c r="M60" s="170"/>
      <c r="N60" s="170"/>
      <c r="O60" s="170"/>
    </row>
    <row r="61" spans="1:15" s="13" customFormat="1" ht="20.25" x14ac:dyDescent="0.35">
      <c r="A61" s="208"/>
      <c r="B61" s="171" t="s">
        <v>102</v>
      </c>
      <c r="C61" s="215"/>
      <c r="D61" s="209"/>
      <c r="E61" s="209"/>
      <c r="F61" s="209"/>
      <c r="G61" s="209"/>
      <c r="H61" s="209">
        <f>H59-H60</f>
        <v>-2714.1329000000001</v>
      </c>
      <c r="I61" s="209">
        <f>I59-I60</f>
        <v>-1830.21</v>
      </c>
      <c r="J61" s="120">
        <f>J59-J60</f>
        <v>-2035.8600000000001</v>
      </c>
      <c r="K61" s="170"/>
      <c r="L61" s="170"/>
      <c r="M61" s="170"/>
      <c r="N61" s="170"/>
      <c r="O61" s="170"/>
    </row>
    <row r="62" spans="1:15" s="4" customFormat="1" x14ac:dyDescent="0.3">
      <c r="A62" s="134"/>
      <c r="B62" s="134"/>
      <c r="C62" s="42"/>
      <c r="D62" s="135"/>
      <c r="E62" s="152"/>
      <c r="F62" s="188"/>
      <c r="G62" s="152"/>
      <c r="H62" s="152"/>
      <c r="I62" s="152"/>
      <c r="J62" s="152"/>
      <c r="K62" s="151"/>
      <c r="L62" s="151"/>
      <c r="M62" s="151"/>
      <c r="N62" s="151"/>
      <c r="O62" s="151"/>
    </row>
  </sheetData>
  <mergeCells count="6">
    <mergeCell ref="A58:C58"/>
    <mergeCell ref="D1:J4"/>
    <mergeCell ref="A5:C5"/>
    <mergeCell ref="D5:E5"/>
    <mergeCell ref="A8:C8"/>
    <mergeCell ref="A12:C12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5"/>
  <sheetViews>
    <sheetView zoomScale="70" zoomScaleNormal="70" zoomScalePageLayoutView="70" workbookViewId="0">
      <pane xSplit="3" ySplit="6" topLeftCell="E25" activePane="bottomRight" state="frozen"/>
      <selection pane="topRight" activeCell="C1" sqref="C1"/>
      <selection pane="bottomLeft" activeCell="A4" sqref="A4"/>
      <selection pane="bottomRight" activeCell="J38" sqref="J38"/>
    </sheetView>
  </sheetViews>
  <sheetFormatPr defaultColWidth="8.85546875" defaultRowHeight="17.25" x14ac:dyDescent="0.3"/>
  <cols>
    <col min="1" max="2" width="13.85546875" style="15" customWidth="1"/>
    <col min="3" max="3" width="29.7109375" style="41" bestFit="1" customWidth="1"/>
    <col min="4" max="4" width="55.42578125" style="17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x14ac:dyDescent="0.3">
      <c r="A1" s="212"/>
      <c r="B1" s="213"/>
      <c r="C1" s="31"/>
      <c r="D1" s="262" t="s">
        <v>802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151" customFormat="1" x14ac:dyDescent="0.3">
      <c r="A9" s="150" t="s">
        <v>803</v>
      </c>
      <c r="B9" s="159"/>
      <c r="C9" s="103"/>
      <c r="D9" s="193"/>
      <c r="E9" s="193"/>
      <c r="F9" s="194"/>
      <c r="G9" s="193"/>
      <c r="H9" s="193"/>
      <c r="I9" s="193"/>
      <c r="J9" s="201"/>
      <c r="K9" s="156"/>
      <c r="L9" s="160"/>
      <c r="N9" s="157"/>
      <c r="O9" s="157"/>
    </row>
    <row r="10" spans="1:15" s="151" customFormat="1" x14ac:dyDescent="0.3">
      <c r="A10" s="155"/>
      <c r="B10" s="182" t="s">
        <v>804</v>
      </c>
      <c r="C10" s="102" t="s">
        <v>805</v>
      </c>
      <c r="D10" s="191" t="s">
        <v>806</v>
      </c>
      <c r="E10" s="191">
        <v>25</v>
      </c>
      <c r="F10" s="192">
        <v>9</v>
      </c>
      <c r="G10" s="191">
        <f>E10*F10</f>
        <v>225</v>
      </c>
      <c r="H10" s="191">
        <f>G10</f>
        <v>225</v>
      </c>
      <c r="I10" s="191"/>
      <c r="J10" s="200"/>
      <c r="K10" s="156"/>
      <c r="L10" s="160"/>
      <c r="N10" s="157"/>
      <c r="O10" s="157"/>
    </row>
    <row r="11" spans="1:15" s="133" customFormat="1" ht="20.25" x14ac:dyDescent="0.35">
      <c r="B11" s="151"/>
      <c r="C11" s="104"/>
      <c r="D11" s="193"/>
      <c r="E11" s="193"/>
      <c r="F11" s="194"/>
      <c r="G11" s="193"/>
      <c r="H11" s="193"/>
      <c r="I11" s="193"/>
      <c r="J11" s="201"/>
      <c r="K11" s="136"/>
      <c r="L11" s="136"/>
    </row>
    <row r="12" spans="1:15" s="170" customFormat="1" ht="20.25" x14ac:dyDescent="0.35">
      <c r="A12" s="155"/>
      <c r="B12" s="158" t="s">
        <v>807</v>
      </c>
      <c r="C12" s="38"/>
      <c r="D12" s="179"/>
      <c r="E12" s="179"/>
      <c r="F12" s="184"/>
      <c r="G12" s="179"/>
      <c r="H12" s="179">
        <f>SUM(H10:H10)</f>
        <v>225</v>
      </c>
      <c r="I12" s="179">
        <f>SUM(I9:I10)</f>
        <v>0</v>
      </c>
      <c r="J12" s="180">
        <f>SUM(J9:J10)</f>
        <v>0</v>
      </c>
    </row>
    <row r="13" spans="1:15" s="90" customFormat="1" x14ac:dyDescent="0.3">
      <c r="A13" s="105"/>
      <c r="B13" s="106"/>
      <c r="C13" s="129"/>
      <c r="D13" s="196"/>
      <c r="E13" s="196"/>
      <c r="F13" s="202"/>
      <c r="G13" s="196"/>
      <c r="H13" s="196"/>
      <c r="I13" s="196"/>
      <c r="J13" s="197"/>
      <c r="K13" s="122"/>
      <c r="L13" s="122"/>
      <c r="M13" s="121"/>
      <c r="N13" s="121"/>
      <c r="O13" s="121"/>
    </row>
    <row r="14" spans="1:15" s="7" customFormat="1" ht="18.75" x14ac:dyDescent="0.35">
      <c r="A14" s="161"/>
      <c r="B14" s="162"/>
      <c r="C14" s="37" t="s">
        <v>58</v>
      </c>
      <c r="D14" s="203"/>
      <c r="E14" s="203"/>
      <c r="F14" s="204"/>
      <c r="G14" s="203"/>
      <c r="H14" s="203">
        <f>H12</f>
        <v>225</v>
      </c>
      <c r="I14" s="203">
        <f>I12</f>
        <v>0</v>
      </c>
      <c r="J14" s="205">
        <f>J12</f>
        <v>0</v>
      </c>
      <c r="K14" s="126"/>
      <c r="L14" s="127"/>
      <c r="M14" s="126"/>
      <c r="N14" s="126"/>
      <c r="O14" s="128"/>
    </row>
    <row r="15" spans="1:15" s="7" customFormat="1" ht="18.75" x14ac:dyDescent="0.35">
      <c r="A15" s="161"/>
      <c r="B15" s="162"/>
      <c r="C15" s="37"/>
      <c r="D15" s="196"/>
      <c r="E15" s="196"/>
      <c r="F15" s="202"/>
      <c r="G15" s="196"/>
      <c r="H15" s="196"/>
      <c r="I15" s="196"/>
      <c r="J15" s="197"/>
      <c r="K15" s="126"/>
      <c r="L15" s="127"/>
      <c r="M15" s="126"/>
      <c r="N15" s="126"/>
      <c r="O15" s="128"/>
    </row>
    <row r="16" spans="1:15" s="4" customFormat="1" x14ac:dyDescent="0.3">
      <c r="A16" s="273" t="s">
        <v>59</v>
      </c>
      <c r="B16" s="274"/>
      <c r="C16" s="274"/>
      <c r="D16" s="148"/>
      <c r="E16" s="163"/>
      <c r="F16" s="189"/>
      <c r="G16" s="163"/>
      <c r="H16" s="163"/>
      <c r="I16" s="163"/>
      <c r="J16" s="149"/>
      <c r="K16" s="156"/>
      <c r="L16" s="151"/>
      <c r="M16" s="151"/>
      <c r="N16" s="151"/>
      <c r="O16" s="151"/>
    </row>
    <row r="17" spans="1:25" s="4" customFormat="1" x14ac:dyDescent="0.3">
      <c r="A17" s="150" t="s">
        <v>808</v>
      </c>
      <c r="B17" s="159"/>
      <c r="C17" s="103"/>
      <c r="D17" s="193"/>
      <c r="E17" s="193"/>
      <c r="F17" s="194"/>
      <c r="G17" s="193"/>
      <c r="H17" s="193"/>
      <c r="I17" s="193"/>
      <c r="J17" s="201"/>
      <c r="K17" s="156"/>
      <c r="L17" s="160"/>
      <c r="M17" s="151"/>
      <c r="N17" s="157"/>
      <c r="O17" s="157"/>
      <c r="P17" s="151"/>
      <c r="Q17" s="151"/>
      <c r="R17" s="151"/>
      <c r="S17" s="151"/>
      <c r="T17" s="151"/>
      <c r="U17" s="151"/>
      <c r="V17" s="151"/>
      <c r="W17" s="151"/>
      <c r="X17" s="151"/>
      <c r="Y17" s="151"/>
    </row>
    <row r="18" spans="1:25" s="4" customFormat="1" x14ac:dyDescent="0.3">
      <c r="A18" s="155"/>
      <c r="B18" s="182" t="s">
        <v>809</v>
      </c>
      <c r="C18" s="102" t="s">
        <v>810</v>
      </c>
      <c r="D18" s="191" t="s">
        <v>811</v>
      </c>
      <c r="E18" s="191">
        <v>1503.88</v>
      </c>
      <c r="F18" s="192">
        <v>1</v>
      </c>
      <c r="G18" s="191">
        <f>E18*F18</f>
        <v>1503.88</v>
      </c>
      <c r="H18" s="191">
        <f>G18*1.13</f>
        <v>1699.3843999999999</v>
      </c>
      <c r="I18" s="191"/>
      <c r="J18" s="200"/>
      <c r="K18" s="156"/>
      <c r="L18" s="160"/>
      <c r="M18" s="151"/>
      <c r="N18" s="157"/>
      <c r="O18" s="157"/>
      <c r="P18" s="151"/>
      <c r="Q18" s="151"/>
      <c r="R18" s="151"/>
      <c r="S18" s="151"/>
      <c r="T18" s="151"/>
      <c r="U18" s="151"/>
      <c r="V18" s="151"/>
      <c r="W18" s="151"/>
      <c r="X18" s="151"/>
      <c r="Y18" s="151"/>
    </row>
    <row r="19" spans="1:25" s="9" customFormat="1" ht="18.75" x14ac:dyDescent="0.35">
      <c r="A19" s="155"/>
      <c r="B19" s="103" t="s">
        <v>812</v>
      </c>
      <c r="C19" s="104" t="s">
        <v>813</v>
      </c>
      <c r="D19" s="193" t="s">
        <v>814</v>
      </c>
      <c r="E19" s="193">
        <v>250</v>
      </c>
      <c r="F19" s="194">
        <v>2</v>
      </c>
      <c r="G19" s="193">
        <f>E19*F19</f>
        <v>500</v>
      </c>
      <c r="H19" s="193">
        <f>G19*1.13</f>
        <v>565</v>
      </c>
      <c r="I19" s="193"/>
      <c r="J19" s="201"/>
      <c r="K19" s="130"/>
      <c r="L19" s="131"/>
      <c r="M19" s="130"/>
      <c r="N19" s="130"/>
      <c r="O19" s="132"/>
      <c r="P19" s="166"/>
      <c r="Q19" s="166"/>
      <c r="R19" s="166"/>
      <c r="S19" s="166"/>
      <c r="T19" s="166"/>
      <c r="U19" s="166"/>
      <c r="V19" s="166"/>
      <c r="W19" s="166"/>
      <c r="X19" s="166"/>
      <c r="Y19" s="166"/>
    </row>
    <row r="20" spans="1:25" s="9" customFormat="1" ht="18.75" x14ac:dyDescent="0.35">
      <c r="A20" s="155"/>
      <c r="B20" s="182" t="s">
        <v>815</v>
      </c>
      <c r="C20" s="102" t="s">
        <v>816</v>
      </c>
      <c r="D20" s="191"/>
      <c r="E20" s="191">
        <v>68.040000000000006</v>
      </c>
      <c r="F20" s="192">
        <v>1</v>
      </c>
      <c r="G20" s="191">
        <f>E20*F20</f>
        <v>68.040000000000006</v>
      </c>
      <c r="H20" s="191">
        <f>G20*1.13</f>
        <v>76.885199999999998</v>
      </c>
      <c r="I20" s="191"/>
      <c r="J20" s="200"/>
      <c r="K20" s="130"/>
      <c r="L20" s="131"/>
      <c r="M20" s="130"/>
      <c r="N20" s="130"/>
      <c r="O20" s="132"/>
      <c r="P20" s="166"/>
      <c r="Q20" s="166"/>
      <c r="R20" s="166"/>
      <c r="S20" s="166"/>
      <c r="T20" s="166"/>
      <c r="U20" s="166"/>
      <c r="V20" s="166"/>
      <c r="W20" s="166"/>
      <c r="X20" s="166"/>
      <c r="Y20" s="166"/>
    </row>
    <row r="21" spans="1:25" s="11" customFormat="1" ht="20.25" x14ac:dyDescent="0.35">
      <c r="A21" s="133"/>
      <c r="B21" s="103" t="s">
        <v>817</v>
      </c>
      <c r="C21" s="104" t="s">
        <v>818</v>
      </c>
      <c r="D21" s="193" t="s">
        <v>819</v>
      </c>
      <c r="E21" s="193">
        <v>140</v>
      </c>
      <c r="F21" s="194">
        <v>1</v>
      </c>
      <c r="G21" s="193">
        <f>E21*F21</f>
        <v>140</v>
      </c>
      <c r="H21" s="193">
        <f>G21*1.13</f>
        <v>158.19999999999999</v>
      </c>
      <c r="I21" s="193"/>
      <c r="J21" s="201"/>
      <c r="K21" s="136"/>
      <c r="L21" s="136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</row>
    <row r="22" spans="1:25" s="133" customFormat="1" ht="20.25" x14ac:dyDescent="0.35">
      <c r="B22" s="154"/>
      <c r="C22" s="102"/>
      <c r="D22" s="191"/>
      <c r="E22" s="191"/>
      <c r="F22" s="192"/>
      <c r="G22" s="191"/>
      <c r="H22" s="191"/>
      <c r="I22" s="191"/>
      <c r="J22" s="200"/>
      <c r="K22" s="136"/>
      <c r="L22" s="136"/>
    </row>
    <row r="23" spans="1:25" s="13" customFormat="1" ht="20.25" x14ac:dyDescent="0.35">
      <c r="A23" s="155"/>
      <c r="B23" s="158" t="s">
        <v>807</v>
      </c>
      <c r="C23" s="38"/>
      <c r="D23" s="179"/>
      <c r="E23" s="179"/>
      <c r="F23" s="184"/>
      <c r="G23" s="179"/>
      <c r="H23" s="179">
        <f>SUM(H18:H21)</f>
        <v>2499.4695999999999</v>
      </c>
      <c r="I23" s="179">
        <f>SUM(I17:I20)</f>
        <v>0</v>
      </c>
      <c r="J23" s="180">
        <f>SUM(J17:J20)</f>
        <v>0</v>
      </c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</row>
    <row r="24" spans="1:25" s="170" customFormat="1" ht="20.25" x14ac:dyDescent="0.35">
      <c r="A24" s="155"/>
      <c r="B24" s="159"/>
      <c r="C24" s="251"/>
      <c r="D24" s="196"/>
      <c r="E24" s="196"/>
      <c r="F24" s="202"/>
      <c r="G24" s="196"/>
      <c r="H24" s="196"/>
      <c r="I24" s="196"/>
      <c r="J24" s="197"/>
    </row>
    <row r="25" spans="1:25" s="13" customFormat="1" ht="20.25" x14ac:dyDescent="0.35">
      <c r="A25" s="150" t="s">
        <v>820</v>
      </c>
      <c r="B25" s="159"/>
      <c r="C25" s="103"/>
      <c r="D25" s="193"/>
      <c r="E25" s="193"/>
      <c r="F25" s="194"/>
      <c r="G25" s="193"/>
      <c r="H25" s="193"/>
      <c r="I25" s="193"/>
      <c r="J25" s="201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</row>
    <row r="26" spans="1:25" s="13" customFormat="1" ht="20.25" x14ac:dyDescent="0.35">
      <c r="A26" s="155"/>
      <c r="B26" s="182" t="s">
        <v>821</v>
      </c>
      <c r="C26" s="102" t="s">
        <v>822</v>
      </c>
      <c r="D26" s="191" t="s">
        <v>823</v>
      </c>
      <c r="E26" s="191">
        <v>25</v>
      </c>
      <c r="F26" s="192">
        <v>10</v>
      </c>
      <c r="G26" s="191">
        <f>E26*F26</f>
        <v>250</v>
      </c>
      <c r="H26" s="191">
        <f>G26*1.13</f>
        <v>282.5</v>
      </c>
      <c r="I26" s="191">
        <v>21.5</v>
      </c>
      <c r="J26" s="200">
        <v>21.5</v>
      </c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</row>
    <row r="27" spans="1:25" s="170" customFormat="1" ht="20.25" x14ac:dyDescent="0.35">
      <c r="A27" s="155"/>
      <c r="B27" s="103" t="s">
        <v>824</v>
      </c>
      <c r="C27" s="104" t="s">
        <v>825</v>
      </c>
      <c r="D27" s="193"/>
      <c r="E27" s="193">
        <v>5</v>
      </c>
      <c r="F27" s="194">
        <v>12</v>
      </c>
      <c r="G27" s="193">
        <f>F27*E27</f>
        <v>60</v>
      </c>
      <c r="H27" s="193">
        <f>G27*1.13</f>
        <v>67.8</v>
      </c>
      <c r="I27" s="193">
        <v>62.75</v>
      </c>
      <c r="J27" s="201">
        <v>62.75</v>
      </c>
    </row>
    <row r="28" spans="1:25" s="170" customFormat="1" ht="20.25" x14ac:dyDescent="0.35">
      <c r="A28" s="155"/>
      <c r="B28" s="154"/>
      <c r="C28" s="102"/>
      <c r="D28" s="191"/>
      <c r="E28" s="191"/>
      <c r="F28" s="192"/>
      <c r="G28" s="191"/>
      <c r="H28" s="191"/>
      <c r="I28" s="191"/>
      <c r="J28" s="200"/>
    </row>
    <row r="29" spans="1:25" s="4" customFormat="1" x14ac:dyDescent="0.3">
      <c r="A29" s="155"/>
      <c r="B29" s="158" t="s">
        <v>826</v>
      </c>
      <c r="C29" s="38"/>
      <c r="D29" s="179"/>
      <c r="E29" s="179"/>
      <c r="F29" s="184"/>
      <c r="G29" s="179"/>
      <c r="H29" s="179">
        <f>SUM(H26:H27)</f>
        <v>350.3</v>
      </c>
      <c r="I29" s="179">
        <f>SUM(I25:I27)</f>
        <v>84.25</v>
      </c>
      <c r="J29" s="180">
        <f>SUM(J25:J27)</f>
        <v>84.25</v>
      </c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</row>
    <row r="30" spans="1:25" s="151" customFormat="1" x14ac:dyDescent="0.3">
      <c r="A30" s="155"/>
      <c r="B30" s="159"/>
      <c r="C30" s="251"/>
      <c r="D30" s="196"/>
      <c r="E30" s="196"/>
      <c r="F30" s="202"/>
      <c r="G30" s="196"/>
      <c r="H30" s="196"/>
      <c r="I30" s="196"/>
      <c r="J30" s="197"/>
    </row>
    <row r="31" spans="1:25" x14ac:dyDescent="0.3">
      <c r="A31" s="150" t="s">
        <v>827</v>
      </c>
      <c r="B31" s="159"/>
      <c r="C31" s="103"/>
      <c r="D31" s="193"/>
      <c r="E31" s="193"/>
      <c r="F31" s="194"/>
      <c r="G31" s="193"/>
      <c r="H31" s="193"/>
      <c r="I31" s="193"/>
      <c r="J31" s="201"/>
      <c r="K31" s="59"/>
      <c r="L31" s="59"/>
      <c r="M31" s="59"/>
      <c r="N31" s="59"/>
      <c r="O31" s="59"/>
      <c r="P31" s="134"/>
      <c r="Q31" s="134"/>
      <c r="R31" s="134"/>
      <c r="S31" s="134"/>
      <c r="T31" s="134"/>
      <c r="U31" s="134"/>
      <c r="V31" s="134"/>
      <c r="W31" s="134"/>
      <c r="X31" s="134"/>
      <c r="Y31" s="134"/>
    </row>
    <row r="32" spans="1:25" x14ac:dyDescent="0.3">
      <c r="A32" s="155"/>
      <c r="B32" s="182" t="s">
        <v>828</v>
      </c>
      <c r="C32" s="102" t="s">
        <v>829</v>
      </c>
      <c r="D32" s="191"/>
      <c r="E32" s="191">
        <v>7</v>
      </c>
      <c r="F32" s="192">
        <v>7</v>
      </c>
      <c r="G32" s="191">
        <f>E32*F32</f>
        <v>49</v>
      </c>
      <c r="H32" s="191">
        <f>G32*1.13</f>
        <v>55.37</v>
      </c>
      <c r="I32" s="191"/>
      <c r="J32" s="200"/>
      <c r="K32" s="59"/>
      <c r="L32" s="59"/>
      <c r="M32" s="59"/>
      <c r="N32" s="59"/>
      <c r="O32" s="59"/>
      <c r="P32" s="134"/>
      <c r="Q32" s="134"/>
      <c r="R32" s="134"/>
      <c r="S32" s="134"/>
      <c r="T32" s="134"/>
      <c r="U32" s="134"/>
      <c r="V32" s="134"/>
      <c r="W32" s="134"/>
      <c r="X32" s="134"/>
      <c r="Y32" s="134"/>
    </row>
    <row r="33" spans="1:25" x14ac:dyDescent="0.3">
      <c r="A33" s="155"/>
      <c r="B33" s="103" t="s">
        <v>830</v>
      </c>
      <c r="C33" s="104" t="s">
        <v>384</v>
      </c>
      <c r="D33" s="193" t="s">
        <v>831</v>
      </c>
      <c r="E33" s="193">
        <v>2</v>
      </c>
      <c r="F33" s="194">
        <v>75</v>
      </c>
      <c r="G33" s="193">
        <f>E33*F33</f>
        <v>150</v>
      </c>
      <c r="H33" s="193">
        <f>G33*1.13</f>
        <v>169.49999999999997</v>
      </c>
      <c r="I33" s="193"/>
      <c r="J33" s="201"/>
      <c r="K33" s="151"/>
      <c r="L33" s="151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</row>
    <row r="34" spans="1:25" s="134" customFormat="1" x14ac:dyDescent="0.3">
      <c r="A34" s="151"/>
      <c r="B34" s="154"/>
      <c r="C34" s="102"/>
      <c r="D34" s="191"/>
      <c r="E34" s="191"/>
      <c r="F34" s="192"/>
      <c r="G34" s="191"/>
      <c r="H34" s="191"/>
      <c r="I34" s="191"/>
      <c r="J34" s="200"/>
      <c r="K34" s="151"/>
      <c r="L34" s="151"/>
    </row>
    <row r="35" spans="1:25" x14ac:dyDescent="0.3">
      <c r="A35" s="59"/>
      <c r="B35" s="158" t="s">
        <v>832</v>
      </c>
      <c r="C35" s="38"/>
      <c r="D35" s="179"/>
      <c r="E35" s="179"/>
      <c r="F35" s="184"/>
      <c r="G35" s="179"/>
      <c r="H35" s="179">
        <f>SUM(H32:H33)</f>
        <v>224.86999999999998</v>
      </c>
      <c r="I35" s="179">
        <f>SUM(I31:I33)</f>
        <v>0</v>
      </c>
      <c r="J35" s="180">
        <f>SUM(J31:J33)</f>
        <v>0</v>
      </c>
      <c r="K35" s="151"/>
      <c r="L35" s="151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</row>
    <row r="36" spans="1:25" s="134" customFormat="1" x14ac:dyDescent="0.3">
      <c r="A36" s="59"/>
      <c r="B36" s="159"/>
      <c r="C36" s="251"/>
      <c r="D36" s="196"/>
      <c r="E36" s="196"/>
      <c r="F36" s="202"/>
      <c r="G36" s="196"/>
      <c r="H36" s="196"/>
      <c r="I36" s="196"/>
      <c r="J36" s="195"/>
      <c r="K36" s="151"/>
      <c r="L36" s="151"/>
    </row>
    <row r="37" spans="1:25" x14ac:dyDescent="0.3">
      <c r="A37" s="99" t="s">
        <v>833</v>
      </c>
      <c r="B37" s="59"/>
      <c r="C37" s="252"/>
      <c r="D37" s="59"/>
      <c r="E37" s="59"/>
      <c r="F37" s="59"/>
      <c r="G37" s="59"/>
      <c r="H37" s="59"/>
      <c r="I37" s="59"/>
      <c r="J37" s="153"/>
      <c r="K37" s="151"/>
      <c r="L37" s="151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</row>
    <row r="38" spans="1:25" x14ac:dyDescent="0.3">
      <c r="A38" s="155"/>
      <c r="B38" s="182" t="s">
        <v>834</v>
      </c>
      <c r="C38" s="102" t="s">
        <v>835</v>
      </c>
      <c r="D38" s="191" t="s">
        <v>836</v>
      </c>
      <c r="E38" s="191">
        <v>100</v>
      </c>
      <c r="F38" s="192">
        <v>12</v>
      </c>
      <c r="G38" s="191">
        <f>E38*F38</f>
        <v>1200</v>
      </c>
      <c r="H38" s="191">
        <f>G38*1.13</f>
        <v>1355.9999999999998</v>
      </c>
      <c r="I38" s="191">
        <v>1795.94</v>
      </c>
      <c r="J38" s="200">
        <v>1795.94</v>
      </c>
      <c r="K38" s="151"/>
      <c r="L38" s="151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</row>
    <row r="39" spans="1:25" x14ac:dyDescent="0.3">
      <c r="A39" s="155"/>
      <c r="B39" s="103" t="s">
        <v>837</v>
      </c>
      <c r="C39" s="104" t="s">
        <v>838</v>
      </c>
      <c r="D39" s="193"/>
      <c r="E39" s="193">
        <v>10</v>
      </c>
      <c r="F39" s="194">
        <v>12</v>
      </c>
      <c r="G39" s="193">
        <f>E39*F39</f>
        <v>120</v>
      </c>
      <c r="H39" s="193">
        <f>G39*1.13</f>
        <v>135.6</v>
      </c>
      <c r="I39" s="193"/>
      <c r="J39" s="201"/>
      <c r="K39" s="151"/>
      <c r="L39" s="151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</row>
    <row r="40" spans="1:25" s="134" customFormat="1" x14ac:dyDescent="0.3">
      <c r="A40" s="151"/>
      <c r="B40" s="182"/>
      <c r="C40" s="102"/>
      <c r="D40" s="191"/>
      <c r="E40" s="191"/>
      <c r="F40" s="192"/>
      <c r="G40" s="191"/>
      <c r="H40" s="191"/>
      <c r="I40" s="191"/>
      <c r="J40" s="200"/>
      <c r="K40" s="151"/>
      <c r="L40" s="151"/>
    </row>
    <row r="41" spans="1:25" x14ac:dyDescent="0.3">
      <c r="A41" s="59"/>
      <c r="B41" s="44" t="s">
        <v>839</v>
      </c>
      <c r="C41" s="38"/>
      <c r="D41" s="179"/>
      <c r="E41" s="179"/>
      <c r="F41" s="184"/>
      <c r="G41" s="179"/>
      <c r="H41" s="179">
        <f>SUM(H38:H39)</f>
        <v>1491.5999999999997</v>
      </c>
      <c r="I41" s="179">
        <f>SUM(I37:I38)</f>
        <v>1795.94</v>
      </c>
      <c r="J41" s="180">
        <f>SUM(J37:J38)</f>
        <v>1795.94</v>
      </c>
      <c r="K41" s="151"/>
      <c r="L41" s="151"/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</row>
    <row r="42" spans="1:25" s="134" customFormat="1" x14ac:dyDescent="0.3">
      <c r="A42" s="59"/>
      <c r="B42" s="129"/>
      <c r="C42" s="251"/>
      <c r="D42" s="196"/>
      <c r="E42" s="196"/>
      <c r="F42" s="202"/>
      <c r="G42" s="196"/>
      <c r="H42" s="196"/>
      <c r="I42" s="196"/>
      <c r="J42" s="197"/>
      <c r="K42" s="151"/>
      <c r="L42" s="151"/>
    </row>
    <row r="43" spans="1:25" ht="18.75" x14ac:dyDescent="0.35">
      <c r="A43" s="161" t="s">
        <v>840</v>
      </c>
      <c r="B43" s="129"/>
      <c r="C43" s="129"/>
      <c r="D43" s="196"/>
      <c r="E43" s="196"/>
      <c r="F43" s="202"/>
      <c r="G43" s="196"/>
      <c r="H43" s="196"/>
      <c r="I43" s="196"/>
      <c r="J43" s="197"/>
      <c r="K43" s="151"/>
      <c r="L43" s="151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</row>
    <row r="44" spans="1:25" ht="18.75" x14ac:dyDescent="0.35">
      <c r="A44" s="165"/>
      <c r="B44" s="182" t="s">
        <v>841</v>
      </c>
      <c r="C44" s="102" t="s">
        <v>842</v>
      </c>
      <c r="D44" s="191" t="s">
        <v>843</v>
      </c>
      <c r="E44" s="191">
        <v>20</v>
      </c>
      <c r="F44" s="192">
        <v>2</v>
      </c>
      <c r="G44" s="191">
        <f>E44*F44</f>
        <v>40</v>
      </c>
      <c r="H44" s="191">
        <f>G44*1.13</f>
        <v>45.199999999999996</v>
      </c>
      <c r="I44" s="191">
        <v>33.090000000000003</v>
      </c>
      <c r="J44" s="200">
        <v>33.090000000000003</v>
      </c>
      <c r="K44" s="151"/>
      <c r="L44" s="151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</row>
    <row r="45" spans="1:25" s="134" customFormat="1" ht="18.75" x14ac:dyDescent="0.35">
      <c r="A45" s="165"/>
      <c r="B45" s="103" t="s">
        <v>844</v>
      </c>
      <c r="C45" s="104" t="s">
        <v>845</v>
      </c>
      <c r="D45" s="193"/>
      <c r="E45" s="193">
        <v>10</v>
      </c>
      <c r="F45" s="194">
        <v>5</v>
      </c>
      <c r="G45" s="193">
        <f>F45*E45</f>
        <v>50</v>
      </c>
      <c r="H45" s="193">
        <f>G45*1.13</f>
        <v>56.499999999999993</v>
      </c>
      <c r="I45" s="193">
        <v>59.69</v>
      </c>
      <c r="J45" s="201">
        <v>59.69</v>
      </c>
      <c r="K45" s="151" t="s">
        <v>54</v>
      </c>
      <c r="L45" s="151"/>
    </row>
    <row r="46" spans="1:25" s="134" customFormat="1" ht="18.75" x14ac:dyDescent="0.35">
      <c r="A46" s="165"/>
      <c r="B46" s="182" t="s">
        <v>846</v>
      </c>
      <c r="C46" s="102" t="s">
        <v>847</v>
      </c>
      <c r="D46" s="191" t="s">
        <v>848</v>
      </c>
      <c r="E46" s="191">
        <v>567</v>
      </c>
      <c r="F46" s="192">
        <v>1</v>
      </c>
      <c r="G46" s="191">
        <f>F46*E46</f>
        <v>567</v>
      </c>
      <c r="H46" s="191">
        <f>G46*1</f>
        <v>567</v>
      </c>
      <c r="I46" s="191" t="s">
        <v>54</v>
      </c>
      <c r="J46" s="200" t="s">
        <v>54</v>
      </c>
      <c r="K46" s="151"/>
      <c r="L46" s="151"/>
    </row>
    <row r="47" spans="1:25" s="134" customFormat="1" ht="18.75" x14ac:dyDescent="0.35">
      <c r="A47" s="165"/>
      <c r="B47" s="151" t="s">
        <v>849</v>
      </c>
      <c r="C47" s="104" t="s">
        <v>850</v>
      </c>
      <c r="D47" s="193"/>
      <c r="E47" s="193"/>
      <c r="F47" s="194"/>
      <c r="G47" s="193"/>
      <c r="H47" s="193"/>
      <c r="I47" s="193">
        <v>34.57</v>
      </c>
      <c r="J47" s="201">
        <v>34.57</v>
      </c>
      <c r="K47" s="151"/>
      <c r="L47" s="151"/>
    </row>
    <row r="48" spans="1:25" ht="20.25" x14ac:dyDescent="0.35">
      <c r="A48" s="175"/>
      <c r="B48" s="158" t="s">
        <v>851</v>
      </c>
      <c r="C48" s="38"/>
      <c r="D48" s="179"/>
      <c r="E48" s="179"/>
      <c r="F48" s="184"/>
      <c r="G48" s="179"/>
      <c r="H48" s="179">
        <f>SUM(H43:H47)</f>
        <v>668.7</v>
      </c>
      <c r="I48" s="179">
        <f>SUM(I43:I47)</f>
        <v>127.35</v>
      </c>
      <c r="J48" s="180">
        <f>SUM(J43:J47)</f>
        <v>127.35</v>
      </c>
      <c r="K48" s="151"/>
      <c r="L48" s="151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</row>
    <row r="49" spans="1:15" s="83" customFormat="1" x14ac:dyDescent="0.3">
      <c r="A49" s="59"/>
      <c r="B49" s="59"/>
      <c r="C49" s="252"/>
      <c r="D49" s="59"/>
      <c r="E49" s="59"/>
      <c r="F49" s="59"/>
      <c r="G49" s="59"/>
      <c r="H49" s="59"/>
      <c r="I49" s="59"/>
      <c r="J49" s="52"/>
      <c r="K49" s="151"/>
      <c r="L49" s="151"/>
      <c r="M49" s="134"/>
      <c r="N49" s="134"/>
      <c r="O49" s="134"/>
    </row>
    <row r="50" spans="1:15" s="83" customFormat="1" ht="18.75" x14ac:dyDescent="0.35">
      <c r="A50" s="59"/>
      <c r="B50" s="59"/>
      <c r="C50" s="37" t="s">
        <v>98</v>
      </c>
      <c r="D50" s="203"/>
      <c r="E50" s="203"/>
      <c r="F50" s="204"/>
      <c r="G50" s="203"/>
      <c r="H50" s="203">
        <f>H23+H29+H35+H41+H48</f>
        <v>5234.9395999999997</v>
      </c>
      <c r="I50" s="203">
        <f>I23+I48+I41+I35+I29</f>
        <v>2007.54</v>
      </c>
      <c r="J50" s="205">
        <f>J23+J48+J41+J35+J29</f>
        <v>2007.54</v>
      </c>
      <c r="K50" s="151"/>
      <c r="L50" s="151"/>
      <c r="M50" s="134"/>
      <c r="N50" s="134"/>
      <c r="O50" s="134"/>
    </row>
    <row r="51" spans="1:15" s="83" customFormat="1" x14ac:dyDescent="0.3">
      <c r="A51" s="59"/>
      <c r="B51" s="59"/>
      <c r="C51" s="252"/>
      <c r="D51" s="59"/>
      <c r="E51" s="59"/>
      <c r="F51" s="59"/>
      <c r="G51" s="59"/>
      <c r="H51" s="59"/>
      <c r="I51" s="59"/>
      <c r="J51" s="153"/>
      <c r="K51" s="151"/>
      <c r="L51" s="151"/>
      <c r="M51" s="134"/>
      <c r="N51" s="134"/>
      <c r="O51" s="134"/>
    </row>
    <row r="52" spans="1:15" ht="20.25" x14ac:dyDescent="0.35">
      <c r="A52" s="260" t="s">
        <v>99</v>
      </c>
      <c r="B52" s="54"/>
      <c r="C52" s="253"/>
      <c r="D52" s="56"/>
      <c r="E52" s="56"/>
      <c r="F52" s="57"/>
      <c r="G52" s="56"/>
      <c r="H52" s="56"/>
      <c r="I52" s="56"/>
      <c r="J52" s="58"/>
      <c r="K52" s="151"/>
      <c r="L52" s="151"/>
      <c r="M52" s="134"/>
      <c r="N52" s="134"/>
      <c r="O52" s="134"/>
    </row>
    <row r="53" spans="1:15" ht="20.25" x14ac:dyDescent="0.35">
      <c r="A53" s="170"/>
      <c r="B53" s="169" t="s">
        <v>100</v>
      </c>
      <c r="C53" s="214"/>
      <c r="D53" s="206"/>
      <c r="E53" s="206"/>
      <c r="F53" s="206"/>
      <c r="G53" s="206"/>
      <c r="H53" s="206">
        <f>H14</f>
        <v>225</v>
      </c>
      <c r="I53" s="206">
        <v>0</v>
      </c>
      <c r="J53" s="53">
        <v>0</v>
      </c>
      <c r="K53" s="151"/>
      <c r="L53" s="151"/>
      <c r="M53" s="134"/>
      <c r="N53" s="134"/>
      <c r="O53" s="134"/>
    </row>
    <row r="54" spans="1:15" ht="20.25" x14ac:dyDescent="0.35">
      <c r="A54" s="51"/>
      <c r="B54" s="170" t="s">
        <v>101</v>
      </c>
      <c r="C54" s="136"/>
      <c r="D54" s="207"/>
      <c r="E54" s="207"/>
      <c r="F54" s="207"/>
      <c r="G54" s="207"/>
      <c r="H54" s="207">
        <f>H50</f>
        <v>5234.9395999999997</v>
      </c>
      <c r="I54" s="207">
        <f>I50</f>
        <v>2007.54</v>
      </c>
      <c r="J54" s="119">
        <f>J50</f>
        <v>2007.54</v>
      </c>
      <c r="K54" s="151"/>
      <c r="L54" s="151"/>
      <c r="M54" s="134"/>
      <c r="N54" s="134"/>
      <c r="O54" s="134"/>
    </row>
    <row r="55" spans="1:15" ht="20.25" x14ac:dyDescent="0.35">
      <c r="A55" s="55"/>
      <c r="B55" s="171" t="s">
        <v>102</v>
      </c>
      <c r="C55" s="215"/>
      <c r="D55" s="209"/>
      <c r="E55" s="209"/>
      <c r="F55" s="209"/>
      <c r="G55" s="209"/>
      <c r="H55" s="209">
        <f>H53-H54</f>
        <v>-5009.9395999999997</v>
      </c>
      <c r="I55" s="209">
        <f>I53-I54</f>
        <v>-2007.54</v>
      </c>
      <c r="J55" s="120">
        <f>J53-J54</f>
        <v>-2007.54</v>
      </c>
      <c r="K55" s="151"/>
      <c r="L55" s="151"/>
      <c r="M55" s="134"/>
      <c r="N55" s="134"/>
      <c r="O55" s="134"/>
    </row>
  </sheetData>
  <mergeCells count="5">
    <mergeCell ref="A16:C16"/>
    <mergeCell ref="D1:J4"/>
    <mergeCell ref="A5:C5"/>
    <mergeCell ref="D5:E5"/>
    <mergeCell ref="A8:C8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zoomScale="70" zoomScaleNormal="70" zoomScalePageLayoutView="70" workbookViewId="0">
      <pane xSplit="3" ySplit="6" topLeftCell="E16" activePane="bottomRight" state="frozen"/>
      <selection pane="topRight" activeCell="C1" sqref="C1"/>
      <selection pane="bottomLeft" activeCell="A4" sqref="A4"/>
      <selection pane="bottomRight" activeCell="J42" sqref="J42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50.28515625" style="17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customHeight="1" x14ac:dyDescent="0.3">
      <c r="A1" s="284"/>
      <c r="B1" s="285"/>
      <c r="C1" s="286"/>
      <c r="D1" s="262" t="s">
        <v>852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customHeight="1" x14ac:dyDescent="0.3">
      <c r="A2" s="287"/>
      <c r="B2" s="288"/>
      <c r="C2" s="289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customHeight="1" x14ac:dyDescent="0.3">
      <c r="A3" s="287"/>
      <c r="B3" s="288"/>
      <c r="C3" s="289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customHeight="1" x14ac:dyDescent="0.3">
      <c r="A4" s="290"/>
      <c r="B4" s="291"/>
      <c r="C4" s="292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 t="s">
        <v>853</v>
      </c>
      <c r="B9" s="159"/>
      <c r="C9" s="103"/>
      <c r="D9" s="193"/>
      <c r="E9" s="193"/>
      <c r="F9" s="194"/>
      <c r="G9" s="193"/>
      <c r="H9" s="193"/>
      <c r="I9" s="193"/>
      <c r="J9" s="201"/>
      <c r="K9" s="156"/>
      <c r="L9" s="151"/>
      <c r="M9" s="151"/>
      <c r="N9" s="151"/>
      <c r="O9" s="151"/>
    </row>
    <row r="10" spans="1:15" s="4" customFormat="1" x14ac:dyDescent="0.3">
      <c r="A10" s="155"/>
      <c r="B10" s="182" t="s">
        <v>854</v>
      </c>
      <c r="C10" s="102" t="s">
        <v>855</v>
      </c>
      <c r="D10" s="191" t="s">
        <v>856</v>
      </c>
      <c r="E10" s="191">
        <v>1000</v>
      </c>
      <c r="F10" s="192">
        <v>1</v>
      </c>
      <c r="G10" s="191">
        <f>E10*F10</f>
        <v>1000</v>
      </c>
      <c r="H10" s="191">
        <f>G10</f>
        <v>1000</v>
      </c>
      <c r="I10" s="191">
        <v>1000</v>
      </c>
      <c r="J10" s="200">
        <v>1000</v>
      </c>
      <c r="K10" s="156"/>
      <c r="L10" s="151"/>
      <c r="M10" s="151"/>
      <c r="N10" s="151"/>
      <c r="O10" s="151"/>
    </row>
    <row r="11" spans="1:15" s="13" customFormat="1" ht="20.25" x14ac:dyDescent="0.35">
      <c r="A11" s="155"/>
      <c r="B11" s="151"/>
      <c r="C11" s="104"/>
      <c r="D11" s="193"/>
      <c r="E11" s="193"/>
      <c r="F11" s="194"/>
      <c r="G11" s="193"/>
      <c r="H11" s="193"/>
      <c r="I11" s="193"/>
      <c r="J11" s="201"/>
      <c r="K11" s="170"/>
      <c r="L11" s="170"/>
      <c r="M11" s="170"/>
      <c r="N11" s="170"/>
      <c r="O11" s="170"/>
    </row>
    <row r="12" spans="1:15" s="13" customFormat="1" ht="20.25" x14ac:dyDescent="0.35">
      <c r="A12" s="150"/>
      <c r="B12" s="158" t="s">
        <v>857</v>
      </c>
      <c r="C12" s="36"/>
      <c r="D12" s="179"/>
      <c r="E12" s="179"/>
      <c r="F12" s="184"/>
      <c r="G12" s="179"/>
      <c r="H12" s="179">
        <f>H10</f>
        <v>1000</v>
      </c>
      <c r="I12" s="179">
        <f>SUM(I10)</f>
        <v>1000</v>
      </c>
      <c r="J12" s="180">
        <f>SUM(J10)</f>
        <v>1000</v>
      </c>
      <c r="K12" s="170"/>
      <c r="L12" s="170"/>
      <c r="M12" s="170"/>
      <c r="N12" s="170"/>
      <c r="O12" s="170"/>
    </row>
    <row r="13" spans="1:15" s="13" customFormat="1" ht="20.25" x14ac:dyDescent="0.35">
      <c r="A13" s="150"/>
      <c r="B13" s="159"/>
      <c r="C13" s="129"/>
      <c r="D13" s="196"/>
      <c r="E13" s="196"/>
      <c r="F13" s="202"/>
      <c r="G13" s="196"/>
      <c r="H13" s="196"/>
      <c r="I13" s="196"/>
      <c r="J13" s="197"/>
      <c r="K13" s="170"/>
      <c r="L13" s="170"/>
      <c r="M13" s="170"/>
      <c r="N13" s="170"/>
      <c r="O13" s="170"/>
    </row>
    <row r="14" spans="1:15" s="4" customFormat="1" ht="18.75" x14ac:dyDescent="0.35">
      <c r="A14" s="161"/>
      <c r="B14" s="162"/>
      <c r="C14" s="37" t="s">
        <v>58</v>
      </c>
      <c r="D14" s="203"/>
      <c r="E14" s="203"/>
      <c r="F14" s="204"/>
      <c r="G14" s="203"/>
      <c r="H14" s="203">
        <f>H12</f>
        <v>1000</v>
      </c>
      <c r="I14" s="203">
        <f>I12</f>
        <v>1000</v>
      </c>
      <c r="J14" s="205">
        <f>SUM(J10)</f>
        <v>1000</v>
      </c>
      <c r="K14" s="151"/>
      <c r="L14" s="151"/>
      <c r="M14" s="151"/>
      <c r="N14" s="151"/>
      <c r="O14" s="151"/>
    </row>
    <row r="15" spans="1:15" ht="18.75" x14ac:dyDescent="0.35">
      <c r="A15" s="161"/>
      <c r="B15" s="162"/>
      <c r="C15" s="37"/>
      <c r="D15" s="196"/>
      <c r="E15" s="196"/>
      <c r="F15" s="202"/>
      <c r="G15" s="196"/>
      <c r="H15" s="196"/>
      <c r="I15" s="196"/>
      <c r="J15" s="197"/>
      <c r="K15" s="151"/>
      <c r="L15" s="151"/>
      <c r="M15" s="134"/>
      <c r="N15" s="134"/>
      <c r="O15" s="134"/>
    </row>
    <row r="16" spans="1:15" x14ac:dyDescent="0.3">
      <c r="A16" s="273" t="s">
        <v>59</v>
      </c>
      <c r="B16" s="274"/>
      <c r="C16" s="274"/>
      <c r="D16" s="148"/>
      <c r="E16" s="163"/>
      <c r="F16" s="189"/>
      <c r="G16" s="163"/>
      <c r="H16" s="163"/>
      <c r="I16" s="163"/>
      <c r="J16" s="149"/>
      <c r="K16" s="151"/>
      <c r="L16" s="151"/>
      <c r="M16" s="134"/>
      <c r="N16" s="134"/>
      <c r="O16" s="134"/>
    </row>
    <row r="17" spans="1:15" x14ac:dyDescent="0.3">
      <c r="A17" s="150" t="s">
        <v>858</v>
      </c>
      <c r="B17" s="159"/>
      <c r="C17" s="103"/>
      <c r="D17" s="193"/>
      <c r="E17" s="193"/>
      <c r="F17" s="194"/>
      <c r="G17" s="193"/>
      <c r="H17" s="193"/>
      <c r="I17" s="193"/>
      <c r="J17" s="201"/>
      <c r="K17" s="151"/>
      <c r="L17" s="151"/>
      <c r="M17" s="134"/>
      <c r="N17" s="134"/>
      <c r="O17" s="134"/>
    </row>
    <row r="18" spans="1:15" x14ac:dyDescent="0.3">
      <c r="A18" s="150"/>
      <c r="B18" s="182" t="s">
        <v>859</v>
      </c>
      <c r="C18" s="182" t="s">
        <v>384</v>
      </c>
      <c r="D18" s="191" t="s">
        <v>860</v>
      </c>
      <c r="E18" s="191">
        <v>2</v>
      </c>
      <c r="F18" s="192">
        <v>180</v>
      </c>
      <c r="G18" s="191">
        <f>F18*E18</f>
        <v>360</v>
      </c>
      <c r="H18" s="191">
        <f>G18*1.13</f>
        <v>406.79999999999995</v>
      </c>
      <c r="I18" s="191">
        <f>241.28</f>
        <v>241.28</v>
      </c>
      <c r="J18" s="200">
        <v>241.28</v>
      </c>
      <c r="K18" s="151"/>
      <c r="L18" s="151"/>
      <c r="M18" s="134"/>
      <c r="N18" s="134"/>
      <c r="O18" s="134"/>
    </row>
    <row r="19" spans="1:15" x14ac:dyDescent="0.3">
      <c r="A19" s="150"/>
      <c r="B19" s="103" t="s">
        <v>861</v>
      </c>
      <c r="C19" s="103" t="s">
        <v>408</v>
      </c>
      <c r="D19" s="193" t="s">
        <v>862</v>
      </c>
      <c r="E19" s="193">
        <v>0.5</v>
      </c>
      <c r="F19" s="194">
        <v>180</v>
      </c>
      <c r="G19" s="193">
        <f>F19*E19</f>
        <v>90</v>
      </c>
      <c r="H19" s="193">
        <f>G19*1.13</f>
        <v>101.69999999999999</v>
      </c>
      <c r="I19" s="193">
        <v>300</v>
      </c>
      <c r="J19" s="201"/>
      <c r="K19" s="151"/>
      <c r="L19" s="151"/>
      <c r="M19" s="134"/>
      <c r="N19" s="134"/>
      <c r="O19" s="134"/>
    </row>
    <row r="20" spans="1:15" x14ac:dyDescent="0.3">
      <c r="A20" s="150"/>
      <c r="B20" s="182" t="s">
        <v>863</v>
      </c>
      <c r="C20" s="182" t="s">
        <v>864</v>
      </c>
      <c r="D20" s="191" t="s">
        <v>865</v>
      </c>
      <c r="E20" s="191">
        <v>0</v>
      </c>
      <c r="F20" s="192">
        <v>0</v>
      </c>
      <c r="G20" s="191">
        <f>F20*E20</f>
        <v>0</v>
      </c>
      <c r="H20" s="191">
        <f>G20*1.13</f>
        <v>0</v>
      </c>
      <c r="I20" s="191"/>
      <c r="J20" s="200">
        <v>300</v>
      </c>
      <c r="K20" s="151"/>
      <c r="L20" s="151"/>
      <c r="M20" s="134"/>
      <c r="N20" s="134"/>
      <c r="O20" s="134"/>
    </row>
    <row r="21" spans="1:15" x14ac:dyDescent="0.3">
      <c r="A21" s="150"/>
      <c r="B21" s="103" t="s">
        <v>866</v>
      </c>
      <c r="C21" s="103" t="s">
        <v>867</v>
      </c>
      <c r="D21" s="193"/>
      <c r="E21" s="193">
        <v>1</v>
      </c>
      <c r="F21" s="194">
        <v>50</v>
      </c>
      <c r="G21" s="193">
        <f>F21*E21</f>
        <v>50</v>
      </c>
      <c r="H21" s="193">
        <f>G21</f>
        <v>50</v>
      </c>
      <c r="I21" s="193"/>
      <c r="J21" s="201"/>
      <c r="K21" s="151"/>
      <c r="L21" s="151"/>
      <c r="M21" s="134"/>
      <c r="N21" s="134"/>
      <c r="O21" s="134"/>
    </row>
    <row r="22" spans="1:15" x14ac:dyDescent="0.3">
      <c r="A22" s="150"/>
      <c r="B22" s="182" t="s">
        <v>868</v>
      </c>
      <c r="C22" s="182" t="s">
        <v>869</v>
      </c>
      <c r="D22" s="191" t="s">
        <v>870</v>
      </c>
      <c r="E22" s="191">
        <v>250</v>
      </c>
      <c r="F22" s="192">
        <v>1</v>
      </c>
      <c r="G22" s="191">
        <f>F22*E22</f>
        <v>250</v>
      </c>
      <c r="H22" s="191">
        <f>G22*1.13</f>
        <v>282.5</v>
      </c>
      <c r="I22" s="191">
        <v>283.07</v>
      </c>
      <c r="J22" s="200">
        <v>283.07</v>
      </c>
      <c r="K22" s="151"/>
      <c r="L22" s="151"/>
      <c r="M22" s="134"/>
      <c r="N22" s="134"/>
      <c r="O22" s="134"/>
    </row>
    <row r="23" spans="1:15" x14ac:dyDescent="0.3">
      <c r="A23" s="150"/>
      <c r="B23" s="159"/>
      <c r="C23" s="103"/>
      <c r="D23" s="193"/>
      <c r="E23" s="193"/>
      <c r="F23" s="194"/>
      <c r="G23" s="193"/>
      <c r="H23" s="193"/>
      <c r="I23" s="193"/>
      <c r="J23" s="201"/>
      <c r="K23" s="151"/>
      <c r="L23" s="151"/>
      <c r="M23" s="134"/>
      <c r="N23" s="134"/>
      <c r="O23" s="134"/>
    </row>
    <row r="24" spans="1:15" x14ac:dyDescent="0.3">
      <c r="A24" s="155"/>
      <c r="B24" s="158" t="s">
        <v>871</v>
      </c>
      <c r="C24" s="36"/>
      <c r="D24" s="179"/>
      <c r="E24" s="179"/>
      <c r="F24" s="184"/>
      <c r="G24" s="179"/>
      <c r="H24" s="179">
        <f>SUM(H18:H22)</f>
        <v>841</v>
      </c>
      <c r="I24" s="179">
        <f>SUM(I18:I22)</f>
        <v>824.34999999999991</v>
      </c>
      <c r="J24" s="180">
        <f>SUM(J18:J22)</f>
        <v>824.34999999999991</v>
      </c>
      <c r="K24" s="151"/>
      <c r="L24" s="151"/>
      <c r="M24" s="134"/>
      <c r="N24" s="134"/>
      <c r="O24" s="134"/>
    </row>
    <row r="25" spans="1:15" s="134" customFormat="1" x14ac:dyDescent="0.3">
      <c r="A25" s="155"/>
      <c r="B25" s="159"/>
      <c r="C25" s="129"/>
      <c r="D25" s="196"/>
      <c r="E25" s="196"/>
      <c r="F25" s="202"/>
      <c r="G25" s="196"/>
      <c r="H25" s="196"/>
      <c r="I25" s="196"/>
      <c r="J25" s="197"/>
      <c r="K25" s="151"/>
      <c r="L25" s="151"/>
    </row>
    <row r="26" spans="1:15" s="134" customFormat="1" x14ac:dyDescent="0.3">
      <c r="A26" s="150" t="s">
        <v>872</v>
      </c>
      <c r="B26" s="159"/>
      <c r="C26" s="103"/>
      <c r="D26" s="193"/>
      <c r="E26" s="193"/>
      <c r="F26" s="194"/>
      <c r="G26" s="193"/>
      <c r="H26" s="193"/>
      <c r="I26" s="193"/>
      <c r="J26" s="201"/>
      <c r="K26" s="151"/>
      <c r="L26" s="151"/>
    </row>
    <row r="27" spans="1:15" s="134" customFormat="1" x14ac:dyDescent="0.3">
      <c r="A27" s="150"/>
      <c r="B27" s="182" t="s">
        <v>873</v>
      </c>
      <c r="C27" s="182" t="s">
        <v>874</v>
      </c>
      <c r="D27" s="191"/>
      <c r="E27" s="191">
        <v>15</v>
      </c>
      <c r="F27" s="192">
        <v>80</v>
      </c>
      <c r="G27" s="191">
        <f>F27*E27</f>
        <v>1200</v>
      </c>
      <c r="H27" s="191">
        <f>G27*1.13</f>
        <v>1355.9999999999998</v>
      </c>
      <c r="I27" s="191">
        <v>1653.75</v>
      </c>
      <c r="J27" s="200">
        <v>1653.75</v>
      </c>
      <c r="K27" s="151"/>
      <c r="L27" s="151"/>
    </row>
    <row r="28" spans="1:15" s="134" customFormat="1" x14ac:dyDescent="0.3">
      <c r="A28" s="150"/>
      <c r="B28" s="103" t="s">
        <v>875</v>
      </c>
      <c r="C28" s="103" t="s">
        <v>876</v>
      </c>
      <c r="D28" s="193" t="s">
        <v>877</v>
      </c>
      <c r="E28" s="193">
        <v>300</v>
      </c>
      <c r="F28" s="194">
        <v>1</v>
      </c>
      <c r="G28" s="193">
        <f t="shared" ref="G28:G33" si="0">F28*E28</f>
        <v>300</v>
      </c>
      <c r="H28" s="193">
        <f t="shared" ref="H28:H33" si="1">G28*1.13</f>
        <v>338.99999999999994</v>
      </c>
      <c r="I28" s="193">
        <v>200</v>
      </c>
      <c r="J28" s="201">
        <v>200</v>
      </c>
      <c r="K28" s="151"/>
      <c r="L28" s="151"/>
    </row>
    <row r="29" spans="1:15" s="134" customFormat="1" x14ac:dyDescent="0.3">
      <c r="A29" s="150"/>
      <c r="B29" s="182" t="s">
        <v>878</v>
      </c>
      <c r="C29" s="182" t="s">
        <v>879</v>
      </c>
      <c r="D29" s="191" t="s">
        <v>880</v>
      </c>
      <c r="E29" s="191">
        <v>5</v>
      </c>
      <c r="F29" s="192">
        <v>6</v>
      </c>
      <c r="G29" s="191">
        <f t="shared" si="0"/>
        <v>30</v>
      </c>
      <c r="H29" s="191">
        <f t="shared" si="1"/>
        <v>33.9</v>
      </c>
      <c r="I29" s="191"/>
      <c r="J29" s="200"/>
      <c r="K29" s="151"/>
      <c r="L29" s="151"/>
    </row>
    <row r="30" spans="1:15" s="134" customFormat="1" x14ac:dyDescent="0.3">
      <c r="A30" s="150"/>
      <c r="B30" s="103" t="s">
        <v>881</v>
      </c>
      <c r="C30" s="103" t="s">
        <v>882</v>
      </c>
      <c r="D30" s="193"/>
      <c r="E30" s="193">
        <v>200</v>
      </c>
      <c r="F30" s="194">
        <v>1</v>
      </c>
      <c r="G30" s="193">
        <f t="shared" si="0"/>
        <v>200</v>
      </c>
      <c r="H30" s="193">
        <f t="shared" si="1"/>
        <v>225.99999999999997</v>
      </c>
      <c r="I30" s="193">
        <f>40.08+94.92+81.64</f>
        <v>216.64</v>
      </c>
      <c r="J30" s="201">
        <v>216.64</v>
      </c>
      <c r="K30" s="151"/>
      <c r="L30" s="151"/>
    </row>
    <row r="31" spans="1:15" s="134" customFormat="1" x14ac:dyDescent="0.3">
      <c r="A31" s="150"/>
      <c r="B31" s="182" t="s">
        <v>883</v>
      </c>
      <c r="C31" s="182" t="s">
        <v>884</v>
      </c>
      <c r="D31" s="191" t="s">
        <v>885</v>
      </c>
      <c r="E31" s="191">
        <v>4</v>
      </c>
      <c r="F31" s="192">
        <v>1</v>
      </c>
      <c r="G31" s="191">
        <f t="shared" si="0"/>
        <v>4</v>
      </c>
      <c r="H31" s="191">
        <f t="shared" si="1"/>
        <v>4.5199999999999996</v>
      </c>
      <c r="I31" s="191"/>
      <c r="J31" s="200"/>
      <c r="K31" s="151"/>
      <c r="L31" s="151"/>
    </row>
    <row r="32" spans="1:15" s="134" customFormat="1" x14ac:dyDescent="0.3">
      <c r="A32" s="150"/>
      <c r="B32" s="103" t="s">
        <v>886</v>
      </c>
      <c r="C32" s="103" t="s">
        <v>887</v>
      </c>
      <c r="D32" s="193"/>
      <c r="E32" s="193">
        <v>20</v>
      </c>
      <c r="F32" s="194">
        <v>1</v>
      </c>
      <c r="G32" s="193">
        <f t="shared" si="0"/>
        <v>20</v>
      </c>
      <c r="H32" s="193">
        <f t="shared" si="1"/>
        <v>22.599999999999998</v>
      </c>
      <c r="I32" s="193"/>
      <c r="J32" s="201"/>
      <c r="K32" s="151"/>
      <c r="L32" s="151"/>
    </row>
    <row r="33" spans="1:15" s="134" customFormat="1" x14ac:dyDescent="0.3">
      <c r="A33" s="150"/>
      <c r="B33" s="182" t="s">
        <v>888</v>
      </c>
      <c r="C33" s="182" t="s">
        <v>889</v>
      </c>
      <c r="D33" s="191"/>
      <c r="E33" s="191">
        <v>1000</v>
      </c>
      <c r="F33" s="192">
        <v>1</v>
      </c>
      <c r="G33" s="191">
        <f t="shared" si="0"/>
        <v>1000</v>
      </c>
      <c r="H33" s="191">
        <f t="shared" si="1"/>
        <v>1130</v>
      </c>
      <c r="I33" s="191"/>
      <c r="J33" s="200"/>
      <c r="K33" s="151"/>
      <c r="L33" s="151"/>
    </row>
    <row r="34" spans="1:15" s="134" customFormat="1" x14ac:dyDescent="0.3">
      <c r="A34" s="150"/>
      <c r="B34" s="159"/>
      <c r="C34" s="103"/>
      <c r="D34" s="193"/>
      <c r="E34" s="193"/>
      <c r="F34" s="194"/>
      <c r="G34" s="193"/>
      <c r="H34" s="193"/>
      <c r="I34" s="193"/>
      <c r="J34" s="201"/>
      <c r="K34" s="151"/>
      <c r="L34" s="151"/>
    </row>
    <row r="35" spans="1:15" s="134" customFormat="1" x14ac:dyDescent="0.3">
      <c r="A35" s="155"/>
      <c r="B35" s="158" t="s">
        <v>890</v>
      </c>
      <c r="C35" s="36"/>
      <c r="D35" s="179"/>
      <c r="E35" s="179"/>
      <c r="F35" s="184"/>
      <c r="G35" s="179"/>
      <c r="H35" s="179">
        <f>SUM(H27:H33)</f>
        <v>3112.0199999999995</v>
      </c>
      <c r="I35" s="179">
        <f>SUM(I27:I33)</f>
        <v>2070.39</v>
      </c>
      <c r="J35" s="180">
        <f>SUM(J27:J33)</f>
        <v>2070.39</v>
      </c>
      <c r="K35" s="151"/>
      <c r="L35" s="151"/>
    </row>
    <row r="36" spans="1:15" s="98" customFormat="1" x14ac:dyDescent="0.3">
      <c r="A36" s="155"/>
      <c r="B36" s="159"/>
      <c r="C36" s="129"/>
      <c r="D36" s="196"/>
      <c r="E36" s="196"/>
      <c r="F36" s="202"/>
      <c r="G36" s="196"/>
      <c r="H36" s="196"/>
      <c r="I36" s="196"/>
      <c r="J36" s="197"/>
      <c r="K36" s="151"/>
      <c r="L36" s="151"/>
      <c r="M36" s="134"/>
      <c r="N36" s="134"/>
      <c r="O36" s="134"/>
    </row>
    <row r="37" spans="1:15" x14ac:dyDescent="0.3">
      <c r="A37" s="150" t="s">
        <v>891</v>
      </c>
      <c r="B37" s="159"/>
      <c r="C37" s="103"/>
      <c r="D37" s="193"/>
      <c r="E37" s="193"/>
      <c r="F37" s="194"/>
      <c r="G37" s="193"/>
      <c r="H37" s="193"/>
      <c r="I37" s="193"/>
      <c r="J37" s="201"/>
      <c r="K37" s="151"/>
      <c r="L37" s="151"/>
      <c r="M37" s="134"/>
      <c r="N37" s="134"/>
      <c r="O37" s="134"/>
    </row>
    <row r="38" spans="1:15" x14ac:dyDescent="0.3">
      <c r="A38" s="150"/>
      <c r="B38" s="182" t="s">
        <v>892</v>
      </c>
      <c r="C38" s="182" t="s">
        <v>893</v>
      </c>
      <c r="D38" s="191" t="s">
        <v>894</v>
      </c>
      <c r="E38" s="191">
        <v>50</v>
      </c>
      <c r="F38" s="192">
        <v>12</v>
      </c>
      <c r="G38" s="191">
        <f>F38*E38</f>
        <v>600</v>
      </c>
      <c r="H38" s="191">
        <f>G38*1.13</f>
        <v>677.99999999999989</v>
      </c>
      <c r="I38" s="191"/>
      <c r="J38" s="200"/>
      <c r="K38" s="151"/>
      <c r="L38" s="151"/>
      <c r="M38" s="134"/>
      <c r="N38" s="134"/>
      <c r="O38" s="134"/>
    </row>
    <row r="39" spans="1:15" x14ac:dyDescent="0.3">
      <c r="A39" s="150"/>
      <c r="B39" s="103" t="s">
        <v>895</v>
      </c>
      <c r="C39" s="103" t="s">
        <v>896</v>
      </c>
      <c r="D39" s="193" t="s">
        <v>897</v>
      </c>
      <c r="E39" s="193">
        <v>0.05</v>
      </c>
      <c r="F39" s="194">
        <v>300</v>
      </c>
      <c r="G39" s="193">
        <f>F39*E39</f>
        <v>15</v>
      </c>
      <c r="H39" s="193">
        <f>G39*1.13</f>
        <v>16.95</v>
      </c>
      <c r="I39" s="193"/>
      <c r="J39" s="201"/>
      <c r="K39" s="151"/>
      <c r="L39" s="151"/>
      <c r="M39" s="134"/>
      <c r="N39" s="134"/>
      <c r="O39" s="134"/>
    </row>
    <row r="40" spans="1:15" x14ac:dyDescent="0.3">
      <c r="A40" s="150"/>
      <c r="B40" s="182" t="s">
        <v>898</v>
      </c>
      <c r="C40" s="182" t="s">
        <v>899</v>
      </c>
      <c r="D40" s="191" t="s">
        <v>900</v>
      </c>
      <c r="E40" s="191">
        <v>5</v>
      </c>
      <c r="F40" s="192">
        <v>14</v>
      </c>
      <c r="G40" s="191">
        <f>F40*E40</f>
        <v>70</v>
      </c>
      <c r="H40" s="191">
        <f>G40*1.13</f>
        <v>79.099999999999994</v>
      </c>
      <c r="I40" s="191"/>
      <c r="J40" s="200"/>
      <c r="K40" s="151"/>
      <c r="L40" s="151"/>
      <c r="M40" s="134"/>
      <c r="N40" s="134"/>
      <c r="O40" s="134"/>
    </row>
    <row r="41" spans="1:15" x14ac:dyDescent="0.3">
      <c r="A41" s="150"/>
      <c r="B41" s="103" t="s">
        <v>901</v>
      </c>
      <c r="C41" s="103" t="s">
        <v>902</v>
      </c>
      <c r="D41" s="193" t="s">
        <v>903</v>
      </c>
      <c r="E41" s="193">
        <v>700</v>
      </c>
      <c r="F41" s="194">
        <v>1</v>
      </c>
      <c r="G41" s="193">
        <f>F41*E41</f>
        <v>700</v>
      </c>
      <c r="H41" s="193">
        <f>G41*1.13</f>
        <v>790.99999999999989</v>
      </c>
      <c r="I41" s="193">
        <v>791</v>
      </c>
      <c r="J41" s="201">
        <v>791</v>
      </c>
      <c r="K41" s="151"/>
      <c r="L41" s="151"/>
      <c r="M41" s="134"/>
      <c r="N41" s="134"/>
      <c r="O41" s="134"/>
    </row>
    <row r="42" spans="1:15" x14ac:dyDescent="0.3">
      <c r="A42" s="150"/>
      <c r="B42" s="178"/>
      <c r="C42" s="182"/>
      <c r="D42" s="191"/>
      <c r="E42" s="191"/>
      <c r="F42" s="192"/>
      <c r="G42" s="191"/>
      <c r="H42" s="191"/>
      <c r="I42" s="191"/>
      <c r="J42" s="200"/>
      <c r="K42" s="151"/>
      <c r="L42" s="151"/>
      <c r="M42" s="134"/>
      <c r="N42" s="134"/>
      <c r="O42" s="134"/>
    </row>
    <row r="43" spans="1:15" x14ac:dyDescent="0.3">
      <c r="A43" s="155"/>
      <c r="B43" s="158" t="s">
        <v>904</v>
      </c>
      <c r="C43" s="36"/>
      <c r="D43" s="179"/>
      <c r="E43" s="179"/>
      <c r="F43" s="184"/>
      <c r="G43" s="179"/>
      <c r="H43" s="179">
        <f>SUM(H38:H41)</f>
        <v>1565.0499999999997</v>
      </c>
      <c r="I43" s="179">
        <f>SUM(I38:I41)</f>
        <v>791</v>
      </c>
      <c r="J43" s="180">
        <f>SUM(J38:J41)</f>
        <v>791</v>
      </c>
      <c r="K43" s="151"/>
      <c r="L43" s="151"/>
      <c r="M43" s="134"/>
      <c r="N43" s="134"/>
      <c r="O43" s="134"/>
    </row>
    <row r="44" spans="1:15" x14ac:dyDescent="0.3">
      <c r="A44" s="155"/>
      <c r="B44" s="151"/>
      <c r="C44" s="104"/>
      <c r="D44" s="193"/>
      <c r="E44" s="193"/>
      <c r="F44" s="194"/>
      <c r="G44" s="193"/>
      <c r="H44" s="193"/>
      <c r="I44" s="193"/>
      <c r="J44" s="201"/>
      <c r="K44" s="151"/>
      <c r="L44" s="151"/>
      <c r="M44" s="134"/>
      <c r="N44" s="134"/>
      <c r="O44" s="134"/>
    </row>
    <row r="45" spans="1:15" ht="18.75" x14ac:dyDescent="0.35">
      <c r="A45" s="165"/>
      <c r="B45" s="166"/>
      <c r="C45" s="37" t="s">
        <v>98</v>
      </c>
      <c r="D45" s="203"/>
      <c r="E45" s="203"/>
      <c r="F45" s="204"/>
      <c r="G45" s="203"/>
      <c r="H45" s="203">
        <f>H43+H24+H35</f>
        <v>5518.07</v>
      </c>
      <c r="I45" s="203">
        <f>I43+I35+I24</f>
        <v>3685.74</v>
      </c>
      <c r="J45" s="205">
        <f>J43+J35+J24</f>
        <v>3685.74</v>
      </c>
      <c r="K45" s="151"/>
      <c r="L45" s="151"/>
      <c r="M45" s="134"/>
      <c r="N45" s="134"/>
      <c r="O45" s="134"/>
    </row>
    <row r="46" spans="1:15" ht="18.75" x14ac:dyDescent="0.35">
      <c r="A46" s="165"/>
      <c r="B46" s="166"/>
      <c r="C46" s="37"/>
      <c r="D46" s="203"/>
      <c r="E46" s="203"/>
      <c r="F46" s="204"/>
      <c r="G46" s="203"/>
      <c r="H46" s="203"/>
      <c r="I46" s="203"/>
      <c r="J46" s="205"/>
      <c r="K46" s="151"/>
      <c r="L46" s="151"/>
      <c r="M46" s="134"/>
      <c r="N46" s="134"/>
      <c r="O46" s="134"/>
    </row>
    <row r="47" spans="1:15" ht="20.25" x14ac:dyDescent="0.35">
      <c r="A47" s="275" t="s">
        <v>905</v>
      </c>
      <c r="B47" s="276"/>
      <c r="C47" s="276"/>
      <c r="D47" s="167"/>
      <c r="E47" s="167"/>
      <c r="F47" s="190"/>
      <c r="G47" s="167"/>
      <c r="H47" s="167"/>
      <c r="I47" s="167"/>
      <c r="J47" s="168"/>
      <c r="K47" s="151"/>
      <c r="L47" s="151"/>
      <c r="M47" s="134"/>
      <c r="N47" s="134"/>
      <c r="O47" s="134"/>
    </row>
    <row r="48" spans="1:15" ht="20.25" x14ac:dyDescent="0.35">
      <c r="A48" s="175"/>
      <c r="B48" s="169" t="s">
        <v>100</v>
      </c>
      <c r="C48" s="214"/>
      <c r="D48" s="206"/>
      <c r="E48" s="206"/>
      <c r="F48" s="206"/>
      <c r="G48" s="206"/>
      <c r="H48" s="206">
        <f>H14</f>
        <v>1000</v>
      </c>
      <c r="I48" s="206">
        <v>0</v>
      </c>
      <c r="J48" s="118">
        <f>J14</f>
        <v>1000</v>
      </c>
      <c r="K48" s="151"/>
      <c r="L48" s="151"/>
      <c r="M48" s="134"/>
      <c r="N48" s="134"/>
      <c r="O48" s="134"/>
    </row>
    <row r="49" spans="1:15" ht="20.25" x14ac:dyDescent="0.35">
      <c r="A49" s="175"/>
      <c r="B49" s="170" t="s">
        <v>101</v>
      </c>
      <c r="C49" s="136"/>
      <c r="D49" s="207"/>
      <c r="E49" s="207"/>
      <c r="F49" s="207"/>
      <c r="G49" s="207"/>
      <c r="H49" s="207">
        <f>H45</f>
        <v>5518.07</v>
      </c>
      <c r="I49" s="207">
        <f>I45</f>
        <v>3685.74</v>
      </c>
      <c r="J49" s="119">
        <f>J45</f>
        <v>3685.74</v>
      </c>
      <c r="K49" s="151"/>
      <c r="L49" s="151"/>
      <c r="M49" s="134"/>
      <c r="N49" s="134"/>
      <c r="O49" s="134"/>
    </row>
    <row r="50" spans="1:15" ht="20.25" x14ac:dyDescent="0.35">
      <c r="A50" s="208"/>
      <c r="B50" s="171" t="s">
        <v>102</v>
      </c>
      <c r="C50" s="215"/>
      <c r="D50" s="209"/>
      <c r="E50" s="209"/>
      <c r="F50" s="209"/>
      <c r="G50" s="209"/>
      <c r="H50" s="209">
        <f>H48-H49</f>
        <v>-4518.07</v>
      </c>
      <c r="I50" s="209">
        <v>0</v>
      </c>
      <c r="J50" s="120">
        <f>J48-J49</f>
        <v>-2685.74</v>
      </c>
      <c r="K50" s="151"/>
      <c r="L50" s="151"/>
      <c r="M50" s="134"/>
      <c r="N50" s="134"/>
      <c r="O50" s="134"/>
    </row>
    <row r="51" spans="1:15" x14ac:dyDescent="0.3">
      <c r="A51" s="59"/>
      <c r="B51" s="59"/>
      <c r="C51" s="42"/>
      <c r="D51" s="59"/>
      <c r="E51" s="59"/>
      <c r="F51" s="59"/>
      <c r="G51" s="59"/>
      <c r="H51" s="59"/>
      <c r="I51" s="59"/>
      <c r="J51" s="59"/>
      <c r="K51" s="151"/>
      <c r="L51" s="151"/>
      <c r="M51" s="134"/>
      <c r="N51" s="134"/>
      <c r="O51" s="134"/>
    </row>
    <row r="52" spans="1:15" x14ac:dyDescent="0.3">
      <c r="A52" s="134"/>
      <c r="B52" s="134"/>
      <c r="D52" s="135"/>
      <c r="E52" s="152"/>
      <c r="F52" s="188"/>
      <c r="G52" s="152"/>
      <c r="H52" s="152"/>
      <c r="I52" s="152"/>
      <c r="J52" s="152"/>
      <c r="K52" s="151"/>
      <c r="L52" s="151"/>
      <c r="M52" s="134"/>
      <c r="N52" s="134"/>
      <c r="O52" s="134"/>
    </row>
    <row r="53" spans="1:15" x14ac:dyDescent="0.3">
      <c r="A53" s="134"/>
      <c r="B53" s="134"/>
      <c r="D53" s="135"/>
      <c r="E53" s="152"/>
      <c r="F53" s="188"/>
      <c r="G53" s="152"/>
      <c r="H53" s="152"/>
      <c r="I53" s="152"/>
      <c r="J53" s="152"/>
      <c r="K53" s="151"/>
      <c r="L53" s="151"/>
      <c r="M53" s="134"/>
      <c r="N53" s="134"/>
      <c r="O53" s="134"/>
    </row>
  </sheetData>
  <mergeCells count="7">
    <mergeCell ref="A47:C47"/>
    <mergeCell ref="A1:C4"/>
    <mergeCell ref="D1:J4"/>
    <mergeCell ref="A5:C5"/>
    <mergeCell ref="D5:E5"/>
    <mergeCell ref="A8:C8"/>
    <mergeCell ref="A16:C16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J22" sqref="J22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33.85546875" style="17" bestFit="1" customWidth="1"/>
    <col min="5" max="5" width="28.140625" style="5" customWidth="1"/>
    <col min="6" max="6" width="15.28515625" style="22" customWidth="1"/>
    <col min="7" max="7" width="17.5703125" style="5" customWidth="1"/>
    <col min="8" max="8" width="18.140625" style="5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customHeight="1" x14ac:dyDescent="0.3">
      <c r="A1" s="284"/>
      <c r="B1" s="285"/>
      <c r="C1" s="286"/>
      <c r="D1" s="262" t="s">
        <v>906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customHeight="1" x14ac:dyDescent="0.3">
      <c r="A2" s="287"/>
      <c r="B2" s="288"/>
      <c r="C2" s="289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customHeight="1" x14ac:dyDescent="0.3">
      <c r="A3" s="287"/>
      <c r="B3" s="288"/>
      <c r="C3" s="289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customHeight="1" x14ac:dyDescent="0.3">
      <c r="A4" s="290"/>
      <c r="B4" s="291"/>
      <c r="C4" s="292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/>
      <c r="B9" s="159"/>
      <c r="C9" s="129"/>
      <c r="D9" s="196"/>
      <c r="E9" s="196"/>
      <c r="F9" s="202"/>
      <c r="G9" s="196"/>
      <c r="H9" s="196"/>
      <c r="I9" s="196"/>
      <c r="J9" s="197"/>
      <c r="K9" s="156"/>
      <c r="L9" s="160"/>
      <c r="M9" s="156"/>
      <c r="N9" s="156"/>
      <c r="O9" s="157"/>
    </row>
    <row r="10" spans="1:15" s="7" customFormat="1" ht="18.75" x14ac:dyDescent="0.35">
      <c r="A10" s="161"/>
      <c r="B10" s="162"/>
      <c r="C10" s="37" t="s">
        <v>58</v>
      </c>
      <c r="D10" s="203"/>
      <c r="E10" s="203"/>
      <c r="F10" s="204"/>
      <c r="G10" s="203"/>
      <c r="H10" s="203">
        <v>0</v>
      </c>
      <c r="I10" s="203">
        <v>0</v>
      </c>
      <c r="J10" s="205">
        <v>0</v>
      </c>
      <c r="K10" s="126"/>
      <c r="L10" s="127"/>
      <c r="M10" s="126"/>
      <c r="N10" s="126"/>
      <c r="O10" s="128"/>
    </row>
    <row r="11" spans="1:15" s="7" customFormat="1" ht="18.75" x14ac:dyDescent="0.35">
      <c r="A11" s="161"/>
      <c r="B11" s="162"/>
      <c r="C11" s="37"/>
      <c r="D11" s="196"/>
      <c r="E11" s="196"/>
      <c r="F11" s="202"/>
      <c r="G11" s="196"/>
      <c r="H11" s="196"/>
      <c r="I11" s="196"/>
      <c r="J11" s="197"/>
      <c r="K11" s="126"/>
      <c r="L11" s="127"/>
      <c r="M11" s="126"/>
      <c r="N11" s="126"/>
      <c r="O11" s="128"/>
    </row>
    <row r="12" spans="1:15" s="4" customFormat="1" x14ac:dyDescent="0.3">
      <c r="A12" s="273" t="s">
        <v>59</v>
      </c>
      <c r="B12" s="274"/>
      <c r="C12" s="274"/>
      <c r="D12" s="148"/>
      <c r="E12" s="163"/>
      <c r="F12" s="189"/>
      <c r="G12" s="163"/>
      <c r="H12" s="163"/>
      <c r="I12" s="163"/>
      <c r="J12" s="149"/>
      <c r="K12" s="129"/>
      <c r="L12" s="129"/>
      <c r="M12" s="151"/>
      <c r="N12" s="151"/>
      <c r="O12" s="151"/>
    </row>
    <row r="13" spans="1:15" s="6" customFormat="1" x14ac:dyDescent="0.3">
      <c r="A13" s="150" t="s">
        <v>907</v>
      </c>
      <c r="B13" s="159"/>
      <c r="C13" s="103"/>
      <c r="D13" s="193"/>
      <c r="E13" s="193"/>
      <c r="F13" s="194"/>
      <c r="G13" s="193"/>
      <c r="H13" s="193"/>
      <c r="I13" s="193"/>
      <c r="J13" s="201"/>
      <c r="K13" s="156"/>
      <c r="L13" s="124"/>
      <c r="M13" s="159"/>
      <c r="N13" s="123"/>
      <c r="O13" s="125"/>
    </row>
    <row r="14" spans="1:15" s="4" customFormat="1" x14ac:dyDescent="0.3">
      <c r="A14" s="155"/>
      <c r="B14" s="182" t="s">
        <v>908</v>
      </c>
      <c r="C14" s="182" t="s">
        <v>909</v>
      </c>
      <c r="D14" s="191" t="s">
        <v>910</v>
      </c>
      <c r="E14" s="191">
        <v>2000</v>
      </c>
      <c r="F14" s="192">
        <v>1</v>
      </c>
      <c r="G14" s="191">
        <v>2000</v>
      </c>
      <c r="H14" s="191">
        <v>2260</v>
      </c>
      <c r="I14" s="191"/>
      <c r="J14" s="200">
        <v>1357.12</v>
      </c>
      <c r="K14" s="151"/>
      <c r="L14" s="160"/>
      <c r="M14" s="151"/>
      <c r="N14" s="157"/>
      <c r="O14" s="151"/>
    </row>
    <row r="15" spans="1:15" s="4" customFormat="1" x14ac:dyDescent="0.3">
      <c r="A15" s="155"/>
      <c r="B15" s="103" t="s">
        <v>911</v>
      </c>
      <c r="C15" s="104" t="s">
        <v>912</v>
      </c>
      <c r="D15" s="193" t="s">
        <v>910</v>
      </c>
      <c r="E15" s="193">
        <v>200</v>
      </c>
      <c r="F15" s="194">
        <v>1</v>
      </c>
      <c r="G15" s="193">
        <v>200</v>
      </c>
      <c r="H15" s="193">
        <v>225.99999999999997</v>
      </c>
      <c r="I15" s="193">
        <v>224.87</v>
      </c>
      <c r="J15" s="201">
        <v>224.87</v>
      </c>
      <c r="K15" s="151"/>
      <c r="L15" s="160"/>
      <c r="M15" s="151"/>
      <c r="N15" s="157"/>
      <c r="O15" s="151"/>
    </row>
    <row r="16" spans="1:15" s="4" customFormat="1" x14ac:dyDescent="0.3">
      <c r="A16" s="155"/>
      <c r="B16" s="182" t="s">
        <v>913</v>
      </c>
      <c r="C16" s="102" t="s">
        <v>914</v>
      </c>
      <c r="D16" s="191" t="s">
        <v>910</v>
      </c>
      <c r="E16" s="191">
        <v>200</v>
      </c>
      <c r="F16" s="192">
        <v>1</v>
      </c>
      <c r="G16" s="191">
        <v>200</v>
      </c>
      <c r="H16" s="191">
        <v>225.99999999999997</v>
      </c>
      <c r="I16" s="191"/>
      <c r="J16" s="200"/>
      <c r="K16" s="151"/>
      <c r="L16" s="160"/>
      <c r="M16" s="151"/>
      <c r="N16" s="157"/>
      <c r="O16" s="151"/>
    </row>
    <row r="17" spans="1:15" s="4" customFormat="1" x14ac:dyDescent="0.3">
      <c r="A17" s="155"/>
      <c r="B17" s="103" t="s">
        <v>915</v>
      </c>
      <c r="C17" s="104" t="s">
        <v>916</v>
      </c>
      <c r="D17" s="193" t="s">
        <v>917</v>
      </c>
      <c r="E17" s="193">
        <v>0.25</v>
      </c>
      <c r="F17" s="194">
        <v>200</v>
      </c>
      <c r="G17" s="193">
        <v>98</v>
      </c>
      <c r="H17" s="193">
        <v>110.74</v>
      </c>
      <c r="I17" s="193"/>
      <c r="J17" s="201"/>
      <c r="K17" s="151"/>
      <c r="L17" s="160"/>
      <c r="M17" s="151"/>
      <c r="N17" s="157"/>
      <c r="O17" s="151"/>
    </row>
    <row r="18" spans="1:15" s="4" customFormat="1" x14ac:dyDescent="0.3">
      <c r="A18" s="155"/>
      <c r="B18" s="182" t="s">
        <v>918</v>
      </c>
      <c r="C18" s="102" t="s">
        <v>916</v>
      </c>
      <c r="D18" s="191" t="s">
        <v>919</v>
      </c>
      <c r="E18" s="191">
        <v>0.5</v>
      </c>
      <c r="F18" s="192">
        <v>200</v>
      </c>
      <c r="G18" s="191">
        <v>200</v>
      </c>
      <c r="H18" s="191">
        <v>225.99999999999997</v>
      </c>
      <c r="I18" s="191"/>
      <c r="J18" s="200"/>
      <c r="K18" s="151"/>
      <c r="L18" s="160"/>
      <c r="M18" s="151"/>
      <c r="N18" s="157"/>
      <c r="O18" s="151"/>
    </row>
    <row r="19" spans="1:15" s="4" customFormat="1" x14ac:dyDescent="0.3">
      <c r="A19" s="155"/>
      <c r="B19" s="103" t="s">
        <v>920</v>
      </c>
      <c r="C19" s="104" t="s">
        <v>921</v>
      </c>
      <c r="D19" s="193" t="s">
        <v>483</v>
      </c>
      <c r="E19" s="193">
        <v>60</v>
      </c>
      <c r="F19" s="194">
        <v>10</v>
      </c>
      <c r="G19" s="193">
        <v>600</v>
      </c>
      <c r="H19" s="193">
        <v>677.99999999999989</v>
      </c>
      <c r="I19" s="193"/>
      <c r="J19" s="201"/>
      <c r="K19" s="151"/>
      <c r="L19" s="160"/>
      <c r="M19" s="151"/>
      <c r="N19" s="157"/>
      <c r="O19" s="151"/>
    </row>
    <row r="20" spans="1:15" s="4" customFormat="1" x14ac:dyDescent="0.3">
      <c r="A20" s="155"/>
      <c r="B20" s="182" t="s">
        <v>922</v>
      </c>
      <c r="C20" s="102" t="s">
        <v>923</v>
      </c>
      <c r="D20" s="191" t="s">
        <v>924</v>
      </c>
      <c r="E20" s="191">
        <v>100</v>
      </c>
      <c r="F20" s="192">
        <v>1</v>
      </c>
      <c r="G20" s="191">
        <v>100</v>
      </c>
      <c r="H20" s="191">
        <v>112.99999999999999</v>
      </c>
      <c r="I20" s="191"/>
      <c r="J20" s="200"/>
      <c r="K20" s="151"/>
      <c r="L20" s="160"/>
      <c r="M20" s="151"/>
      <c r="N20" s="157"/>
      <c r="O20" s="151"/>
    </row>
    <row r="21" spans="1:15" s="4" customFormat="1" x14ac:dyDescent="0.3">
      <c r="A21" s="155"/>
      <c r="B21" s="151" t="s">
        <v>1557</v>
      </c>
      <c r="C21" s="104" t="s">
        <v>1565</v>
      </c>
      <c r="D21" s="193"/>
      <c r="E21" s="193"/>
      <c r="F21" s="194"/>
      <c r="G21" s="193"/>
      <c r="H21" s="193"/>
      <c r="I21" s="193"/>
      <c r="J21" s="201">
        <v>27.84</v>
      </c>
      <c r="K21" s="156"/>
      <c r="L21" s="160"/>
      <c r="M21" s="151"/>
      <c r="N21" s="157"/>
      <c r="O21" s="157"/>
    </row>
    <row r="22" spans="1:15" s="4" customFormat="1" x14ac:dyDescent="0.3">
      <c r="A22" s="155"/>
      <c r="B22" s="158" t="s">
        <v>925</v>
      </c>
      <c r="C22" s="38"/>
      <c r="D22" s="179"/>
      <c r="E22" s="179"/>
      <c r="F22" s="184"/>
      <c r="G22" s="179"/>
      <c r="H22" s="179">
        <f>SUM(H14:H20)</f>
        <v>3839.74</v>
      </c>
      <c r="I22" s="179">
        <f>SUM(I14:I20)</f>
        <v>224.87</v>
      </c>
      <c r="J22" s="180">
        <f>SUM(J14:J21)</f>
        <v>1609.8299999999997</v>
      </c>
      <c r="K22" s="156"/>
      <c r="L22" s="160"/>
      <c r="M22" s="151"/>
      <c r="N22" s="157"/>
      <c r="O22" s="157"/>
    </row>
    <row r="23" spans="1:15" s="9" customFormat="1" ht="18.75" x14ac:dyDescent="0.35">
      <c r="A23" s="155"/>
      <c r="B23" s="151"/>
      <c r="C23" s="104"/>
      <c r="D23" s="193"/>
      <c r="E23" s="193"/>
      <c r="F23" s="194"/>
      <c r="G23" s="193"/>
      <c r="H23" s="193"/>
      <c r="I23" s="193"/>
      <c r="J23" s="201"/>
      <c r="K23" s="130"/>
      <c r="L23" s="131"/>
      <c r="M23" s="130"/>
      <c r="N23" s="130"/>
      <c r="O23" s="132"/>
    </row>
    <row r="24" spans="1:15" s="11" customFormat="1" ht="20.25" x14ac:dyDescent="0.35">
      <c r="A24" s="165"/>
      <c r="B24" s="166"/>
      <c r="C24" s="37" t="s">
        <v>98</v>
      </c>
      <c r="D24" s="203"/>
      <c r="E24" s="203"/>
      <c r="F24" s="204"/>
      <c r="G24" s="203"/>
      <c r="H24" s="203">
        <f>H22</f>
        <v>3839.74</v>
      </c>
      <c r="I24" s="203">
        <f>I22</f>
        <v>224.87</v>
      </c>
      <c r="J24" s="205">
        <f>J22</f>
        <v>1609.8299999999997</v>
      </c>
      <c r="K24" s="136"/>
      <c r="L24" s="136"/>
      <c r="M24" s="133"/>
      <c r="N24" s="133"/>
      <c r="O24" s="133"/>
    </row>
    <row r="25" spans="1:15" s="13" customFormat="1" ht="20.25" x14ac:dyDescent="0.35">
      <c r="A25" s="165"/>
      <c r="B25" s="166"/>
      <c r="C25" s="37"/>
      <c r="D25" s="203"/>
      <c r="E25" s="203"/>
      <c r="F25" s="204"/>
      <c r="G25" s="203"/>
      <c r="H25" s="203"/>
      <c r="I25" s="203"/>
      <c r="J25" s="205"/>
      <c r="K25" s="170"/>
      <c r="L25" s="170"/>
      <c r="M25" s="170"/>
      <c r="N25" s="170"/>
      <c r="O25" s="170"/>
    </row>
    <row r="26" spans="1:15" s="13" customFormat="1" ht="20.25" x14ac:dyDescent="0.35">
      <c r="A26" s="275" t="s">
        <v>99</v>
      </c>
      <c r="B26" s="276"/>
      <c r="C26" s="276"/>
      <c r="D26" s="167"/>
      <c r="E26" s="167"/>
      <c r="F26" s="190"/>
      <c r="G26" s="167"/>
      <c r="H26" s="167"/>
      <c r="I26" s="167"/>
      <c r="J26" s="168"/>
      <c r="K26" s="170"/>
      <c r="L26" s="170"/>
      <c r="M26" s="170"/>
      <c r="N26" s="170"/>
      <c r="O26" s="170"/>
    </row>
    <row r="27" spans="1:15" s="13" customFormat="1" ht="20.25" x14ac:dyDescent="0.35">
      <c r="A27" s="175"/>
      <c r="B27" s="169" t="s">
        <v>100</v>
      </c>
      <c r="C27" s="214"/>
      <c r="D27" s="206"/>
      <c r="E27" s="206"/>
      <c r="F27" s="206"/>
      <c r="G27" s="206"/>
      <c r="H27" s="206">
        <f>H10</f>
        <v>0</v>
      </c>
      <c r="I27" s="206">
        <f>I10</f>
        <v>0</v>
      </c>
      <c r="J27" s="118">
        <f>J10</f>
        <v>0</v>
      </c>
      <c r="K27" s="170"/>
      <c r="L27" s="170"/>
      <c r="M27" s="170"/>
      <c r="N27" s="170"/>
      <c r="O27" s="170"/>
    </row>
    <row r="28" spans="1:15" s="4" customFormat="1" ht="20.25" x14ac:dyDescent="0.35">
      <c r="A28" s="175"/>
      <c r="B28" s="170" t="s">
        <v>101</v>
      </c>
      <c r="C28" s="136"/>
      <c r="D28" s="207"/>
      <c r="E28" s="207"/>
      <c r="F28" s="207"/>
      <c r="G28" s="207"/>
      <c r="H28" s="207">
        <f>H24</f>
        <v>3839.74</v>
      </c>
      <c r="I28" s="207">
        <f>I24</f>
        <v>224.87</v>
      </c>
      <c r="J28" s="119">
        <f>J24</f>
        <v>1609.8299999999997</v>
      </c>
      <c r="K28" s="151"/>
      <c r="L28" s="151"/>
      <c r="M28" s="151"/>
      <c r="N28" s="151"/>
      <c r="O28" s="151"/>
    </row>
    <row r="29" spans="1:15" ht="20.25" x14ac:dyDescent="0.35">
      <c r="A29" s="208"/>
      <c r="B29" s="171" t="s">
        <v>102</v>
      </c>
      <c r="C29" s="215"/>
      <c r="D29" s="209"/>
      <c r="E29" s="209"/>
      <c r="F29" s="209"/>
      <c r="G29" s="209"/>
      <c r="H29" s="209">
        <f>H27-H28</f>
        <v>-3839.74</v>
      </c>
      <c r="I29" s="209">
        <f>I27-I28</f>
        <v>-224.87</v>
      </c>
      <c r="J29" s="120">
        <f>J27-J28</f>
        <v>-1609.8299999999997</v>
      </c>
      <c r="K29" s="151"/>
      <c r="L29" s="151"/>
      <c r="M29" s="134"/>
      <c r="N29" s="134"/>
      <c r="O29" s="134"/>
    </row>
    <row r="30" spans="1:15" x14ac:dyDescent="0.3">
      <c r="A30" s="134"/>
      <c r="B30" s="134"/>
      <c r="C30" s="42"/>
      <c r="D30" s="135"/>
      <c r="E30" s="152"/>
      <c r="F30" s="188"/>
      <c r="G30" s="152"/>
      <c r="H30" s="152"/>
      <c r="I30" s="152"/>
      <c r="J30" s="152"/>
      <c r="K30" s="151"/>
      <c r="L30" s="151"/>
      <c r="M30" s="134"/>
      <c r="N30" s="134"/>
      <c r="O30" s="134"/>
    </row>
  </sheetData>
  <mergeCells count="7">
    <mergeCell ref="A26:C26"/>
    <mergeCell ref="A1:C4"/>
    <mergeCell ref="D1:J4"/>
    <mergeCell ref="A5:C5"/>
    <mergeCell ref="D5:E5"/>
    <mergeCell ref="A8:C8"/>
    <mergeCell ref="A12:C12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zoomScale="70" zoomScaleNormal="70" zoomScalePageLayoutView="70" workbookViewId="0">
      <pane xSplit="3" ySplit="6" topLeftCell="F22" activePane="bottomRight" state="frozen"/>
      <selection pane="topRight" activeCell="C1" sqref="C1"/>
      <selection pane="bottomLeft" activeCell="A4" sqref="A4"/>
      <selection pane="bottomRight" activeCell="G51" sqref="G51"/>
    </sheetView>
  </sheetViews>
  <sheetFormatPr defaultColWidth="8.85546875" defaultRowHeight="17.25" x14ac:dyDescent="0.3"/>
  <cols>
    <col min="1" max="2" width="13.85546875" style="98" customWidth="1"/>
    <col min="3" max="3" width="42.85546875" style="41" bestFit="1" customWidth="1"/>
    <col min="4" max="4" width="42.42578125" style="100" bestFit="1" customWidth="1"/>
    <col min="5" max="5" width="28.140625" style="92" customWidth="1"/>
    <col min="6" max="6" width="15.28515625" style="101" customWidth="1"/>
    <col min="7" max="7" width="17.5703125" style="92" customWidth="1"/>
    <col min="8" max="8" width="18.140625" style="92" customWidth="1"/>
    <col min="9" max="9" width="22.42578125" style="92" customWidth="1"/>
    <col min="10" max="10" width="23" style="92" customWidth="1"/>
    <col min="11" max="11" width="12" style="91" customWidth="1"/>
    <col min="12" max="12" width="11.28515625" style="91" customWidth="1"/>
    <col min="13" max="13" width="8.85546875" style="98"/>
    <col min="14" max="14" width="10.140625" style="98" bestFit="1" customWidth="1"/>
    <col min="15" max="15" width="14.28515625" style="98" customWidth="1"/>
    <col min="16" max="16384" width="8.85546875" style="98"/>
  </cols>
  <sheetData>
    <row r="1" spans="1:15" s="90" customFormat="1" ht="38.25" customHeight="1" x14ac:dyDescent="0.3">
      <c r="A1" s="284"/>
      <c r="B1" s="285"/>
      <c r="C1" s="286"/>
      <c r="D1" s="262" t="s">
        <v>926</v>
      </c>
      <c r="E1" s="263"/>
      <c r="F1" s="263"/>
      <c r="G1" s="263"/>
      <c r="H1" s="263"/>
      <c r="I1" s="263"/>
      <c r="J1" s="293"/>
      <c r="K1" s="121"/>
      <c r="L1" s="121"/>
      <c r="M1" s="121"/>
      <c r="N1" s="121"/>
      <c r="O1" s="121"/>
    </row>
    <row r="2" spans="1:15" s="90" customFormat="1" ht="38.25" customHeight="1" x14ac:dyDescent="0.3">
      <c r="A2" s="287"/>
      <c r="B2" s="288"/>
      <c r="C2" s="289"/>
      <c r="D2" s="294"/>
      <c r="E2" s="295"/>
      <c r="F2" s="295"/>
      <c r="G2" s="295"/>
      <c r="H2" s="295"/>
      <c r="I2" s="295"/>
      <c r="J2" s="296"/>
      <c r="K2" s="121"/>
      <c r="L2" s="121"/>
      <c r="M2" s="121"/>
      <c r="N2" s="121"/>
      <c r="O2" s="121"/>
    </row>
    <row r="3" spans="1:15" s="90" customFormat="1" ht="38.25" customHeight="1" x14ac:dyDescent="0.3">
      <c r="A3" s="287"/>
      <c r="B3" s="288"/>
      <c r="C3" s="289"/>
      <c r="D3" s="294"/>
      <c r="E3" s="295"/>
      <c r="F3" s="295"/>
      <c r="G3" s="295"/>
      <c r="H3" s="295"/>
      <c r="I3" s="295"/>
      <c r="J3" s="296"/>
      <c r="K3" s="121"/>
      <c r="L3" s="121"/>
      <c r="M3" s="121"/>
      <c r="N3" s="121"/>
      <c r="O3" s="121"/>
    </row>
    <row r="4" spans="1:15" s="90" customFormat="1" ht="38.25" customHeight="1" x14ac:dyDescent="0.3">
      <c r="A4" s="290"/>
      <c r="B4" s="291"/>
      <c r="C4" s="292"/>
      <c r="D4" s="297"/>
      <c r="E4" s="298"/>
      <c r="F4" s="298"/>
      <c r="G4" s="298"/>
      <c r="H4" s="298"/>
      <c r="I4" s="298"/>
      <c r="J4" s="299"/>
      <c r="K4" s="121"/>
      <c r="L4" s="121"/>
      <c r="M4" s="121"/>
      <c r="N4" s="121"/>
      <c r="O4" s="121"/>
    </row>
    <row r="5" spans="1:15" s="90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89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2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</row>
    <row r="8" spans="1:15" s="12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</row>
    <row r="9" spans="1:15" s="159" customFormat="1" x14ac:dyDescent="0.3">
      <c r="A9" s="150" t="s">
        <v>927</v>
      </c>
      <c r="C9" s="103"/>
      <c r="D9" s="193"/>
      <c r="E9" s="193"/>
      <c r="F9" s="194"/>
      <c r="G9" s="193"/>
      <c r="H9" s="193"/>
      <c r="I9" s="193"/>
      <c r="J9" s="201"/>
      <c r="K9" s="156"/>
      <c r="L9" s="124"/>
      <c r="N9" s="123"/>
      <c r="O9" s="125"/>
    </row>
    <row r="10" spans="1:15" s="151" customFormat="1" x14ac:dyDescent="0.3">
      <c r="A10" s="164"/>
      <c r="B10" s="182" t="s">
        <v>928</v>
      </c>
      <c r="C10" s="102" t="s">
        <v>929</v>
      </c>
      <c r="D10" s="191" t="s">
        <v>930</v>
      </c>
      <c r="E10" s="191">
        <v>10</v>
      </c>
      <c r="F10" s="192">
        <v>170</v>
      </c>
      <c r="G10" s="191">
        <f>E10*F10</f>
        <v>1700</v>
      </c>
      <c r="H10" s="191">
        <f>G10</f>
        <v>1700</v>
      </c>
      <c r="I10" s="191"/>
      <c r="J10" s="200"/>
      <c r="L10" s="160"/>
      <c r="N10" s="157"/>
    </row>
    <row r="11" spans="1:15" s="151" customFormat="1" x14ac:dyDescent="0.3">
      <c r="A11" s="155"/>
      <c r="C11" s="104"/>
      <c r="D11" s="193"/>
      <c r="E11" s="193"/>
      <c r="F11" s="194"/>
      <c r="G11" s="193"/>
      <c r="H11" s="193"/>
      <c r="I11" s="193"/>
      <c r="J11" s="201"/>
      <c r="L11" s="160"/>
      <c r="N11" s="157"/>
    </row>
    <row r="12" spans="1:15" s="151" customFormat="1" x14ac:dyDescent="0.3">
      <c r="A12" s="155"/>
      <c r="B12" s="158" t="s">
        <v>931</v>
      </c>
      <c r="C12" s="38"/>
      <c r="D12" s="179"/>
      <c r="E12" s="179"/>
      <c r="F12" s="184"/>
      <c r="G12" s="179"/>
      <c r="H12" s="179">
        <f>SUM(H10)</f>
        <v>1700</v>
      </c>
      <c r="I12" s="179">
        <f>SUM(I10)</f>
        <v>0</v>
      </c>
      <c r="J12" s="180">
        <f>SUM(J10)</f>
        <v>0</v>
      </c>
      <c r="L12" s="160"/>
      <c r="N12" s="157"/>
    </row>
    <row r="13" spans="1:15" s="91" customFormat="1" x14ac:dyDescent="0.3">
      <c r="A13" s="150"/>
      <c r="B13" s="159"/>
      <c r="C13" s="129"/>
      <c r="D13" s="196"/>
      <c r="E13" s="196"/>
      <c r="F13" s="202"/>
      <c r="G13" s="196"/>
      <c r="H13" s="196"/>
      <c r="I13" s="196"/>
      <c r="J13" s="197"/>
      <c r="K13" s="156"/>
      <c r="L13" s="160"/>
      <c r="M13" s="156"/>
      <c r="N13" s="156"/>
      <c r="O13" s="157"/>
    </row>
    <row r="14" spans="1:15" s="94" customFormat="1" ht="18.75" x14ac:dyDescent="0.35">
      <c r="A14" s="161"/>
      <c r="B14" s="162"/>
      <c r="C14" s="37" t="s">
        <v>58</v>
      </c>
      <c r="D14" s="203"/>
      <c r="E14" s="203"/>
      <c r="F14" s="204"/>
      <c r="G14" s="203"/>
      <c r="H14" s="203">
        <f>H12</f>
        <v>1700</v>
      </c>
      <c r="I14" s="203">
        <f>I12</f>
        <v>0</v>
      </c>
      <c r="J14" s="205">
        <f>J12</f>
        <v>0</v>
      </c>
      <c r="K14" s="126"/>
      <c r="L14" s="127"/>
      <c r="M14" s="126"/>
      <c r="N14" s="126"/>
      <c r="O14" s="128"/>
    </row>
    <row r="15" spans="1:15" s="94" customFormat="1" ht="18.75" x14ac:dyDescent="0.35">
      <c r="A15" s="161"/>
      <c r="B15" s="162"/>
      <c r="C15" s="37"/>
      <c r="D15" s="196"/>
      <c r="E15" s="196"/>
      <c r="F15" s="202"/>
      <c r="G15" s="196"/>
      <c r="H15" s="196"/>
      <c r="I15" s="196"/>
      <c r="J15" s="197"/>
      <c r="K15" s="126"/>
      <c r="L15" s="127"/>
      <c r="M15" s="126"/>
      <c r="N15" s="126"/>
      <c r="O15" s="128"/>
    </row>
    <row r="16" spans="1:15" s="91" customFormat="1" x14ac:dyDescent="0.3">
      <c r="A16" s="273" t="s">
        <v>59</v>
      </c>
      <c r="B16" s="274"/>
      <c r="C16" s="274"/>
      <c r="D16" s="148"/>
      <c r="E16" s="163"/>
      <c r="F16" s="189"/>
      <c r="G16" s="163"/>
      <c r="H16" s="163"/>
      <c r="I16" s="163"/>
      <c r="J16" s="149"/>
      <c r="K16" s="129"/>
      <c r="L16" s="129"/>
      <c r="M16" s="151"/>
      <c r="N16" s="151"/>
      <c r="O16" s="151"/>
    </row>
    <row r="17" spans="1:15" s="93" customFormat="1" x14ac:dyDescent="0.3">
      <c r="A17" s="150" t="s">
        <v>932</v>
      </c>
      <c r="B17" s="159"/>
      <c r="C17" s="103"/>
      <c r="D17" s="193"/>
      <c r="E17" s="193"/>
      <c r="F17" s="194"/>
      <c r="G17" s="193"/>
      <c r="H17" s="193"/>
      <c r="I17" s="193"/>
      <c r="J17" s="201"/>
      <c r="K17" s="156"/>
      <c r="L17" s="124"/>
      <c r="M17" s="159"/>
      <c r="N17" s="123"/>
      <c r="O17" s="125"/>
    </row>
    <row r="18" spans="1:15" s="91" customFormat="1" x14ac:dyDescent="0.3">
      <c r="A18" s="164" t="s">
        <v>933</v>
      </c>
      <c r="B18" s="182" t="s">
        <v>934</v>
      </c>
      <c r="C18" s="102" t="s">
        <v>194</v>
      </c>
      <c r="D18" s="191" t="s">
        <v>935</v>
      </c>
      <c r="E18" s="191">
        <v>50</v>
      </c>
      <c r="F18" s="192">
        <v>12</v>
      </c>
      <c r="G18" s="191">
        <f>E18*F18</f>
        <v>600</v>
      </c>
      <c r="H18" s="191">
        <f>G18*1.13</f>
        <v>677.99999999999989</v>
      </c>
      <c r="I18" s="191"/>
      <c r="J18" s="200"/>
      <c r="K18" s="151"/>
      <c r="L18" s="160"/>
      <c r="M18" s="151"/>
      <c r="N18" s="157"/>
      <c r="O18" s="151"/>
    </row>
    <row r="19" spans="1:15" s="91" customFormat="1" x14ac:dyDescent="0.3">
      <c r="A19" s="155"/>
      <c r="B19" s="103" t="s">
        <v>936</v>
      </c>
      <c r="C19" s="104" t="s">
        <v>937</v>
      </c>
      <c r="D19" s="193" t="s">
        <v>938</v>
      </c>
      <c r="E19" s="193">
        <v>30</v>
      </c>
      <c r="F19" s="194">
        <v>1</v>
      </c>
      <c r="G19" s="193">
        <f t="shared" ref="G19:G30" si="0">E19*F19</f>
        <v>30</v>
      </c>
      <c r="H19" s="193">
        <f t="shared" ref="H19:H30" si="1">G19*1.13</f>
        <v>33.9</v>
      </c>
      <c r="I19" s="193"/>
      <c r="J19" s="201">
        <v>80.459999999999994</v>
      </c>
      <c r="K19" s="151"/>
      <c r="L19" s="160"/>
      <c r="M19" s="151"/>
      <c r="N19" s="157"/>
      <c r="O19" s="151"/>
    </row>
    <row r="20" spans="1:15" s="91" customFormat="1" x14ac:dyDescent="0.3">
      <c r="A20" s="155"/>
      <c r="B20" s="103" t="s">
        <v>939</v>
      </c>
      <c r="C20" s="104" t="s">
        <v>940</v>
      </c>
      <c r="D20" s="193" t="s">
        <v>941</v>
      </c>
      <c r="E20" s="193">
        <v>30</v>
      </c>
      <c r="F20" s="194">
        <v>1</v>
      </c>
      <c r="G20" s="193">
        <f t="shared" si="0"/>
        <v>30</v>
      </c>
      <c r="H20" s="193">
        <f t="shared" si="1"/>
        <v>33.9</v>
      </c>
      <c r="I20" s="193"/>
      <c r="J20" s="201">
        <v>28.23</v>
      </c>
      <c r="K20" s="151"/>
      <c r="L20" s="160"/>
      <c r="M20" s="151"/>
      <c r="N20" s="157"/>
      <c r="O20" s="151"/>
    </row>
    <row r="21" spans="1:15" s="91" customFormat="1" x14ac:dyDescent="0.3">
      <c r="A21" s="164" t="s">
        <v>942</v>
      </c>
      <c r="B21" s="182" t="s">
        <v>943</v>
      </c>
      <c r="C21" s="102" t="s">
        <v>384</v>
      </c>
      <c r="D21" s="191"/>
      <c r="E21" s="191">
        <v>2</v>
      </c>
      <c r="F21" s="192">
        <v>60</v>
      </c>
      <c r="G21" s="191">
        <f t="shared" si="0"/>
        <v>120</v>
      </c>
      <c r="H21" s="191">
        <f t="shared" si="1"/>
        <v>135.6</v>
      </c>
      <c r="I21" s="191">
        <f>145.19</f>
        <v>145.19</v>
      </c>
      <c r="J21" s="233">
        <v>145.19</v>
      </c>
      <c r="K21" s="151"/>
      <c r="L21" s="160"/>
      <c r="M21" s="151"/>
      <c r="N21" s="157"/>
      <c r="O21" s="151"/>
    </row>
    <row r="22" spans="1:15" s="91" customFormat="1" x14ac:dyDescent="0.3">
      <c r="A22" s="155"/>
      <c r="B22" s="103" t="s">
        <v>944</v>
      </c>
      <c r="C22" s="104" t="s">
        <v>408</v>
      </c>
      <c r="D22" s="193"/>
      <c r="E22" s="193">
        <v>0.5</v>
      </c>
      <c r="F22" s="194">
        <v>60</v>
      </c>
      <c r="G22" s="193">
        <f t="shared" si="0"/>
        <v>30</v>
      </c>
      <c r="H22" s="193">
        <f t="shared" si="1"/>
        <v>33.9</v>
      </c>
      <c r="I22" s="193"/>
      <c r="J22" s="201"/>
      <c r="K22" s="151"/>
      <c r="L22" s="160"/>
      <c r="M22" s="151"/>
      <c r="N22" s="157"/>
      <c r="O22" s="151"/>
    </row>
    <row r="23" spans="1:15" s="91" customFormat="1" x14ac:dyDescent="0.3">
      <c r="A23" s="164" t="s">
        <v>945</v>
      </c>
      <c r="B23" s="182" t="s">
        <v>946</v>
      </c>
      <c r="C23" s="102" t="s">
        <v>384</v>
      </c>
      <c r="D23" s="191"/>
      <c r="E23" s="191">
        <v>2</v>
      </c>
      <c r="F23" s="192">
        <v>60</v>
      </c>
      <c r="G23" s="191">
        <f t="shared" si="0"/>
        <v>120</v>
      </c>
      <c r="H23" s="191">
        <f t="shared" si="1"/>
        <v>135.6</v>
      </c>
      <c r="I23" s="191">
        <v>130.37</v>
      </c>
      <c r="J23" s="200">
        <v>130.37</v>
      </c>
      <c r="K23" s="151"/>
      <c r="L23" s="160"/>
      <c r="M23" s="151"/>
      <c r="N23" s="157"/>
      <c r="O23" s="151"/>
    </row>
    <row r="24" spans="1:15" s="91" customFormat="1" x14ac:dyDescent="0.3">
      <c r="A24" s="155"/>
      <c r="B24" s="103" t="s">
        <v>947</v>
      </c>
      <c r="C24" s="104" t="s">
        <v>408</v>
      </c>
      <c r="D24" s="193"/>
      <c r="E24" s="193">
        <v>0.5</v>
      </c>
      <c r="F24" s="194">
        <v>60</v>
      </c>
      <c r="G24" s="193">
        <f t="shared" si="0"/>
        <v>30</v>
      </c>
      <c r="H24" s="193">
        <f t="shared" si="1"/>
        <v>33.9</v>
      </c>
      <c r="I24" s="193"/>
      <c r="J24" s="201"/>
      <c r="K24" s="151"/>
      <c r="L24" s="160"/>
      <c r="M24" s="151"/>
      <c r="N24" s="157"/>
      <c r="O24" s="151"/>
    </row>
    <row r="25" spans="1:15" s="91" customFormat="1" x14ac:dyDescent="0.3">
      <c r="A25" s="164" t="s">
        <v>948</v>
      </c>
      <c r="B25" s="182" t="s">
        <v>949</v>
      </c>
      <c r="C25" s="102" t="s">
        <v>384</v>
      </c>
      <c r="D25" s="191"/>
      <c r="E25" s="191">
        <v>2</v>
      </c>
      <c r="F25" s="192">
        <v>80</v>
      </c>
      <c r="G25" s="191">
        <f t="shared" si="0"/>
        <v>160</v>
      </c>
      <c r="H25" s="191">
        <f t="shared" si="1"/>
        <v>180.79999999999998</v>
      </c>
      <c r="I25" s="191">
        <v>157.54</v>
      </c>
      <c r="J25" s="200">
        <v>161.6</v>
      </c>
      <c r="K25" s="151"/>
      <c r="L25" s="160"/>
      <c r="M25" s="151"/>
      <c r="N25" s="157"/>
      <c r="O25" s="151"/>
    </row>
    <row r="26" spans="1:15" s="91" customFormat="1" x14ac:dyDescent="0.3">
      <c r="A26" s="155"/>
      <c r="B26" s="103" t="s">
        <v>950</v>
      </c>
      <c r="C26" s="104" t="s">
        <v>408</v>
      </c>
      <c r="D26" s="193"/>
      <c r="E26" s="193">
        <v>0.5</v>
      </c>
      <c r="F26" s="194">
        <v>80</v>
      </c>
      <c r="G26" s="193">
        <f t="shared" si="0"/>
        <v>40</v>
      </c>
      <c r="H26" s="193">
        <f t="shared" si="1"/>
        <v>45.199999999999996</v>
      </c>
      <c r="I26" s="193">
        <v>24.28</v>
      </c>
      <c r="J26" s="201"/>
      <c r="K26" s="151"/>
      <c r="L26" s="160"/>
      <c r="M26" s="151"/>
      <c r="N26" s="157"/>
      <c r="O26" s="151"/>
    </row>
    <row r="27" spans="1:15" s="91" customFormat="1" x14ac:dyDescent="0.3">
      <c r="A27" s="164" t="s">
        <v>951</v>
      </c>
      <c r="B27" s="182" t="s">
        <v>952</v>
      </c>
      <c r="C27" s="102" t="s">
        <v>384</v>
      </c>
      <c r="D27" s="191"/>
      <c r="E27" s="191">
        <v>2</v>
      </c>
      <c r="F27" s="192">
        <v>60</v>
      </c>
      <c r="G27" s="191">
        <f t="shared" si="0"/>
        <v>120</v>
      </c>
      <c r="H27" s="191">
        <f t="shared" si="1"/>
        <v>135.6</v>
      </c>
      <c r="I27" s="191">
        <v>161.6</v>
      </c>
      <c r="J27" s="200">
        <v>157.54</v>
      </c>
      <c r="K27" s="151"/>
      <c r="L27" s="160"/>
      <c r="M27" s="151"/>
      <c r="N27" s="157"/>
      <c r="O27" s="151"/>
    </row>
    <row r="28" spans="1:15" s="91" customFormat="1" x14ac:dyDescent="0.3">
      <c r="A28" s="155"/>
      <c r="B28" s="103" t="s">
        <v>953</v>
      </c>
      <c r="C28" s="104" t="s">
        <v>408</v>
      </c>
      <c r="D28" s="193"/>
      <c r="E28" s="193">
        <v>0.5</v>
      </c>
      <c r="F28" s="194">
        <v>60</v>
      </c>
      <c r="G28" s="193">
        <f t="shared" si="0"/>
        <v>30</v>
      </c>
      <c r="H28" s="193">
        <f t="shared" si="1"/>
        <v>33.9</v>
      </c>
      <c r="I28" s="193"/>
      <c r="J28" s="201"/>
      <c r="K28" s="151"/>
      <c r="L28" s="160"/>
      <c r="M28" s="151"/>
      <c r="N28" s="157"/>
      <c r="O28" s="151"/>
    </row>
    <row r="29" spans="1:15" s="91" customFormat="1" x14ac:dyDescent="0.3">
      <c r="A29" s="164" t="s">
        <v>954</v>
      </c>
      <c r="B29" s="182" t="s">
        <v>955</v>
      </c>
      <c r="C29" s="102" t="s">
        <v>384</v>
      </c>
      <c r="D29" s="191"/>
      <c r="E29" s="191">
        <v>2</v>
      </c>
      <c r="F29" s="192">
        <v>80</v>
      </c>
      <c r="G29" s="191">
        <f t="shared" si="0"/>
        <v>160</v>
      </c>
      <c r="H29" s="191">
        <f t="shared" si="1"/>
        <v>180.79999999999998</v>
      </c>
      <c r="I29" s="191"/>
      <c r="J29" s="200">
        <v>180</v>
      </c>
      <c r="K29" s="151"/>
      <c r="L29" s="160"/>
      <c r="M29" s="151"/>
      <c r="N29" s="157"/>
      <c r="O29" s="151"/>
    </row>
    <row r="30" spans="1:15" s="91" customFormat="1" x14ac:dyDescent="0.3">
      <c r="A30" s="155"/>
      <c r="B30" s="103" t="s">
        <v>956</v>
      </c>
      <c r="C30" s="104" t="s">
        <v>408</v>
      </c>
      <c r="D30" s="193"/>
      <c r="E30" s="193">
        <v>0.5</v>
      </c>
      <c r="F30" s="194">
        <v>80</v>
      </c>
      <c r="G30" s="193">
        <f t="shared" si="0"/>
        <v>40</v>
      </c>
      <c r="H30" s="193">
        <f t="shared" si="1"/>
        <v>45.199999999999996</v>
      </c>
      <c r="I30" s="193"/>
      <c r="J30" s="201">
        <v>24.28</v>
      </c>
      <c r="K30" s="151"/>
      <c r="L30" s="160"/>
      <c r="M30" s="151"/>
      <c r="N30" s="157"/>
      <c r="O30" s="151"/>
    </row>
    <row r="31" spans="1:15" s="91" customFormat="1" x14ac:dyDescent="0.3">
      <c r="A31" s="164" t="s">
        <v>957</v>
      </c>
      <c r="B31" s="182"/>
      <c r="C31" s="102" t="s">
        <v>384</v>
      </c>
      <c r="D31" s="191" t="s">
        <v>296</v>
      </c>
      <c r="E31" s="191"/>
      <c r="F31" s="192"/>
      <c r="G31" s="191"/>
      <c r="H31" s="191"/>
      <c r="I31" s="191">
        <v>193.65</v>
      </c>
      <c r="J31" s="200">
        <v>193.65</v>
      </c>
      <c r="K31" s="151"/>
      <c r="L31" s="160"/>
      <c r="M31" s="151"/>
      <c r="N31" s="157"/>
      <c r="O31" s="151"/>
    </row>
    <row r="32" spans="1:15" s="91" customFormat="1" x14ac:dyDescent="0.3">
      <c r="A32" s="155"/>
      <c r="B32" s="158" t="s">
        <v>931</v>
      </c>
      <c r="C32" s="38"/>
      <c r="D32" s="179"/>
      <c r="E32" s="179"/>
      <c r="F32" s="184"/>
      <c r="G32" s="179"/>
      <c r="H32" s="179">
        <f>SUM(H17:H30)</f>
        <v>1706.3</v>
      </c>
      <c r="I32" s="179">
        <f>SUM(I17:I31)</f>
        <v>812.63</v>
      </c>
      <c r="J32" s="180">
        <f>SUM(J17:J31)</f>
        <v>1101.32</v>
      </c>
      <c r="K32" s="151"/>
      <c r="L32" s="160"/>
      <c r="M32" s="151"/>
      <c r="N32" s="157"/>
      <c r="O32" s="151"/>
    </row>
    <row r="33" spans="1:15" s="91" customFormat="1" x14ac:dyDescent="0.3">
      <c r="A33" s="155"/>
      <c r="B33" s="159"/>
      <c r="C33" s="129"/>
      <c r="D33" s="196"/>
      <c r="E33" s="196"/>
      <c r="F33" s="202"/>
      <c r="G33" s="196"/>
      <c r="H33" s="196"/>
      <c r="I33" s="196"/>
      <c r="J33" s="197"/>
      <c r="K33" s="151"/>
      <c r="L33" s="160"/>
      <c r="M33" s="151"/>
      <c r="N33" s="157"/>
      <c r="O33" s="151"/>
    </row>
    <row r="34" spans="1:15" s="91" customFormat="1" x14ac:dyDescent="0.3">
      <c r="A34" s="150" t="s">
        <v>958</v>
      </c>
      <c r="B34" s="159"/>
      <c r="C34" s="103"/>
      <c r="D34" s="193"/>
      <c r="E34" s="193"/>
      <c r="F34" s="194"/>
      <c r="G34" s="193"/>
      <c r="H34" s="193"/>
      <c r="I34" s="193"/>
      <c r="J34" s="201"/>
      <c r="K34" s="151"/>
      <c r="L34" s="160"/>
      <c r="M34" s="151"/>
      <c r="N34" s="157"/>
      <c r="O34" s="151"/>
    </row>
    <row r="35" spans="1:15" s="91" customFormat="1" x14ac:dyDescent="0.3">
      <c r="A35" s="164" t="s">
        <v>959</v>
      </c>
      <c r="B35" s="182" t="s">
        <v>960</v>
      </c>
      <c r="C35" s="102" t="s">
        <v>961</v>
      </c>
      <c r="D35" s="191" t="s">
        <v>18</v>
      </c>
      <c r="E35" s="191">
        <v>80</v>
      </c>
      <c r="F35" s="192">
        <v>3</v>
      </c>
      <c r="G35" s="191">
        <f>E35*F35</f>
        <v>240</v>
      </c>
      <c r="H35" s="191">
        <f>G35*1.13</f>
        <v>271.2</v>
      </c>
      <c r="I35" s="191">
        <f>37.05+67.77</f>
        <v>104.82</v>
      </c>
      <c r="J35" s="200">
        <f>67.77+37.05</f>
        <v>104.82</v>
      </c>
      <c r="K35" s="151"/>
      <c r="L35" s="160"/>
      <c r="M35" s="151"/>
      <c r="N35" s="157"/>
      <c r="O35" s="151"/>
    </row>
    <row r="36" spans="1:15" s="91" customFormat="1" x14ac:dyDescent="0.3">
      <c r="A36" s="150"/>
      <c r="B36" s="103" t="s">
        <v>962</v>
      </c>
      <c r="C36" s="104" t="s">
        <v>961</v>
      </c>
      <c r="D36" s="193" t="s">
        <v>963</v>
      </c>
      <c r="E36" s="193">
        <v>50</v>
      </c>
      <c r="F36" s="194">
        <v>10</v>
      </c>
      <c r="G36" s="193">
        <f t="shared" ref="G36:G41" si="2">E36*F36</f>
        <v>500</v>
      </c>
      <c r="H36" s="193">
        <f t="shared" ref="H36:H41" si="3">G36*1.13</f>
        <v>565</v>
      </c>
      <c r="I36" s="193">
        <v>38.340000000000003</v>
      </c>
      <c r="J36" s="201">
        <v>86.61</v>
      </c>
      <c r="K36" s="151"/>
      <c r="L36" s="160"/>
      <c r="M36" s="151"/>
      <c r="N36" s="157"/>
      <c r="O36" s="151"/>
    </row>
    <row r="37" spans="1:15" s="91" customFormat="1" x14ac:dyDescent="0.3">
      <c r="A37" s="164"/>
      <c r="B37" s="182" t="s">
        <v>964</v>
      </c>
      <c r="C37" s="102" t="s">
        <v>965</v>
      </c>
      <c r="D37" s="191" t="s">
        <v>966</v>
      </c>
      <c r="E37" s="191">
        <v>200</v>
      </c>
      <c r="F37" s="192">
        <v>1</v>
      </c>
      <c r="G37" s="191">
        <f t="shared" si="2"/>
        <v>200</v>
      </c>
      <c r="H37" s="191">
        <f t="shared" si="3"/>
        <v>225.99999999999997</v>
      </c>
      <c r="I37" s="191"/>
      <c r="J37" s="200"/>
      <c r="K37" s="156"/>
      <c r="L37" s="160"/>
      <c r="M37" s="151"/>
      <c r="N37" s="157"/>
      <c r="O37" s="157"/>
    </row>
    <row r="38" spans="1:15" s="91" customFormat="1" x14ac:dyDescent="0.3">
      <c r="A38" s="164"/>
      <c r="B38" s="103" t="s">
        <v>967</v>
      </c>
      <c r="C38" s="104" t="s">
        <v>384</v>
      </c>
      <c r="D38" s="193" t="s">
        <v>968</v>
      </c>
      <c r="E38" s="193">
        <v>2</v>
      </c>
      <c r="F38" s="194">
        <v>80</v>
      </c>
      <c r="G38" s="193">
        <f t="shared" si="2"/>
        <v>160</v>
      </c>
      <c r="H38" s="193">
        <f t="shared" si="3"/>
        <v>180.79999999999998</v>
      </c>
      <c r="I38" s="193">
        <f>172.95+42</f>
        <v>214.95</v>
      </c>
      <c r="J38" s="201">
        <v>172.95</v>
      </c>
      <c r="K38" s="156"/>
      <c r="L38" s="160"/>
      <c r="M38" s="151"/>
      <c r="N38" s="157"/>
      <c r="O38" s="157"/>
    </row>
    <row r="39" spans="1:15" s="91" customFormat="1" x14ac:dyDescent="0.3">
      <c r="A39" s="164"/>
      <c r="B39" s="182" t="s">
        <v>969</v>
      </c>
      <c r="C39" s="102" t="s">
        <v>408</v>
      </c>
      <c r="D39" s="191" t="s">
        <v>968</v>
      </c>
      <c r="E39" s="191">
        <v>0.5</v>
      </c>
      <c r="F39" s="192">
        <v>80</v>
      </c>
      <c r="G39" s="191">
        <f t="shared" si="2"/>
        <v>40</v>
      </c>
      <c r="H39" s="191">
        <f t="shared" si="3"/>
        <v>45.199999999999996</v>
      </c>
      <c r="I39" s="191">
        <v>48.27</v>
      </c>
      <c r="J39" s="200">
        <v>42</v>
      </c>
      <c r="K39" s="156"/>
      <c r="L39" s="160"/>
      <c r="M39" s="151"/>
      <c r="N39" s="157"/>
      <c r="O39" s="157"/>
    </row>
    <row r="40" spans="1:15" s="91" customFormat="1" x14ac:dyDescent="0.3">
      <c r="A40" s="164"/>
      <c r="B40" s="103" t="s">
        <v>970</v>
      </c>
      <c r="C40" s="104" t="s">
        <v>971</v>
      </c>
      <c r="D40" s="193"/>
      <c r="E40" s="193">
        <v>100</v>
      </c>
      <c r="F40" s="194">
        <v>1</v>
      </c>
      <c r="G40" s="193">
        <f t="shared" si="2"/>
        <v>100</v>
      </c>
      <c r="H40" s="193">
        <f t="shared" si="3"/>
        <v>112.99999999999999</v>
      </c>
      <c r="I40" s="193">
        <f>158.2+67.8</f>
        <v>226</v>
      </c>
      <c r="J40" s="201">
        <v>226</v>
      </c>
      <c r="K40" s="156"/>
      <c r="L40" s="160"/>
      <c r="M40" s="151"/>
      <c r="N40" s="157"/>
      <c r="O40" s="157"/>
    </row>
    <row r="41" spans="1:15" s="91" customFormat="1" x14ac:dyDescent="0.3">
      <c r="A41" s="164" t="s">
        <v>972</v>
      </c>
      <c r="B41" s="182" t="s">
        <v>973</v>
      </c>
      <c r="C41" s="102" t="s">
        <v>965</v>
      </c>
      <c r="D41" s="191" t="s">
        <v>974</v>
      </c>
      <c r="E41" s="191">
        <v>30</v>
      </c>
      <c r="F41" s="192">
        <v>1</v>
      </c>
      <c r="G41" s="191">
        <f t="shared" si="2"/>
        <v>30</v>
      </c>
      <c r="H41" s="191">
        <f t="shared" si="3"/>
        <v>33.9</v>
      </c>
      <c r="I41" s="191"/>
      <c r="J41" s="200"/>
      <c r="K41" s="156"/>
      <c r="L41" s="160"/>
      <c r="M41" s="151"/>
      <c r="N41" s="157"/>
      <c r="O41" s="157"/>
    </row>
    <row r="42" spans="1:15" s="91" customFormat="1" x14ac:dyDescent="0.3">
      <c r="A42" s="164"/>
      <c r="B42" s="151"/>
      <c r="C42" s="103" t="s">
        <v>1556</v>
      </c>
      <c r="D42" s="193"/>
      <c r="E42" s="193"/>
      <c r="F42" s="194"/>
      <c r="G42" s="193"/>
      <c r="H42" s="193"/>
      <c r="I42" s="193"/>
      <c r="J42" s="201">
        <v>29.91</v>
      </c>
      <c r="K42" s="156"/>
      <c r="L42" s="160"/>
      <c r="M42" s="151"/>
      <c r="N42" s="157"/>
      <c r="O42" s="157"/>
    </row>
    <row r="43" spans="1:15" s="91" customFormat="1" x14ac:dyDescent="0.3">
      <c r="A43" s="155"/>
      <c r="B43" s="158" t="s">
        <v>975</v>
      </c>
      <c r="C43" s="36"/>
      <c r="D43" s="179"/>
      <c r="E43" s="179"/>
      <c r="F43" s="184"/>
      <c r="G43" s="179"/>
      <c r="H43" s="179">
        <f>SUM(H35:H42)</f>
        <v>1435.1000000000001</v>
      </c>
      <c r="I43" s="179">
        <f>SUM(I35:I42)</f>
        <v>632.38</v>
      </c>
      <c r="J43" s="180">
        <f>SUM(J35:J42)</f>
        <v>662.29</v>
      </c>
      <c r="K43" s="156"/>
      <c r="L43" s="160"/>
      <c r="M43" s="151"/>
      <c r="N43" s="157"/>
      <c r="O43" s="157"/>
    </row>
    <row r="44" spans="1:15" s="91" customFormat="1" x14ac:dyDescent="0.3">
      <c r="A44" s="155"/>
      <c r="B44" s="151"/>
      <c r="C44" s="103"/>
      <c r="D44" s="193"/>
      <c r="E44" s="193"/>
      <c r="F44" s="194"/>
      <c r="G44" s="193"/>
      <c r="H44" s="193"/>
      <c r="I44" s="193"/>
      <c r="J44" s="201"/>
      <c r="K44" s="156"/>
      <c r="L44" s="160"/>
      <c r="M44" s="151"/>
      <c r="N44" s="157"/>
      <c r="O44" s="157"/>
    </row>
    <row r="45" spans="1:15" s="91" customFormat="1" x14ac:dyDescent="0.3">
      <c r="A45" s="150" t="s">
        <v>976</v>
      </c>
      <c r="B45" s="159"/>
      <c r="C45" s="103"/>
      <c r="D45" s="193"/>
      <c r="E45" s="193"/>
      <c r="F45" s="194"/>
      <c r="G45" s="193"/>
      <c r="H45" s="193"/>
      <c r="I45" s="193"/>
      <c r="J45" s="201"/>
      <c r="K45" s="156"/>
      <c r="L45" s="151"/>
      <c r="M45" s="151"/>
      <c r="N45" s="151"/>
      <c r="O45" s="151"/>
    </row>
    <row r="46" spans="1:15" s="91" customFormat="1" x14ac:dyDescent="0.3">
      <c r="A46" s="150"/>
      <c r="B46" s="182" t="s">
        <v>977</v>
      </c>
      <c r="C46" s="102" t="s">
        <v>184</v>
      </c>
      <c r="D46" s="191" t="s">
        <v>978</v>
      </c>
      <c r="E46" s="191">
        <v>750</v>
      </c>
      <c r="F46" s="192">
        <v>1</v>
      </c>
      <c r="G46" s="191">
        <f t="shared" ref="G46:G56" si="4">E46*F46</f>
        <v>750</v>
      </c>
      <c r="H46" s="191">
        <f t="shared" ref="H46:H56" si="5">G46*1.13</f>
        <v>847.49999999999989</v>
      </c>
      <c r="I46" s="191"/>
      <c r="J46" s="200"/>
      <c r="K46" s="156"/>
      <c r="L46" s="151"/>
      <c r="M46" s="151"/>
      <c r="N46" s="151"/>
      <c r="O46" s="151"/>
    </row>
    <row r="47" spans="1:15" s="91" customFormat="1" x14ac:dyDescent="0.3">
      <c r="A47" s="150"/>
      <c r="B47" s="103" t="s">
        <v>979</v>
      </c>
      <c r="C47" s="103" t="s">
        <v>980</v>
      </c>
      <c r="D47" s="193"/>
      <c r="E47" s="193">
        <v>44</v>
      </c>
      <c r="F47" s="194">
        <v>170</v>
      </c>
      <c r="G47" s="193">
        <f t="shared" si="4"/>
        <v>7480</v>
      </c>
      <c r="H47" s="193">
        <f t="shared" si="5"/>
        <v>8452.4</v>
      </c>
      <c r="I47" s="193">
        <v>9389.0499999999993</v>
      </c>
      <c r="J47" s="201">
        <v>9398.0499999999993</v>
      </c>
      <c r="K47" s="156"/>
      <c r="L47" s="151"/>
      <c r="M47" s="151"/>
      <c r="N47" s="151"/>
      <c r="O47" s="151"/>
    </row>
    <row r="48" spans="1:15" s="91" customFormat="1" x14ac:dyDescent="0.3">
      <c r="A48" s="155"/>
      <c r="B48" s="182" t="s">
        <v>981</v>
      </c>
      <c r="C48" s="182" t="s">
        <v>982</v>
      </c>
      <c r="D48" s="191"/>
      <c r="E48" s="191">
        <v>1000</v>
      </c>
      <c r="F48" s="192">
        <v>1</v>
      </c>
      <c r="G48" s="191">
        <f t="shared" si="4"/>
        <v>1000</v>
      </c>
      <c r="H48" s="191">
        <f t="shared" si="5"/>
        <v>1130</v>
      </c>
      <c r="I48" s="191"/>
      <c r="J48" s="200"/>
      <c r="K48" s="156"/>
      <c r="L48" s="160"/>
      <c r="M48" s="151"/>
      <c r="N48" s="157"/>
      <c r="O48" s="157"/>
    </row>
    <row r="49" spans="1:15" s="91" customFormat="1" x14ac:dyDescent="0.3">
      <c r="A49" s="155"/>
      <c r="B49" s="103" t="s">
        <v>983</v>
      </c>
      <c r="C49" s="103" t="s">
        <v>984</v>
      </c>
      <c r="D49" s="193"/>
      <c r="E49" s="193">
        <v>1000</v>
      </c>
      <c r="F49" s="194">
        <v>1</v>
      </c>
      <c r="G49" s="193">
        <f t="shared" si="4"/>
        <v>1000</v>
      </c>
      <c r="H49" s="193">
        <f t="shared" si="5"/>
        <v>1130</v>
      </c>
      <c r="I49" s="193"/>
      <c r="J49" s="201"/>
      <c r="K49" s="156"/>
      <c r="L49" s="160"/>
      <c r="M49" s="151"/>
      <c r="N49" s="157"/>
      <c r="O49" s="157"/>
    </row>
    <row r="50" spans="1:15" s="91" customFormat="1" x14ac:dyDescent="0.3">
      <c r="A50" s="155"/>
      <c r="B50" s="182" t="s">
        <v>985</v>
      </c>
      <c r="C50" s="182" t="s">
        <v>986</v>
      </c>
      <c r="D50" s="191" t="s">
        <v>987</v>
      </c>
      <c r="E50" s="191">
        <v>35</v>
      </c>
      <c r="F50" s="192">
        <v>1</v>
      </c>
      <c r="G50" s="191">
        <f t="shared" si="4"/>
        <v>35</v>
      </c>
      <c r="H50" s="191">
        <f t="shared" si="5"/>
        <v>39.549999999999997</v>
      </c>
      <c r="I50" s="191"/>
      <c r="J50" s="200">
        <v>118.65</v>
      </c>
      <c r="K50" s="156"/>
      <c r="L50" s="160"/>
      <c r="M50" s="151"/>
      <c r="N50" s="157"/>
      <c r="O50" s="157"/>
    </row>
    <row r="51" spans="1:15" s="91" customFormat="1" x14ac:dyDescent="0.3">
      <c r="A51" s="155"/>
      <c r="B51" s="103" t="s">
        <v>988</v>
      </c>
      <c r="C51" s="103" t="s">
        <v>989</v>
      </c>
      <c r="D51" s="193" t="s">
        <v>987</v>
      </c>
      <c r="E51" s="193">
        <v>300</v>
      </c>
      <c r="F51" s="194">
        <v>1</v>
      </c>
      <c r="G51" s="193">
        <f t="shared" si="4"/>
        <v>300</v>
      </c>
      <c r="H51" s="193">
        <f t="shared" si="5"/>
        <v>338.99999999999994</v>
      </c>
      <c r="I51" s="193"/>
      <c r="J51" s="201"/>
      <c r="K51" s="156"/>
      <c r="L51" s="160"/>
      <c r="M51" s="151"/>
      <c r="N51" s="157"/>
      <c r="O51" s="157"/>
    </row>
    <row r="52" spans="1:15" s="91" customFormat="1" x14ac:dyDescent="0.3">
      <c r="A52" s="155"/>
      <c r="B52" s="182" t="s">
        <v>990</v>
      </c>
      <c r="C52" s="182" t="s">
        <v>353</v>
      </c>
      <c r="D52" s="191" t="s">
        <v>410</v>
      </c>
      <c r="E52" s="191">
        <v>30</v>
      </c>
      <c r="F52" s="192">
        <v>1</v>
      </c>
      <c r="G52" s="191">
        <f t="shared" si="4"/>
        <v>30</v>
      </c>
      <c r="H52" s="191">
        <f t="shared" si="5"/>
        <v>33.9</v>
      </c>
      <c r="I52" s="191">
        <v>55.37</v>
      </c>
      <c r="J52" s="200">
        <v>55.37</v>
      </c>
      <c r="K52" s="156"/>
      <c r="L52" s="151"/>
      <c r="M52" s="151"/>
      <c r="N52" s="151"/>
      <c r="O52" s="151"/>
    </row>
    <row r="53" spans="1:15" s="91" customFormat="1" x14ac:dyDescent="0.3">
      <c r="A53" s="164"/>
      <c r="B53" s="103" t="s">
        <v>991</v>
      </c>
      <c r="C53" s="103" t="s">
        <v>992</v>
      </c>
      <c r="D53" s="193" t="s">
        <v>993</v>
      </c>
      <c r="E53" s="193">
        <v>30</v>
      </c>
      <c r="F53" s="194">
        <v>2</v>
      </c>
      <c r="G53" s="193">
        <f t="shared" si="4"/>
        <v>60</v>
      </c>
      <c r="H53" s="193">
        <f t="shared" si="5"/>
        <v>67.8</v>
      </c>
      <c r="I53" s="193"/>
      <c r="J53" s="201"/>
      <c r="K53" s="156"/>
      <c r="L53" s="160"/>
      <c r="M53" s="151"/>
      <c r="N53" s="157"/>
      <c r="O53" s="157"/>
    </row>
    <row r="54" spans="1:15" s="91" customFormat="1" x14ac:dyDescent="0.3">
      <c r="A54" s="155"/>
      <c r="B54" s="182" t="s">
        <v>994</v>
      </c>
      <c r="C54" s="182" t="s">
        <v>384</v>
      </c>
      <c r="D54" s="191" t="s">
        <v>995</v>
      </c>
      <c r="E54" s="191">
        <v>2</v>
      </c>
      <c r="F54" s="192">
        <v>13</v>
      </c>
      <c r="G54" s="191">
        <f t="shared" si="4"/>
        <v>26</v>
      </c>
      <c r="H54" s="191">
        <f t="shared" si="5"/>
        <v>29.379999999999995</v>
      </c>
      <c r="I54" s="191">
        <v>38.44</v>
      </c>
      <c r="J54" s="200">
        <v>38.44</v>
      </c>
      <c r="K54" s="156"/>
      <c r="L54" s="151"/>
      <c r="M54" s="151"/>
      <c r="N54" s="151"/>
      <c r="O54" s="151"/>
    </row>
    <row r="55" spans="1:15" s="91" customFormat="1" x14ac:dyDescent="0.3">
      <c r="A55" s="164"/>
      <c r="B55" s="103" t="s">
        <v>996</v>
      </c>
      <c r="C55" s="103" t="s">
        <v>408</v>
      </c>
      <c r="D55" s="193" t="s">
        <v>995</v>
      </c>
      <c r="E55" s="193">
        <v>0.5</v>
      </c>
      <c r="F55" s="194">
        <v>13</v>
      </c>
      <c r="G55" s="193">
        <f t="shared" si="4"/>
        <v>6.5</v>
      </c>
      <c r="H55" s="193">
        <f t="shared" si="5"/>
        <v>7.3449999999999989</v>
      </c>
      <c r="I55" s="193"/>
      <c r="J55" s="201"/>
      <c r="K55" s="156"/>
      <c r="L55" s="160"/>
      <c r="M55" s="151"/>
      <c r="N55" s="157"/>
      <c r="O55" s="157"/>
    </row>
    <row r="56" spans="1:15" s="91" customFormat="1" x14ac:dyDescent="0.3">
      <c r="A56" s="164"/>
      <c r="B56" s="182" t="s">
        <v>997</v>
      </c>
      <c r="C56" s="182" t="s">
        <v>998</v>
      </c>
      <c r="D56" s="191" t="s">
        <v>999</v>
      </c>
      <c r="E56" s="191">
        <v>150</v>
      </c>
      <c r="F56" s="192">
        <v>1</v>
      </c>
      <c r="G56" s="191">
        <f t="shared" si="4"/>
        <v>150</v>
      </c>
      <c r="H56" s="191">
        <f t="shared" si="5"/>
        <v>169.49999999999997</v>
      </c>
      <c r="I56" s="191"/>
      <c r="J56" s="200"/>
      <c r="K56" s="156"/>
      <c r="L56" s="160"/>
      <c r="M56" s="151"/>
      <c r="N56" s="157"/>
      <c r="O56" s="157"/>
    </row>
    <row r="57" spans="1:15" s="91" customFormat="1" x14ac:dyDescent="0.3">
      <c r="A57" s="164"/>
      <c r="B57" s="151"/>
      <c r="C57" s="103"/>
      <c r="D57" s="193"/>
      <c r="E57" s="193"/>
      <c r="F57" s="194"/>
      <c r="G57" s="193"/>
      <c r="H57" s="193"/>
      <c r="I57" s="193"/>
      <c r="J57" s="201"/>
      <c r="K57" s="156"/>
      <c r="L57" s="160"/>
      <c r="M57" s="151"/>
      <c r="N57" s="157"/>
      <c r="O57" s="157"/>
    </row>
    <row r="58" spans="1:15" s="91" customFormat="1" x14ac:dyDescent="0.3">
      <c r="A58" s="155"/>
      <c r="B58" s="158" t="s">
        <v>1000</v>
      </c>
      <c r="C58" s="36"/>
      <c r="D58" s="179"/>
      <c r="E58" s="179"/>
      <c r="F58" s="184"/>
      <c r="G58" s="179"/>
      <c r="H58" s="179">
        <f>SUM(H46:H56)</f>
        <v>12246.374999999996</v>
      </c>
      <c r="I58" s="179">
        <f>SUM(I46:I55)</f>
        <v>9482.86</v>
      </c>
      <c r="J58" s="180">
        <f>SUM(J46:J55)</f>
        <v>9610.51</v>
      </c>
      <c r="K58" s="156"/>
      <c r="L58" s="160"/>
      <c r="M58" s="151"/>
      <c r="N58" s="157"/>
      <c r="O58" s="157"/>
    </row>
    <row r="59" spans="1:15" s="91" customFormat="1" x14ac:dyDescent="0.3">
      <c r="A59" s="150"/>
      <c r="B59" s="151"/>
      <c r="C59" s="104"/>
      <c r="D59" s="193"/>
      <c r="E59" s="193"/>
      <c r="F59" s="194"/>
      <c r="G59" s="193"/>
      <c r="H59" s="193"/>
      <c r="I59" s="193"/>
      <c r="J59" s="232"/>
      <c r="K59" s="156"/>
      <c r="L59" s="151"/>
      <c r="M59" s="151"/>
      <c r="N59" s="151"/>
      <c r="O59" s="151"/>
    </row>
    <row r="60" spans="1:15" s="91" customFormat="1" ht="18.75" x14ac:dyDescent="0.35">
      <c r="A60" s="155"/>
      <c r="B60" s="166"/>
      <c r="C60" s="37" t="s">
        <v>98</v>
      </c>
      <c r="D60" s="203"/>
      <c r="E60" s="203"/>
      <c r="F60" s="204"/>
      <c r="G60" s="203"/>
      <c r="H60" s="203">
        <f>H58+H43+H32</f>
        <v>15387.774999999996</v>
      </c>
      <c r="I60" s="203">
        <f>I58+I43+I32</f>
        <v>10927.869999999999</v>
      </c>
      <c r="J60" s="205">
        <f>J58+J43+J32</f>
        <v>11374.119999999999</v>
      </c>
      <c r="K60" s="156"/>
      <c r="L60" s="151"/>
      <c r="M60" s="151"/>
      <c r="N60" s="151"/>
      <c r="O60" s="151"/>
    </row>
    <row r="61" spans="1:15" s="91" customFormat="1" ht="18.75" x14ac:dyDescent="0.35">
      <c r="A61" s="155"/>
      <c r="B61" s="166"/>
      <c r="C61" s="37"/>
      <c r="D61" s="203"/>
      <c r="E61" s="203"/>
      <c r="F61" s="204"/>
      <c r="G61" s="203"/>
      <c r="H61" s="203"/>
      <c r="I61" s="203"/>
      <c r="J61" s="205"/>
      <c r="K61" s="156"/>
      <c r="L61" s="151"/>
      <c r="M61" s="151"/>
      <c r="N61" s="151"/>
      <c r="O61" s="151"/>
    </row>
    <row r="62" spans="1:15" s="91" customFormat="1" ht="20.25" x14ac:dyDescent="0.35">
      <c r="A62" s="260" t="s">
        <v>99</v>
      </c>
      <c r="B62" s="261"/>
      <c r="C62" s="254"/>
      <c r="D62" s="167"/>
      <c r="E62" s="167"/>
      <c r="F62" s="190"/>
      <c r="G62" s="167"/>
      <c r="H62" s="167"/>
      <c r="I62" s="167"/>
      <c r="J62" s="168"/>
      <c r="K62" s="156"/>
      <c r="L62" s="151"/>
      <c r="M62" s="151"/>
      <c r="N62" s="151"/>
      <c r="O62" s="151"/>
    </row>
    <row r="63" spans="1:15" s="91" customFormat="1" ht="20.25" x14ac:dyDescent="0.35">
      <c r="A63" s="175"/>
      <c r="B63" s="169" t="s">
        <v>100</v>
      </c>
      <c r="C63" s="214"/>
      <c r="D63" s="206"/>
      <c r="E63" s="206"/>
      <c r="F63" s="206"/>
      <c r="G63" s="206"/>
      <c r="H63" s="206">
        <f>H14</f>
        <v>1700</v>
      </c>
      <c r="I63" s="206">
        <f>I14</f>
        <v>0</v>
      </c>
      <c r="J63" s="118">
        <f>J14</f>
        <v>0</v>
      </c>
      <c r="K63" s="156"/>
      <c r="L63" s="151"/>
      <c r="M63" s="151"/>
      <c r="N63" s="151"/>
      <c r="O63" s="151"/>
    </row>
    <row r="64" spans="1:15" s="91" customFormat="1" ht="20.25" x14ac:dyDescent="0.35">
      <c r="A64" s="175"/>
      <c r="B64" s="170" t="s">
        <v>101</v>
      </c>
      <c r="C64" s="136"/>
      <c r="D64" s="207"/>
      <c r="E64" s="207"/>
      <c r="F64" s="207"/>
      <c r="G64" s="207"/>
      <c r="H64" s="207">
        <f>H60</f>
        <v>15387.774999999996</v>
      </c>
      <c r="I64" s="207">
        <f>I60</f>
        <v>10927.869999999999</v>
      </c>
      <c r="J64" s="119">
        <f>J60</f>
        <v>11374.119999999999</v>
      </c>
      <c r="K64" s="156"/>
      <c r="L64" s="160"/>
      <c r="M64" s="151"/>
      <c r="N64" s="157"/>
      <c r="O64" s="157"/>
    </row>
    <row r="65" spans="1:15" s="91" customFormat="1" ht="20.25" x14ac:dyDescent="0.35">
      <c r="A65" s="208"/>
      <c r="B65" s="171" t="s">
        <v>102</v>
      </c>
      <c r="C65" s="215"/>
      <c r="D65" s="209"/>
      <c r="E65" s="209"/>
      <c r="F65" s="209"/>
      <c r="G65" s="209"/>
      <c r="H65" s="209">
        <f>H63-H64</f>
        <v>-13687.774999999996</v>
      </c>
      <c r="I65" s="209">
        <f>I63-I64</f>
        <v>-10927.869999999999</v>
      </c>
      <c r="J65" s="120">
        <f>J63-J64</f>
        <v>-11374.119999999999</v>
      </c>
      <c r="K65" s="156"/>
      <c r="L65" s="160"/>
      <c r="M65" s="151"/>
      <c r="N65" s="157"/>
      <c r="O65" s="157"/>
    </row>
    <row r="66" spans="1:15" s="95" customFormat="1" ht="18.75" x14ac:dyDescent="0.35">
      <c r="A66" s="166"/>
      <c r="B66" s="134"/>
      <c r="C66" s="42"/>
      <c r="D66" s="135"/>
      <c r="E66" s="152"/>
      <c r="F66" s="188"/>
      <c r="G66" s="152"/>
      <c r="H66" s="152"/>
      <c r="I66" s="152"/>
      <c r="J66" s="152"/>
      <c r="K66" s="130"/>
      <c r="L66" s="131"/>
      <c r="M66" s="130"/>
      <c r="N66" s="130"/>
      <c r="O66" s="132"/>
    </row>
    <row r="67" spans="1:15" s="95" customFormat="1" ht="18.75" x14ac:dyDescent="0.35">
      <c r="A67" s="166"/>
      <c r="B67" s="134"/>
      <c r="C67" s="41"/>
      <c r="D67" s="135"/>
      <c r="E67" s="152"/>
      <c r="F67" s="188"/>
      <c r="G67" s="152"/>
      <c r="H67" s="152"/>
      <c r="I67" s="152"/>
      <c r="J67" s="152"/>
      <c r="K67" s="130"/>
      <c r="L67" s="131"/>
      <c r="M67" s="130"/>
      <c r="N67" s="130"/>
      <c r="O67" s="132"/>
    </row>
    <row r="68" spans="1:15" s="96" customFormat="1" ht="20.25" x14ac:dyDescent="0.35">
      <c r="A68" s="134"/>
      <c r="B68" s="134"/>
      <c r="C68" s="41"/>
      <c r="D68" s="135"/>
      <c r="E68" s="152"/>
      <c r="F68" s="188"/>
      <c r="G68" s="152"/>
      <c r="H68" s="152"/>
      <c r="I68" s="152"/>
      <c r="J68" s="152"/>
      <c r="K68" s="136"/>
      <c r="L68" s="136"/>
      <c r="M68" s="133"/>
      <c r="N68" s="133"/>
      <c r="O68" s="133"/>
    </row>
    <row r="69" spans="1:15" s="97" customFormat="1" ht="20.25" x14ac:dyDescent="0.35">
      <c r="A69" s="134"/>
      <c r="B69" s="134"/>
      <c r="C69" s="41"/>
      <c r="D69" s="135"/>
      <c r="E69" s="152"/>
      <c r="F69" s="188"/>
      <c r="G69" s="152"/>
      <c r="H69" s="152"/>
      <c r="I69" s="152"/>
      <c r="J69" s="152"/>
      <c r="K69" s="170"/>
      <c r="L69" s="170"/>
      <c r="M69" s="170"/>
      <c r="N69" s="170"/>
      <c r="O69" s="170"/>
    </row>
    <row r="70" spans="1:15" s="97" customFormat="1" ht="20.25" x14ac:dyDescent="0.35">
      <c r="A70" s="134"/>
      <c r="B70" s="134"/>
      <c r="C70" s="41"/>
      <c r="D70" s="135"/>
      <c r="E70" s="152"/>
      <c r="F70" s="188"/>
      <c r="G70" s="152"/>
      <c r="H70" s="152"/>
      <c r="I70" s="152"/>
      <c r="J70" s="152"/>
      <c r="K70" s="170"/>
      <c r="L70" s="170"/>
      <c r="M70" s="170"/>
      <c r="N70" s="170"/>
      <c r="O70" s="170"/>
    </row>
    <row r="71" spans="1:15" s="97" customFormat="1" ht="20.25" x14ac:dyDescent="0.35">
      <c r="A71" s="134"/>
      <c r="B71" s="134"/>
      <c r="C71" s="41"/>
      <c r="D71" s="135"/>
      <c r="E71" s="152"/>
      <c r="F71" s="188"/>
      <c r="G71" s="152"/>
      <c r="H71" s="152"/>
      <c r="I71" s="152"/>
      <c r="J71" s="152"/>
      <c r="K71" s="170"/>
      <c r="L71" s="170"/>
      <c r="M71" s="170"/>
      <c r="N71" s="170"/>
      <c r="O71" s="170"/>
    </row>
    <row r="72" spans="1:15" s="91" customFormat="1" x14ac:dyDescent="0.3">
      <c r="A72" s="134"/>
      <c r="B72" s="134"/>
      <c r="C72" s="41"/>
      <c r="D72" s="135"/>
      <c r="E72" s="152"/>
      <c r="F72" s="188"/>
      <c r="G72" s="152"/>
      <c r="H72" s="152"/>
      <c r="I72" s="152"/>
      <c r="J72" s="152"/>
      <c r="K72" s="151"/>
      <c r="L72" s="151"/>
      <c r="M72" s="151"/>
      <c r="N72" s="151"/>
      <c r="O72" s="151"/>
    </row>
  </sheetData>
  <mergeCells count="6">
    <mergeCell ref="A1:C4"/>
    <mergeCell ref="D1:J4"/>
    <mergeCell ref="A5:C5"/>
    <mergeCell ref="D5:E5"/>
    <mergeCell ref="A16:C16"/>
    <mergeCell ref="A8:C8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0"/>
  <sheetViews>
    <sheetView zoomScale="75" zoomScaleNormal="75" zoomScalePageLayoutView="70" workbookViewId="0">
      <pane xSplit="3" ySplit="6" topLeftCell="G328" activePane="bottomRight" state="frozen"/>
      <selection pane="topRight" activeCell="C1" sqref="C1"/>
      <selection pane="bottomLeft" activeCell="A4" sqref="A4"/>
      <selection pane="bottomRight" activeCell="J352" sqref="J352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57.7109375" style="60" bestFit="1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.4257812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2" style="15" bestFit="1" customWidth="1"/>
    <col min="15" max="15" width="14.28515625" style="15" customWidth="1"/>
    <col min="16" max="16" width="12" style="15" bestFit="1" customWidth="1"/>
    <col min="17" max="16384" width="8.85546875" style="15"/>
  </cols>
  <sheetData>
    <row r="1" spans="1:16" s="1" customFormat="1" ht="38.25" customHeight="1" x14ac:dyDescent="0.3">
      <c r="A1" s="284"/>
      <c r="B1" s="285"/>
      <c r="C1" s="286"/>
      <c r="D1" s="262" t="s">
        <v>46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  <c r="P1" s="121"/>
    </row>
    <row r="2" spans="1:16" s="1" customFormat="1" ht="38.25" customHeight="1" x14ac:dyDescent="0.3">
      <c r="A2" s="287"/>
      <c r="B2" s="288"/>
      <c r="C2" s="289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  <c r="P2" s="121"/>
    </row>
    <row r="3" spans="1:16" s="1" customFormat="1" ht="38.25" customHeight="1" x14ac:dyDescent="0.3">
      <c r="A3" s="287"/>
      <c r="B3" s="288"/>
      <c r="C3" s="289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  <c r="P3" s="121"/>
    </row>
    <row r="4" spans="1:16" s="1" customFormat="1" ht="38.25" customHeight="1" x14ac:dyDescent="0.3">
      <c r="A4" s="290"/>
      <c r="B4" s="291"/>
      <c r="C4" s="292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  <c r="P4" s="121"/>
    </row>
    <row r="5" spans="1:16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  <c r="P5" s="121"/>
    </row>
    <row r="6" spans="1:16" s="21" customFormat="1" x14ac:dyDescent="0.3">
      <c r="A6" s="172"/>
      <c r="B6" s="183" t="s">
        <v>104</v>
      </c>
      <c r="C6" s="181" t="s">
        <v>105</v>
      </c>
      <c r="D6" s="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  <c r="P6" s="138"/>
    </row>
    <row r="7" spans="1:16" s="1" customFormat="1" x14ac:dyDescent="0.3">
      <c r="A7" s="144"/>
      <c r="B7" s="176"/>
      <c r="C7" s="145"/>
      <c r="D7" s="72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  <c r="P7" s="121"/>
    </row>
    <row r="8" spans="1:16" s="1" customFormat="1" x14ac:dyDescent="0.3">
      <c r="A8" s="273" t="s">
        <v>5</v>
      </c>
      <c r="B8" s="274"/>
      <c r="C8" s="274"/>
      <c r="D8" s="71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  <c r="P8" s="121"/>
    </row>
    <row r="9" spans="1:16" s="4" customFormat="1" x14ac:dyDescent="0.3">
      <c r="A9" s="150" t="s">
        <v>1001</v>
      </c>
      <c r="B9" s="159"/>
      <c r="C9" s="103"/>
      <c r="D9" s="70"/>
      <c r="E9" s="193"/>
      <c r="F9" s="194"/>
      <c r="G9" s="193"/>
      <c r="H9" s="193"/>
      <c r="I9" s="193"/>
      <c r="J9" s="232"/>
      <c r="K9" s="151"/>
      <c r="L9" s="151"/>
      <c r="M9" s="151"/>
      <c r="N9" s="152"/>
      <c r="O9" s="151"/>
      <c r="P9" s="152"/>
    </row>
    <row r="10" spans="1:16" s="4" customFormat="1" x14ac:dyDescent="0.3">
      <c r="A10" s="164"/>
      <c r="B10" s="182" t="s">
        <v>1002</v>
      </c>
      <c r="C10" s="102" t="s">
        <v>1003</v>
      </c>
      <c r="D10" s="50"/>
      <c r="E10" s="191">
        <v>2</v>
      </c>
      <c r="F10" s="192">
        <v>400</v>
      </c>
      <c r="G10" s="191">
        <f>F10*E10</f>
        <v>800</v>
      </c>
      <c r="H10" s="191">
        <f>G10</f>
        <v>800</v>
      </c>
      <c r="I10" s="191">
        <v>490</v>
      </c>
      <c r="J10" s="200">
        <v>490</v>
      </c>
      <c r="K10" s="152"/>
      <c r="L10" s="151"/>
      <c r="M10" s="151"/>
      <c r="N10" s="152"/>
      <c r="O10" s="151"/>
      <c r="P10" s="151"/>
    </row>
    <row r="11" spans="1:16" s="4" customFormat="1" x14ac:dyDescent="0.3">
      <c r="A11" s="155"/>
      <c r="B11" s="103" t="s">
        <v>1004</v>
      </c>
      <c r="C11" s="104" t="s">
        <v>1005</v>
      </c>
      <c r="D11" s="70"/>
      <c r="E11" s="193">
        <v>25</v>
      </c>
      <c r="F11" s="194">
        <v>200</v>
      </c>
      <c r="G11" s="193">
        <f t="shared" ref="G11:G19" si="0">F11*E11</f>
        <v>5000</v>
      </c>
      <c r="H11" s="193">
        <f t="shared" ref="H11:H19" si="1">G11</f>
        <v>5000</v>
      </c>
      <c r="I11" s="193"/>
      <c r="J11" s="201"/>
      <c r="K11" s="151"/>
      <c r="L11" s="151"/>
      <c r="M11" s="151"/>
      <c r="N11" s="157"/>
      <c r="O11" s="151"/>
      <c r="P11" s="151"/>
    </row>
    <row r="12" spans="1:16" s="4" customFormat="1" x14ac:dyDescent="0.3">
      <c r="A12" s="155"/>
      <c r="B12" s="182" t="s">
        <v>1006</v>
      </c>
      <c r="C12" s="102" t="s">
        <v>1007</v>
      </c>
      <c r="D12" s="50"/>
      <c r="E12" s="191">
        <v>15</v>
      </c>
      <c r="F12" s="192">
        <v>200</v>
      </c>
      <c r="G12" s="191">
        <f t="shared" si="0"/>
        <v>3000</v>
      </c>
      <c r="H12" s="191">
        <f t="shared" si="1"/>
        <v>3000</v>
      </c>
      <c r="I12" s="191"/>
      <c r="J12" s="200"/>
      <c r="K12" s="151"/>
      <c r="L12" s="151"/>
      <c r="M12" s="151"/>
      <c r="N12" s="157"/>
      <c r="O12" s="151"/>
      <c r="P12" s="151"/>
    </row>
    <row r="13" spans="1:16" s="4" customFormat="1" x14ac:dyDescent="0.3">
      <c r="A13" s="155"/>
      <c r="B13" s="103" t="s">
        <v>1008</v>
      </c>
      <c r="C13" s="104" t="s">
        <v>1009</v>
      </c>
      <c r="D13" s="70"/>
      <c r="E13" s="193">
        <v>20</v>
      </c>
      <c r="F13" s="194">
        <v>400</v>
      </c>
      <c r="G13" s="193">
        <f t="shared" si="0"/>
        <v>8000</v>
      </c>
      <c r="H13" s="193">
        <f t="shared" si="1"/>
        <v>8000</v>
      </c>
      <c r="I13" s="193"/>
      <c r="J13" s="201"/>
      <c r="K13" s="151"/>
      <c r="L13" s="217"/>
      <c r="M13" s="151"/>
      <c r="N13" s="157"/>
      <c r="O13" s="151"/>
      <c r="P13" s="151"/>
    </row>
    <row r="14" spans="1:16" s="151" customFormat="1" x14ac:dyDescent="0.3">
      <c r="A14" s="155"/>
      <c r="B14" s="182" t="s">
        <v>1010</v>
      </c>
      <c r="C14" s="102" t="s">
        <v>1011</v>
      </c>
      <c r="D14" s="50"/>
      <c r="E14" s="191">
        <v>500</v>
      </c>
      <c r="F14" s="192">
        <v>1</v>
      </c>
      <c r="G14" s="191">
        <f t="shared" si="0"/>
        <v>500</v>
      </c>
      <c r="H14" s="191">
        <f>G14</f>
        <v>500</v>
      </c>
      <c r="I14" s="191"/>
      <c r="J14" s="200">
        <v>220.25</v>
      </c>
      <c r="L14" s="217"/>
      <c r="N14" s="157"/>
    </row>
    <row r="15" spans="1:16" s="4" customFormat="1" x14ac:dyDescent="0.3">
      <c r="A15" s="155"/>
      <c r="B15" s="103" t="s">
        <v>1012</v>
      </c>
      <c r="C15" s="104" t="s">
        <v>1013</v>
      </c>
      <c r="D15" s="70"/>
      <c r="E15" s="193">
        <v>10</v>
      </c>
      <c r="F15" s="194">
        <v>200</v>
      </c>
      <c r="G15" s="193">
        <f t="shared" si="0"/>
        <v>2000</v>
      </c>
      <c r="H15" s="193">
        <f t="shared" si="1"/>
        <v>2000</v>
      </c>
      <c r="I15" s="193"/>
      <c r="J15" s="201"/>
      <c r="K15" s="151"/>
      <c r="L15" s="151"/>
      <c r="M15" s="151"/>
      <c r="N15" s="157"/>
      <c r="O15" s="151"/>
      <c r="P15" s="151"/>
    </row>
    <row r="16" spans="1:16" s="4" customFormat="1" x14ac:dyDescent="0.3">
      <c r="A16" s="155"/>
      <c r="B16" s="182" t="s">
        <v>1014</v>
      </c>
      <c r="C16" s="102" t="s">
        <v>1015</v>
      </c>
      <c r="D16" s="50"/>
      <c r="E16" s="191">
        <v>10</v>
      </c>
      <c r="F16" s="192">
        <v>100</v>
      </c>
      <c r="G16" s="191">
        <f t="shared" si="0"/>
        <v>1000</v>
      </c>
      <c r="H16" s="191">
        <f t="shared" si="1"/>
        <v>1000</v>
      </c>
      <c r="I16" s="191"/>
      <c r="J16" s="200"/>
      <c r="K16" s="151"/>
      <c r="L16" s="151"/>
      <c r="M16" s="151"/>
      <c r="N16" s="157"/>
      <c r="O16" s="151"/>
      <c r="P16" s="151"/>
    </row>
    <row r="17" spans="1:16" s="4" customFormat="1" x14ac:dyDescent="0.3">
      <c r="A17" s="155"/>
      <c r="B17" s="103" t="s">
        <v>1016</v>
      </c>
      <c r="C17" s="104" t="s">
        <v>1017</v>
      </c>
      <c r="D17" s="70"/>
      <c r="E17" s="193">
        <v>0</v>
      </c>
      <c r="F17" s="194">
        <v>50</v>
      </c>
      <c r="G17" s="193">
        <f t="shared" si="0"/>
        <v>0</v>
      </c>
      <c r="H17" s="193">
        <f t="shared" si="1"/>
        <v>0</v>
      </c>
      <c r="I17" s="193"/>
      <c r="J17" s="201"/>
      <c r="K17" s="151"/>
      <c r="L17" s="151"/>
      <c r="M17" s="151"/>
      <c r="N17" s="152"/>
      <c r="O17" s="151"/>
      <c r="P17" s="151"/>
    </row>
    <row r="18" spans="1:16" s="4" customFormat="1" x14ac:dyDescent="0.3">
      <c r="A18" s="155"/>
      <c r="B18" s="182" t="s">
        <v>1018</v>
      </c>
      <c r="C18" s="102" t="s">
        <v>1019</v>
      </c>
      <c r="D18" s="50"/>
      <c r="E18" s="191">
        <v>5</v>
      </c>
      <c r="F18" s="192">
        <v>150</v>
      </c>
      <c r="G18" s="191">
        <f t="shared" si="0"/>
        <v>750</v>
      </c>
      <c r="H18" s="191">
        <f t="shared" si="1"/>
        <v>750</v>
      </c>
      <c r="I18" s="191"/>
      <c r="J18" s="200"/>
      <c r="K18" s="151"/>
      <c r="L18" s="151"/>
      <c r="M18" s="151"/>
      <c r="N18" s="157"/>
      <c r="O18" s="151"/>
      <c r="P18" s="157"/>
    </row>
    <row r="19" spans="1:16" s="4" customFormat="1" x14ac:dyDescent="0.3">
      <c r="A19" s="155"/>
      <c r="B19" s="103" t="s">
        <v>1020</v>
      </c>
      <c r="C19" s="104" t="s">
        <v>1021</v>
      </c>
      <c r="D19" s="70"/>
      <c r="E19" s="193">
        <v>0</v>
      </c>
      <c r="F19" s="194">
        <v>200</v>
      </c>
      <c r="G19" s="193">
        <f t="shared" si="0"/>
        <v>0</v>
      </c>
      <c r="H19" s="193">
        <f t="shared" si="1"/>
        <v>0</v>
      </c>
      <c r="I19" s="193"/>
      <c r="J19" s="201"/>
      <c r="K19" s="151"/>
      <c r="L19" s="151"/>
      <c r="M19" s="151"/>
      <c r="N19" s="157"/>
      <c r="O19" s="151"/>
      <c r="P19" s="151"/>
    </row>
    <row r="20" spans="1:16" s="4" customFormat="1" x14ac:dyDescent="0.3">
      <c r="A20" s="155"/>
      <c r="B20" s="182"/>
      <c r="C20" s="102"/>
      <c r="D20" s="50"/>
      <c r="E20" s="191"/>
      <c r="F20" s="192"/>
      <c r="G20" s="191"/>
      <c r="H20" s="191"/>
      <c r="I20" s="191"/>
      <c r="J20" s="200"/>
      <c r="K20" s="151"/>
      <c r="L20" s="151"/>
      <c r="M20" s="151"/>
      <c r="N20" s="157"/>
      <c r="O20" s="151"/>
      <c r="P20" s="151"/>
    </row>
    <row r="21" spans="1:16" s="6" customFormat="1" x14ac:dyDescent="0.3">
      <c r="A21" s="150"/>
      <c r="B21" s="158" t="s">
        <v>1022</v>
      </c>
      <c r="C21" s="36"/>
      <c r="D21" s="69"/>
      <c r="E21" s="179"/>
      <c r="F21" s="184"/>
      <c r="G21" s="179"/>
      <c r="H21" s="179">
        <f>SUM(H10:H19)</f>
        <v>21050</v>
      </c>
      <c r="I21" s="179">
        <f>SUM(I10:I19)</f>
        <v>490</v>
      </c>
      <c r="J21" s="180">
        <f>SUM(J10:J19)</f>
        <v>710.25</v>
      </c>
      <c r="K21" s="156"/>
      <c r="L21" s="124"/>
      <c r="M21" s="159"/>
      <c r="N21" s="125"/>
      <c r="O21" s="125"/>
      <c r="P21" s="159"/>
    </row>
    <row r="22" spans="1:16" s="78" customFormat="1" x14ac:dyDescent="0.3">
      <c r="A22" s="150"/>
      <c r="B22" s="159"/>
      <c r="C22" s="129"/>
      <c r="D22" s="68"/>
      <c r="E22" s="196"/>
      <c r="F22" s="202"/>
      <c r="G22" s="196"/>
      <c r="H22" s="196"/>
      <c r="I22" s="196"/>
      <c r="J22" s="197"/>
      <c r="K22" s="156"/>
      <c r="L22" s="124"/>
      <c r="M22" s="159"/>
      <c r="N22" s="125"/>
      <c r="O22" s="125"/>
      <c r="P22" s="159"/>
    </row>
    <row r="23" spans="1:16" s="76" customFormat="1" x14ac:dyDescent="0.3">
      <c r="A23" s="150" t="s">
        <v>1023</v>
      </c>
      <c r="B23" s="159"/>
      <c r="C23" s="103"/>
      <c r="D23" s="67"/>
      <c r="E23" s="152"/>
      <c r="F23" s="188"/>
      <c r="G23" s="152"/>
      <c r="H23" s="152"/>
      <c r="I23" s="152"/>
      <c r="J23" s="153"/>
      <c r="K23" s="151"/>
      <c r="L23" s="151"/>
      <c r="M23" s="151"/>
      <c r="N23" s="151"/>
      <c r="O23" s="151"/>
      <c r="P23" s="151"/>
    </row>
    <row r="24" spans="1:16" s="76" customFormat="1" x14ac:dyDescent="0.3">
      <c r="A24" s="150"/>
      <c r="B24" s="182" t="s">
        <v>1024</v>
      </c>
      <c r="C24" s="182" t="s">
        <v>1025</v>
      </c>
      <c r="D24" s="50" t="s">
        <v>1026</v>
      </c>
      <c r="E24" s="191">
        <v>8</v>
      </c>
      <c r="F24" s="192">
        <v>25</v>
      </c>
      <c r="G24" s="191">
        <f>F24*E24</f>
        <v>200</v>
      </c>
      <c r="H24" s="191">
        <f>G24</f>
        <v>200</v>
      </c>
      <c r="I24" s="191"/>
      <c r="J24" s="200"/>
      <c r="K24" s="151"/>
      <c r="L24" s="151"/>
      <c r="M24" s="151"/>
      <c r="N24" s="151"/>
      <c r="O24" s="151"/>
      <c r="P24" s="151"/>
    </row>
    <row r="25" spans="1:16" s="76" customFormat="1" x14ac:dyDescent="0.3">
      <c r="A25" s="155"/>
      <c r="B25" s="103" t="s">
        <v>1027</v>
      </c>
      <c r="C25" s="104" t="s">
        <v>1028</v>
      </c>
      <c r="D25" s="70"/>
      <c r="E25" s="193">
        <v>5</v>
      </c>
      <c r="F25" s="194">
        <v>75</v>
      </c>
      <c r="G25" s="193">
        <f>F25*E25</f>
        <v>375</v>
      </c>
      <c r="H25" s="193">
        <f>G25</f>
        <v>375</v>
      </c>
      <c r="I25" s="193"/>
      <c r="J25" s="201"/>
      <c r="K25" s="151"/>
      <c r="L25" s="151"/>
      <c r="M25" s="151"/>
      <c r="N25" s="157"/>
      <c r="O25" s="151"/>
      <c r="P25" s="151"/>
    </row>
    <row r="26" spans="1:16" s="76" customFormat="1" x14ac:dyDescent="0.3">
      <c r="A26" s="155"/>
      <c r="B26" s="154"/>
      <c r="C26" s="102"/>
      <c r="D26" s="50"/>
      <c r="E26" s="191"/>
      <c r="F26" s="192"/>
      <c r="G26" s="191"/>
      <c r="H26" s="191"/>
      <c r="I26" s="191"/>
      <c r="J26" s="200"/>
      <c r="K26" s="151"/>
      <c r="L26" s="151"/>
      <c r="M26" s="151"/>
      <c r="N26" s="157"/>
      <c r="O26" s="151"/>
      <c r="P26" s="151"/>
    </row>
    <row r="27" spans="1:16" s="76" customFormat="1" x14ac:dyDescent="0.3">
      <c r="A27" s="155"/>
      <c r="B27" s="158" t="s">
        <v>1029</v>
      </c>
      <c r="C27" s="35"/>
      <c r="D27" s="66"/>
      <c r="E27" s="210"/>
      <c r="F27" s="211"/>
      <c r="G27" s="210"/>
      <c r="H27" s="179">
        <f>SUM(H24:H25)</f>
        <v>575</v>
      </c>
      <c r="I27" s="179">
        <f>SUM(I24:I25)</f>
        <v>0</v>
      </c>
      <c r="J27" s="180">
        <f>SUM(J24:J25)</f>
        <v>0</v>
      </c>
      <c r="K27" s="151"/>
      <c r="L27" s="151"/>
      <c r="M27" s="151"/>
      <c r="N27" s="157"/>
      <c r="O27" s="151"/>
      <c r="P27" s="151"/>
    </row>
    <row r="28" spans="1:16" s="4" customFormat="1" x14ac:dyDescent="0.3">
      <c r="A28" s="150"/>
      <c r="B28" s="159"/>
      <c r="C28" s="129"/>
      <c r="D28" s="68"/>
      <c r="E28" s="196"/>
      <c r="F28" s="202"/>
      <c r="G28" s="196"/>
      <c r="H28" s="196"/>
      <c r="I28" s="196"/>
      <c r="J28" s="197"/>
      <c r="K28" s="156"/>
      <c r="L28" s="160"/>
      <c r="M28" s="156"/>
      <c r="N28" s="156"/>
      <c r="O28" s="157"/>
      <c r="P28" s="151"/>
    </row>
    <row r="29" spans="1:16" s="76" customFormat="1" x14ac:dyDescent="0.3">
      <c r="A29" s="150" t="s">
        <v>1030</v>
      </c>
      <c r="B29" s="159"/>
      <c r="C29" s="103"/>
      <c r="D29" s="67"/>
      <c r="E29" s="152"/>
      <c r="F29" s="188"/>
      <c r="G29" s="152"/>
      <c r="H29" s="152"/>
      <c r="I29" s="152"/>
      <c r="J29" s="153"/>
      <c r="K29" s="156"/>
      <c r="L29" s="160"/>
      <c r="M29" s="151"/>
      <c r="N29" s="157"/>
      <c r="O29" s="157"/>
      <c r="P29" s="151"/>
    </row>
    <row r="30" spans="1:16" s="76" customFormat="1" x14ac:dyDescent="0.3">
      <c r="A30" s="150"/>
      <c r="B30" s="182" t="s">
        <v>1031</v>
      </c>
      <c r="C30" s="182" t="s">
        <v>1032</v>
      </c>
      <c r="D30" s="50"/>
      <c r="E30" s="191">
        <v>50</v>
      </c>
      <c r="F30" s="192">
        <v>1</v>
      </c>
      <c r="G30" s="191">
        <f>F30*E30</f>
        <v>50</v>
      </c>
      <c r="H30" s="191">
        <f>G30</f>
        <v>50</v>
      </c>
      <c r="I30" s="191"/>
      <c r="J30" s="200"/>
      <c r="K30" s="156"/>
      <c r="L30" s="160"/>
      <c r="M30" s="151"/>
      <c r="N30" s="157"/>
      <c r="O30" s="157"/>
      <c r="P30" s="151"/>
    </row>
    <row r="31" spans="1:16" s="4" customFormat="1" x14ac:dyDescent="0.3">
      <c r="A31" s="155"/>
      <c r="B31" s="151"/>
      <c r="C31" s="104"/>
      <c r="D31" s="70"/>
      <c r="E31" s="193"/>
      <c r="F31" s="194"/>
      <c r="G31" s="193"/>
      <c r="H31" s="193"/>
      <c r="I31" s="193"/>
      <c r="J31" s="201"/>
      <c r="K31" s="151"/>
      <c r="L31" s="160"/>
      <c r="M31" s="151"/>
      <c r="N31" s="157"/>
      <c r="O31" s="151"/>
      <c r="P31" s="151"/>
    </row>
    <row r="32" spans="1:16" s="4" customFormat="1" x14ac:dyDescent="0.3">
      <c r="A32" s="150"/>
      <c r="B32" s="158" t="s">
        <v>1033</v>
      </c>
      <c r="C32" s="36"/>
      <c r="D32" s="69"/>
      <c r="E32" s="179"/>
      <c r="F32" s="184"/>
      <c r="G32" s="179"/>
      <c r="H32" s="179">
        <f>H30</f>
        <v>50</v>
      </c>
      <c r="I32" s="179">
        <f>I30</f>
        <v>0</v>
      </c>
      <c r="J32" s="180">
        <f>J30</f>
        <v>0</v>
      </c>
      <c r="K32" s="156"/>
      <c r="L32" s="160"/>
      <c r="M32" s="151"/>
      <c r="N32" s="157"/>
      <c r="O32" s="157"/>
      <c r="P32" s="151"/>
    </row>
    <row r="33" spans="1:15" s="4" customFormat="1" x14ac:dyDescent="0.3">
      <c r="A33" s="150"/>
      <c r="B33" s="159"/>
      <c r="C33" s="129"/>
      <c r="D33" s="68"/>
      <c r="E33" s="196"/>
      <c r="F33" s="202"/>
      <c r="G33" s="196"/>
      <c r="H33" s="196"/>
      <c r="I33" s="196"/>
      <c r="J33" s="197"/>
      <c r="K33" s="156"/>
      <c r="L33" s="160"/>
      <c r="M33" s="151"/>
      <c r="N33" s="157"/>
      <c r="O33" s="157"/>
    </row>
    <row r="34" spans="1:15" s="76" customFormat="1" x14ac:dyDescent="0.3">
      <c r="A34" s="150" t="s">
        <v>1034</v>
      </c>
      <c r="B34" s="159"/>
      <c r="C34" s="103"/>
      <c r="D34" s="67"/>
      <c r="E34" s="152"/>
      <c r="F34" s="188"/>
      <c r="G34" s="152"/>
      <c r="H34" s="152"/>
      <c r="I34" s="152"/>
      <c r="J34" s="153"/>
      <c r="K34" s="156"/>
      <c r="L34" s="151"/>
      <c r="M34" s="151"/>
      <c r="N34" s="151"/>
      <c r="O34" s="151"/>
    </row>
    <row r="35" spans="1:15" s="79" customFormat="1" ht="14.25" customHeight="1" x14ac:dyDescent="0.35">
      <c r="A35" s="150"/>
      <c r="B35" s="182" t="s">
        <v>1035</v>
      </c>
      <c r="C35" s="182" t="s">
        <v>1036</v>
      </c>
      <c r="D35" s="191" t="s">
        <v>1037</v>
      </c>
      <c r="E35" s="191">
        <f>H190</f>
        <v>479.01829999999995</v>
      </c>
      <c r="F35" s="192">
        <v>1</v>
      </c>
      <c r="G35" s="191">
        <f>F35*E35</f>
        <v>479.01829999999995</v>
      </c>
      <c r="H35" s="191">
        <f>G35</f>
        <v>479.01829999999995</v>
      </c>
      <c r="I35" s="191"/>
      <c r="J35" s="200"/>
      <c r="K35" s="156"/>
      <c r="L35" s="151"/>
      <c r="M35" s="151"/>
      <c r="N35" s="151"/>
      <c r="O35" s="151"/>
    </row>
    <row r="36" spans="1:15" s="4" customFormat="1" x14ac:dyDescent="0.3">
      <c r="A36" s="155"/>
      <c r="B36" s="151"/>
      <c r="C36" s="104"/>
      <c r="D36" s="70"/>
      <c r="E36" s="193"/>
      <c r="F36" s="194"/>
      <c r="G36" s="193"/>
      <c r="H36" s="193"/>
      <c r="I36" s="193"/>
      <c r="J36" s="201"/>
      <c r="K36" s="151"/>
      <c r="L36" s="151"/>
      <c r="M36" s="151"/>
      <c r="N36" s="157"/>
      <c r="O36" s="151"/>
    </row>
    <row r="37" spans="1:15" s="4" customFormat="1" x14ac:dyDescent="0.3">
      <c r="A37" s="155"/>
      <c r="B37" s="158" t="s">
        <v>1038</v>
      </c>
      <c r="C37" s="35"/>
      <c r="D37" s="66"/>
      <c r="E37" s="210"/>
      <c r="F37" s="211"/>
      <c r="G37" s="210"/>
      <c r="H37" s="179">
        <f>SUM(H34:H35)</f>
        <v>479.01829999999995</v>
      </c>
      <c r="I37" s="179">
        <f>SUM(I34:I35)</f>
        <v>0</v>
      </c>
      <c r="J37" s="180">
        <f>SUM(J34:J35)</f>
        <v>0</v>
      </c>
      <c r="K37" s="151"/>
      <c r="L37" s="151"/>
      <c r="M37" s="151"/>
      <c r="N37" s="157"/>
      <c r="O37" s="151"/>
    </row>
    <row r="38" spans="1:15" s="4" customFormat="1" x14ac:dyDescent="0.3">
      <c r="A38" s="155"/>
      <c r="B38" s="159"/>
      <c r="C38" s="104"/>
      <c r="D38" s="70"/>
      <c r="E38" s="193"/>
      <c r="F38" s="194"/>
      <c r="G38" s="193"/>
      <c r="H38" s="196"/>
      <c r="I38" s="196"/>
      <c r="J38" s="197"/>
      <c r="K38" s="151"/>
      <c r="L38" s="151"/>
      <c r="M38" s="151"/>
      <c r="N38" s="157"/>
      <c r="O38" s="151"/>
    </row>
    <row r="39" spans="1:15" s="4" customFormat="1" x14ac:dyDescent="0.3">
      <c r="A39" s="150" t="s">
        <v>1039</v>
      </c>
      <c r="B39" s="159"/>
      <c r="C39" s="103"/>
      <c r="D39" s="67"/>
      <c r="E39" s="152"/>
      <c r="F39" s="188"/>
      <c r="G39" s="152"/>
      <c r="H39" s="152"/>
      <c r="I39" s="152"/>
      <c r="J39" s="153"/>
      <c r="K39" s="151"/>
      <c r="L39" s="151"/>
      <c r="M39" s="151"/>
      <c r="N39" s="151"/>
      <c r="O39" s="151"/>
    </row>
    <row r="40" spans="1:15" s="76" customFormat="1" x14ac:dyDescent="0.3">
      <c r="A40" s="155"/>
      <c r="B40" s="182" t="s">
        <v>1040</v>
      </c>
      <c r="C40" s="102" t="s">
        <v>1041</v>
      </c>
      <c r="D40" s="50" t="s">
        <v>1042</v>
      </c>
      <c r="E40" s="191">
        <v>1</v>
      </c>
      <c r="F40" s="192">
        <v>100</v>
      </c>
      <c r="G40" s="191">
        <f>F40*E40</f>
        <v>100</v>
      </c>
      <c r="H40" s="191">
        <f>G40</f>
        <v>100</v>
      </c>
      <c r="I40" s="191">
        <v>870.34</v>
      </c>
      <c r="J40" s="200">
        <v>870.34</v>
      </c>
      <c r="K40" s="156"/>
      <c r="L40" s="151"/>
      <c r="M40" s="151"/>
      <c r="N40" s="151"/>
      <c r="O40" s="151"/>
    </row>
    <row r="41" spans="1:15" s="76" customFormat="1" x14ac:dyDescent="0.3">
      <c r="A41" s="155"/>
      <c r="B41" s="103" t="s">
        <v>1043</v>
      </c>
      <c r="C41" s="104" t="s">
        <v>1044</v>
      </c>
      <c r="D41" s="70" t="s">
        <v>1042</v>
      </c>
      <c r="E41" s="193">
        <v>100</v>
      </c>
      <c r="F41" s="194">
        <v>1</v>
      </c>
      <c r="G41" s="193">
        <f t="shared" ref="G41:G46" si="2">F41*E41</f>
        <v>100</v>
      </c>
      <c r="H41" s="193">
        <f t="shared" ref="H41:H46" si="3">G41</f>
        <v>100</v>
      </c>
      <c r="I41" s="193"/>
      <c r="J41" s="201"/>
      <c r="K41" s="156"/>
      <c r="L41" s="160"/>
      <c r="M41" s="151"/>
      <c r="N41" s="157"/>
      <c r="O41" s="157"/>
    </row>
    <row r="42" spans="1:15" s="76" customFormat="1" x14ac:dyDescent="0.3">
      <c r="A42" s="155"/>
      <c r="B42" s="182" t="s">
        <v>1045</v>
      </c>
      <c r="C42" s="102" t="s">
        <v>1046</v>
      </c>
      <c r="D42" s="50" t="s">
        <v>1042</v>
      </c>
      <c r="E42" s="191">
        <v>1000</v>
      </c>
      <c r="F42" s="192">
        <v>1</v>
      </c>
      <c r="G42" s="191">
        <f t="shared" si="2"/>
        <v>1000</v>
      </c>
      <c r="H42" s="191">
        <f t="shared" si="3"/>
        <v>1000</v>
      </c>
      <c r="I42" s="191"/>
      <c r="J42" s="200"/>
      <c r="K42" s="156"/>
      <c r="L42" s="160"/>
      <c r="M42" s="151"/>
      <c r="N42" s="157"/>
      <c r="O42" s="157"/>
    </row>
    <row r="43" spans="1:15" s="76" customFormat="1" x14ac:dyDescent="0.3">
      <c r="A43" s="155"/>
      <c r="B43" s="103" t="s">
        <v>1047</v>
      </c>
      <c r="C43" s="104" t="s">
        <v>1048</v>
      </c>
      <c r="D43" s="70"/>
      <c r="E43" s="193">
        <v>17</v>
      </c>
      <c r="F43" s="194">
        <v>20</v>
      </c>
      <c r="G43" s="193">
        <f t="shared" si="2"/>
        <v>340</v>
      </c>
      <c r="H43" s="193">
        <f t="shared" si="3"/>
        <v>340</v>
      </c>
      <c r="I43" s="193"/>
      <c r="J43" s="201"/>
      <c r="K43" s="156"/>
      <c r="L43" s="151"/>
      <c r="M43" s="151"/>
      <c r="N43" s="151"/>
      <c r="O43" s="151"/>
    </row>
    <row r="44" spans="1:15" s="76" customFormat="1" x14ac:dyDescent="0.3">
      <c r="A44" s="155"/>
      <c r="B44" s="182" t="s">
        <v>1049</v>
      </c>
      <c r="C44" s="102" t="s">
        <v>1050</v>
      </c>
      <c r="D44" s="50" t="s">
        <v>1051</v>
      </c>
      <c r="E44" s="191">
        <v>5</v>
      </c>
      <c r="F44" s="192">
        <v>75</v>
      </c>
      <c r="G44" s="191">
        <f t="shared" si="2"/>
        <v>375</v>
      </c>
      <c r="H44" s="191">
        <f t="shared" si="3"/>
        <v>375</v>
      </c>
      <c r="I44" s="191"/>
      <c r="J44" s="233"/>
      <c r="K44" s="156"/>
      <c r="L44" s="151"/>
      <c r="M44" s="151"/>
      <c r="N44" s="151"/>
      <c r="O44" s="151"/>
    </row>
    <row r="45" spans="1:15" s="76" customFormat="1" x14ac:dyDescent="0.3">
      <c r="A45" s="155"/>
      <c r="B45" s="103" t="s">
        <v>1052</v>
      </c>
      <c r="C45" s="104" t="s">
        <v>1053</v>
      </c>
      <c r="D45" s="70" t="s">
        <v>1054</v>
      </c>
      <c r="E45" s="193">
        <v>1</v>
      </c>
      <c r="F45" s="194">
        <v>50</v>
      </c>
      <c r="G45" s="193">
        <f t="shared" si="2"/>
        <v>50</v>
      </c>
      <c r="H45" s="193">
        <f t="shared" si="3"/>
        <v>50</v>
      </c>
      <c r="I45" s="193"/>
      <c r="J45" s="201"/>
      <c r="K45" s="156"/>
      <c r="L45" s="151"/>
      <c r="M45" s="151"/>
      <c r="N45" s="151"/>
      <c r="O45" s="151"/>
    </row>
    <row r="46" spans="1:15" s="76" customFormat="1" x14ac:dyDescent="0.3">
      <c r="A46" s="155"/>
      <c r="B46" s="182" t="s">
        <v>1055</v>
      </c>
      <c r="C46" s="102" t="s">
        <v>1056</v>
      </c>
      <c r="D46" s="50"/>
      <c r="E46" s="191">
        <v>0.05</v>
      </c>
      <c r="F46" s="192">
        <v>2000</v>
      </c>
      <c r="G46" s="191">
        <f t="shared" si="2"/>
        <v>100</v>
      </c>
      <c r="H46" s="191">
        <f t="shared" si="3"/>
        <v>100</v>
      </c>
      <c r="I46" s="191"/>
      <c r="J46" s="200"/>
      <c r="K46" s="156"/>
      <c r="L46" s="151"/>
      <c r="M46" s="151"/>
      <c r="N46" s="151"/>
      <c r="O46" s="151"/>
    </row>
    <row r="47" spans="1:15" s="4" customFormat="1" x14ac:dyDescent="0.3">
      <c r="A47" s="155"/>
      <c r="B47" s="151"/>
      <c r="C47" s="104"/>
      <c r="D47" s="70"/>
      <c r="E47" s="193"/>
      <c r="F47" s="194"/>
      <c r="G47" s="193"/>
      <c r="H47" s="193"/>
      <c r="I47" s="193"/>
      <c r="J47" s="201"/>
      <c r="K47" s="151"/>
      <c r="L47" s="151"/>
      <c r="M47" s="151"/>
      <c r="N47" s="157"/>
      <c r="O47" s="151"/>
    </row>
    <row r="48" spans="1:15" s="4" customFormat="1" x14ac:dyDescent="0.3">
      <c r="A48" s="155"/>
      <c r="B48" s="158" t="s">
        <v>1057</v>
      </c>
      <c r="C48" s="35"/>
      <c r="D48" s="66"/>
      <c r="E48" s="210"/>
      <c r="F48" s="211"/>
      <c r="G48" s="210"/>
      <c r="H48" s="179">
        <f>SUM(H40:H46)</f>
        <v>2065</v>
      </c>
      <c r="I48" s="179">
        <f>SUM(I39:I46)</f>
        <v>870.34</v>
      </c>
      <c r="J48" s="180">
        <f>SUM(J39:J46)</f>
        <v>870.34</v>
      </c>
      <c r="K48" s="151"/>
      <c r="L48" s="151"/>
      <c r="M48" s="151"/>
      <c r="N48" s="157"/>
      <c r="O48" s="151"/>
    </row>
    <row r="49" spans="1:15" s="4" customFormat="1" x14ac:dyDescent="0.3">
      <c r="A49" s="150"/>
      <c r="B49" s="159"/>
      <c r="C49" s="129"/>
      <c r="D49" s="68"/>
      <c r="E49" s="196"/>
      <c r="F49" s="202"/>
      <c r="G49" s="196"/>
      <c r="H49" s="196"/>
      <c r="I49" s="196"/>
      <c r="J49" s="197"/>
      <c r="K49" s="156"/>
      <c r="L49" s="160"/>
      <c r="M49" s="156"/>
      <c r="N49" s="156"/>
      <c r="O49" s="157"/>
    </row>
    <row r="50" spans="1:15" s="4" customFormat="1" x14ac:dyDescent="0.3">
      <c r="A50" s="150" t="s">
        <v>1058</v>
      </c>
      <c r="B50" s="159"/>
      <c r="C50" s="103"/>
      <c r="D50" s="67"/>
      <c r="E50" s="152"/>
      <c r="F50" s="188"/>
      <c r="G50" s="152"/>
      <c r="H50" s="152"/>
      <c r="I50" s="152"/>
      <c r="J50" s="153"/>
      <c r="K50" s="151"/>
      <c r="L50" s="151"/>
      <c r="M50" s="151"/>
      <c r="N50" s="151"/>
      <c r="O50" s="151"/>
    </row>
    <row r="51" spans="1:15" s="76" customFormat="1" x14ac:dyDescent="0.3">
      <c r="A51" s="155"/>
      <c r="B51" s="182" t="s">
        <v>1059</v>
      </c>
      <c r="C51" s="102" t="s">
        <v>1060</v>
      </c>
      <c r="D51" s="50" t="s">
        <v>1061</v>
      </c>
      <c r="E51" s="191">
        <v>50</v>
      </c>
      <c r="F51" s="192">
        <v>50</v>
      </c>
      <c r="G51" s="191">
        <f>F51*E51</f>
        <v>2500</v>
      </c>
      <c r="H51" s="191">
        <f>G51</f>
        <v>2500</v>
      </c>
      <c r="I51" s="191">
        <f>3385+530+580+600</f>
        <v>5095</v>
      </c>
      <c r="J51" s="200">
        <v>5095</v>
      </c>
      <c r="K51" s="156"/>
      <c r="L51" s="151"/>
      <c r="M51" s="151"/>
      <c r="N51" s="151"/>
      <c r="O51" s="151"/>
    </row>
    <row r="52" spans="1:15" s="76" customFormat="1" x14ac:dyDescent="0.3">
      <c r="A52" s="155"/>
      <c r="B52" s="103" t="s">
        <v>1062</v>
      </c>
      <c r="C52" s="104" t="s">
        <v>1063</v>
      </c>
      <c r="D52" s="70" t="s">
        <v>1064</v>
      </c>
      <c r="E52" s="193">
        <v>5</v>
      </c>
      <c r="F52" s="194">
        <v>20</v>
      </c>
      <c r="G52" s="193">
        <f>F52*E52</f>
        <v>100</v>
      </c>
      <c r="H52" s="193">
        <f>G52</f>
        <v>100</v>
      </c>
      <c r="I52" s="193">
        <v>95</v>
      </c>
      <c r="J52" s="201">
        <v>95</v>
      </c>
      <c r="K52" s="156"/>
      <c r="L52" s="151"/>
      <c r="M52" s="151"/>
      <c r="N52" s="151"/>
      <c r="O52" s="151"/>
    </row>
    <row r="53" spans="1:15" s="76" customFormat="1" x14ac:dyDescent="0.3">
      <c r="A53" s="155"/>
      <c r="B53" s="182" t="s">
        <v>1065</v>
      </c>
      <c r="C53" s="102" t="s">
        <v>1066</v>
      </c>
      <c r="D53" s="50" t="s">
        <v>1067</v>
      </c>
      <c r="E53" s="191">
        <v>70</v>
      </c>
      <c r="F53" s="192">
        <v>7</v>
      </c>
      <c r="G53" s="191">
        <f>F53*E53</f>
        <v>490</v>
      </c>
      <c r="H53" s="191">
        <f>G53</f>
        <v>490</v>
      </c>
      <c r="I53" s="191"/>
      <c r="J53" s="200"/>
      <c r="K53" s="156"/>
      <c r="L53" s="151"/>
      <c r="M53" s="151"/>
      <c r="N53" s="151"/>
      <c r="O53" s="151"/>
    </row>
    <row r="54" spans="1:15" s="76" customFormat="1" x14ac:dyDescent="0.3">
      <c r="A54" s="155"/>
      <c r="B54" s="103" t="s">
        <v>1068</v>
      </c>
      <c r="C54" s="104" t="s">
        <v>453</v>
      </c>
      <c r="D54" s="70" t="s">
        <v>1069</v>
      </c>
      <c r="E54" s="193">
        <v>2000</v>
      </c>
      <c r="F54" s="194">
        <v>1</v>
      </c>
      <c r="G54" s="193">
        <f>F54*E54</f>
        <v>2000</v>
      </c>
      <c r="H54" s="193">
        <f>G54</f>
        <v>2000</v>
      </c>
      <c r="I54" s="193"/>
      <c r="J54" s="201"/>
      <c r="K54" s="156"/>
      <c r="L54" s="160"/>
      <c r="M54" s="151"/>
      <c r="N54" s="157"/>
      <c r="O54" s="157"/>
    </row>
    <row r="55" spans="1:15" s="4" customFormat="1" x14ac:dyDescent="0.3">
      <c r="A55" s="155"/>
      <c r="B55" s="154"/>
      <c r="C55" s="102"/>
      <c r="D55" s="50"/>
      <c r="E55" s="191"/>
      <c r="F55" s="192"/>
      <c r="G55" s="191"/>
      <c r="H55" s="191"/>
      <c r="I55" s="191"/>
      <c r="J55" s="200"/>
      <c r="K55" s="151"/>
      <c r="L55" s="151"/>
      <c r="M55" s="151"/>
      <c r="N55" s="157"/>
      <c r="O55" s="151"/>
    </row>
    <row r="56" spans="1:15" s="4" customFormat="1" x14ac:dyDescent="0.3">
      <c r="A56" s="155"/>
      <c r="B56" s="158" t="s">
        <v>1070</v>
      </c>
      <c r="C56" s="35"/>
      <c r="D56" s="66"/>
      <c r="E56" s="210"/>
      <c r="F56" s="211"/>
      <c r="G56" s="210"/>
      <c r="H56" s="179">
        <f>SUM(H51:H54)</f>
        <v>5090</v>
      </c>
      <c r="I56" s="179">
        <f>SUM(I50:I54)</f>
        <v>5190</v>
      </c>
      <c r="J56" s="180">
        <f>SUM(J50:J54)</f>
        <v>5190</v>
      </c>
      <c r="K56" s="151"/>
      <c r="L56" s="151"/>
      <c r="M56" s="151"/>
      <c r="N56" s="157"/>
      <c r="O56" s="151"/>
    </row>
    <row r="57" spans="1:15" s="4" customFormat="1" x14ac:dyDescent="0.3">
      <c r="A57" s="155"/>
      <c r="B57" s="159"/>
      <c r="C57" s="104"/>
      <c r="D57" s="70"/>
      <c r="E57" s="193"/>
      <c r="F57" s="194"/>
      <c r="G57" s="193"/>
      <c r="H57" s="196"/>
      <c r="I57" s="196"/>
      <c r="J57" s="197"/>
      <c r="K57" s="151"/>
      <c r="L57" s="151"/>
      <c r="M57" s="151"/>
      <c r="N57" s="157"/>
      <c r="O57" s="151"/>
    </row>
    <row r="58" spans="1:15" s="4" customFormat="1" x14ac:dyDescent="0.3">
      <c r="A58" s="150" t="s">
        <v>1071</v>
      </c>
      <c r="B58" s="159"/>
      <c r="C58" s="103"/>
      <c r="D58" s="67"/>
      <c r="E58" s="152"/>
      <c r="F58" s="188"/>
      <c r="G58" s="152"/>
      <c r="H58" s="152"/>
      <c r="I58" s="152"/>
      <c r="J58" s="153"/>
      <c r="K58" s="151"/>
      <c r="L58" s="151"/>
      <c r="M58" s="151"/>
      <c r="N58" s="151"/>
      <c r="O58" s="151"/>
    </row>
    <row r="59" spans="1:15" s="76" customFormat="1" x14ac:dyDescent="0.3">
      <c r="A59" s="155"/>
      <c r="B59" s="182" t="s">
        <v>1072</v>
      </c>
      <c r="C59" s="102" t="s">
        <v>1073</v>
      </c>
      <c r="D59" s="50"/>
      <c r="E59" s="191">
        <v>25</v>
      </c>
      <c r="F59" s="192">
        <v>32</v>
      </c>
      <c r="G59" s="191">
        <f>F59*E59</f>
        <v>800</v>
      </c>
      <c r="H59" s="191">
        <f>G59</f>
        <v>800</v>
      </c>
      <c r="I59" s="191">
        <f>3737+20</f>
        <v>3757</v>
      </c>
      <c r="J59" s="200">
        <v>3757</v>
      </c>
      <c r="K59" s="156"/>
      <c r="L59" s="151"/>
      <c r="M59" s="151"/>
      <c r="N59" s="151"/>
      <c r="O59" s="151"/>
    </row>
    <row r="60" spans="1:15" s="76" customFormat="1" x14ac:dyDescent="0.3">
      <c r="A60" s="155"/>
      <c r="B60" s="103" t="s">
        <v>1074</v>
      </c>
      <c r="C60" s="104" t="s">
        <v>1075</v>
      </c>
      <c r="D60" s="70"/>
      <c r="E60" s="193">
        <v>30</v>
      </c>
      <c r="F60" s="194">
        <v>20</v>
      </c>
      <c r="G60" s="193">
        <f t="shared" ref="G60:G66" si="4">F60*E60</f>
        <v>600</v>
      </c>
      <c r="H60" s="193">
        <f t="shared" ref="H60:H66" si="5">G60</f>
        <v>600</v>
      </c>
      <c r="I60" s="193">
        <v>2147.25</v>
      </c>
      <c r="J60" s="201">
        <v>2147.25</v>
      </c>
      <c r="K60" s="156"/>
      <c r="L60" s="151"/>
      <c r="M60" s="151"/>
      <c r="N60" s="151"/>
      <c r="O60" s="151"/>
    </row>
    <row r="61" spans="1:15" s="76" customFormat="1" x14ac:dyDescent="0.3">
      <c r="A61" s="155"/>
      <c r="B61" s="182" t="s">
        <v>1076</v>
      </c>
      <c r="C61" s="102" t="s">
        <v>1077</v>
      </c>
      <c r="D61" s="50"/>
      <c r="E61" s="191">
        <v>5</v>
      </c>
      <c r="F61" s="192">
        <v>80</v>
      </c>
      <c r="G61" s="191">
        <f t="shared" si="4"/>
        <v>400</v>
      </c>
      <c r="H61" s="191">
        <f t="shared" si="5"/>
        <v>400</v>
      </c>
      <c r="I61" s="191">
        <v>476</v>
      </c>
      <c r="J61" s="200">
        <v>476</v>
      </c>
      <c r="K61" s="156"/>
      <c r="L61" s="151"/>
      <c r="M61" s="151"/>
      <c r="N61" s="151"/>
      <c r="O61" s="151"/>
    </row>
    <row r="62" spans="1:15" s="76" customFormat="1" x14ac:dyDescent="0.3">
      <c r="A62" s="155"/>
      <c r="B62" s="103" t="s">
        <v>1078</v>
      </c>
      <c r="C62" s="104" t="s">
        <v>1079</v>
      </c>
      <c r="D62" s="70"/>
      <c r="E62" s="193">
        <v>5</v>
      </c>
      <c r="F62" s="194">
        <v>120</v>
      </c>
      <c r="G62" s="193">
        <f t="shared" si="4"/>
        <v>600</v>
      </c>
      <c r="H62" s="193">
        <f t="shared" si="5"/>
        <v>600</v>
      </c>
      <c r="I62" s="193"/>
      <c r="J62" s="201"/>
      <c r="K62" s="156"/>
      <c r="L62" s="151"/>
      <c r="M62" s="151"/>
      <c r="N62" s="151"/>
      <c r="O62" s="151"/>
    </row>
    <row r="63" spans="1:15" s="76" customFormat="1" x14ac:dyDescent="0.3">
      <c r="A63" s="155"/>
      <c r="B63" s="182" t="s">
        <v>1080</v>
      </c>
      <c r="C63" s="102" t="s">
        <v>1081</v>
      </c>
      <c r="D63" s="50"/>
      <c r="E63" s="191">
        <v>10</v>
      </c>
      <c r="F63" s="192">
        <v>40</v>
      </c>
      <c r="G63" s="191">
        <f t="shared" si="4"/>
        <v>400</v>
      </c>
      <c r="H63" s="191">
        <f t="shared" si="5"/>
        <v>400</v>
      </c>
      <c r="I63" s="191"/>
      <c r="J63" s="233"/>
      <c r="K63" s="156"/>
      <c r="L63" s="151"/>
      <c r="M63" s="151"/>
      <c r="N63" s="151"/>
      <c r="O63" s="151"/>
    </row>
    <row r="64" spans="1:15" s="76" customFormat="1" x14ac:dyDescent="0.3">
      <c r="A64" s="155"/>
      <c r="B64" s="103" t="s">
        <v>1082</v>
      </c>
      <c r="C64" s="104" t="s">
        <v>1083</v>
      </c>
      <c r="D64" s="70"/>
      <c r="E64" s="193">
        <v>12</v>
      </c>
      <c r="F64" s="194">
        <v>150</v>
      </c>
      <c r="G64" s="193">
        <f t="shared" si="4"/>
        <v>1800</v>
      </c>
      <c r="H64" s="193">
        <f t="shared" si="5"/>
        <v>1800</v>
      </c>
      <c r="I64" s="193"/>
      <c r="J64" s="201"/>
      <c r="K64" s="156"/>
      <c r="L64" s="160"/>
      <c r="M64" s="151"/>
      <c r="N64" s="157"/>
      <c r="O64" s="157"/>
    </row>
    <row r="65" spans="1:18" s="76" customFormat="1" x14ac:dyDescent="0.3">
      <c r="A65" s="155"/>
      <c r="B65" s="182" t="s">
        <v>1084</v>
      </c>
      <c r="C65" s="102" t="s">
        <v>1085</v>
      </c>
      <c r="D65" s="50"/>
      <c r="E65" s="191">
        <v>5</v>
      </c>
      <c r="F65" s="192">
        <v>250</v>
      </c>
      <c r="G65" s="191">
        <f t="shared" si="4"/>
        <v>1250</v>
      </c>
      <c r="H65" s="191">
        <f t="shared" si="5"/>
        <v>1250</v>
      </c>
      <c r="I65" s="191"/>
      <c r="J65" s="200"/>
      <c r="K65" s="156"/>
      <c r="L65" s="160"/>
      <c r="M65" s="151"/>
      <c r="N65" s="157"/>
      <c r="O65" s="157"/>
      <c r="P65" s="151"/>
      <c r="Q65" s="151"/>
      <c r="R65" s="151"/>
    </row>
    <row r="66" spans="1:18" s="76" customFormat="1" ht="18.75" x14ac:dyDescent="0.35">
      <c r="A66" s="155"/>
      <c r="B66" s="103" t="s">
        <v>1086</v>
      </c>
      <c r="C66" s="104" t="s">
        <v>1087</v>
      </c>
      <c r="D66" s="70"/>
      <c r="E66" s="193">
        <v>5</v>
      </c>
      <c r="F66" s="194">
        <v>120</v>
      </c>
      <c r="G66" s="193">
        <f t="shared" si="4"/>
        <v>600</v>
      </c>
      <c r="H66" s="193">
        <f t="shared" si="5"/>
        <v>600</v>
      </c>
      <c r="I66" s="193"/>
      <c r="J66" s="201"/>
      <c r="K66" s="130"/>
      <c r="L66" s="131"/>
      <c r="M66" s="130"/>
      <c r="N66" s="130"/>
      <c r="O66" s="132"/>
      <c r="P66" s="151"/>
      <c r="Q66" s="151"/>
      <c r="R66" s="151"/>
    </row>
    <row r="67" spans="1:18" s="4" customFormat="1" x14ac:dyDescent="0.3">
      <c r="A67" s="155"/>
      <c r="B67" s="154"/>
      <c r="C67" s="102"/>
      <c r="D67" s="50"/>
      <c r="E67" s="191"/>
      <c r="F67" s="192"/>
      <c r="G67" s="191"/>
      <c r="H67" s="191"/>
      <c r="I67" s="191"/>
      <c r="J67" s="200"/>
      <c r="K67" s="151"/>
      <c r="L67" s="151"/>
      <c r="M67" s="151"/>
      <c r="N67" s="157"/>
      <c r="O67" s="151"/>
      <c r="P67" s="151"/>
      <c r="Q67" s="151"/>
      <c r="R67" s="151"/>
    </row>
    <row r="68" spans="1:18" s="4" customFormat="1" x14ac:dyDescent="0.3">
      <c r="A68" s="155"/>
      <c r="B68" s="158" t="s">
        <v>1088</v>
      </c>
      <c r="C68" s="35"/>
      <c r="D68" s="66"/>
      <c r="E68" s="210"/>
      <c r="F68" s="211"/>
      <c r="G68" s="210"/>
      <c r="H68" s="179">
        <f>SUM(H59:H66)</f>
        <v>6450</v>
      </c>
      <c r="I68" s="179">
        <f>SUM(I58:I66)</f>
        <v>6380.25</v>
      </c>
      <c r="J68" s="180">
        <f>SUM(J58:J66)</f>
        <v>6380.25</v>
      </c>
      <c r="K68" s="151"/>
      <c r="L68" s="151"/>
      <c r="M68" s="151"/>
      <c r="N68" s="157"/>
      <c r="O68" s="151"/>
      <c r="P68" s="151"/>
      <c r="Q68" s="151"/>
      <c r="R68" s="151"/>
    </row>
    <row r="69" spans="1:18" s="4" customFormat="1" x14ac:dyDescent="0.3">
      <c r="A69" s="155"/>
      <c r="B69" s="159"/>
      <c r="C69" s="104"/>
      <c r="D69" s="70"/>
      <c r="E69" s="193"/>
      <c r="F69" s="194"/>
      <c r="G69" s="193"/>
      <c r="H69" s="196"/>
      <c r="I69" s="196"/>
      <c r="J69" s="197"/>
      <c r="K69" s="151"/>
      <c r="L69" s="151"/>
      <c r="M69" s="151"/>
      <c r="N69" s="157"/>
      <c r="O69" s="151"/>
      <c r="P69" s="151"/>
      <c r="Q69" s="151"/>
      <c r="R69" s="151"/>
    </row>
    <row r="70" spans="1:18" s="4" customFormat="1" x14ac:dyDescent="0.3">
      <c r="A70" s="150" t="s">
        <v>1089</v>
      </c>
      <c r="B70" s="159"/>
      <c r="C70" s="103"/>
      <c r="D70" s="67"/>
      <c r="E70" s="152"/>
      <c r="F70" s="188"/>
      <c r="G70" s="152"/>
      <c r="H70" s="152"/>
      <c r="I70" s="152"/>
      <c r="J70" s="153"/>
      <c r="K70" s="151"/>
      <c r="L70" s="151"/>
      <c r="M70" s="151"/>
      <c r="N70" s="151"/>
      <c r="O70" s="151"/>
      <c r="P70" s="151"/>
      <c r="Q70" s="151"/>
      <c r="R70" s="151"/>
    </row>
    <row r="71" spans="1:18" s="76" customFormat="1" x14ac:dyDescent="0.3">
      <c r="A71" s="155"/>
      <c r="B71" s="182" t="s">
        <v>1090</v>
      </c>
      <c r="C71" s="102" t="s">
        <v>1091</v>
      </c>
      <c r="D71" s="50" t="s">
        <v>1092</v>
      </c>
      <c r="E71" s="191">
        <v>185</v>
      </c>
      <c r="F71" s="192">
        <v>1</v>
      </c>
      <c r="G71" s="191">
        <f>F71*E71</f>
        <v>185</v>
      </c>
      <c r="H71" s="191">
        <f>G71</f>
        <v>185</v>
      </c>
      <c r="I71" s="191">
        <v>107.78</v>
      </c>
      <c r="J71" s="200">
        <v>107.78</v>
      </c>
      <c r="K71" s="156"/>
      <c r="L71" s="151"/>
      <c r="M71" s="151"/>
      <c r="N71" s="151"/>
      <c r="O71" s="151"/>
      <c r="P71" s="151"/>
      <c r="Q71" s="151"/>
      <c r="R71" s="151"/>
    </row>
    <row r="72" spans="1:18" s="76" customFormat="1" x14ac:dyDescent="0.3">
      <c r="A72" s="155"/>
      <c r="B72" s="103" t="s">
        <v>1093</v>
      </c>
      <c r="C72" s="104" t="s">
        <v>1094</v>
      </c>
      <c r="D72" s="70" t="s">
        <v>1092</v>
      </c>
      <c r="E72" s="193">
        <v>100</v>
      </c>
      <c r="F72" s="194">
        <v>1</v>
      </c>
      <c r="G72" s="193">
        <f>F72*E72</f>
        <v>100</v>
      </c>
      <c r="H72" s="193">
        <f>G72</f>
        <v>100</v>
      </c>
      <c r="I72" s="193"/>
      <c r="J72" s="201"/>
      <c r="K72" s="156"/>
      <c r="L72" s="160"/>
      <c r="M72" s="151"/>
      <c r="N72" s="157"/>
      <c r="O72" s="157"/>
      <c r="P72" s="151"/>
      <c r="Q72" s="151"/>
      <c r="R72" s="151"/>
    </row>
    <row r="73" spans="1:18" s="4" customFormat="1" x14ac:dyDescent="0.3">
      <c r="A73" s="155"/>
      <c r="B73" s="154"/>
      <c r="C73" s="102"/>
      <c r="D73" s="50"/>
      <c r="E73" s="191"/>
      <c r="F73" s="192"/>
      <c r="G73" s="191"/>
      <c r="H73" s="191"/>
      <c r="I73" s="191"/>
      <c r="J73" s="200"/>
      <c r="K73" s="151"/>
      <c r="L73" s="151"/>
      <c r="M73" s="151"/>
      <c r="N73" s="157"/>
      <c r="O73" s="151"/>
      <c r="P73" s="151"/>
      <c r="Q73" s="151"/>
      <c r="R73" s="151"/>
    </row>
    <row r="74" spans="1:18" s="4" customFormat="1" x14ac:dyDescent="0.3">
      <c r="A74" s="155"/>
      <c r="B74" s="158" t="s">
        <v>1095</v>
      </c>
      <c r="C74" s="35"/>
      <c r="D74" s="66"/>
      <c r="E74" s="210"/>
      <c r="F74" s="211"/>
      <c r="G74" s="210"/>
      <c r="H74" s="179">
        <f>SUM(H71:H72)</f>
        <v>285</v>
      </c>
      <c r="I74" s="179">
        <f>SUM(I70:I72)</f>
        <v>107.78</v>
      </c>
      <c r="J74" s="180">
        <f>SUM(J70:J72)</f>
        <v>107.78</v>
      </c>
      <c r="K74" s="151"/>
      <c r="L74" s="151"/>
      <c r="M74" s="151"/>
      <c r="N74" s="157"/>
      <c r="O74" s="151"/>
      <c r="P74" s="151"/>
      <c r="Q74" s="151"/>
      <c r="R74" s="151"/>
    </row>
    <row r="75" spans="1:18" s="4" customFormat="1" x14ac:dyDescent="0.3">
      <c r="A75" s="155"/>
      <c r="B75" s="159"/>
      <c r="C75" s="104"/>
      <c r="D75" s="70"/>
      <c r="E75" s="193"/>
      <c r="F75" s="194"/>
      <c r="G75" s="193"/>
      <c r="H75" s="196"/>
      <c r="I75" s="196"/>
      <c r="J75" s="197"/>
      <c r="K75" s="151"/>
      <c r="L75" s="151"/>
      <c r="M75" s="151"/>
      <c r="N75" s="157"/>
      <c r="O75" s="151"/>
      <c r="P75" s="151"/>
      <c r="Q75" s="151"/>
      <c r="R75" s="151"/>
    </row>
    <row r="76" spans="1:18" s="4" customFormat="1" x14ac:dyDescent="0.3">
      <c r="A76" s="150" t="s">
        <v>1096</v>
      </c>
      <c r="B76" s="159"/>
      <c r="C76" s="103"/>
      <c r="D76" s="67"/>
      <c r="E76" s="152"/>
      <c r="F76" s="188"/>
      <c r="G76" s="152"/>
      <c r="H76" s="152"/>
      <c r="I76" s="152"/>
      <c r="J76" s="153"/>
      <c r="K76" s="151"/>
      <c r="L76" s="151"/>
      <c r="M76" s="151"/>
      <c r="N76" s="151"/>
      <c r="O76" s="151"/>
      <c r="P76" s="151"/>
      <c r="Q76" s="151"/>
      <c r="R76" s="151"/>
    </row>
    <row r="77" spans="1:18" s="76" customFormat="1" ht="20.25" x14ac:dyDescent="0.35">
      <c r="A77" s="155"/>
      <c r="B77" s="182" t="s">
        <v>1097</v>
      </c>
      <c r="C77" s="102" t="s">
        <v>1098</v>
      </c>
      <c r="D77" s="50" t="s">
        <v>1099</v>
      </c>
      <c r="E77" s="191">
        <v>25</v>
      </c>
      <c r="F77" s="192">
        <v>16</v>
      </c>
      <c r="G77" s="191">
        <f t="shared" ref="G77:G82" si="6">F77*E77</f>
        <v>400</v>
      </c>
      <c r="H77" s="191">
        <f t="shared" ref="H77:H82" si="7">G77</f>
        <v>400</v>
      </c>
      <c r="I77" s="191">
        <v>157</v>
      </c>
      <c r="J77" s="200">
        <v>157</v>
      </c>
      <c r="K77" s="170"/>
      <c r="L77" s="170"/>
      <c r="M77" s="170"/>
      <c r="N77" s="170"/>
      <c r="O77" s="170"/>
      <c r="P77" s="151"/>
      <c r="Q77" s="151"/>
      <c r="R77" s="151"/>
    </row>
    <row r="78" spans="1:18" s="76" customFormat="1" x14ac:dyDescent="0.3">
      <c r="A78" s="155"/>
      <c r="B78" s="103" t="s">
        <v>1100</v>
      </c>
      <c r="C78" s="104" t="s">
        <v>1098</v>
      </c>
      <c r="D78" s="70" t="s">
        <v>1101</v>
      </c>
      <c r="E78" s="193">
        <v>25</v>
      </c>
      <c r="F78" s="194">
        <v>16</v>
      </c>
      <c r="G78" s="193">
        <f t="shared" si="6"/>
        <v>400</v>
      </c>
      <c r="H78" s="193">
        <f t="shared" si="7"/>
        <v>400</v>
      </c>
      <c r="I78" s="193"/>
      <c r="J78" s="201"/>
      <c r="K78" s="151"/>
      <c r="L78" s="151"/>
      <c r="M78" s="151"/>
      <c r="N78" s="151"/>
      <c r="O78" s="151"/>
      <c r="P78" s="151"/>
      <c r="Q78" s="151"/>
      <c r="R78" s="151"/>
    </row>
    <row r="79" spans="1:18" s="76" customFormat="1" x14ac:dyDescent="0.3">
      <c r="A79" s="155"/>
      <c r="B79" s="182" t="s">
        <v>1102</v>
      </c>
      <c r="C79" s="102" t="s">
        <v>1103</v>
      </c>
      <c r="D79" s="50" t="s">
        <v>1104</v>
      </c>
      <c r="E79" s="191">
        <v>45</v>
      </c>
      <c r="F79" s="192">
        <v>80</v>
      </c>
      <c r="G79" s="191">
        <f t="shared" si="6"/>
        <v>3600</v>
      </c>
      <c r="H79" s="191">
        <f t="shared" si="7"/>
        <v>3600</v>
      </c>
      <c r="I79" s="191"/>
      <c r="J79" s="200"/>
      <c r="K79" s="59"/>
      <c r="L79" s="59"/>
      <c r="M79" s="59"/>
      <c r="N79" s="59"/>
      <c r="O79" s="59"/>
      <c r="P79" s="151"/>
      <c r="Q79" s="151"/>
      <c r="R79" s="151"/>
    </row>
    <row r="80" spans="1:18" s="76" customFormat="1" x14ac:dyDescent="0.3">
      <c r="A80" s="155"/>
      <c r="B80" s="103" t="s">
        <v>1105</v>
      </c>
      <c r="C80" s="104" t="s">
        <v>1103</v>
      </c>
      <c r="D80" s="70" t="s">
        <v>1106</v>
      </c>
      <c r="E80" s="193">
        <v>45</v>
      </c>
      <c r="F80" s="194">
        <v>40</v>
      </c>
      <c r="G80" s="193">
        <f t="shared" si="6"/>
        <v>1800</v>
      </c>
      <c r="H80" s="193">
        <f t="shared" si="7"/>
        <v>1800</v>
      </c>
      <c r="I80" s="193"/>
      <c r="J80" s="201"/>
      <c r="K80" s="59"/>
      <c r="L80" s="59"/>
      <c r="M80" s="59"/>
      <c r="N80" s="59"/>
      <c r="O80" s="59"/>
      <c r="P80" s="151"/>
      <c r="Q80" s="151"/>
      <c r="R80" s="151"/>
    </row>
    <row r="81" spans="1:18" s="76" customFormat="1" x14ac:dyDescent="0.3">
      <c r="A81" s="155"/>
      <c r="B81" s="182" t="s">
        <v>1107</v>
      </c>
      <c r="C81" s="102" t="s">
        <v>1108</v>
      </c>
      <c r="D81" s="50"/>
      <c r="E81" s="191">
        <v>10</v>
      </c>
      <c r="F81" s="192">
        <v>45</v>
      </c>
      <c r="G81" s="191">
        <f t="shared" si="6"/>
        <v>450</v>
      </c>
      <c r="H81" s="191">
        <f t="shared" si="7"/>
        <v>450</v>
      </c>
      <c r="I81" s="191"/>
      <c r="J81" s="200"/>
      <c r="K81" s="59"/>
      <c r="L81" s="59"/>
      <c r="M81" s="59"/>
      <c r="N81" s="59"/>
      <c r="O81" s="59"/>
      <c r="P81" s="151"/>
      <c r="Q81" s="151"/>
      <c r="R81" s="151"/>
    </row>
    <row r="82" spans="1:18" s="76" customFormat="1" x14ac:dyDescent="0.3">
      <c r="A82" s="155"/>
      <c r="B82" s="103" t="s">
        <v>1109</v>
      </c>
      <c r="C82" s="104" t="s">
        <v>1110</v>
      </c>
      <c r="D82" s="70"/>
      <c r="E82" s="193">
        <v>60</v>
      </c>
      <c r="F82" s="194">
        <v>9</v>
      </c>
      <c r="G82" s="193">
        <f t="shared" si="6"/>
        <v>540</v>
      </c>
      <c r="H82" s="193">
        <f t="shared" si="7"/>
        <v>540</v>
      </c>
      <c r="I82" s="193"/>
      <c r="J82" s="201"/>
      <c r="K82" s="59"/>
      <c r="L82" s="59"/>
      <c r="M82" s="59"/>
      <c r="N82" s="59"/>
      <c r="O82" s="59"/>
      <c r="P82" s="151"/>
      <c r="Q82" s="151"/>
      <c r="R82" s="151"/>
    </row>
    <row r="83" spans="1:18" s="4" customFormat="1" x14ac:dyDescent="0.3">
      <c r="A83" s="155"/>
      <c r="B83" s="154"/>
      <c r="C83" s="102"/>
      <c r="D83" s="50"/>
      <c r="E83" s="191"/>
      <c r="F83" s="192"/>
      <c r="G83" s="191"/>
      <c r="H83" s="191"/>
      <c r="I83" s="191"/>
      <c r="J83" s="200"/>
      <c r="K83" s="151"/>
      <c r="L83" s="151"/>
      <c r="M83" s="151"/>
      <c r="N83" s="157"/>
      <c r="O83" s="151"/>
      <c r="P83" s="151"/>
      <c r="Q83" s="151"/>
      <c r="R83" s="151"/>
    </row>
    <row r="84" spans="1:18" s="4" customFormat="1" x14ac:dyDescent="0.3">
      <c r="A84" s="155"/>
      <c r="B84" s="158" t="s">
        <v>1111</v>
      </c>
      <c r="C84" s="35"/>
      <c r="D84" s="66"/>
      <c r="E84" s="210"/>
      <c r="F84" s="211"/>
      <c r="G84" s="210"/>
      <c r="H84" s="179">
        <f>SUM(H76:H82)</f>
        <v>7190</v>
      </c>
      <c r="I84" s="179">
        <f>SUM(I76:I82)</f>
        <v>157</v>
      </c>
      <c r="J84" s="180">
        <f>SUM(J76:J82)</f>
        <v>157</v>
      </c>
      <c r="K84" s="151"/>
      <c r="L84" s="151"/>
      <c r="M84" s="151"/>
      <c r="N84" s="157"/>
      <c r="O84" s="151"/>
      <c r="P84" s="151"/>
      <c r="Q84" s="151"/>
      <c r="R84" s="151"/>
    </row>
    <row r="85" spans="1:18" s="151" customFormat="1" x14ac:dyDescent="0.3">
      <c r="A85" s="155"/>
      <c r="B85" s="159"/>
      <c r="C85" s="104"/>
      <c r="D85" s="70"/>
      <c r="E85" s="193"/>
      <c r="F85" s="194"/>
      <c r="G85" s="193"/>
      <c r="H85" s="196"/>
      <c r="I85" s="196"/>
      <c r="J85" s="197"/>
      <c r="N85" s="157"/>
    </row>
    <row r="86" spans="1:18" s="151" customFormat="1" x14ac:dyDescent="0.3">
      <c r="A86" s="150" t="s">
        <v>1112</v>
      </c>
      <c r="B86" s="159"/>
      <c r="C86" s="103"/>
      <c r="D86" s="67"/>
      <c r="E86" s="152"/>
      <c r="F86" s="188"/>
      <c r="G86" s="152"/>
      <c r="H86" s="152"/>
      <c r="I86" s="152"/>
      <c r="J86" s="153"/>
    </row>
    <row r="87" spans="1:18" s="151" customFormat="1" x14ac:dyDescent="0.3">
      <c r="A87" s="150"/>
      <c r="B87" s="182" t="s">
        <v>1113</v>
      </c>
      <c r="C87" s="182" t="s">
        <v>1114</v>
      </c>
      <c r="D87" s="50"/>
      <c r="E87" s="191">
        <f>H330</f>
        <v>1559.3999999999999</v>
      </c>
      <c r="F87" s="192">
        <v>1</v>
      </c>
      <c r="G87" s="191">
        <f>F87*E87</f>
        <v>1559.3999999999999</v>
      </c>
      <c r="H87" s="191">
        <f>G87</f>
        <v>1559.3999999999999</v>
      </c>
      <c r="I87" s="191"/>
      <c r="J87" s="200"/>
      <c r="K87" s="156"/>
    </row>
    <row r="88" spans="1:18" s="151" customFormat="1" x14ac:dyDescent="0.3">
      <c r="A88" s="155"/>
      <c r="C88" s="104"/>
      <c r="D88" s="70"/>
      <c r="E88" s="193"/>
      <c r="F88" s="194"/>
      <c r="G88" s="193"/>
      <c r="H88" s="193"/>
      <c r="I88" s="193"/>
      <c r="J88" s="201"/>
      <c r="N88" s="157"/>
    </row>
    <row r="89" spans="1:18" s="151" customFormat="1" x14ac:dyDescent="0.3">
      <c r="A89" s="155"/>
      <c r="B89" s="158" t="s">
        <v>1115</v>
      </c>
      <c r="C89" s="35"/>
      <c r="D89" s="66"/>
      <c r="E89" s="210"/>
      <c r="F89" s="211"/>
      <c r="G89" s="210"/>
      <c r="H89" s="179">
        <f>SUM(H87:H87)</f>
        <v>1559.3999999999999</v>
      </c>
      <c r="I89" s="179">
        <f>SUM(I86:I87)</f>
        <v>0</v>
      </c>
      <c r="J89" s="180">
        <f>SUM(J86:J87)</f>
        <v>0</v>
      </c>
      <c r="N89" s="157"/>
    </row>
    <row r="90" spans="1:18" s="4" customFormat="1" x14ac:dyDescent="0.3">
      <c r="A90" s="155"/>
      <c r="B90" s="159"/>
      <c r="C90" s="104"/>
      <c r="D90" s="70"/>
      <c r="E90" s="193"/>
      <c r="F90" s="194"/>
      <c r="G90" s="193"/>
      <c r="H90" s="196"/>
      <c r="I90" s="196"/>
      <c r="J90" s="197"/>
      <c r="K90" s="151"/>
      <c r="L90" s="151"/>
      <c r="M90" s="151"/>
      <c r="N90" s="157"/>
      <c r="O90" s="151"/>
      <c r="P90" s="151"/>
      <c r="Q90" s="151"/>
      <c r="R90" s="151"/>
    </row>
    <row r="91" spans="1:18" s="4" customFormat="1" x14ac:dyDescent="0.3">
      <c r="A91" s="150" t="s">
        <v>1116</v>
      </c>
      <c r="B91" s="159"/>
      <c r="C91" s="103"/>
      <c r="D91" s="67"/>
      <c r="E91" s="152"/>
      <c r="F91" s="188"/>
      <c r="G91" s="152"/>
      <c r="H91" s="152"/>
      <c r="I91" s="152"/>
      <c r="J91" s="153"/>
      <c r="K91" s="151"/>
      <c r="L91" s="151"/>
      <c r="M91" s="151"/>
      <c r="N91" s="151"/>
      <c r="O91" s="151"/>
      <c r="P91" s="151"/>
      <c r="Q91" s="151"/>
      <c r="R91" s="151"/>
    </row>
    <row r="92" spans="1:18" s="76" customFormat="1" x14ac:dyDescent="0.3">
      <c r="A92" s="150"/>
      <c r="B92" s="182" t="s">
        <v>1117</v>
      </c>
      <c r="C92" s="182" t="s">
        <v>1118</v>
      </c>
      <c r="D92" s="50"/>
      <c r="E92" s="191">
        <v>25</v>
      </c>
      <c r="F92" s="192">
        <v>80</v>
      </c>
      <c r="G92" s="191">
        <f t="shared" ref="G92:G97" si="8">F92*E92</f>
        <v>2000</v>
      </c>
      <c r="H92" s="191">
        <f t="shared" ref="H92:H97" si="9">G92</f>
        <v>2000</v>
      </c>
      <c r="I92" s="191">
        <v>1400.97</v>
      </c>
      <c r="J92" s="200">
        <v>1400.97</v>
      </c>
      <c r="K92" s="156"/>
      <c r="L92" s="151"/>
      <c r="M92" s="151"/>
      <c r="N92" s="151"/>
      <c r="O92" s="151"/>
      <c r="P92" s="151"/>
      <c r="Q92" s="151"/>
      <c r="R92" s="151"/>
    </row>
    <row r="93" spans="1:18" s="76" customFormat="1" x14ac:dyDescent="0.3">
      <c r="A93" s="150"/>
      <c r="B93" s="103" t="s">
        <v>1119</v>
      </c>
      <c r="C93" s="103" t="s">
        <v>1120</v>
      </c>
      <c r="D93" s="70"/>
      <c r="E93" s="193">
        <v>20</v>
      </c>
      <c r="F93" s="194">
        <v>80</v>
      </c>
      <c r="G93" s="193">
        <f t="shared" si="8"/>
        <v>1600</v>
      </c>
      <c r="H93" s="193">
        <f t="shared" si="9"/>
        <v>1600</v>
      </c>
      <c r="I93" s="193"/>
      <c r="J93" s="201"/>
      <c r="K93" s="156"/>
      <c r="L93" s="151"/>
      <c r="M93" s="151"/>
      <c r="N93" s="151"/>
      <c r="O93" s="151"/>
      <c r="P93" s="151"/>
      <c r="Q93" s="151"/>
      <c r="R93" s="151"/>
    </row>
    <row r="94" spans="1:18" s="76" customFormat="1" x14ac:dyDescent="0.3">
      <c r="A94" s="150"/>
      <c r="B94" s="182" t="s">
        <v>1121</v>
      </c>
      <c r="C94" s="182" t="s">
        <v>1122</v>
      </c>
      <c r="D94" s="50"/>
      <c r="E94" s="191">
        <v>22</v>
      </c>
      <c r="F94" s="192">
        <v>30</v>
      </c>
      <c r="G94" s="191">
        <f t="shared" si="8"/>
        <v>660</v>
      </c>
      <c r="H94" s="191">
        <f t="shared" si="9"/>
        <v>660</v>
      </c>
      <c r="I94" s="191"/>
      <c r="J94" s="200"/>
      <c r="K94" s="156"/>
      <c r="L94" s="151"/>
      <c r="M94" s="151"/>
      <c r="N94" s="151"/>
      <c r="O94" s="151"/>
      <c r="P94" s="151"/>
      <c r="Q94" s="151"/>
      <c r="R94" s="151"/>
    </row>
    <row r="95" spans="1:18" s="76" customFormat="1" x14ac:dyDescent="0.3">
      <c r="A95" s="155"/>
      <c r="B95" s="103" t="s">
        <v>1123</v>
      </c>
      <c r="C95" s="104" t="s">
        <v>772</v>
      </c>
      <c r="D95" s="70" t="s">
        <v>1124</v>
      </c>
      <c r="E95" s="193">
        <v>3</v>
      </c>
      <c r="F95" s="194">
        <v>70</v>
      </c>
      <c r="G95" s="193">
        <f t="shared" si="8"/>
        <v>210</v>
      </c>
      <c r="H95" s="193">
        <f t="shared" si="9"/>
        <v>210</v>
      </c>
      <c r="I95" s="193"/>
      <c r="J95" s="201"/>
      <c r="K95" s="156"/>
      <c r="L95" s="151"/>
      <c r="M95" s="151"/>
      <c r="N95" s="151"/>
      <c r="O95" s="151"/>
      <c r="P95" s="151"/>
      <c r="Q95" s="151"/>
      <c r="R95" s="151"/>
    </row>
    <row r="96" spans="1:18" s="76" customFormat="1" x14ac:dyDescent="0.3">
      <c r="A96" s="155"/>
      <c r="B96" s="182" t="s">
        <v>1125</v>
      </c>
      <c r="C96" s="102" t="s">
        <v>1126</v>
      </c>
      <c r="D96" s="50"/>
      <c r="E96" s="191">
        <v>3</v>
      </c>
      <c r="F96" s="192">
        <v>48</v>
      </c>
      <c r="G96" s="191">
        <f t="shared" si="8"/>
        <v>144</v>
      </c>
      <c r="H96" s="191">
        <f t="shared" si="9"/>
        <v>144</v>
      </c>
      <c r="I96" s="191">
        <v>199</v>
      </c>
      <c r="J96" s="233">
        <v>199</v>
      </c>
      <c r="K96" s="156"/>
      <c r="L96" s="151"/>
      <c r="M96" s="151"/>
      <c r="N96" s="151"/>
      <c r="O96" s="151"/>
      <c r="P96" s="151"/>
      <c r="Q96" s="151"/>
      <c r="R96" s="151"/>
    </row>
    <row r="97" spans="1:15" s="151" customFormat="1" x14ac:dyDescent="0.3">
      <c r="A97" s="155"/>
      <c r="B97" s="103" t="s">
        <v>1127</v>
      </c>
      <c r="C97" s="104" t="s">
        <v>1128</v>
      </c>
      <c r="D97" s="70"/>
      <c r="E97" s="193">
        <v>2</v>
      </c>
      <c r="F97" s="194">
        <v>40</v>
      </c>
      <c r="G97" s="193">
        <f t="shared" si="8"/>
        <v>80</v>
      </c>
      <c r="H97" s="193">
        <f t="shared" si="9"/>
        <v>80</v>
      </c>
      <c r="I97" s="193"/>
      <c r="J97" s="256"/>
      <c r="K97" s="156"/>
    </row>
    <row r="98" spans="1:15" s="4" customFormat="1" x14ac:dyDescent="0.3">
      <c r="A98" s="155"/>
      <c r="B98" s="154"/>
      <c r="C98" s="102"/>
      <c r="D98" s="50"/>
      <c r="E98" s="191"/>
      <c r="F98" s="192"/>
      <c r="G98" s="191"/>
      <c r="H98" s="191"/>
      <c r="I98" s="191"/>
      <c r="J98" s="200"/>
      <c r="K98" s="151"/>
      <c r="L98" s="151"/>
      <c r="M98" s="151"/>
      <c r="N98" s="157"/>
      <c r="O98" s="151"/>
    </row>
    <row r="99" spans="1:15" s="4" customFormat="1" x14ac:dyDescent="0.3">
      <c r="A99" s="155"/>
      <c r="B99" s="158" t="s">
        <v>1129</v>
      </c>
      <c r="C99" s="35"/>
      <c r="D99" s="66"/>
      <c r="E99" s="210"/>
      <c r="F99" s="211"/>
      <c r="G99" s="210"/>
      <c r="H99" s="179">
        <f>SUM(H92:H97)</f>
        <v>4694</v>
      </c>
      <c r="I99" s="179">
        <f>SUM(I91:I97)</f>
        <v>1599.97</v>
      </c>
      <c r="J99" s="180">
        <f>SUM(J91:J96)</f>
        <v>1599.97</v>
      </c>
      <c r="K99" s="151"/>
      <c r="L99" s="151"/>
      <c r="M99" s="151"/>
      <c r="N99" s="157"/>
      <c r="O99" s="151"/>
    </row>
    <row r="100" spans="1:15" s="4" customFormat="1" x14ac:dyDescent="0.3">
      <c r="A100" s="155"/>
      <c r="B100" s="159"/>
      <c r="C100" s="104"/>
      <c r="D100" s="70"/>
      <c r="E100" s="193"/>
      <c r="F100" s="194"/>
      <c r="G100" s="193"/>
      <c r="H100" s="196"/>
      <c r="I100" s="196"/>
      <c r="J100" s="197"/>
      <c r="K100" s="151"/>
      <c r="L100" s="151"/>
      <c r="M100" s="151"/>
      <c r="N100" s="157"/>
      <c r="O100" s="151"/>
    </row>
    <row r="101" spans="1:15" s="7" customFormat="1" ht="18.75" x14ac:dyDescent="0.35">
      <c r="A101" s="150"/>
      <c r="B101" s="159"/>
      <c r="C101" s="129" t="s">
        <v>58</v>
      </c>
      <c r="D101" s="68"/>
      <c r="E101" s="196"/>
      <c r="F101" s="202"/>
      <c r="G101" s="196"/>
      <c r="H101" s="196">
        <f>H99+H84+H74+H68+H48+H37+H32+H27+H21+H56+H89</f>
        <v>49487.418299999998</v>
      </c>
      <c r="I101" s="196">
        <f>I99+I84+I74+I68+I48+I37+I32+I27+I21+I56</f>
        <v>14795.34</v>
      </c>
      <c r="J101" s="197">
        <f>J99+J84+J74+J68+J48+J37+J32+J27+J21+J56</f>
        <v>15015.59</v>
      </c>
      <c r="K101" s="126"/>
      <c r="L101" s="127"/>
      <c r="M101" s="126"/>
      <c r="N101" s="126"/>
      <c r="O101" s="128"/>
    </row>
    <row r="102" spans="1:15" s="7" customFormat="1" ht="18.75" x14ac:dyDescent="0.35">
      <c r="A102" s="150"/>
      <c r="B102" s="159"/>
      <c r="C102" s="129"/>
      <c r="D102" s="68"/>
      <c r="E102" s="196"/>
      <c r="F102" s="202"/>
      <c r="G102" s="196"/>
      <c r="H102" s="196"/>
      <c r="I102" s="196"/>
      <c r="J102" s="197"/>
      <c r="K102" s="126"/>
      <c r="L102" s="127"/>
      <c r="M102" s="126"/>
      <c r="N102" s="126"/>
      <c r="O102" s="128"/>
    </row>
    <row r="103" spans="1:15" s="4" customFormat="1" x14ac:dyDescent="0.3">
      <c r="A103" s="273" t="s">
        <v>59</v>
      </c>
      <c r="B103" s="274"/>
      <c r="C103" s="274"/>
      <c r="D103" s="71"/>
      <c r="E103" s="163"/>
      <c r="F103" s="189"/>
      <c r="G103" s="163"/>
      <c r="H103" s="163"/>
      <c r="I103" s="163"/>
      <c r="J103" s="149"/>
      <c r="K103" s="129"/>
      <c r="L103" s="129"/>
      <c r="M103" s="151"/>
      <c r="N103" s="151"/>
      <c r="O103" s="151"/>
    </row>
    <row r="104" spans="1:15" s="6" customFormat="1" x14ac:dyDescent="0.3">
      <c r="A104" s="150" t="s">
        <v>1130</v>
      </c>
      <c r="B104" s="159"/>
      <c r="C104" s="103"/>
      <c r="D104" s="70"/>
      <c r="E104" s="193"/>
      <c r="F104" s="194"/>
      <c r="G104" s="193"/>
      <c r="H104" s="193"/>
      <c r="I104" s="193"/>
      <c r="J104" s="201"/>
      <c r="K104" s="156"/>
      <c r="L104" s="124"/>
      <c r="M104" s="159"/>
      <c r="N104" s="123"/>
      <c r="O104" s="125"/>
    </row>
    <row r="105" spans="1:15" s="159" customFormat="1" x14ac:dyDescent="0.3">
      <c r="A105" s="164" t="s">
        <v>1003</v>
      </c>
      <c r="C105" s="103"/>
      <c r="D105" s="70"/>
      <c r="E105" s="193"/>
      <c r="F105" s="194"/>
      <c r="G105" s="193"/>
      <c r="H105" s="193"/>
      <c r="I105" s="193"/>
      <c r="J105" s="201"/>
      <c r="K105" s="156"/>
      <c r="L105" s="124"/>
      <c r="N105" s="123"/>
      <c r="O105" s="125"/>
    </row>
    <row r="106" spans="1:15" s="151" customFormat="1" x14ac:dyDescent="0.3">
      <c r="B106" s="182" t="s">
        <v>1131</v>
      </c>
      <c r="C106" s="102" t="s">
        <v>1132</v>
      </c>
      <c r="D106" s="50" t="s">
        <v>1133</v>
      </c>
      <c r="E106" s="191">
        <v>18</v>
      </c>
      <c r="F106" s="192">
        <v>3</v>
      </c>
      <c r="G106" s="191">
        <f t="shared" ref="G106:G150" si="10">F106*E106</f>
        <v>54</v>
      </c>
      <c r="H106" s="108">
        <f t="shared" ref="H106:H150" si="11">G106*1.13</f>
        <v>61.019999999999996</v>
      </c>
      <c r="I106" s="191"/>
      <c r="J106" s="200"/>
      <c r="L106" s="160"/>
    </row>
    <row r="107" spans="1:15" s="4" customFormat="1" x14ac:dyDescent="0.3">
      <c r="A107" s="115"/>
      <c r="B107" s="103" t="s">
        <v>1134</v>
      </c>
      <c r="C107" s="104" t="s">
        <v>1126</v>
      </c>
      <c r="D107" s="70" t="s">
        <v>1135</v>
      </c>
      <c r="E107" s="193">
        <v>95</v>
      </c>
      <c r="F107" s="194">
        <v>3</v>
      </c>
      <c r="G107" s="193">
        <f t="shared" si="10"/>
        <v>285</v>
      </c>
      <c r="H107" s="107">
        <f t="shared" si="11"/>
        <v>322.04999999999995</v>
      </c>
      <c r="I107" s="193"/>
      <c r="J107" s="201"/>
      <c r="K107" s="151"/>
      <c r="L107" s="160"/>
      <c r="M107" s="151"/>
      <c r="N107" s="151"/>
      <c r="O107" s="151"/>
    </row>
    <row r="108" spans="1:15" s="4" customFormat="1" x14ac:dyDescent="0.3">
      <c r="A108" s="164"/>
      <c r="B108" s="182" t="s">
        <v>1136</v>
      </c>
      <c r="C108" s="102" t="s">
        <v>1137</v>
      </c>
      <c r="D108" s="50" t="s">
        <v>1133</v>
      </c>
      <c r="E108" s="191">
        <v>8.99</v>
      </c>
      <c r="F108" s="192">
        <v>10</v>
      </c>
      <c r="G108" s="191">
        <f t="shared" si="10"/>
        <v>89.9</v>
      </c>
      <c r="H108" s="108">
        <f t="shared" si="11"/>
        <v>101.587</v>
      </c>
      <c r="I108" s="191"/>
      <c r="J108" s="200"/>
      <c r="K108" s="151"/>
      <c r="L108" s="160"/>
      <c r="M108" s="151"/>
      <c r="N108" s="151"/>
      <c r="O108" s="151"/>
    </row>
    <row r="109" spans="1:15" s="4" customFormat="1" x14ac:dyDescent="0.3">
      <c r="A109" s="164"/>
      <c r="B109" s="103" t="s">
        <v>1138</v>
      </c>
      <c r="C109" s="104" t="s">
        <v>1139</v>
      </c>
      <c r="D109" s="70" t="s">
        <v>1140</v>
      </c>
      <c r="E109" s="193">
        <v>12.37</v>
      </c>
      <c r="F109" s="194">
        <v>1</v>
      </c>
      <c r="G109" s="193">
        <f t="shared" si="10"/>
        <v>12.37</v>
      </c>
      <c r="H109" s="107">
        <f t="shared" si="11"/>
        <v>13.978099999999998</v>
      </c>
      <c r="I109" s="193"/>
      <c r="J109" s="201"/>
      <c r="K109" s="151"/>
      <c r="L109" s="160"/>
      <c r="M109" s="151"/>
      <c r="N109" s="151"/>
      <c r="O109" s="151"/>
    </row>
    <row r="110" spans="1:15" s="4" customFormat="1" x14ac:dyDescent="0.3">
      <c r="A110" s="164"/>
      <c r="B110" s="182" t="s">
        <v>1141</v>
      </c>
      <c r="C110" s="102" t="s">
        <v>1142</v>
      </c>
      <c r="D110" s="50" t="s">
        <v>1143</v>
      </c>
      <c r="E110" s="191">
        <v>4</v>
      </c>
      <c r="F110" s="192">
        <v>21</v>
      </c>
      <c r="G110" s="191">
        <f t="shared" si="10"/>
        <v>84</v>
      </c>
      <c r="H110" s="108">
        <f t="shared" si="11"/>
        <v>94.919999999999987</v>
      </c>
      <c r="I110" s="191"/>
      <c r="J110" s="200"/>
      <c r="K110" s="151"/>
      <c r="L110" s="160"/>
      <c r="M110" s="151"/>
      <c r="N110" s="151"/>
      <c r="O110" s="151"/>
    </row>
    <row r="111" spans="1:15" s="4" customFormat="1" x14ac:dyDescent="0.3">
      <c r="A111" s="164"/>
      <c r="B111" s="103" t="s">
        <v>1144</v>
      </c>
      <c r="C111" s="104" t="s">
        <v>1145</v>
      </c>
      <c r="D111" s="70" t="s">
        <v>1146</v>
      </c>
      <c r="E111" s="193">
        <v>6.49</v>
      </c>
      <c r="F111" s="194">
        <v>2</v>
      </c>
      <c r="G111" s="193">
        <f t="shared" si="10"/>
        <v>12.98</v>
      </c>
      <c r="H111" s="107">
        <f t="shared" si="11"/>
        <v>14.667399999999999</v>
      </c>
      <c r="I111" s="193"/>
      <c r="J111" s="201"/>
      <c r="K111" s="151"/>
      <c r="L111" s="160"/>
      <c r="M111" s="151"/>
      <c r="N111" s="151"/>
      <c r="O111" s="151"/>
    </row>
    <row r="112" spans="1:15" s="4" customFormat="1" x14ac:dyDescent="0.3">
      <c r="A112" s="164"/>
      <c r="B112" s="182" t="s">
        <v>1147</v>
      </c>
      <c r="C112" s="102" t="s">
        <v>1148</v>
      </c>
      <c r="D112" s="50" t="s">
        <v>1149</v>
      </c>
      <c r="E112" s="191">
        <v>13.51</v>
      </c>
      <c r="F112" s="192">
        <v>1</v>
      </c>
      <c r="G112" s="191">
        <f t="shared" si="10"/>
        <v>13.51</v>
      </c>
      <c r="H112" s="108">
        <f t="shared" si="11"/>
        <v>15.266299999999998</v>
      </c>
      <c r="I112" s="191"/>
      <c r="J112" s="200"/>
      <c r="K112" s="151"/>
      <c r="L112" s="160"/>
      <c r="M112" s="151"/>
      <c r="N112" s="151"/>
      <c r="O112" s="151"/>
    </row>
    <row r="113" spans="1:14" s="4" customFormat="1" x14ac:dyDescent="0.3">
      <c r="A113" s="155"/>
      <c r="B113" s="103" t="s">
        <v>1150</v>
      </c>
      <c r="C113" s="104" t="s">
        <v>1151</v>
      </c>
      <c r="D113" s="70" t="s">
        <v>1152</v>
      </c>
      <c r="E113" s="193">
        <v>20</v>
      </c>
      <c r="F113" s="194">
        <v>1</v>
      </c>
      <c r="G113" s="193">
        <f t="shared" si="10"/>
        <v>20</v>
      </c>
      <c r="H113" s="107">
        <f t="shared" si="11"/>
        <v>22.599999999999998</v>
      </c>
      <c r="I113" s="193"/>
      <c r="J113" s="201"/>
      <c r="K113" s="151"/>
      <c r="L113" s="160"/>
      <c r="M113" s="151"/>
      <c r="N113" s="151"/>
    </row>
    <row r="114" spans="1:14" s="4" customFormat="1" x14ac:dyDescent="0.3">
      <c r="A114" s="155"/>
      <c r="B114" s="182" t="s">
        <v>1153</v>
      </c>
      <c r="C114" s="102" t="s">
        <v>1154</v>
      </c>
      <c r="D114" s="50" t="s">
        <v>1155</v>
      </c>
      <c r="E114" s="191">
        <v>12.78</v>
      </c>
      <c r="F114" s="192">
        <v>10</v>
      </c>
      <c r="G114" s="191">
        <f t="shared" si="10"/>
        <v>127.8</v>
      </c>
      <c r="H114" s="108">
        <f t="shared" si="11"/>
        <v>144.41399999999999</v>
      </c>
      <c r="I114" s="191"/>
      <c r="J114" s="200"/>
      <c r="K114" s="151"/>
      <c r="L114" s="160"/>
      <c r="M114" s="151"/>
      <c r="N114" s="151"/>
    </row>
    <row r="115" spans="1:14" s="4" customFormat="1" x14ac:dyDescent="0.3">
      <c r="A115" s="155"/>
      <c r="B115" s="103" t="s">
        <v>1156</v>
      </c>
      <c r="C115" s="103" t="s">
        <v>1157</v>
      </c>
      <c r="D115" s="70" t="s">
        <v>1158</v>
      </c>
      <c r="E115" s="193">
        <v>4.57</v>
      </c>
      <c r="F115" s="194">
        <v>5</v>
      </c>
      <c r="G115" s="193">
        <f t="shared" si="10"/>
        <v>22.85</v>
      </c>
      <c r="H115" s="107">
        <f t="shared" si="11"/>
        <v>25.820499999999999</v>
      </c>
      <c r="I115" s="193"/>
      <c r="J115" s="201"/>
      <c r="K115" s="151"/>
      <c r="L115" s="160"/>
      <c r="M115" s="151"/>
      <c r="N115" s="151"/>
    </row>
    <row r="116" spans="1:14" s="4" customFormat="1" x14ac:dyDescent="0.3">
      <c r="A116" s="155"/>
      <c r="B116" s="182" t="s">
        <v>1159</v>
      </c>
      <c r="C116" s="182" t="s">
        <v>353</v>
      </c>
      <c r="D116" s="50" t="s">
        <v>1160</v>
      </c>
      <c r="E116" s="191">
        <v>11.95</v>
      </c>
      <c r="F116" s="192">
        <v>1</v>
      </c>
      <c r="G116" s="191">
        <f t="shared" si="10"/>
        <v>11.95</v>
      </c>
      <c r="H116" s="108">
        <f t="shared" si="11"/>
        <v>13.503499999999997</v>
      </c>
      <c r="I116" s="191"/>
      <c r="J116" s="200"/>
      <c r="K116" s="151"/>
      <c r="L116" s="160"/>
      <c r="M116" s="151"/>
      <c r="N116" s="151"/>
    </row>
    <row r="117" spans="1:14" s="4" customFormat="1" x14ac:dyDescent="0.3">
      <c r="A117" s="155"/>
      <c r="B117" s="103" t="s">
        <v>1161</v>
      </c>
      <c r="C117" s="103" t="s">
        <v>1162</v>
      </c>
      <c r="D117" s="70"/>
      <c r="E117" s="193">
        <v>20</v>
      </c>
      <c r="F117" s="194">
        <v>3</v>
      </c>
      <c r="G117" s="193">
        <f t="shared" si="10"/>
        <v>60</v>
      </c>
      <c r="H117" s="107">
        <f t="shared" si="11"/>
        <v>67.8</v>
      </c>
      <c r="I117" s="193"/>
      <c r="J117" s="201"/>
      <c r="K117" s="151"/>
      <c r="L117" s="160"/>
      <c r="M117" s="151"/>
      <c r="N117" s="157"/>
    </row>
    <row r="118" spans="1:14" s="4" customFormat="1" x14ac:dyDescent="0.3">
      <c r="A118" s="164" t="s">
        <v>1005</v>
      </c>
      <c r="B118" s="182"/>
      <c r="C118" s="182"/>
      <c r="D118" s="50"/>
      <c r="E118" s="191"/>
      <c r="F118" s="192"/>
      <c r="G118" s="191"/>
      <c r="H118" s="108"/>
      <c r="I118" s="191"/>
      <c r="J118" s="200"/>
      <c r="K118" s="151"/>
      <c r="L118" s="160"/>
      <c r="M118" s="151"/>
      <c r="N118" s="157"/>
    </row>
    <row r="119" spans="1:14" s="4" customFormat="1" x14ac:dyDescent="0.3">
      <c r="A119" s="151"/>
      <c r="B119" s="103" t="s">
        <v>1163</v>
      </c>
      <c r="C119" s="104" t="s">
        <v>1164</v>
      </c>
      <c r="D119" s="70"/>
      <c r="E119" s="193">
        <v>6</v>
      </c>
      <c r="F119" s="194">
        <v>200</v>
      </c>
      <c r="G119" s="193">
        <f t="shared" si="10"/>
        <v>1200</v>
      </c>
      <c r="H119" s="107">
        <f t="shared" si="11"/>
        <v>1355.9999999999998</v>
      </c>
      <c r="I119" s="193"/>
      <c r="J119" s="201"/>
      <c r="K119" s="151"/>
      <c r="L119" s="160"/>
      <c r="M119" s="151"/>
      <c r="N119" s="157"/>
    </row>
    <row r="120" spans="1:14" s="4" customFormat="1" x14ac:dyDescent="0.3">
      <c r="A120" s="155"/>
      <c r="B120" s="182" t="s">
        <v>1165</v>
      </c>
      <c r="C120" s="182" t="s">
        <v>1166</v>
      </c>
      <c r="D120" s="50" t="s">
        <v>1167</v>
      </c>
      <c r="E120" s="191">
        <v>25</v>
      </c>
      <c r="F120" s="192">
        <v>200</v>
      </c>
      <c r="G120" s="191">
        <f t="shared" si="10"/>
        <v>5000</v>
      </c>
      <c r="H120" s="108">
        <f t="shared" si="11"/>
        <v>5649.9999999999991</v>
      </c>
      <c r="I120" s="191"/>
      <c r="J120" s="200"/>
      <c r="K120" s="151"/>
      <c r="L120" s="160"/>
      <c r="M120" s="151"/>
      <c r="N120" s="157"/>
    </row>
    <row r="121" spans="1:14" s="4" customFormat="1" x14ac:dyDescent="0.3">
      <c r="A121" s="155"/>
      <c r="B121" s="103" t="s">
        <v>1168</v>
      </c>
      <c r="C121" s="234" t="s">
        <v>353</v>
      </c>
      <c r="D121" s="109" t="s">
        <v>1160</v>
      </c>
      <c r="E121" s="107">
        <v>11.95</v>
      </c>
      <c r="F121" s="110">
        <v>1</v>
      </c>
      <c r="G121" s="193">
        <f t="shared" si="10"/>
        <v>11.95</v>
      </c>
      <c r="H121" s="107">
        <f t="shared" si="11"/>
        <v>13.503499999999997</v>
      </c>
      <c r="I121" s="107"/>
      <c r="J121" s="111"/>
      <c r="K121" s="151"/>
      <c r="L121" s="160"/>
      <c r="M121" s="151"/>
      <c r="N121" s="157"/>
    </row>
    <row r="122" spans="1:14" s="4" customFormat="1" x14ac:dyDescent="0.3">
      <c r="A122" s="164" t="s">
        <v>1007</v>
      </c>
      <c r="B122" s="182"/>
      <c r="C122" s="235"/>
      <c r="D122" s="112"/>
      <c r="E122" s="108"/>
      <c r="F122" s="113"/>
      <c r="G122" s="191"/>
      <c r="H122" s="108"/>
      <c r="I122" s="108"/>
      <c r="J122" s="114"/>
      <c r="K122" s="151"/>
      <c r="L122" s="160"/>
      <c r="M122" s="151"/>
      <c r="N122" s="157"/>
    </row>
    <row r="123" spans="1:14" s="4" customFormat="1" x14ac:dyDescent="0.3">
      <c r="A123" s="151"/>
      <c r="B123" s="103" t="s">
        <v>1169</v>
      </c>
      <c r="C123" s="103" t="s">
        <v>1170</v>
      </c>
      <c r="D123" s="70" t="s">
        <v>1167</v>
      </c>
      <c r="E123" s="193">
        <v>6.75</v>
      </c>
      <c r="F123" s="194">
        <v>200</v>
      </c>
      <c r="G123" s="193">
        <f t="shared" si="10"/>
        <v>1350</v>
      </c>
      <c r="H123" s="107">
        <f t="shared" si="11"/>
        <v>1525.4999999999998</v>
      </c>
      <c r="I123" s="193"/>
      <c r="J123" s="201"/>
      <c r="K123" s="151"/>
      <c r="L123" s="160"/>
      <c r="M123" s="151"/>
      <c r="N123" s="157"/>
    </row>
    <row r="124" spans="1:14" s="4" customFormat="1" x14ac:dyDescent="0.3">
      <c r="A124" s="155" t="s">
        <v>54</v>
      </c>
      <c r="B124" s="235" t="s">
        <v>1171</v>
      </c>
      <c r="C124" s="235" t="s">
        <v>353</v>
      </c>
      <c r="D124" s="112" t="s">
        <v>1160</v>
      </c>
      <c r="E124" s="108">
        <v>11.95</v>
      </c>
      <c r="F124" s="113">
        <v>1</v>
      </c>
      <c r="G124" s="191">
        <f t="shared" si="10"/>
        <v>11.95</v>
      </c>
      <c r="H124" s="108">
        <f t="shared" si="11"/>
        <v>13.503499999999997</v>
      </c>
      <c r="I124" s="108"/>
      <c r="J124" s="114"/>
      <c r="K124" s="151"/>
      <c r="L124" s="160"/>
      <c r="M124" s="151"/>
      <c r="N124" s="157"/>
    </row>
    <row r="125" spans="1:14" s="4" customFormat="1" x14ac:dyDescent="0.3">
      <c r="A125" s="164" t="s">
        <v>1009</v>
      </c>
      <c r="B125" s="234"/>
      <c r="C125" s="234"/>
      <c r="D125" s="109"/>
      <c r="E125" s="107"/>
      <c r="F125" s="110"/>
      <c r="G125" s="193"/>
      <c r="H125" s="107"/>
      <c r="I125" s="107"/>
      <c r="J125" s="111"/>
      <c r="K125" s="151"/>
      <c r="L125" s="160"/>
      <c r="M125" s="151"/>
      <c r="N125" s="157"/>
    </row>
    <row r="126" spans="1:14" s="4" customFormat="1" x14ac:dyDescent="0.3">
      <c r="A126" s="151"/>
      <c r="B126" s="182" t="s">
        <v>1172</v>
      </c>
      <c r="C126" s="182" t="s">
        <v>1009</v>
      </c>
      <c r="D126" s="50" t="s">
        <v>1173</v>
      </c>
      <c r="E126" s="191">
        <v>2900</v>
      </c>
      <c r="F126" s="192">
        <v>1</v>
      </c>
      <c r="G126" s="191">
        <f t="shared" si="10"/>
        <v>2900</v>
      </c>
      <c r="H126" s="108">
        <f t="shared" si="11"/>
        <v>3276.9999999999995</v>
      </c>
      <c r="I126" s="191"/>
      <c r="J126" s="200"/>
      <c r="K126" s="151"/>
      <c r="L126" s="160"/>
      <c r="M126" s="151"/>
      <c r="N126" s="157"/>
    </row>
    <row r="127" spans="1:14" s="4" customFormat="1" x14ac:dyDescent="0.3">
      <c r="A127" s="151"/>
      <c r="B127" s="103" t="s">
        <v>1174</v>
      </c>
      <c r="C127" s="103" t="s">
        <v>1175</v>
      </c>
      <c r="D127" s="70" t="s">
        <v>1176</v>
      </c>
      <c r="E127" s="193">
        <v>500</v>
      </c>
      <c r="F127" s="194">
        <v>1</v>
      </c>
      <c r="G127" s="193">
        <f t="shared" si="10"/>
        <v>500</v>
      </c>
      <c r="H127" s="107">
        <f>G127</f>
        <v>500</v>
      </c>
      <c r="I127" s="193"/>
      <c r="J127" s="201">
        <v>220.25</v>
      </c>
      <c r="K127" s="151"/>
      <c r="L127" s="160"/>
      <c r="M127" s="151"/>
      <c r="N127" s="157"/>
    </row>
    <row r="128" spans="1:14" s="4" customFormat="1" x14ac:dyDescent="0.3">
      <c r="A128" s="150"/>
      <c r="B128" s="182" t="s">
        <v>1177</v>
      </c>
      <c r="C128" s="182" t="s">
        <v>1178</v>
      </c>
      <c r="D128" s="50"/>
      <c r="E128" s="191">
        <v>465</v>
      </c>
      <c r="F128" s="192">
        <v>1</v>
      </c>
      <c r="G128" s="191">
        <f t="shared" si="10"/>
        <v>465</v>
      </c>
      <c r="H128" s="108">
        <f t="shared" si="11"/>
        <v>525.44999999999993</v>
      </c>
      <c r="I128" s="191"/>
      <c r="J128" s="200"/>
      <c r="K128" s="151"/>
      <c r="L128" s="160"/>
      <c r="M128" s="151"/>
      <c r="N128" s="157"/>
    </row>
    <row r="129" spans="1:14" s="151" customFormat="1" x14ac:dyDescent="0.3">
      <c r="A129" s="150"/>
      <c r="B129" s="103" t="s">
        <v>1179</v>
      </c>
      <c r="C129" s="103" t="s">
        <v>1180</v>
      </c>
      <c r="D129" s="70"/>
      <c r="E129" s="193">
        <v>59.17</v>
      </c>
      <c r="F129" s="194">
        <v>1</v>
      </c>
      <c r="G129" s="193">
        <f t="shared" si="10"/>
        <v>59.17</v>
      </c>
      <c r="H129" s="107">
        <f t="shared" si="11"/>
        <v>66.862099999999998</v>
      </c>
      <c r="I129" s="193"/>
      <c r="J129" s="201"/>
      <c r="L129" s="160"/>
      <c r="N129" s="157"/>
    </row>
    <row r="130" spans="1:14" s="4" customFormat="1" x14ac:dyDescent="0.3">
      <c r="A130" s="150"/>
      <c r="B130" s="182" t="s">
        <v>1181</v>
      </c>
      <c r="C130" s="182" t="s">
        <v>1182</v>
      </c>
      <c r="D130" s="50" t="s">
        <v>1183</v>
      </c>
      <c r="E130" s="191">
        <v>250</v>
      </c>
      <c r="F130" s="192">
        <v>5</v>
      </c>
      <c r="G130" s="191">
        <f t="shared" si="10"/>
        <v>1250</v>
      </c>
      <c r="H130" s="108">
        <f t="shared" si="11"/>
        <v>1412.4999999999998</v>
      </c>
      <c r="I130" s="191"/>
      <c r="J130" s="200"/>
      <c r="K130" s="151"/>
      <c r="L130" s="160"/>
      <c r="M130" s="151"/>
      <c r="N130" s="157"/>
    </row>
    <row r="131" spans="1:14" s="151" customFormat="1" x14ac:dyDescent="0.3">
      <c r="A131" s="150"/>
      <c r="B131" s="103" t="s">
        <v>1184</v>
      </c>
      <c r="C131" s="103" t="s">
        <v>1185</v>
      </c>
      <c r="D131" s="70" t="s">
        <v>1186</v>
      </c>
      <c r="E131" s="193">
        <v>100</v>
      </c>
      <c r="F131" s="194">
        <v>5</v>
      </c>
      <c r="G131" s="193">
        <f t="shared" si="10"/>
        <v>500</v>
      </c>
      <c r="H131" s="107">
        <f>G131</f>
        <v>500</v>
      </c>
      <c r="I131" s="193"/>
      <c r="J131" s="201"/>
      <c r="L131" s="160"/>
      <c r="N131" s="157"/>
    </row>
    <row r="132" spans="1:14" s="4" customFormat="1" x14ac:dyDescent="0.3">
      <c r="A132" s="150"/>
      <c r="B132" s="182" t="s">
        <v>1187</v>
      </c>
      <c r="C132" s="182" t="s">
        <v>784</v>
      </c>
      <c r="D132" s="50" t="s">
        <v>1188</v>
      </c>
      <c r="E132" s="191">
        <v>12.75</v>
      </c>
      <c r="F132" s="192">
        <v>28</v>
      </c>
      <c r="G132" s="191">
        <f t="shared" si="10"/>
        <v>357</v>
      </c>
      <c r="H132" s="108">
        <f t="shared" si="11"/>
        <v>403.40999999999997</v>
      </c>
      <c r="I132" s="191"/>
      <c r="J132" s="200"/>
      <c r="K132" s="151"/>
      <c r="L132" s="160"/>
      <c r="M132" s="151"/>
      <c r="N132" s="157"/>
    </row>
    <row r="133" spans="1:14" s="151" customFormat="1" x14ac:dyDescent="0.3">
      <c r="A133" s="150"/>
      <c r="B133" s="103" t="s">
        <v>1189</v>
      </c>
      <c r="C133" s="234" t="s">
        <v>353</v>
      </c>
      <c r="D133" s="109" t="s">
        <v>1160</v>
      </c>
      <c r="E133" s="107">
        <v>11.95</v>
      </c>
      <c r="F133" s="110">
        <v>1</v>
      </c>
      <c r="G133" s="193">
        <f t="shared" si="10"/>
        <v>11.95</v>
      </c>
      <c r="H133" s="107">
        <f t="shared" si="11"/>
        <v>13.503499999999997</v>
      </c>
      <c r="I133" s="107">
        <f>8.48</f>
        <v>8.48</v>
      </c>
      <c r="J133" s="111">
        <v>8.48</v>
      </c>
      <c r="L133" s="160"/>
      <c r="N133" s="157"/>
    </row>
    <row r="134" spans="1:14" s="4" customFormat="1" x14ac:dyDescent="0.3">
      <c r="A134" s="164" t="s">
        <v>1013</v>
      </c>
      <c r="B134" s="182"/>
      <c r="C134" s="102"/>
      <c r="D134" s="50"/>
      <c r="E134" s="191"/>
      <c r="F134" s="192"/>
      <c r="G134" s="191"/>
      <c r="H134" s="108"/>
      <c r="I134" s="191"/>
      <c r="J134" s="200"/>
      <c r="K134" s="151"/>
      <c r="L134" s="160"/>
      <c r="M134" s="151"/>
      <c r="N134" s="157"/>
    </row>
    <row r="135" spans="1:14" s="151" customFormat="1" x14ac:dyDescent="0.3">
      <c r="B135" s="103" t="s">
        <v>1190</v>
      </c>
      <c r="C135" s="103" t="s">
        <v>1191</v>
      </c>
      <c r="D135" s="70"/>
      <c r="E135" s="193">
        <v>385</v>
      </c>
      <c r="F135" s="194">
        <v>4</v>
      </c>
      <c r="G135" s="193">
        <f t="shared" si="10"/>
        <v>1540</v>
      </c>
      <c r="H135" s="107">
        <f t="shared" si="11"/>
        <v>1740.1999999999998</v>
      </c>
      <c r="I135" s="193"/>
      <c r="J135" s="201"/>
      <c r="L135" s="160"/>
      <c r="N135" s="157"/>
    </row>
    <row r="136" spans="1:14" s="4" customFormat="1" x14ac:dyDescent="0.3">
      <c r="A136" s="151"/>
      <c r="B136" s="235" t="s">
        <v>1192</v>
      </c>
      <c r="C136" s="235" t="s">
        <v>353</v>
      </c>
      <c r="D136" s="112" t="s">
        <v>1160</v>
      </c>
      <c r="E136" s="108">
        <v>11.95</v>
      </c>
      <c r="F136" s="113">
        <v>1</v>
      </c>
      <c r="G136" s="191">
        <f t="shared" si="10"/>
        <v>11.95</v>
      </c>
      <c r="H136" s="108">
        <f t="shared" si="11"/>
        <v>13.503499999999997</v>
      </c>
      <c r="I136" s="108"/>
      <c r="J136" s="114"/>
      <c r="K136" s="151"/>
      <c r="L136" s="160"/>
      <c r="M136" s="151"/>
      <c r="N136" s="157"/>
    </row>
    <row r="137" spans="1:14" s="151" customFormat="1" x14ac:dyDescent="0.3">
      <c r="A137" s="150"/>
      <c r="B137" s="234" t="s">
        <v>1193</v>
      </c>
      <c r="C137" s="234" t="s">
        <v>351</v>
      </c>
      <c r="D137" s="109"/>
      <c r="E137" s="107">
        <v>50</v>
      </c>
      <c r="F137" s="110">
        <v>1</v>
      </c>
      <c r="G137" s="193">
        <f>F137*E137</f>
        <v>50</v>
      </c>
      <c r="H137" s="107">
        <f t="shared" si="11"/>
        <v>56.499999999999993</v>
      </c>
      <c r="I137" s="107"/>
      <c r="J137" s="111"/>
      <c r="L137" s="160"/>
      <c r="N137" s="157"/>
    </row>
    <row r="138" spans="1:14" s="4" customFormat="1" x14ac:dyDescent="0.3">
      <c r="A138" s="164" t="s">
        <v>1194</v>
      </c>
      <c r="B138" s="235"/>
      <c r="C138" s="235"/>
      <c r="D138" s="112"/>
      <c r="E138" s="108"/>
      <c r="F138" s="113"/>
      <c r="G138" s="191"/>
      <c r="H138" s="108"/>
      <c r="I138" s="108"/>
      <c r="J138" s="114"/>
      <c r="K138" s="151"/>
      <c r="L138" s="160"/>
      <c r="M138" s="151"/>
      <c r="N138" s="157"/>
    </row>
    <row r="139" spans="1:14" s="151" customFormat="1" x14ac:dyDescent="0.3">
      <c r="B139" s="103" t="s">
        <v>1195</v>
      </c>
      <c r="C139" s="103" t="s">
        <v>1196</v>
      </c>
      <c r="D139" s="70" t="s">
        <v>1167</v>
      </c>
      <c r="E139" s="193">
        <v>17.5</v>
      </c>
      <c r="F139" s="194">
        <v>100</v>
      </c>
      <c r="G139" s="193">
        <f t="shared" si="10"/>
        <v>1750</v>
      </c>
      <c r="H139" s="107">
        <f t="shared" si="11"/>
        <v>1977.4999999999998</v>
      </c>
      <c r="I139" s="193"/>
      <c r="J139" s="201"/>
      <c r="L139" s="160"/>
      <c r="N139" s="157"/>
    </row>
    <row r="140" spans="1:14" s="4" customFormat="1" x14ac:dyDescent="0.3">
      <c r="A140" s="150"/>
      <c r="B140" s="235" t="s">
        <v>1197</v>
      </c>
      <c r="C140" s="235" t="s">
        <v>353</v>
      </c>
      <c r="D140" s="112" t="s">
        <v>1198</v>
      </c>
      <c r="E140" s="108">
        <v>11.95</v>
      </c>
      <c r="F140" s="113">
        <v>1</v>
      </c>
      <c r="G140" s="191">
        <f t="shared" si="10"/>
        <v>11.95</v>
      </c>
      <c r="H140" s="108">
        <f t="shared" si="11"/>
        <v>13.503499999999997</v>
      </c>
      <c r="I140" s="108"/>
      <c r="J140" s="114"/>
      <c r="K140" s="151"/>
      <c r="L140" s="160"/>
      <c r="M140" s="151"/>
      <c r="N140" s="157"/>
    </row>
    <row r="141" spans="1:14" s="151" customFormat="1" x14ac:dyDescent="0.3">
      <c r="A141" s="164" t="s">
        <v>1017</v>
      </c>
      <c r="B141" s="234"/>
      <c r="C141" s="234"/>
      <c r="D141" s="109"/>
      <c r="E141" s="107"/>
      <c r="F141" s="110"/>
      <c r="G141" s="193"/>
      <c r="H141" s="107"/>
      <c r="I141" s="107"/>
      <c r="J141" s="111"/>
      <c r="L141" s="160"/>
      <c r="N141" s="157"/>
    </row>
    <row r="142" spans="1:14" s="4" customFormat="1" x14ac:dyDescent="0.3">
      <c r="A142" s="151"/>
      <c r="B142" s="182" t="s">
        <v>1199</v>
      </c>
      <c r="C142" s="182" t="s">
        <v>1200</v>
      </c>
      <c r="D142" s="50" t="s">
        <v>1201</v>
      </c>
      <c r="E142" s="191">
        <v>0</v>
      </c>
      <c r="F142" s="192">
        <v>1</v>
      </c>
      <c r="G142" s="191">
        <f t="shared" si="10"/>
        <v>0</v>
      </c>
      <c r="H142" s="108">
        <f t="shared" si="11"/>
        <v>0</v>
      </c>
      <c r="I142" s="191"/>
      <c r="J142" s="200"/>
      <c r="K142" s="151"/>
      <c r="L142" s="160"/>
      <c r="M142" s="151"/>
      <c r="N142" s="157"/>
    </row>
    <row r="143" spans="1:14" s="151" customFormat="1" x14ac:dyDescent="0.3">
      <c r="A143" s="150"/>
      <c r="B143" s="103" t="s">
        <v>1202</v>
      </c>
      <c r="C143" s="103" t="s">
        <v>1203</v>
      </c>
      <c r="D143" s="70" t="s">
        <v>1204</v>
      </c>
      <c r="E143" s="193">
        <v>60</v>
      </c>
      <c r="F143" s="194">
        <v>2</v>
      </c>
      <c r="G143" s="193">
        <f t="shared" si="10"/>
        <v>120</v>
      </c>
      <c r="H143" s="107">
        <f t="shared" si="11"/>
        <v>135.6</v>
      </c>
      <c r="I143" s="193"/>
      <c r="J143" s="201"/>
      <c r="L143" s="160"/>
      <c r="N143" s="157"/>
    </row>
    <row r="144" spans="1:14" s="4" customFormat="1" x14ac:dyDescent="0.3">
      <c r="A144" s="150"/>
      <c r="B144" s="235" t="s">
        <v>1205</v>
      </c>
      <c r="C144" s="235" t="s">
        <v>353</v>
      </c>
      <c r="D144" s="112" t="s">
        <v>1198</v>
      </c>
      <c r="E144" s="108">
        <v>11.95</v>
      </c>
      <c r="F144" s="113">
        <v>1</v>
      </c>
      <c r="G144" s="191">
        <f t="shared" si="10"/>
        <v>11.95</v>
      </c>
      <c r="H144" s="108">
        <f t="shared" si="11"/>
        <v>13.503499999999997</v>
      </c>
      <c r="I144" s="108"/>
      <c r="J144" s="114"/>
      <c r="K144" s="151"/>
      <c r="L144" s="160"/>
      <c r="M144" s="151"/>
      <c r="N144" s="157"/>
    </row>
    <row r="145" spans="1:15" s="151" customFormat="1" x14ac:dyDescent="0.3">
      <c r="A145" s="164" t="s">
        <v>1019</v>
      </c>
      <c r="B145" s="103"/>
      <c r="C145" s="104"/>
      <c r="D145" s="70"/>
      <c r="E145" s="193"/>
      <c r="F145" s="194"/>
      <c r="G145" s="193"/>
      <c r="H145" s="107"/>
      <c r="I145" s="193"/>
      <c r="J145" s="201"/>
      <c r="L145" s="160"/>
      <c r="N145" s="157"/>
    </row>
    <row r="146" spans="1:15" s="4" customFormat="1" x14ac:dyDescent="0.3">
      <c r="A146" s="151"/>
      <c r="B146" s="182" t="s">
        <v>1206</v>
      </c>
      <c r="C146" s="182" t="s">
        <v>1207</v>
      </c>
      <c r="D146" s="50"/>
      <c r="E146" s="191">
        <v>200</v>
      </c>
      <c r="F146" s="192">
        <v>1</v>
      </c>
      <c r="G146" s="191">
        <f t="shared" si="10"/>
        <v>200</v>
      </c>
      <c r="H146" s="108">
        <f t="shared" si="11"/>
        <v>225.99999999999997</v>
      </c>
      <c r="I146" s="191"/>
      <c r="J146" s="200"/>
      <c r="K146" s="151"/>
      <c r="L146" s="160"/>
      <c r="M146" s="151"/>
      <c r="N146" s="157"/>
      <c r="O146" s="151"/>
    </row>
    <row r="147" spans="1:15" s="151" customFormat="1" x14ac:dyDescent="0.3">
      <c r="A147" s="150"/>
      <c r="B147" s="234" t="s">
        <v>1208</v>
      </c>
      <c r="C147" s="234" t="s">
        <v>353</v>
      </c>
      <c r="D147" s="109" t="s">
        <v>1198</v>
      </c>
      <c r="E147" s="107">
        <v>11.95</v>
      </c>
      <c r="F147" s="110">
        <v>1</v>
      </c>
      <c r="G147" s="193">
        <f t="shared" si="10"/>
        <v>11.95</v>
      </c>
      <c r="H147" s="107">
        <f t="shared" si="11"/>
        <v>13.503499999999997</v>
      </c>
      <c r="I147" s="107"/>
      <c r="J147" s="111"/>
      <c r="L147" s="160"/>
      <c r="N147" s="157"/>
    </row>
    <row r="148" spans="1:15" s="4" customFormat="1" x14ac:dyDescent="0.3">
      <c r="A148" s="150"/>
      <c r="B148" s="235" t="s">
        <v>1209</v>
      </c>
      <c r="C148" s="235" t="s">
        <v>1210</v>
      </c>
      <c r="D148" s="112"/>
      <c r="E148" s="108">
        <v>250</v>
      </c>
      <c r="F148" s="113">
        <v>1</v>
      </c>
      <c r="G148" s="191">
        <f>F148*E148</f>
        <v>250</v>
      </c>
      <c r="H148" s="108">
        <f t="shared" si="11"/>
        <v>282.5</v>
      </c>
      <c r="I148" s="108"/>
      <c r="J148" s="114"/>
      <c r="K148" s="151"/>
      <c r="L148" s="160"/>
      <c r="M148" s="151"/>
      <c r="N148" s="157"/>
      <c r="O148" s="151"/>
    </row>
    <row r="149" spans="1:15" s="151" customFormat="1" x14ac:dyDescent="0.3">
      <c r="A149" s="164" t="s">
        <v>1021</v>
      </c>
      <c r="B149" s="234"/>
      <c r="C149" s="234"/>
      <c r="D149" s="109"/>
      <c r="E149" s="107"/>
      <c r="F149" s="110"/>
      <c r="G149" s="193"/>
      <c r="H149" s="107"/>
      <c r="I149" s="107"/>
      <c r="J149" s="111"/>
      <c r="L149" s="160"/>
      <c r="N149" s="157"/>
    </row>
    <row r="150" spans="1:15" s="4" customFormat="1" x14ac:dyDescent="0.3">
      <c r="A150" s="151"/>
      <c r="B150" s="182" t="s">
        <v>1211</v>
      </c>
      <c r="C150" s="182" t="s">
        <v>1212</v>
      </c>
      <c r="D150" s="50" t="s">
        <v>1213</v>
      </c>
      <c r="E150" s="191">
        <v>0</v>
      </c>
      <c r="F150" s="192">
        <v>1</v>
      </c>
      <c r="G150" s="191">
        <f t="shared" si="10"/>
        <v>0</v>
      </c>
      <c r="H150" s="108">
        <f t="shared" si="11"/>
        <v>0</v>
      </c>
      <c r="I150" s="191"/>
      <c r="J150" s="200"/>
      <c r="K150" s="151"/>
      <c r="L150" s="160"/>
      <c r="M150" s="151"/>
      <c r="N150" s="157"/>
      <c r="O150" s="151"/>
    </row>
    <row r="151" spans="1:15" s="151" customFormat="1" x14ac:dyDescent="0.3">
      <c r="A151" s="155"/>
      <c r="B151" s="103"/>
      <c r="C151" s="103"/>
      <c r="D151" s="70"/>
      <c r="E151" s="193"/>
      <c r="F151" s="194"/>
      <c r="G151" s="193"/>
      <c r="H151" s="193"/>
      <c r="I151" s="193"/>
      <c r="J151" s="201"/>
      <c r="L151" s="160"/>
      <c r="N151" s="157"/>
    </row>
    <row r="152" spans="1:15" s="4" customFormat="1" x14ac:dyDescent="0.3">
      <c r="A152" s="155"/>
      <c r="B152" s="44" t="s">
        <v>1214</v>
      </c>
      <c r="C152" s="36"/>
      <c r="D152" s="69"/>
      <c r="E152" s="179"/>
      <c r="F152" s="184"/>
      <c r="G152" s="179"/>
      <c r="H152" s="179">
        <f>SUM(H106:H150)</f>
        <v>20627.173399999996</v>
      </c>
      <c r="I152" s="179">
        <f>SUM(I106:I150)</f>
        <v>8.48</v>
      </c>
      <c r="J152" s="180">
        <f>SUM(J106:J150)</f>
        <v>228.73</v>
      </c>
      <c r="K152" s="151"/>
      <c r="L152" s="160"/>
      <c r="M152" s="151"/>
      <c r="N152" s="157"/>
      <c r="O152" s="151"/>
    </row>
    <row r="153" spans="1:15" s="6" customFormat="1" x14ac:dyDescent="0.3">
      <c r="A153" s="150" t="s">
        <v>1023</v>
      </c>
      <c r="B153" s="129"/>
      <c r="C153" s="251"/>
      <c r="D153" s="68"/>
      <c r="E153" s="196"/>
      <c r="F153" s="202"/>
      <c r="G153" s="196"/>
      <c r="H153" s="196"/>
      <c r="I153" s="196"/>
      <c r="J153" s="197"/>
      <c r="K153" s="156"/>
      <c r="L153" s="124"/>
      <c r="M153" s="159"/>
      <c r="N153" s="123"/>
      <c r="O153" s="125"/>
    </row>
    <row r="154" spans="1:15" s="83" customFormat="1" x14ac:dyDescent="0.3">
      <c r="A154" s="155"/>
      <c r="B154" s="182" t="s">
        <v>1215</v>
      </c>
      <c r="C154" s="102" t="s">
        <v>1025</v>
      </c>
      <c r="D154" s="50" t="s">
        <v>1216</v>
      </c>
      <c r="E154" s="191">
        <v>8</v>
      </c>
      <c r="F154" s="192">
        <v>25</v>
      </c>
      <c r="G154" s="191">
        <f>F154*E154</f>
        <v>200</v>
      </c>
      <c r="H154" s="191">
        <f>G154*1.13</f>
        <v>225.99999999999997</v>
      </c>
      <c r="I154" s="191"/>
      <c r="J154" s="200"/>
      <c r="K154" s="151"/>
      <c r="L154" s="151"/>
      <c r="M154" s="134"/>
      <c r="N154" s="134"/>
      <c r="O154" s="134"/>
    </row>
    <row r="155" spans="1:15" s="83" customFormat="1" x14ac:dyDescent="0.3">
      <c r="A155" s="155"/>
      <c r="B155" s="103" t="s">
        <v>1217</v>
      </c>
      <c r="C155" s="104" t="s">
        <v>1218</v>
      </c>
      <c r="D155" s="70" t="s">
        <v>1219</v>
      </c>
      <c r="E155" s="193">
        <v>15</v>
      </c>
      <c r="F155" s="194">
        <v>1</v>
      </c>
      <c r="G155" s="193">
        <f>F155*E155</f>
        <v>15</v>
      </c>
      <c r="H155" s="193">
        <f>G155*1.13</f>
        <v>16.95</v>
      </c>
      <c r="I155" s="193"/>
      <c r="J155" s="201"/>
      <c r="K155" s="151"/>
      <c r="L155" s="151"/>
      <c r="M155" s="134"/>
      <c r="N155" s="134"/>
      <c r="O155" s="134"/>
    </row>
    <row r="156" spans="1:15" s="83" customFormat="1" x14ac:dyDescent="0.3">
      <c r="A156" s="155"/>
      <c r="B156" s="182" t="s">
        <v>1220</v>
      </c>
      <c r="C156" s="102" t="s">
        <v>1221</v>
      </c>
      <c r="D156" s="50" t="s">
        <v>1222</v>
      </c>
      <c r="E156" s="191">
        <v>50</v>
      </c>
      <c r="F156" s="192">
        <v>1</v>
      </c>
      <c r="G156" s="191">
        <f>F156*E156</f>
        <v>50</v>
      </c>
      <c r="H156" s="191">
        <f>G156*1.13</f>
        <v>56.499999999999993</v>
      </c>
      <c r="I156" s="191"/>
      <c r="J156" s="200"/>
      <c r="K156" s="151"/>
      <c r="L156" s="151"/>
      <c r="M156" s="134"/>
      <c r="N156" s="134"/>
      <c r="O156" s="134"/>
    </row>
    <row r="157" spans="1:15" s="83" customFormat="1" x14ac:dyDescent="0.3">
      <c r="A157" s="155"/>
      <c r="B157" s="103" t="s">
        <v>1223</v>
      </c>
      <c r="C157" s="104" t="s">
        <v>869</v>
      </c>
      <c r="D157" s="70" t="s">
        <v>1222</v>
      </c>
      <c r="E157" s="193">
        <v>50</v>
      </c>
      <c r="F157" s="194">
        <v>1</v>
      </c>
      <c r="G157" s="193">
        <f>F157*E157</f>
        <v>50</v>
      </c>
      <c r="H157" s="193">
        <f>G157*1.13</f>
        <v>56.499999999999993</v>
      </c>
      <c r="I157" s="193"/>
      <c r="J157" s="201"/>
      <c r="K157" s="151"/>
      <c r="L157" s="151"/>
      <c r="M157" s="134"/>
      <c r="N157" s="134"/>
      <c r="O157" s="134"/>
    </row>
    <row r="158" spans="1:15" s="4" customFormat="1" x14ac:dyDescent="0.3">
      <c r="A158" s="155"/>
      <c r="B158" s="182" t="s">
        <v>1224</v>
      </c>
      <c r="C158" s="102" t="s">
        <v>729</v>
      </c>
      <c r="D158" s="50" t="s">
        <v>1222</v>
      </c>
      <c r="E158" s="191">
        <v>2</v>
      </c>
      <c r="F158" s="192">
        <v>50</v>
      </c>
      <c r="G158" s="191">
        <f>F158*E158</f>
        <v>100</v>
      </c>
      <c r="H158" s="191">
        <f>G158*1.13</f>
        <v>112.99999999999999</v>
      </c>
      <c r="I158" s="191"/>
      <c r="J158" s="233"/>
      <c r="K158" s="151"/>
      <c r="L158" s="160"/>
      <c r="M158" s="151"/>
      <c r="N158" s="157"/>
      <c r="O158" s="151"/>
    </row>
    <row r="159" spans="1:15" s="4" customFormat="1" x14ac:dyDescent="0.3">
      <c r="A159" s="155"/>
      <c r="B159" s="103"/>
      <c r="C159" s="104" t="s">
        <v>1225</v>
      </c>
      <c r="D159" s="70"/>
      <c r="E159" s="193"/>
      <c r="F159" s="194"/>
      <c r="G159" s="193"/>
      <c r="H159" s="193"/>
      <c r="I159" s="193"/>
      <c r="J159" s="201">
        <v>75</v>
      </c>
      <c r="K159" s="151"/>
      <c r="L159" s="160"/>
      <c r="M159" s="151"/>
      <c r="N159" s="157"/>
      <c r="O159" s="151"/>
    </row>
    <row r="160" spans="1:15" s="4" customFormat="1" x14ac:dyDescent="0.3">
      <c r="A160" s="155"/>
      <c r="B160" s="44" t="s">
        <v>1226</v>
      </c>
      <c r="C160" s="38"/>
      <c r="D160" s="69"/>
      <c r="E160" s="179"/>
      <c r="F160" s="184"/>
      <c r="G160" s="179"/>
      <c r="H160" s="179">
        <f>SUM(H154:H158)</f>
        <v>468.94999999999993</v>
      </c>
      <c r="I160" s="179">
        <f>SUM(I154:I159)</f>
        <v>0</v>
      </c>
      <c r="J160" s="180">
        <f>SUM(J154:J159)</f>
        <v>75</v>
      </c>
      <c r="K160" s="151"/>
      <c r="L160" s="160"/>
      <c r="M160" s="151"/>
      <c r="N160" s="157"/>
      <c r="O160" s="151"/>
    </row>
    <row r="161" spans="1:15" s="151" customFormat="1" x14ac:dyDescent="0.3">
      <c r="A161" s="155"/>
      <c r="B161" s="106"/>
      <c r="C161" s="251"/>
      <c r="D161" s="68"/>
      <c r="E161" s="196"/>
      <c r="F161" s="202"/>
      <c r="G161" s="196"/>
      <c r="H161" s="196"/>
      <c r="I161" s="196"/>
      <c r="J161" s="197"/>
      <c r="L161" s="160"/>
      <c r="N161" s="157"/>
    </row>
    <row r="162" spans="1:15" s="6" customFormat="1" x14ac:dyDescent="0.3">
      <c r="A162" s="150" t="s">
        <v>1030</v>
      </c>
      <c r="B162" s="129"/>
      <c r="C162" s="251"/>
      <c r="D162" s="68"/>
      <c r="E162" s="196"/>
      <c r="F162" s="202"/>
      <c r="G162" s="196"/>
      <c r="H162" s="196"/>
      <c r="I162" s="196"/>
      <c r="J162" s="197"/>
      <c r="K162" s="156"/>
      <c r="L162" s="124"/>
      <c r="M162" s="159"/>
      <c r="N162" s="123"/>
      <c r="O162" s="125"/>
    </row>
    <row r="163" spans="1:15" s="83" customFormat="1" x14ac:dyDescent="0.3">
      <c r="A163" s="155"/>
      <c r="B163" s="182" t="s">
        <v>1227</v>
      </c>
      <c r="C163" s="102" t="s">
        <v>1228</v>
      </c>
      <c r="D163" s="50"/>
      <c r="E163" s="191">
        <v>600</v>
      </c>
      <c r="F163" s="192">
        <v>1</v>
      </c>
      <c r="G163" s="191">
        <f>F163*E163</f>
        <v>600</v>
      </c>
      <c r="H163" s="191">
        <f>G163*1.13</f>
        <v>677.99999999999989</v>
      </c>
      <c r="I163" s="191"/>
      <c r="J163" s="200">
        <v>678</v>
      </c>
      <c r="K163" s="151"/>
      <c r="L163" s="151"/>
      <c r="M163" s="134"/>
      <c r="N163" s="134"/>
      <c r="O163" s="134"/>
    </row>
    <row r="164" spans="1:15" s="83" customFormat="1" x14ac:dyDescent="0.3">
      <c r="A164" s="155"/>
      <c r="B164" s="103" t="s">
        <v>1229</v>
      </c>
      <c r="C164" s="104" t="s">
        <v>1230</v>
      </c>
      <c r="D164" s="70" t="s">
        <v>1231</v>
      </c>
      <c r="E164" s="193">
        <v>0</v>
      </c>
      <c r="F164" s="194">
        <v>1</v>
      </c>
      <c r="G164" s="193">
        <f t="shared" ref="G164:G177" si="12">F164*E164</f>
        <v>0</v>
      </c>
      <c r="H164" s="193">
        <f t="shared" ref="H164:H177" si="13">G164*1.13</f>
        <v>0</v>
      </c>
      <c r="I164" s="193"/>
      <c r="J164" s="201"/>
      <c r="K164" s="151"/>
      <c r="L164" s="151"/>
      <c r="M164" s="134"/>
      <c r="N164" s="134"/>
      <c r="O164" s="134"/>
    </row>
    <row r="165" spans="1:15" s="83" customFormat="1" x14ac:dyDescent="0.3">
      <c r="A165" s="155"/>
      <c r="B165" s="182" t="s">
        <v>1232</v>
      </c>
      <c r="C165" s="102" t="s">
        <v>1233</v>
      </c>
      <c r="D165" s="50" t="s">
        <v>1234</v>
      </c>
      <c r="E165" s="191">
        <v>13.99</v>
      </c>
      <c r="F165" s="192">
        <v>3</v>
      </c>
      <c r="G165" s="191">
        <f t="shared" si="12"/>
        <v>41.97</v>
      </c>
      <c r="H165" s="191">
        <f t="shared" si="13"/>
        <v>47.426099999999991</v>
      </c>
      <c r="I165" s="191">
        <v>149.62</v>
      </c>
      <c r="J165" s="200">
        <v>67.78</v>
      </c>
      <c r="K165" s="151"/>
      <c r="L165" s="151"/>
      <c r="M165" s="134"/>
      <c r="N165" s="134"/>
      <c r="O165" s="134"/>
    </row>
    <row r="166" spans="1:15" s="83" customFormat="1" x14ac:dyDescent="0.3">
      <c r="A166" s="155"/>
      <c r="B166" s="103" t="s">
        <v>1235</v>
      </c>
      <c r="C166" s="104" t="s">
        <v>714</v>
      </c>
      <c r="D166" s="70" t="s">
        <v>1234</v>
      </c>
      <c r="E166" s="193">
        <v>22.99</v>
      </c>
      <c r="F166" s="194">
        <v>3</v>
      </c>
      <c r="G166" s="193">
        <f t="shared" si="12"/>
        <v>68.97</v>
      </c>
      <c r="H166" s="193">
        <f t="shared" si="13"/>
        <v>77.936099999999996</v>
      </c>
      <c r="I166" s="193"/>
      <c r="J166" s="201">
        <v>67.77</v>
      </c>
      <c r="K166" s="151"/>
      <c r="L166" s="151"/>
      <c r="M166" s="134"/>
      <c r="N166" s="134"/>
      <c r="O166" s="134"/>
    </row>
    <row r="167" spans="1:15" s="83" customFormat="1" x14ac:dyDescent="0.3">
      <c r="A167" s="155"/>
      <c r="B167" s="182" t="s">
        <v>1236</v>
      </c>
      <c r="C167" s="102" t="s">
        <v>792</v>
      </c>
      <c r="D167" s="50" t="s">
        <v>1237</v>
      </c>
      <c r="E167" s="191">
        <v>38</v>
      </c>
      <c r="F167" s="192">
        <v>2</v>
      </c>
      <c r="G167" s="191">
        <f t="shared" si="12"/>
        <v>76</v>
      </c>
      <c r="H167" s="191">
        <f t="shared" si="13"/>
        <v>85.88</v>
      </c>
      <c r="I167" s="191">
        <v>146.9</v>
      </c>
      <c r="J167" s="233">
        <v>146.9</v>
      </c>
      <c r="K167" s="151"/>
      <c r="L167" s="151"/>
      <c r="M167" s="134"/>
      <c r="N167" s="134"/>
      <c r="O167" s="134"/>
    </row>
    <row r="168" spans="1:15" s="83" customFormat="1" x14ac:dyDescent="0.3">
      <c r="A168" s="155"/>
      <c r="B168" s="103" t="s">
        <v>1238</v>
      </c>
      <c r="C168" s="104" t="s">
        <v>1203</v>
      </c>
      <c r="D168" s="70" t="s">
        <v>1237</v>
      </c>
      <c r="E168" s="193">
        <v>30</v>
      </c>
      <c r="F168" s="194">
        <v>1</v>
      </c>
      <c r="G168" s="193">
        <f t="shared" si="12"/>
        <v>30</v>
      </c>
      <c r="H168" s="193">
        <f t="shared" si="13"/>
        <v>33.9</v>
      </c>
      <c r="I168" s="193"/>
      <c r="J168" s="201"/>
      <c r="K168" s="151"/>
      <c r="L168" s="151"/>
      <c r="M168" s="134"/>
      <c r="N168" s="134"/>
      <c r="O168" s="134"/>
    </row>
    <row r="169" spans="1:15" s="83" customFormat="1" x14ac:dyDescent="0.3">
      <c r="A169" s="155"/>
      <c r="B169" s="182" t="s">
        <v>1239</v>
      </c>
      <c r="C169" s="102" t="s">
        <v>1240</v>
      </c>
      <c r="D169" s="50"/>
      <c r="E169" s="191">
        <v>15</v>
      </c>
      <c r="F169" s="192">
        <v>1</v>
      </c>
      <c r="G169" s="191">
        <f t="shared" si="12"/>
        <v>15</v>
      </c>
      <c r="H169" s="191">
        <f t="shared" si="13"/>
        <v>16.95</v>
      </c>
      <c r="I169" s="191"/>
      <c r="J169" s="200">
        <v>13.57</v>
      </c>
      <c r="K169" s="151"/>
      <c r="L169" s="151"/>
      <c r="M169" s="134"/>
      <c r="N169" s="134"/>
      <c r="O169" s="134"/>
    </row>
    <row r="170" spans="1:15" s="83" customFormat="1" x14ac:dyDescent="0.3">
      <c r="A170" s="155"/>
      <c r="B170" s="103" t="s">
        <v>1241</v>
      </c>
      <c r="C170" s="104" t="s">
        <v>411</v>
      </c>
      <c r="D170" s="70" t="s">
        <v>1242</v>
      </c>
      <c r="E170" s="193">
        <v>0.25</v>
      </c>
      <c r="F170" s="194">
        <v>100</v>
      </c>
      <c r="G170" s="193">
        <f t="shared" si="12"/>
        <v>25</v>
      </c>
      <c r="H170" s="193">
        <f t="shared" si="13"/>
        <v>28.249999999999996</v>
      </c>
      <c r="I170" s="193">
        <f>12.5</f>
        <v>12.5</v>
      </c>
      <c r="J170" s="201">
        <f>0.5+12.5</f>
        <v>13</v>
      </c>
      <c r="K170" s="151"/>
      <c r="L170" s="151"/>
      <c r="M170" s="134"/>
      <c r="N170" s="134"/>
      <c r="O170" s="134"/>
    </row>
    <row r="171" spans="1:15" s="83" customFormat="1" x14ac:dyDescent="0.3">
      <c r="A171" s="155"/>
      <c r="B171" s="182" t="s">
        <v>1243</v>
      </c>
      <c r="C171" s="102" t="s">
        <v>763</v>
      </c>
      <c r="D171" s="50"/>
      <c r="E171" s="191">
        <v>20</v>
      </c>
      <c r="F171" s="192">
        <v>1</v>
      </c>
      <c r="G171" s="191">
        <f t="shared" si="12"/>
        <v>20</v>
      </c>
      <c r="H171" s="191">
        <f t="shared" si="13"/>
        <v>22.599999999999998</v>
      </c>
      <c r="I171" s="191"/>
      <c r="J171" s="200"/>
      <c r="K171" s="151"/>
      <c r="L171" s="151"/>
      <c r="M171" s="134"/>
      <c r="N171" s="134"/>
      <c r="O171" s="134"/>
    </row>
    <row r="172" spans="1:15" s="83" customFormat="1" x14ac:dyDescent="0.3">
      <c r="A172" s="155"/>
      <c r="B172" s="103" t="s">
        <v>1244</v>
      </c>
      <c r="C172" s="104" t="s">
        <v>1245</v>
      </c>
      <c r="D172" s="70"/>
      <c r="E172" s="193">
        <v>20</v>
      </c>
      <c r="F172" s="194">
        <v>1</v>
      </c>
      <c r="G172" s="193">
        <f t="shared" si="12"/>
        <v>20</v>
      </c>
      <c r="H172" s="193">
        <f t="shared" si="13"/>
        <v>22.599999999999998</v>
      </c>
      <c r="I172" s="193"/>
      <c r="J172" s="201"/>
      <c r="K172" s="151"/>
      <c r="L172" s="151"/>
      <c r="M172" s="134"/>
      <c r="N172" s="134"/>
      <c r="O172" s="134"/>
    </row>
    <row r="173" spans="1:15" s="83" customFormat="1" x14ac:dyDescent="0.3">
      <c r="A173" s="155"/>
      <c r="B173" s="182" t="s">
        <v>1246</v>
      </c>
      <c r="C173" s="102" t="s">
        <v>1247</v>
      </c>
      <c r="D173" s="50" t="s">
        <v>1248</v>
      </c>
      <c r="E173" s="191">
        <v>0</v>
      </c>
      <c r="F173" s="192">
        <v>1</v>
      </c>
      <c r="G173" s="191">
        <f t="shared" si="12"/>
        <v>0</v>
      </c>
      <c r="H173" s="191">
        <f t="shared" si="13"/>
        <v>0</v>
      </c>
      <c r="I173" s="191"/>
      <c r="J173" s="233"/>
      <c r="K173" s="151"/>
      <c r="L173" s="151"/>
      <c r="M173" s="134"/>
      <c r="N173" s="134"/>
      <c r="O173" s="134"/>
    </row>
    <row r="174" spans="1:15" s="83" customFormat="1" x14ac:dyDescent="0.3">
      <c r="A174" s="155"/>
      <c r="B174" s="103" t="s">
        <v>1249</v>
      </c>
      <c r="C174" s="104" t="s">
        <v>850</v>
      </c>
      <c r="D174" s="70" t="s">
        <v>1250</v>
      </c>
      <c r="E174" s="193">
        <v>25</v>
      </c>
      <c r="F174" s="194">
        <v>1</v>
      </c>
      <c r="G174" s="193">
        <f t="shared" si="12"/>
        <v>25</v>
      </c>
      <c r="H174" s="193">
        <f t="shared" si="13"/>
        <v>28.249999999999996</v>
      </c>
      <c r="I174" s="193"/>
      <c r="J174" s="201"/>
      <c r="K174" s="151"/>
      <c r="L174" s="151"/>
      <c r="M174" s="134"/>
      <c r="N174" s="134"/>
      <c r="O174" s="134"/>
    </row>
    <row r="175" spans="1:15" s="83" customFormat="1" x14ac:dyDescent="0.3">
      <c r="A175" s="155"/>
      <c r="B175" s="182" t="s">
        <v>1251</v>
      </c>
      <c r="C175" s="102" t="s">
        <v>1252</v>
      </c>
      <c r="D175" s="50" t="s">
        <v>1253</v>
      </c>
      <c r="E175" s="191">
        <v>388</v>
      </c>
      <c r="F175" s="192">
        <v>1</v>
      </c>
      <c r="G175" s="191">
        <f t="shared" si="12"/>
        <v>388</v>
      </c>
      <c r="H175" s="191">
        <f t="shared" si="13"/>
        <v>438.43999999999994</v>
      </c>
      <c r="I175" s="191"/>
      <c r="J175" s="200"/>
      <c r="K175" s="151"/>
      <c r="L175" s="151"/>
      <c r="M175" s="134"/>
      <c r="N175" s="134"/>
      <c r="O175" s="134"/>
    </row>
    <row r="176" spans="1:15" s="83" customFormat="1" x14ac:dyDescent="0.3">
      <c r="A176" s="155"/>
      <c r="B176" s="103" t="s">
        <v>1254</v>
      </c>
      <c r="C176" s="104" t="s">
        <v>1255</v>
      </c>
      <c r="D176" s="70"/>
      <c r="E176" s="193">
        <v>30</v>
      </c>
      <c r="F176" s="194">
        <v>1</v>
      </c>
      <c r="G176" s="193">
        <f t="shared" si="12"/>
        <v>30</v>
      </c>
      <c r="H176" s="193">
        <f t="shared" si="13"/>
        <v>33.9</v>
      </c>
      <c r="I176" s="193"/>
      <c r="J176" s="201"/>
      <c r="K176" s="151"/>
      <c r="L176" s="151"/>
      <c r="M176" s="134"/>
      <c r="N176" s="134"/>
      <c r="O176" s="134"/>
    </row>
    <row r="177" spans="1:15" s="151" customFormat="1" x14ac:dyDescent="0.3">
      <c r="A177" s="155"/>
      <c r="B177" s="182" t="s">
        <v>1256</v>
      </c>
      <c r="C177" s="102" t="s">
        <v>1257</v>
      </c>
      <c r="D177" s="50"/>
      <c r="E177" s="191">
        <v>53</v>
      </c>
      <c r="F177" s="192">
        <v>1</v>
      </c>
      <c r="G177" s="191">
        <f t="shared" si="12"/>
        <v>53</v>
      </c>
      <c r="H177" s="191">
        <f t="shared" si="13"/>
        <v>59.889999999999993</v>
      </c>
      <c r="I177" s="191"/>
      <c r="J177" s="200"/>
      <c r="L177" s="160"/>
      <c r="N177" s="157"/>
    </row>
    <row r="178" spans="1:15" s="4" customFormat="1" x14ac:dyDescent="0.3">
      <c r="A178" s="155"/>
      <c r="B178" s="103"/>
      <c r="C178" s="104"/>
      <c r="D178" s="70"/>
      <c r="E178" s="193"/>
      <c r="F178" s="194"/>
      <c r="G178" s="193"/>
      <c r="H178" s="193"/>
      <c r="I178" s="193"/>
      <c r="J178" s="201"/>
      <c r="K178" s="151"/>
      <c r="L178" s="160"/>
      <c r="M178" s="151"/>
      <c r="N178" s="157"/>
      <c r="O178" s="151"/>
    </row>
    <row r="179" spans="1:15" s="4" customFormat="1" x14ac:dyDescent="0.3">
      <c r="A179" s="155"/>
      <c r="B179" s="44" t="s">
        <v>1258</v>
      </c>
      <c r="C179" s="38"/>
      <c r="D179" s="69"/>
      <c r="E179" s="179"/>
      <c r="F179" s="184"/>
      <c r="G179" s="179"/>
      <c r="H179" s="179">
        <f>SUM(H163:H177)</f>
        <v>1574.0222000000001</v>
      </c>
      <c r="I179" s="179">
        <f>SUM(I163:I177)</f>
        <v>309.02</v>
      </c>
      <c r="J179" s="180">
        <f>SUM(J163:J177)</f>
        <v>987.02</v>
      </c>
      <c r="K179" s="151"/>
      <c r="L179" s="160"/>
      <c r="M179" s="151"/>
      <c r="N179" s="157"/>
      <c r="O179" s="151"/>
    </row>
    <row r="180" spans="1:15" s="151" customFormat="1" x14ac:dyDescent="0.3">
      <c r="A180" s="155"/>
      <c r="B180" s="106"/>
      <c r="C180" s="251"/>
      <c r="D180" s="68"/>
      <c r="E180" s="196"/>
      <c r="F180" s="202"/>
      <c r="G180" s="196"/>
      <c r="H180" s="196"/>
      <c r="I180" s="196"/>
      <c r="J180" s="197"/>
      <c r="L180" s="160"/>
      <c r="N180" s="157"/>
    </row>
    <row r="181" spans="1:15" s="6" customFormat="1" x14ac:dyDescent="0.3">
      <c r="A181" s="150" t="s">
        <v>1259</v>
      </c>
      <c r="B181" s="129"/>
      <c r="C181" s="251"/>
      <c r="D181" s="68"/>
      <c r="E181" s="196"/>
      <c r="F181" s="202"/>
      <c r="G181" s="196"/>
      <c r="H181" s="196"/>
      <c r="I181" s="196"/>
      <c r="J181" s="197"/>
      <c r="K181" s="156"/>
      <c r="L181" s="124"/>
      <c r="M181" s="159"/>
      <c r="N181" s="123"/>
      <c r="O181" s="125"/>
    </row>
    <row r="182" spans="1:15" s="83" customFormat="1" x14ac:dyDescent="0.3">
      <c r="A182" s="155" t="s">
        <v>54</v>
      </c>
      <c r="B182" s="182" t="s">
        <v>1260</v>
      </c>
      <c r="C182" s="102" t="s">
        <v>1261</v>
      </c>
      <c r="D182" s="50" t="s">
        <v>1262</v>
      </c>
      <c r="E182" s="191">
        <v>7</v>
      </c>
      <c r="F182" s="192">
        <v>14</v>
      </c>
      <c r="G182" s="191">
        <f>F182*E182</f>
        <v>98</v>
      </c>
      <c r="H182" s="191">
        <f>G182*1.13</f>
        <v>110.74</v>
      </c>
      <c r="I182" s="191">
        <v>81.87</v>
      </c>
      <c r="J182" s="200">
        <v>81.87</v>
      </c>
      <c r="K182" s="151"/>
      <c r="L182" s="151"/>
      <c r="M182" s="134"/>
      <c r="N182" s="134"/>
      <c r="O182" s="134"/>
    </row>
    <row r="183" spans="1:15" s="83" customFormat="1" x14ac:dyDescent="0.3">
      <c r="A183" s="155"/>
      <c r="B183" s="103" t="s">
        <v>1263</v>
      </c>
      <c r="C183" s="103" t="s">
        <v>1264</v>
      </c>
      <c r="D183" s="70" t="s">
        <v>1265</v>
      </c>
      <c r="E183" s="193">
        <v>3.99</v>
      </c>
      <c r="F183" s="194">
        <v>6</v>
      </c>
      <c r="G183" s="193">
        <f t="shared" ref="G183:G188" si="14">F183*E183</f>
        <v>23.94</v>
      </c>
      <c r="H183" s="193">
        <f t="shared" ref="H183:H188" si="15">G183*1.13</f>
        <v>27.052199999999999</v>
      </c>
      <c r="I183" s="193"/>
      <c r="J183" s="201"/>
      <c r="K183" s="151"/>
      <c r="L183" s="151"/>
      <c r="M183" s="134"/>
      <c r="N183" s="134"/>
      <c r="O183" s="134"/>
    </row>
    <row r="184" spans="1:15" s="83" customFormat="1" x14ac:dyDescent="0.3">
      <c r="A184" s="155"/>
      <c r="B184" s="182" t="s">
        <v>1266</v>
      </c>
      <c r="C184" s="182" t="s">
        <v>1267</v>
      </c>
      <c r="D184" s="50" t="s">
        <v>1268</v>
      </c>
      <c r="E184" s="191">
        <v>4.5</v>
      </c>
      <c r="F184" s="192">
        <v>1</v>
      </c>
      <c r="G184" s="191">
        <f t="shared" si="14"/>
        <v>4.5</v>
      </c>
      <c r="H184" s="191">
        <f t="shared" si="15"/>
        <v>5.0849999999999991</v>
      </c>
      <c r="I184" s="191">
        <v>8.1</v>
      </c>
      <c r="J184" s="200">
        <v>8.1</v>
      </c>
      <c r="K184" s="151"/>
      <c r="L184" s="151"/>
      <c r="M184" s="134"/>
      <c r="N184" s="134"/>
      <c r="O184" s="134"/>
    </row>
    <row r="185" spans="1:15" s="83" customFormat="1" x14ac:dyDescent="0.3">
      <c r="A185" s="150"/>
      <c r="B185" s="103" t="s">
        <v>1269</v>
      </c>
      <c r="C185" s="103" t="s">
        <v>410</v>
      </c>
      <c r="D185" s="70" t="s">
        <v>1270</v>
      </c>
      <c r="E185" s="193">
        <v>0.05</v>
      </c>
      <c r="F185" s="194">
        <v>50</v>
      </c>
      <c r="G185" s="193">
        <f t="shared" si="14"/>
        <v>2.5</v>
      </c>
      <c r="H185" s="193">
        <f t="shared" si="15"/>
        <v>2.8249999999999997</v>
      </c>
      <c r="I185" s="193"/>
      <c r="J185" s="201"/>
      <c r="K185" s="151"/>
      <c r="L185" s="151"/>
      <c r="M185" s="134"/>
      <c r="N185" s="134"/>
      <c r="O185" s="134"/>
    </row>
    <row r="186" spans="1:15" s="83" customFormat="1" x14ac:dyDescent="0.3">
      <c r="A186" s="150"/>
      <c r="B186" s="182" t="s">
        <v>1271</v>
      </c>
      <c r="C186" s="182" t="s">
        <v>1272</v>
      </c>
      <c r="D186" s="50" t="s">
        <v>1273</v>
      </c>
      <c r="E186" s="191">
        <v>140</v>
      </c>
      <c r="F186" s="192">
        <v>1</v>
      </c>
      <c r="G186" s="191">
        <f t="shared" si="14"/>
        <v>140</v>
      </c>
      <c r="H186" s="191">
        <f t="shared" si="15"/>
        <v>158.19999999999999</v>
      </c>
      <c r="I186" s="191">
        <v>158.19999999999999</v>
      </c>
      <c r="J186" s="200">
        <v>158.19999999999999</v>
      </c>
      <c r="K186" s="151"/>
      <c r="L186" s="151"/>
      <c r="M186" s="134"/>
      <c r="N186" s="134"/>
      <c r="O186" s="134"/>
    </row>
    <row r="187" spans="1:15" s="83" customFormat="1" x14ac:dyDescent="0.3">
      <c r="A187" s="150"/>
      <c r="B187" s="103" t="s">
        <v>1274</v>
      </c>
      <c r="C187" s="103" t="s">
        <v>792</v>
      </c>
      <c r="D187" s="70" t="s">
        <v>1275</v>
      </c>
      <c r="E187" s="193">
        <v>65</v>
      </c>
      <c r="F187" s="194">
        <v>1</v>
      </c>
      <c r="G187" s="193">
        <f t="shared" si="14"/>
        <v>65</v>
      </c>
      <c r="H187" s="193">
        <f t="shared" si="15"/>
        <v>73.449999999999989</v>
      </c>
      <c r="I187" s="193">
        <v>79.86</v>
      </c>
      <c r="J187" s="201">
        <v>79.86</v>
      </c>
      <c r="K187" s="151"/>
      <c r="L187" s="151"/>
      <c r="M187" s="134"/>
      <c r="N187" s="134"/>
      <c r="O187" s="134"/>
    </row>
    <row r="188" spans="1:15" s="4" customFormat="1" x14ac:dyDescent="0.3">
      <c r="A188" s="155"/>
      <c r="B188" s="182" t="s">
        <v>1276</v>
      </c>
      <c r="C188" s="182" t="s">
        <v>729</v>
      </c>
      <c r="D188" s="50" t="s">
        <v>1277</v>
      </c>
      <c r="E188" s="191">
        <v>89.97</v>
      </c>
      <c r="F188" s="192">
        <v>1</v>
      </c>
      <c r="G188" s="191">
        <f t="shared" si="14"/>
        <v>89.97</v>
      </c>
      <c r="H188" s="191">
        <f t="shared" si="15"/>
        <v>101.66609999999999</v>
      </c>
      <c r="I188" s="191">
        <v>98.42</v>
      </c>
      <c r="J188" s="200">
        <v>98.42</v>
      </c>
      <c r="K188" s="151"/>
      <c r="L188" s="160"/>
      <c r="M188" s="151"/>
      <c r="N188" s="157"/>
      <c r="O188" s="151"/>
    </row>
    <row r="189" spans="1:15" s="4" customFormat="1" x14ac:dyDescent="0.3">
      <c r="A189" s="155"/>
      <c r="B189" s="103"/>
      <c r="C189" s="104"/>
      <c r="D189" s="70"/>
      <c r="E189" s="193"/>
      <c r="F189" s="194"/>
      <c r="G189" s="193"/>
      <c r="H189" s="193"/>
      <c r="I189" s="193"/>
      <c r="J189" s="201"/>
      <c r="K189" s="151"/>
      <c r="L189" s="160"/>
      <c r="M189" s="151"/>
      <c r="N189" s="157"/>
      <c r="O189" s="151"/>
    </row>
    <row r="190" spans="1:15" s="4" customFormat="1" x14ac:dyDescent="0.3">
      <c r="A190" s="155"/>
      <c r="B190" s="158" t="s">
        <v>1278</v>
      </c>
      <c r="C190" s="38"/>
      <c r="D190" s="69"/>
      <c r="E190" s="179"/>
      <c r="F190" s="184"/>
      <c r="G190" s="179"/>
      <c r="H190" s="179">
        <f>SUM(H182:H188)</f>
        <v>479.01829999999995</v>
      </c>
      <c r="I190" s="179">
        <f>SUM(I182:I188)</f>
        <v>426.45</v>
      </c>
      <c r="J190" s="180">
        <f>SUM(J182:J188)</f>
        <v>426.45</v>
      </c>
      <c r="K190" s="151"/>
      <c r="L190" s="160"/>
      <c r="M190" s="151"/>
      <c r="N190" s="157"/>
      <c r="O190" s="151"/>
    </row>
    <row r="191" spans="1:15" s="151" customFormat="1" x14ac:dyDescent="0.3">
      <c r="A191" s="155"/>
      <c r="B191" s="159"/>
      <c r="C191" s="251"/>
      <c r="D191" s="68"/>
      <c r="E191" s="196"/>
      <c r="F191" s="202"/>
      <c r="G191" s="196"/>
      <c r="H191" s="196"/>
      <c r="I191" s="196"/>
      <c r="J191" s="197"/>
      <c r="L191" s="160"/>
      <c r="N191" s="157"/>
    </row>
    <row r="192" spans="1:15" s="6" customFormat="1" x14ac:dyDescent="0.3">
      <c r="A192" s="150" t="s">
        <v>1039</v>
      </c>
      <c r="B192" s="159"/>
      <c r="C192" s="251"/>
      <c r="D192" s="68"/>
      <c r="E192" s="196"/>
      <c r="F192" s="202"/>
      <c r="G192" s="196"/>
      <c r="H192" s="196"/>
      <c r="I192" s="196"/>
      <c r="J192" s="197"/>
      <c r="K192" s="156"/>
      <c r="L192" s="124"/>
      <c r="M192" s="159"/>
      <c r="N192" s="123"/>
      <c r="O192" s="125"/>
    </row>
    <row r="193" spans="1:15" s="4" customFormat="1" x14ac:dyDescent="0.3">
      <c r="A193" s="155"/>
      <c r="B193" s="182" t="s">
        <v>1279</v>
      </c>
      <c r="C193" s="182" t="s">
        <v>675</v>
      </c>
      <c r="D193" s="50"/>
      <c r="E193" s="191"/>
      <c r="F193" s="192"/>
      <c r="G193" s="191">
        <f>H48</f>
        <v>2065</v>
      </c>
      <c r="H193" s="191">
        <f>G193</f>
        <v>2065</v>
      </c>
      <c r="I193" s="191">
        <v>870.54</v>
      </c>
      <c r="J193" s="200">
        <v>870.54</v>
      </c>
      <c r="K193" s="151"/>
      <c r="L193" s="160"/>
      <c r="M193" s="151"/>
      <c r="N193" s="157"/>
      <c r="O193" s="151"/>
    </row>
    <row r="194" spans="1:15" s="151" customFormat="1" x14ac:dyDescent="0.3">
      <c r="A194" s="155"/>
      <c r="B194" s="182"/>
      <c r="C194" s="182" t="s">
        <v>965</v>
      </c>
      <c r="D194" s="50"/>
      <c r="E194" s="191"/>
      <c r="F194" s="192"/>
      <c r="G194" s="191"/>
      <c r="H194" s="191"/>
      <c r="I194" s="191"/>
      <c r="J194" s="200">
        <v>127.5</v>
      </c>
      <c r="L194" s="160"/>
      <c r="N194" s="157"/>
    </row>
    <row r="195" spans="1:15" s="4" customFormat="1" x14ac:dyDescent="0.3">
      <c r="A195" s="155"/>
      <c r="B195" s="151"/>
      <c r="C195" s="104" t="s">
        <v>1280</v>
      </c>
      <c r="D195" s="70"/>
      <c r="E195" s="193"/>
      <c r="F195" s="194"/>
      <c r="G195" s="193"/>
      <c r="H195" s="193"/>
      <c r="I195" s="193">
        <f>116.57+50</f>
        <v>166.57</v>
      </c>
      <c r="J195" s="201">
        <v>116.57</v>
      </c>
      <c r="K195" s="151"/>
      <c r="L195" s="160"/>
      <c r="M195" s="151"/>
      <c r="N195" s="157"/>
      <c r="O195" s="151"/>
    </row>
    <row r="196" spans="1:15" s="4" customFormat="1" x14ac:dyDescent="0.3">
      <c r="A196" s="155"/>
      <c r="B196" s="158" t="s">
        <v>1281</v>
      </c>
      <c r="C196" s="38"/>
      <c r="D196" s="69"/>
      <c r="E196" s="179"/>
      <c r="F196" s="184"/>
      <c r="G196" s="179"/>
      <c r="H196" s="179">
        <f>SUM(H193:H195)</f>
        <v>2065</v>
      </c>
      <c r="I196" s="179">
        <f>SUM(I193:I195)</f>
        <v>1037.1099999999999</v>
      </c>
      <c r="J196" s="180">
        <f>SUM(J193:J195)</f>
        <v>1114.6099999999999</v>
      </c>
      <c r="K196" s="151"/>
      <c r="L196" s="160"/>
      <c r="M196" s="151"/>
      <c r="N196" s="157"/>
      <c r="O196" s="151"/>
    </row>
    <row r="197" spans="1:15" s="151" customFormat="1" x14ac:dyDescent="0.3">
      <c r="A197" s="155"/>
      <c r="B197" s="159"/>
      <c r="C197" s="251"/>
      <c r="D197" s="68"/>
      <c r="E197" s="196"/>
      <c r="F197" s="202"/>
      <c r="G197" s="196"/>
      <c r="H197" s="196"/>
      <c r="I197" s="196"/>
      <c r="J197" s="197"/>
      <c r="L197" s="160"/>
      <c r="N197" s="157"/>
    </row>
    <row r="198" spans="1:15" s="6" customFormat="1" x14ac:dyDescent="0.3">
      <c r="A198" s="150" t="s">
        <v>1058</v>
      </c>
      <c r="B198" s="159"/>
      <c r="C198" s="251"/>
      <c r="D198" s="68"/>
      <c r="E198" s="196"/>
      <c r="F198" s="202"/>
      <c r="G198" s="196"/>
      <c r="H198" s="196"/>
      <c r="I198" s="196"/>
      <c r="J198" s="197"/>
      <c r="K198" s="156"/>
      <c r="L198" s="124"/>
      <c r="M198" s="159"/>
      <c r="N198" s="123"/>
      <c r="O198" s="125"/>
    </row>
    <row r="199" spans="1:15" s="83" customFormat="1" x14ac:dyDescent="0.3">
      <c r="A199" s="150"/>
      <c r="B199" s="182" t="s">
        <v>1282</v>
      </c>
      <c r="C199" s="182" t="s">
        <v>1283</v>
      </c>
      <c r="D199" s="50" t="s">
        <v>1284</v>
      </c>
      <c r="E199" s="191">
        <v>20</v>
      </c>
      <c r="F199" s="192">
        <v>20</v>
      </c>
      <c r="G199" s="191">
        <f>F199*E199</f>
        <v>400</v>
      </c>
      <c r="H199" s="191">
        <f>G199</f>
        <v>400</v>
      </c>
      <c r="I199" s="191">
        <f>100+140</f>
        <v>240</v>
      </c>
      <c r="J199" s="200">
        <f>100+140</f>
        <v>240</v>
      </c>
      <c r="K199" s="151"/>
      <c r="L199" s="151"/>
      <c r="M199" s="134"/>
      <c r="N199" s="134"/>
      <c r="O199" s="134"/>
    </row>
    <row r="200" spans="1:15" s="83" customFormat="1" x14ac:dyDescent="0.3">
      <c r="A200" s="150"/>
      <c r="B200" s="103" t="s">
        <v>1285</v>
      </c>
      <c r="C200" s="103" t="s">
        <v>1286</v>
      </c>
      <c r="D200" s="70" t="s">
        <v>1287</v>
      </c>
      <c r="E200" s="193">
        <v>1217</v>
      </c>
      <c r="F200" s="194">
        <v>2</v>
      </c>
      <c r="G200" s="193">
        <f t="shared" ref="G200:G207" si="16">F200*E200</f>
        <v>2434</v>
      </c>
      <c r="H200" s="193">
        <f>G200*1.13</f>
        <v>2750.4199999999996</v>
      </c>
      <c r="I200" s="193">
        <v>1275.77</v>
      </c>
      <c r="J200" s="201">
        <v>1275.77</v>
      </c>
      <c r="K200" s="151"/>
      <c r="L200" s="151"/>
      <c r="M200" s="134"/>
      <c r="N200" s="134"/>
      <c r="O200" s="134"/>
    </row>
    <row r="201" spans="1:15" s="83" customFormat="1" x14ac:dyDescent="0.3">
      <c r="A201" s="150"/>
      <c r="B201" s="182" t="s">
        <v>1288</v>
      </c>
      <c r="C201" s="182" t="s">
        <v>1289</v>
      </c>
      <c r="D201" s="50"/>
      <c r="E201" s="191">
        <v>100</v>
      </c>
      <c r="F201" s="192">
        <v>10</v>
      </c>
      <c r="G201" s="191">
        <f t="shared" si="16"/>
        <v>1000</v>
      </c>
      <c r="H201" s="191">
        <f>G201*1.13</f>
        <v>1130</v>
      </c>
      <c r="I201" s="191">
        <f>96.28+629.18</f>
        <v>725.45999999999992</v>
      </c>
      <c r="J201" s="200">
        <f>96.28+629.18</f>
        <v>725.45999999999992</v>
      </c>
      <c r="K201" s="151"/>
      <c r="L201" s="151"/>
      <c r="M201" s="134"/>
      <c r="N201" s="134"/>
      <c r="O201" s="134"/>
    </row>
    <row r="202" spans="1:15" s="83" customFormat="1" x14ac:dyDescent="0.3">
      <c r="A202" s="150"/>
      <c r="B202" s="103" t="s">
        <v>1290</v>
      </c>
      <c r="C202" s="103" t="s">
        <v>1291</v>
      </c>
      <c r="D202" s="70" t="s">
        <v>1292</v>
      </c>
      <c r="E202" s="193">
        <v>3.99</v>
      </c>
      <c r="F202" s="194">
        <v>20</v>
      </c>
      <c r="G202" s="193">
        <f t="shared" si="16"/>
        <v>79.800000000000011</v>
      </c>
      <c r="H202" s="193">
        <f>G202*1.13</f>
        <v>90.174000000000007</v>
      </c>
      <c r="I202" s="193">
        <v>105.93</v>
      </c>
      <c r="J202" s="201">
        <v>105.93</v>
      </c>
      <c r="K202" s="151"/>
      <c r="L202" s="151"/>
      <c r="M202" s="134"/>
      <c r="N202" s="134"/>
      <c r="O202" s="134"/>
    </row>
    <row r="203" spans="1:15" s="83" customFormat="1" x14ac:dyDescent="0.3">
      <c r="A203" s="150"/>
      <c r="B203" s="182" t="s">
        <v>1293</v>
      </c>
      <c r="C203" s="182" t="s">
        <v>1294</v>
      </c>
      <c r="D203" s="50" t="s">
        <v>1295</v>
      </c>
      <c r="E203" s="191">
        <v>50</v>
      </c>
      <c r="F203" s="192">
        <v>3</v>
      </c>
      <c r="G203" s="191">
        <f t="shared" si="16"/>
        <v>150</v>
      </c>
      <c r="H203" s="191">
        <f>G203*1.13</f>
        <v>169.49999999999997</v>
      </c>
      <c r="I203" s="191"/>
      <c r="J203" s="200"/>
      <c r="K203" s="151"/>
      <c r="L203" s="151"/>
      <c r="M203" s="134"/>
      <c r="N203" s="134"/>
      <c r="O203" s="134"/>
    </row>
    <row r="204" spans="1:15" s="83" customFormat="1" x14ac:dyDescent="0.3">
      <c r="A204" s="150"/>
      <c r="B204" s="103" t="s">
        <v>1296</v>
      </c>
      <c r="C204" s="103" t="s">
        <v>1297</v>
      </c>
      <c r="D204" s="70" t="s">
        <v>1298</v>
      </c>
      <c r="E204" s="193">
        <v>50</v>
      </c>
      <c r="F204" s="194">
        <v>1</v>
      </c>
      <c r="G204" s="193">
        <f t="shared" si="16"/>
        <v>50</v>
      </c>
      <c r="H204" s="193">
        <f>G204*1.13</f>
        <v>56.499999999999993</v>
      </c>
      <c r="I204" s="193">
        <v>30.49</v>
      </c>
      <c r="J204" s="201">
        <v>30.49</v>
      </c>
      <c r="K204" s="151"/>
      <c r="L204" s="151"/>
      <c r="M204" s="134"/>
      <c r="N204" s="134"/>
      <c r="O204" s="134"/>
    </row>
    <row r="205" spans="1:15" s="4" customFormat="1" x14ac:dyDescent="0.3">
      <c r="A205" s="155"/>
      <c r="B205" s="182" t="s">
        <v>1299</v>
      </c>
      <c r="C205" s="182" t="s">
        <v>1300</v>
      </c>
      <c r="D205" s="50" t="s">
        <v>1301</v>
      </c>
      <c r="E205" s="191">
        <v>100</v>
      </c>
      <c r="F205" s="192">
        <v>1</v>
      </c>
      <c r="G205" s="191">
        <f t="shared" si="16"/>
        <v>100</v>
      </c>
      <c r="H205" s="191">
        <f>G205</f>
        <v>100</v>
      </c>
      <c r="I205" s="191">
        <v>50</v>
      </c>
      <c r="J205" s="200">
        <v>50</v>
      </c>
      <c r="K205" s="151"/>
      <c r="L205" s="160"/>
      <c r="M205" s="151"/>
      <c r="N205" s="157"/>
      <c r="O205" s="151"/>
    </row>
    <row r="206" spans="1:15" s="151" customFormat="1" x14ac:dyDescent="0.3">
      <c r="A206" s="155"/>
      <c r="B206" s="103" t="s">
        <v>1302</v>
      </c>
      <c r="C206" s="103" t="s">
        <v>1303</v>
      </c>
      <c r="D206" s="70" t="s">
        <v>1304</v>
      </c>
      <c r="E206" s="193">
        <v>15</v>
      </c>
      <c r="F206" s="194">
        <v>20</v>
      </c>
      <c r="G206" s="193">
        <f t="shared" si="16"/>
        <v>300</v>
      </c>
      <c r="H206" s="193">
        <f>G206</f>
        <v>300</v>
      </c>
      <c r="I206" s="193">
        <v>1522.97</v>
      </c>
      <c r="J206" s="201">
        <v>1522.97</v>
      </c>
      <c r="L206" s="160"/>
      <c r="N206" s="157"/>
    </row>
    <row r="207" spans="1:15" s="151" customFormat="1" ht="34.5" x14ac:dyDescent="0.3">
      <c r="A207" s="155"/>
      <c r="B207" s="103" t="s">
        <v>1305</v>
      </c>
      <c r="C207" s="103" t="s">
        <v>1306</v>
      </c>
      <c r="D207" s="70" t="s">
        <v>1307</v>
      </c>
      <c r="E207" s="193">
        <v>500</v>
      </c>
      <c r="F207" s="194">
        <v>1</v>
      </c>
      <c r="G207" s="193">
        <f t="shared" si="16"/>
        <v>500</v>
      </c>
      <c r="H207" s="193">
        <f>G207</f>
        <v>500</v>
      </c>
      <c r="I207" s="193">
        <f>124.26</f>
        <v>124.26</v>
      </c>
      <c r="J207" s="201">
        <v>124.26</v>
      </c>
      <c r="L207" s="160"/>
      <c r="N207" s="157"/>
    </row>
    <row r="208" spans="1:15" s="4" customFormat="1" x14ac:dyDescent="0.3">
      <c r="A208" s="155"/>
      <c r="B208" s="154"/>
      <c r="C208" s="102"/>
      <c r="D208" s="50"/>
      <c r="E208" s="191"/>
      <c r="F208" s="192"/>
      <c r="G208" s="191"/>
      <c r="H208" s="191"/>
      <c r="I208" s="191"/>
      <c r="J208" s="200"/>
      <c r="K208" s="151"/>
      <c r="L208" s="160"/>
      <c r="M208" s="151"/>
      <c r="N208" s="157"/>
      <c r="O208" s="151"/>
    </row>
    <row r="209" spans="1:15" s="4" customFormat="1" x14ac:dyDescent="0.3">
      <c r="A209" s="155"/>
      <c r="B209" s="158" t="s">
        <v>1308</v>
      </c>
      <c r="C209" s="38"/>
      <c r="D209" s="69"/>
      <c r="E209" s="179"/>
      <c r="F209" s="184"/>
      <c r="G209" s="179"/>
      <c r="H209" s="179">
        <f>SUM(H199:H206)</f>
        <v>4996.5940000000001</v>
      </c>
      <c r="I209" s="179">
        <f>SUM(I199:I208)</f>
        <v>4074.88</v>
      </c>
      <c r="J209" s="180">
        <f>SUM(J199:J208)</f>
        <v>4074.88</v>
      </c>
      <c r="K209" s="151"/>
      <c r="L209" s="160"/>
      <c r="M209" s="151"/>
      <c r="N209" s="157"/>
      <c r="O209" s="151"/>
    </row>
    <row r="210" spans="1:15" s="151" customFormat="1" x14ac:dyDescent="0.3">
      <c r="A210" s="155"/>
      <c r="B210" s="159"/>
      <c r="C210" s="251"/>
      <c r="D210" s="68"/>
      <c r="E210" s="196"/>
      <c r="F210" s="202"/>
      <c r="G210" s="196"/>
      <c r="H210" s="196"/>
      <c r="I210" s="196"/>
      <c r="J210" s="197"/>
      <c r="L210" s="160"/>
      <c r="N210" s="157"/>
    </row>
    <row r="211" spans="1:15" s="6" customFormat="1" x14ac:dyDescent="0.3">
      <c r="A211" s="150" t="s">
        <v>1071</v>
      </c>
      <c r="B211" s="159"/>
      <c r="C211" s="251"/>
      <c r="D211" s="68"/>
      <c r="E211" s="196"/>
      <c r="F211" s="202"/>
      <c r="G211" s="196"/>
      <c r="H211" s="196"/>
      <c r="I211" s="196"/>
      <c r="J211" s="197"/>
      <c r="K211" s="156"/>
      <c r="L211" s="124"/>
      <c r="M211" s="159"/>
      <c r="N211" s="123"/>
      <c r="O211" s="125"/>
    </row>
    <row r="212" spans="1:15" s="83" customFormat="1" x14ac:dyDescent="0.3">
      <c r="A212" s="164" t="s">
        <v>1073</v>
      </c>
      <c r="B212" s="159"/>
      <c r="C212" s="103"/>
      <c r="D212" s="70"/>
      <c r="E212" s="193"/>
      <c r="F212" s="194"/>
      <c r="G212" s="193"/>
      <c r="H212" s="193"/>
      <c r="I212" s="193"/>
      <c r="J212" s="201"/>
      <c r="K212" s="151"/>
      <c r="L212" s="151"/>
      <c r="M212" s="134"/>
      <c r="N212" s="134"/>
      <c r="O212" s="134"/>
    </row>
    <row r="213" spans="1:15" s="83" customFormat="1" x14ac:dyDescent="0.3">
      <c r="A213" s="155"/>
      <c r="B213" s="182" t="s">
        <v>1309</v>
      </c>
      <c r="C213" s="102" t="s">
        <v>1310</v>
      </c>
      <c r="D213" s="50" t="s">
        <v>1311</v>
      </c>
      <c r="E213" s="191">
        <v>120</v>
      </c>
      <c r="F213" s="192">
        <v>4</v>
      </c>
      <c r="G213" s="191">
        <f>F213*E213</f>
        <v>480</v>
      </c>
      <c r="H213" s="191">
        <f t="shared" ref="H213:H255" si="17">G213*1.13</f>
        <v>542.4</v>
      </c>
      <c r="I213" s="191">
        <v>522.05999999999995</v>
      </c>
      <c r="J213" s="200">
        <v>522.05999999999995</v>
      </c>
      <c r="K213" s="151"/>
      <c r="L213" s="151"/>
      <c r="M213" s="134"/>
      <c r="N213" s="134"/>
      <c r="O213" s="134"/>
    </row>
    <row r="214" spans="1:15" s="83" customFormat="1" x14ac:dyDescent="0.3">
      <c r="A214" s="155"/>
      <c r="B214" s="103" t="s">
        <v>1312</v>
      </c>
      <c r="C214" s="104" t="s">
        <v>998</v>
      </c>
      <c r="D214" s="70" t="s">
        <v>1313</v>
      </c>
      <c r="E214" s="193">
        <v>160</v>
      </c>
      <c r="F214" s="194">
        <v>1</v>
      </c>
      <c r="G214" s="193">
        <f t="shared" ref="G214:G256" si="18">F214*E214</f>
        <v>160</v>
      </c>
      <c r="H214" s="193">
        <f t="shared" si="17"/>
        <v>180.79999999999998</v>
      </c>
      <c r="I214" s="193">
        <v>319.64999999999998</v>
      </c>
      <c r="J214" s="201">
        <v>319.64999999999998</v>
      </c>
      <c r="K214" s="151"/>
      <c r="L214" s="151"/>
      <c r="M214" s="134"/>
      <c r="N214" s="134"/>
      <c r="O214" s="134"/>
    </row>
    <row r="215" spans="1:15" s="83" customFormat="1" x14ac:dyDescent="0.3">
      <c r="A215" s="155"/>
      <c r="B215" s="182" t="s">
        <v>1314</v>
      </c>
      <c r="C215" s="102" t="s">
        <v>1315</v>
      </c>
      <c r="D215" s="50" t="s">
        <v>1313</v>
      </c>
      <c r="E215" s="191">
        <v>11.5</v>
      </c>
      <c r="F215" s="192">
        <v>2</v>
      </c>
      <c r="G215" s="191">
        <f t="shared" si="18"/>
        <v>23</v>
      </c>
      <c r="H215" s="191">
        <f t="shared" si="17"/>
        <v>25.99</v>
      </c>
      <c r="I215" s="191">
        <v>152.55000000000001</v>
      </c>
      <c r="J215" s="200">
        <v>152.55000000000001</v>
      </c>
      <c r="K215" s="151"/>
      <c r="L215" s="151"/>
      <c r="M215" s="134"/>
      <c r="N215" s="134"/>
      <c r="O215" s="134"/>
    </row>
    <row r="216" spans="1:15" s="83" customFormat="1" x14ac:dyDescent="0.3">
      <c r="A216" s="155"/>
      <c r="B216" s="103" t="s">
        <v>1316</v>
      </c>
      <c r="C216" s="104" t="s">
        <v>1317</v>
      </c>
      <c r="D216" s="70" t="s">
        <v>1313</v>
      </c>
      <c r="E216" s="193">
        <v>13.5</v>
      </c>
      <c r="F216" s="194">
        <v>1</v>
      </c>
      <c r="G216" s="193">
        <f t="shared" si="18"/>
        <v>13.5</v>
      </c>
      <c r="H216" s="193">
        <f t="shared" si="17"/>
        <v>15.254999999999999</v>
      </c>
      <c r="I216" s="193"/>
      <c r="J216" s="201"/>
      <c r="K216" s="151"/>
      <c r="L216" s="151"/>
      <c r="M216" s="134"/>
      <c r="N216" s="134"/>
      <c r="O216" s="134"/>
    </row>
    <row r="217" spans="1:15" s="83" customFormat="1" x14ac:dyDescent="0.3">
      <c r="A217" s="150"/>
      <c r="B217" s="182" t="s">
        <v>1318</v>
      </c>
      <c r="C217" s="102" t="s">
        <v>1319</v>
      </c>
      <c r="D217" s="50" t="s">
        <v>1320</v>
      </c>
      <c r="E217" s="191">
        <v>0</v>
      </c>
      <c r="F217" s="192">
        <v>0</v>
      </c>
      <c r="G217" s="191">
        <f t="shared" si="18"/>
        <v>0</v>
      </c>
      <c r="H217" s="191">
        <f t="shared" si="17"/>
        <v>0</v>
      </c>
      <c r="I217" s="191"/>
      <c r="J217" s="233"/>
      <c r="K217" s="151"/>
      <c r="L217" s="151"/>
      <c r="M217" s="134"/>
      <c r="N217" s="134"/>
      <c r="O217" s="134"/>
    </row>
    <row r="218" spans="1:15" s="83" customFormat="1" x14ac:dyDescent="0.3">
      <c r="A218" s="164" t="s">
        <v>1321</v>
      </c>
      <c r="B218" s="129"/>
      <c r="C218" s="103"/>
      <c r="D218" s="70"/>
      <c r="E218" s="193"/>
      <c r="F218" s="194"/>
      <c r="G218" s="193"/>
      <c r="H218" s="193"/>
      <c r="I218" s="193"/>
      <c r="J218" s="201"/>
      <c r="K218" s="151"/>
      <c r="L218" s="151"/>
      <c r="M218" s="134"/>
      <c r="N218" s="134"/>
      <c r="O218" s="134"/>
    </row>
    <row r="219" spans="1:15" s="83" customFormat="1" x14ac:dyDescent="0.3">
      <c r="A219" s="164"/>
      <c r="B219" s="182" t="s">
        <v>1322</v>
      </c>
      <c r="C219" s="102" t="s">
        <v>686</v>
      </c>
      <c r="D219" s="50"/>
      <c r="E219" s="191">
        <v>300</v>
      </c>
      <c r="F219" s="192">
        <v>1</v>
      </c>
      <c r="G219" s="191">
        <f t="shared" si="18"/>
        <v>300</v>
      </c>
      <c r="H219" s="191">
        <f t="shared" si="17"/>
        <v>338.99999999999994</v>
      </c>
      <c r="I219" s="191">
        <v>282.5</v>
      </c>
      <c r="J219" s="200">
        <v>282.5</v>
      </c>
      <c r="K219" s="151"/>
      <c r="L219" s="151"/>
      <c r="M219" s="134"/>
      <c r="N219" s="134"/>
      <c r="O219" s="134"/>
    </row>
    <row r="220" spans="1:15" s="83" customFormat="1" x14ac:dyDescent="0.3">
      <c r="A220" s="164"/>
      <c r="B220" s="103" t="s">
        <v>1323</v>
      </c>
      <c r="C220" s="104" t="s">
        <v>1178</v>
      </c>
      <c r="D220" s="70" t="s">
        <v>1324</v>
      </c>
      <c r="E220" s="193">
        <v>200</v>
      </c>
      <c r="F220" s="194">
        <v>1</v>
      </c>
      <c r="G220" s="193">
        <f t="shared" si="18"/>
        <v>200</v>
      </c>
      <c r="H220" s="193">
        <f t="shared" si="17"/>
        <v>225.99999999999997</v>
      </c>
      <c r="I220" s="193"/>
      <c r="J220" s="201"/>
      <c r="K220" s="151"/>
      <c r="L220" s="151"/>
      <c r="M220" s="134"/>
      <c r="N220" s="134"/>
      <c r="O220" s="134"/>
    </row>
    <row r="221" spans="1:15" s="83" customFormat="1" x14ac:dyDescent="0.3">
      <c r="A221" s="150"/>
      <c r="B221" s="182" t="s">
        <v>1325</v>
      </c>
      <c r="C221" s="102" t="s">
        <v>1326</v>
      </c>
      <c r="D221" s="50"/>
      <c r="E221" s="191">
        <v>50</v>
      </c>
      <c r="F221" s="192">
        <v>1</v>
      </c>
      <c r="G221" s="191">
        <f t="shared" si="18"/>
        <v>50</v>
      </c>
      <c r="H221" s="191">
        <f t="shared" si="17"/>
        <v>56.499999999999993</v>
      </c>
      <c r="I221" s="191"/>
      <c r="J221" s="200">
        <v>284.76</v>
      </c>
      <c r="K221" s="151"/>
      <c r="L221" s="151"/>
      <c r="M221" s="134"/>
      <c r="N221" s="134"/>
      <c r="O221" s="134"/>
    </row>
    <row r="222" spans="1:15" s="83" customFormat="1" x14ac:dyDescent="0.3">
      <c r="A222" s="164" t="s">
        <v>1085</v>
      </c>
      <c r="B222" s="129"/>
      <c r="C222" s="103"/>
      <c r="D222" s="70"/>
      <c r="E222" s="193"/>
      <c r="F222" s="194"/>
      <c r="G222" s="193"/>
      <c r="H222" s="193"/>
      <c r="I222" s="193"/>
      <c r="J222" s="201"/>
      <c r="K222" s="151"/>
      <c r="L222" s="151"/>
      <c r="M222" s="134"/>
      <c r="N222" s="134"/>
      <c r="O222" s="134"/>
    </row>
    <row r="223" spans="1:15" s="83" customFormat="1" x14ac:dyDescent="0.3">
      <c r="A223" s="155"/>
      <c r="B223" s="182" t="s">
        <v>1327</v>
      </c>
      <c r="C223" s="255" t="s">
        <v>1328</v>
      </c>
      <c r="D223" s="50" t="s">
        <v>1329</v>
      </c>
      <c r="E223" s="191">
        <v>0</v>
      </c>
      <c r="F223" s="192">
        <v>0</v>
      </c>
      <c r="G223" s="191">
        <f t="shared" si="18"/>
        <v>0</v>
      </c>
      <c r="H223" s="191">
        <f t="shared" si="17"/>
        <v>0</v>
      </c>
      <c r="I223" s="191">
        <v>143.72</v>
      </c>
      <c r="J223" s="200"/>
      <c r="K223" s="151"/>
      <c r="L223" s="151"/>
      <c r="M223" s="134"/>
      <c r="N223" s="134"/>
      <c r="O223" s="134"/>
    </row>
    <row r="224" spans="1:15" s="83" customFormat="1" x14ac:dyDescent="0.3">
      <c r="A224" s="155"/>
      <c r="B224" s="103" t="s">
        <v>1330</v>
      </c>
      <c r="C224" s="103" t="s">
        <v>1315</v>
      </c>
      <c r="D224" s="70"/>
      <c r="E224" s="193">
        <v>11.5</v>
      </c>
      <c r="F224" s="194">
        <v>6</v>
      </c>
      <c r="G224" s="193">
        <f t="shared" si="18"/>
        <v>69</v>
      </c>
      <c r="H224" s="193">
        <f t="shared" si="17"/>
        <v>77.97</v>
      </c>
      <c r="I224" s="193">
        <v>284.76</v>
      </c>
      <c r="J224" s="201"/>
      <c r="K224" s="151"/>
      <c r="L224" s="151"/>
      <c r="M224" s="134"/>
      <c r="N224" s="134"/>
      <c r="O224" s="134"/>
    </row>
    <row r="225" spans="1:15" s="83" customFormat="1" x14ac:dyDescent="0.3">
      <c r="A225" s="155"/>
      <c r="B225" s="182" t="s">
        <v>1331</v>
      </c>
      <c r="C225" s="182" t="s">
        <v>1332</v>
      </c>
      <c r="D225" s="50"/>
      <c r="E225" s="191">
        <v>13.5</v>
      </c>
      <c r="F225" s="192">
        <v>3</v>
      </c>
      <c r="G225" s="191">
        <f t="shared" si="18"/>
        <v>40.5</v>
      </c>
      <c r="H225" s="191">
        <f t="shared" si="17"/>
        <v>45.764999999999993</v>
      </c>
      <c r="I225" s="191"/>
      <c r="J225" s="200"/>
      <c r="K225" s="151"/>
      <c r="L225" s="151"/>
      <c r="M225" s="134"/>
      <c r="N225" s="134"/>
      <c r="O225" s="134"/>
    </row>
    <row r="226" spans="1:15" s="83" customFormat="1" x14ac:dyDescent="0.3">
      <c r="A226" s="164"/>
      <c r="B226" s="103" t="s">
        <v>1333</v>
      </c>
      <c r="C226" s="103" t="s">
        <v>1334</v>
      </c>
      <c r="D226" s="70"/>
      <c r="E226" s="193">
        <v>600</v>
      </c>
      <c r="F226" s="194">
        <v>1</v>
      </c>
      <c r="G226" s="193">
        <f t="shared" si="18"/>
        <v>600</v>
      </c>
      <c r="H226" s="193">
        <f t="shared" si="17"/>
        <v>677.99999999999989</v>
      </c>
      <c r="I226" s="193">
        <v>578.54</v>
      </c>
      <c r="J226" s="201">
        <v>578.54</v>
      </c>
      <c r="K226" s="151"/>
      <c r="L226" s="151"/>
    </row>
    <row r="227" spans="1:15" s="83" customFormat="1" x14ac:dyDescent="0.3">
      <c r="A227" s="155"/>
      <c r="B227" s="182" t="s">
        <v>1335</v>
      </c>
      <c r="C227" s="182" t="s">
        <v>998</v>
      </c>
      <c r="D227" s="50" t="s">
        <v>1336</v>
      </c>
      <c r="E227" s="191">
        <v>140</v>
      </c>
      <c r="F227" s="192">
        <v>6</v>
      </c>
      <c r="G227" s="191">
        <f t="shared" si="18"/>
        <v>840</v>
      </c>
      <c r="H227" s="191">
        <f t="shared" si="17"/>
        <v>949.19999999999993</v>
      </c>
      <c r="I227" s="191"/>
      <c r="J227" s="200"/>
      <c r="K227" s="151"/>
      <c r="L227" s="151"/>
    </row>
    <row r="228" spans="1:15" s="83" customFormat="1" x14ac:dyDescent="0.3">
      <c r="A228" s="164"/>
      <c r="B228" s="103" t="s">
        <v>1337</v>
      </c>
      <c r="C228" s="103" t="s">
        <v>1338</v>
      </c>
      <c r="D228" s="70"/>
      <c r="E228" s="193">
        <v>20</v>
      </c>
      <c r="F228" s="194">
        <v>3</v>
      </c>
      <c r="G228" s="193">
        <f t="shared" si="18"/>
        <v>60</v>
      </c>
      <c r="H228" s="193">
        <f t="shared" si="17"/>
        <v>67.8</v>
      </c>
      <c r="I228" s="193">
        <v>92</v>
      </c>
      <c r="J228" s="201">
        <v>92</v>
      </c>
      <c r="K228" s="151"/>
      <c r="L228" s="151"/>
    </row>
    <row r="229" spans="1:15" s="83" customFormat="1" x14ac:dyDescent="0.3">
      <c r="A229" s="155"/>
      <c r="B229" s="182" t="s">
        <v>1339</v>
      </c>
      <c r="C229" s="182" t="s">
        <v>1340</v>
      </c>
      <c r="D229" s="50"/>
      <c r="E229" s="191">
        <v>30</v>
      </c>
      <c r="F229" s="192">
        <v>1</v>
      </c>
      <c r="G229" s="191">
        <f t="shared" si="18"/>
        <v>30</v>
      </c>
      <c r="H229" s="191">
        <f t="shared" si="17"/>
        <v>33.9</v>
      </c>
      <c r="I229" s="191"/>
      <c r="J229" s="200"/>
      <c r="K229" s="151"/>
      <c r="L229" s="151"/>
    </row>
    <row r="230" spans="1:15" s="83" customFormat="1" x14ac:dyDescent="0.3">
      <c r="A230" s="164"/>
      <c r="B230" s="103" t="s">
        <v>1341</v>
      </c>
      <c r="C230" s="103" t="s">
        <v>1342</v>
      </c>
      <c r="D230" s="70"/>
      <c r="E230" s="193">
        <v>0</v>
      </c>
      <c r="F230" s="194">
        <v>0</v>
      </c>
      <c r="G230" s="193">
        <f t="shared" si="18"/>
        <v>0</v>
      </c>
      <c r="H230" s="193">
        <f t="shared" si="17"/>
        <v>0</v>
      </c>
      <c r="I230" s="193"/>
      <c r="J230" s="201">
        <v>143.72</v>
      </c>
      <c r="K230" s="151"/>
      <c r="L230" s="151"/>
    </row>
    <row r="231" spans="1:15" s="83" customFormat="1" x14ac:dyDescent="0.3">
      <c r="A231" s="150"/>
      <c r="B231" s="182" t="s">
        <v>1343</v>
      </c>
      <c r="C231" s="182" t="s">
        <v>239</v>
      </c>
      <c r="D231" s="50"/>
      <c r="E231" s="191">
        <v>0</v>
      </c>
      <c r="F231" s="192">
        <v>0</v>
      </c>
      <c r="G231" s="191">
        <f t="shared" si="18"/>
        <v>0</v>
      </c>
      <c r="H231" s="191">
        <f t="shared" si="17"/>
        <v>0</v>
      </c>
      <c r="I231" s="191"/>
      <c r="J231" s="200"/>
      <c r="K231" s="151"/>
      <c r="L231" s="151"/>
    </row>
    <row r="232" spans="1:15" s="83" customFormat="1" x14ac:dyDescent="0.3">
      <c r="A232" s="164" t="s">
        <v>1087</v>
      </c>
      <c r="B232" s="159"/>
      <c r="C232" s="103"/>
      <c r="D232" s="70"/>
      <c r="E232" s="193"/>
      <c r="F232" s="194"/>
      <c r="G232" s="193"/>
      <c r="H232" s="193"/>
      <c r="I232" s="193"/>
      <c r="J232" s="201"/>
      <c r="K232" s="151"/>
      <c r="L232" s="151"/>
    </row>
    <row r="233" spans="1:15" s="83" customFormat="1" x14ac:dyDescent="0.3">
      <c r="A233" s="155" t="s">
        <v>54</v>
      </c>
      <c r="B233" s="182" t="s">
        <v>1344</v>
      </c>
      <c r="C233" s="255" t="s">
        <v>1328</v>
      </c>
      <c r="D233" s="50" t="s">
        <v>1329</v>
      </c>
      <c r="E233" s="191">
        <v>0</v>
      </c>
      <c r="F233" s="192">
        <v>0</v>
      </c>
      <c r="G233" s="191">
        <f t="shared" si="18"/>
        <v>0</v>
      </c>
      <c r="H233" s="191">
        <f t="shared" si="17"/>
        <v>0</v>
      </c>
      <c r="I233" s="191"/>
      <c r="J233" s="200"/>
      <c r="K233" s="151"/>
      <c r="L233" s="151"/>
    </row>
    <row r="234" spans="1:15" s="83" customFormat="1" x14ac:dyDescent="0.3">
      <c r="A234" s="155"/>
      <c r="B234" s="103" t="s">
        <v>1345</v>
      </c>
      <c r="C234" s="103" t="s">
        <v>869</v>
      </c>
      <c r="D234" s="70"/>
      <c r="E234" s="193">
        <v>50</v>
      </c>
      <c r="F234" s="194">
        <v>1</v>
      </c>
      <c r="G234" s="193">
        <f t="shared" si="18"/>
        <v>50</v>
      </c>
      <c r="H234" s="193">
        <f t="shared" si="17"/>
        <v>56.499999999999993</v>
      </c>
      <c r="I234" s="193"/>
      <c r="J234" s="201"/>
      <c r="K234" s="151"/>
      <c r="L234" s="151"/>
    </row>
    <row r="235" spans="1:15" s="83" customFormat="1" x14ac:dyDescent="0.3">
      <c r="A235" s="164" t="s">
        <v>1077</v>
      </c>
      <c r="B235" s="154"/>
      <c r="C235" s="182"/>
      <c r="D235" s="50"/>
      <c r="E235" s="191"/>
      <c r="F235" s="192"/>
      <c r="G235" s="191"/>
      <c r="H235" s="191"/>
      <c r="I235" s="191"/>
      <c r="J235" s="200"/>
      <c r="K235" s="151"/>
      <c r="L235" s="151"/>
    </row>
    <row r="236" spans="1:15" s="83" customFormat="1" ht="18.75" customHeight="1" x14ac:dyDescent="0.3">
      <c r="A236" s="150"/>
      <c r="B236" s="103" t="s">
        <v>1346</v>
      </c>
      <c r="C236" s="103" t="s">
        <v>1347</v>
      </c>
      <c r="D236" s="70" t="s">
        <v>1348</v>
      </c>
      <c r="E236" s="193">
        <v>4.5</v>
      </c>
      <c r="F236" s="194">
        <v>15</v>
      </c>
      <c r="G236" s="193">
        <f t="shared" si="18"/>
        <v>67.5</v>
      </c>
      <c r="H236" s="193">
        <f t="shared" si="17"/>
        <v>76.274999999999991</v>
      </c>
      <c r="I236" s="193">
        <v>8.94</v>
      </c>
      <c r="J236" s="201">
        <v>8.94</v>
      </c>
      <c r="K236" s="151"/>
      <c r="L236" s="151"/>
    </row>
    <row r="237" spans="1:15" s="83" customFormat="1" x14ac:dyDescent="0.3">
      <c r="A237" s="150"/>
      <c r="B237" s="182" t="s">
        <v>1349</v>
      </c>
      <c r="C237" s="182" t="s">
        <v>1328</v>
      </c>
      <c r="D237" s="50" t="s">
        <v>1329</v>
      </c>
      <c r="E237" s="191">
        <v>0</v>
      </c>
      <c r="F237" s="192">
        <v>0</v>
      </c>
      <c r="G237" s="191">
        <f t="shared" si="18"/>
        <v>0</v>
      </c>
      <c r="H237" s="191">
        <f t="shared" si="17"/>
        <v>0</v>
      </c>
      <c r="I237" s="191"/>
      <c r="J237" s="200"/>
      <c r="K237" s="151"/>
      <c r="L237" s="151"/>
    </row>
    <row r="238" spans="1:15" s="83" customFormat="1" x14ac:dyDescent="0.3">
      <c r="A238" s="164" t="s">
        <v>1083</v>
      </c>
      <c r="B238" s="103"/>
      <c r="C238" s="103"/>
      <c r="D238" s="70"/>
      <c r="E238" s="193"/>
      <c r="F238" s="194"/>
      <c r="G238" s="193"/>
      <c r="H238" s="193"/>
      <c r="I238" s="193"/>
      <c r="J238" s="201"/>
      <c r="K238" s="151"/>
      <c r="L238" s="151"/>
    </row>
    <row r="239" spans="1:15" s="83" customFormat="1" x14ac:dyDescent="0.3">
      <c r="A239" s="150"/>
      <c r="B239" s="182" t="s">
        <v>1350</v>
      </c>
      <c r="C239" s="182" t="s">
        <v>1048</v>
      </c>
      <c r="D239" s="50" t="s">
        <v>1351</v>
      </c>
      <c r="E239" s="191">
        <v>4.5</v>
      </c>
      <c r="F239" s="192">
        <v>150</v>
      </c>
      <c r="G239" s="191">
        <f t="shared" si="18"/>
        <v>675</v>
      </c>
      <c r="H239" s="191">
        <f t="shared" si="17"/>
        <v>762.74999999999989</v>
      </c>
      <c r="I239" s="191">
        <v>901.74</v>
      </c>
      <c r="J239" s="200">
        <v>901.74</v>
      </c>
      <c r="K239" s="151"/>
      <c r="L239" s="151"/>
    </row>
    <row r="240" spans="1:15" s="83" customFormat="1" x14ac:dyDescent="0.3">
      <c r="A240" s="150"/>
      <c r="B240" s="103" t="s">
        <v>1352</v>
      </c>
      <c r="C240" s="103" t="s">
        <v>1353</v>
      </c>
      <c r="D240" s="70"/>
      <c r="E240" s="193">
        <v>0.21</v>
      </c>
      <c r="F240" s="194">
        <v>162</v>
      </c>
      <c r="G240" s="193">
        <f t="shared" si="18"/>
        <v>34.019999999999996</v>
      </c>
      <c r="H240" s="193">
        <f t="shared" si="17"/>
        <v>38.442599999999992</v>
      </c>
      <c r="I240" s="193"/>
      <c r="J240" s="201"/>
      <c r="K240" s="151"/>
      <c r="L240" s="151"/>
    </row>
    <row r="241" spans="1:14" s="83" customFormat="1" x14ac:dyDescent="0.3">
      <c r="A241" s="150"/>
      <c r="B241" s="182" t="s">
        <v>1354</v>
      </c>
      <c r="C241" s="182" t="s">
        <v>869</v>
      </c>
      <c r="D241" s="50"/>
      <c r="E241" s="191">
        <v>20</v>
      </c>
      <c r="F241" s="192">
        <v>1</v>
      </c>
      <c r="G241" s="191">
        <f t="shared" si="18"/>
        <v>20</v>
      </c>
      <c r="H241" s="191">
        <f t="shared" si="17"/>
        <v>22.599999999999998</v>
      </c>
      <c r="I241" s="191"/>
      <c r="J241" s="200"/>
      <c r="K241" s="151"/>
      <c r="L241" s="151"/>
    </row>
    <row r="242" spans="1:14" s="134" customFormat="1" x14ac:dyDescent="0.3">
      <c r="A242" s="150"/>
      <c r="B242" s="103" t="s">
        <v>1355</v>
      </c>
      <c r="C242" s="103" t="s">
        <v>1356</v>
      </c>
      <c r="D242" s="70"/>
      <c r="E242" s="193">
        <v>100</v>
      </c>
      <c r="F242" s="194">
        <v>1</v>
      </c>
      <c r="G242" s="193">
        <f t="shared" si="18"/>
        <v>100</v>
      </c>
      <c r="H242" s="193">
        <f t="shared" si="17"/>
        <v>112.99999999999999</v>
      </c>
      <c r="I242" s="193"/>
      <c r="J242" s="201"/>
      <c r="K242" s="151"/>
      <c r="L242" s="151"/>
    </row>
    <row r="243" spans="1:14" s="83" customFormat="1" x14ac:dyDescent="0.3">
      <c r="A243" s="164" t="s">
        <v>1075</v>
      </c>
      <c r="B243" s="178"/>
      <c r="C243" s="182"/>
      <c r="D243" s="50"/>
      <c r="E243" s="191"/>
      <c r="F243" s="192"/>
      <c r="G243" s="191"/>
      <c r="H243" s="191"/>
      <c r="I243" s="191"/>
      <c r="J243" s="200"/>
      <c r="K243" s="151"/>
      <c r="L243" s="151"/>
      <c r="M243" s="134"/>
      <c r="N243" s="134"/>
    </row>
    <row r="244" spans="1:14" s="83" customFormat="1" x14ac:dyDescent="0.3">
      <c r="A244" s="150"/>
      <c r="B244" s="103" t="s">
        <v>1357</v>
      </c>
      <c r="C244" s="103" t="s">
        <v>1319</v>
      </c>
      <c r="D244" s="70"/>
      <c r="E244" s="193">
        <v>0</v>
      </c>
      <c r="F244" s="194">
        <v>0</v>
      </c>
      <c r="G244" s="193">
        <f t="shared" si="18"/>
        <v>0</v>
      </c>
      <c r="H244" s="193">
        <f t="shared" si="17"/>
        <v>0</v>
      </c>
      <c r="I244" s="193"/>
      <c r="J244" s="201"/>
      <c r="K244" s="151"/>
      <c r="L244" s="151"/>
      <c r="M244" s="134"/>
      <c r="N244" s="134"/>
    </row>
    <row r="245" spans="1:14" s="83" customFormat="1" x14ac:dyDescent="0.3">
      <c r="A245" s="150"/>
      <c r="B245" s="182" t="s">
        <v>1358</v>
      </c>
      <c r="C245" s="182" t="s">
        <v>1359</v>
      </c>
      <c r="D245" s="50" t="s">
        <v>1360</v>
      </c>
      <c r="E245" s="191">
        <v>230</v>
      </c>
      <c r="F245" s="192">
        <v>1</v>
      </c>
      <c r="G245" s="191">
        <f t="shared" si="18"/>
        <v>230</v>
      </c>
      <c r="H245" s="191">
        <f t="shared" si="17"/>
        <v>259.89999999999998</v>
      </c>
      <c r="I245" s="191"/>
      <c r="J245" s="200"/>
      <c r="K245" s="151"/>
      <c r="L245" s="151"/>
      <c r="M245" s="134"/>
      <c r="N245" s="134"/>
    </row>
    <row r="246" spans="1:14" s="83" customFormat="1" x14ac:dyDescent="0.3">
      <c r="A246" s="150"/>
      <c r="B246" s="103" t="s">
        <v>1361</v>
      </c>
      <c r="C246" s="103" t="s">
        <v>1362</v>
      </c>
      <c r="D246" s="70"/>
      <c r="E246" s="193">
        <v>0.1</v>
      </c>
      <c r="F246" s="194">
        <v>200</v>
      </c>
      <c r="G246" s="193">
        <f t="shared" si="18"/>
        <v>20</v>
      </c>
      <c r="H246" s="193">
        <f t="shared" si="17"/>
        <v>22.599999999999998</v>
      </c>
      <c r="I246" s="193">
        <v>36.29</v>
      </c>
      <c r="J246" s="201">
        <v>36.29</v>
      </c>
      <c r="K246" s="151"/>
      <c r="L246" s="151"/>
      <c r="M246" s="134"/>
      <c r="N246" s="134"/>
    </row>
    <row r="247" spans="1:14" s="83" customFormat="1" x14ac:dyDescent="0.3">
      <c r="A247" s="150"/>
      <c r="B247" s="182" t="s">
        <v>1363</v>
      </c>
      <c r="C247" s="182" t="s">
        <v>902</v>
      </c>
      <c r="D247" s="50"/>
      <c r="E247" s="191">
        <v>75</v>
      </c>
      <c r="F247" s="192">
        <v>1</v>
      </c>
      <c r="G247" s="191">
        <f t="shared" si="18"/>
        <v>75</v>
      </c>
      <c r="H247" s="191">
        <f t="shared" si="17"/>
        <v>84.749999999999986</v>
      </c>
      <c r="I247" s="191">
        <v>39.53</v>
      </c>
      <c r="J247" s="200">
        <v>39.549999999999997</v>
      </c>
      <c r="K247" s="151"/>
      <c r="L247" s="151"/>
      <c r="M247" s="134"/>
      <c r="N247" s="134"/>
    </row>
    <row r="248" spans="1:14" s="83" customFormat="1" x14ac:dyDescent="0.3">
      <c r="A248" s="150"/>
      <c r="B248" s="103" t="s">
        <v>1364</v>
      </c>
      <c r="C248" s="103" t="s">
        <v>1203</v>
      </c>
      <c r="D248" s="70" t="s">
        <v>1365</v>
      </c>
      <c r="E248" s="193">
        <v>50</v>
      </c>
      <c r="F248" s="194">
        <v>1</v>
      </c>
      <c r="G248" s="193">
        <f t="shared" si="18"/>
        <v>50</v>
      </c>
      <c r="H248" s="193">
        <f t="shared" si="17"/>
        <v>56.499999999999993</v>
      </c>
      <c r="I248" s="193">
        <f>29.36+14.69</f>
        <v>44.05</v>
      </c>
      <c r="J248" s="201">
        <f>29.36+14.69</f>
        <v>44.05</v>
      </c>
      <c r="K248" s="151"/>
      <c r="L248" s="151"/>
      <c r="M248" s="134"/>
      <c r="N248" s="134"/>
    </row>
    <row r="249" spans="1:14" s="83" customFormat="1" x14ac:dyDescent="0.3">
      <c r="A249" s="150"/>
      <c r="B249" s="182" t="s">
        <v>1366</v>
      </c>
      <c r="C249" s="182" t="s">
        <v>1025</v>
      </c>
      <c r="D249" s="50"/>
      <c r="E249" s="191">
        <v>6.95</v>
      </c>
      <c r="F249" s="192">
        <v>20</v>
      </c>
      <c r="G249" s="191">
        <f t="shared" si="18"/>
        <v>139</v>
      </c>
      <c r="H249" s="191">
        <f t="shared" si="17"/>
        <v>157.07</v>
      </c>
      <c r="I249" s="191">
        <v>96</v>
      </c>
      <c r="J249" s="200">
        <v>96</v>
      </c>
      <c r="K249" s="151"/>
      <c r="L249" s="151"/>
      <c r="M249" s="134"/>
      <c r="N249" s="134"/>
    </row>
    <row r="250" spans="1:14" s="83" customFormat="1" x14ac:dyDescent="0.3">
      <c r="A250" s="150"/>
      <c r="B250" s="103" t="s">
        <v>1367</v>
      </c>
      <c r="C250" s="103" t="s">
        <v>1368</v>
      </c>
      <c r="D250" s="70" t="s">
        <v>1369</v>
      </c>
      <c r="E250" s="193">
        <v>75</v>
      </c>
      <c r="F250" s="194">
        <v>1</v>
      </c>
      <c r="G250" s="193">
        <f t="shared" si="18"/>
        <v>75</v>
      </c>
      <c r="H250" s="193">
        <f t="shared" si="17"/>
        <v>84.749999999999986</v>
      </c>
      <c r="I250" s="193"/>
      <c r="J250" s="201"/>
      <c r="K250" s="151"/>
      <c r="L250" s="151"/>
      <c r="M250" s="134"/>
      <c r="N250" s="134"/>
    </row>
    <row r="251" spans="1:14" s="83" customFormat="1" x14ac:dyDescent="0.3">
      <c r="A251" s="164" t="s">
        <v>483</v>
      </c>
      <c r="B251" s="178"/>
      <c r="C251" s="182"/>
      <c r="D251" s="50"/>
      <c r="E251" s="191"/>
      <c r="F251" s="192"/>
      <c r="G251" s="191"/>
      <c r="H251" s="191"/>
      <c r="I251" s="191"/>
      <c r="J251" s="200"/>
      <c r="K251" s="151"/>
      <c r="L251" s="151"/>
      <c r="M251" s="134"/>
      <c r="N251" s="134"/>
    </row>
    <row r="252" spans="1:14" s="83" customFormat="1" x14ac:dyDescent="0.3">
      <c r="A252" s="164"/>
      <c r="B252" s="103" t="s">
        <v>1370</v>
      </c>
      <c r="C252" s="104" t="s">
        <v>1371</v>
      </c>
      <c r="D252" s="70" t="s">
        <v>1372</v>
      </c>
      <c r="E252" s="193">
        <v>49.78</v>
      </c>
      <c r="F252" s="194">
        <v>12</v>
      </c>
      <c r="G252" s="193">
        <f t="shared" si="18"/>
        <v>597.36</v>
      </c>
      <c r="H252" s="193">
        <f t="shared" si="17"/>
        <v>675.01679999999999</v>
      </c>
      <c r="I252" s="193">
        <v>540.5</v>
      </c>
      <c r="J252" s="201">
        <v>540.5</v>
      </c>
      <c r="K252" s="151"/>
      <c r="L252" s="151"/>
      <c r="M252" s="134"/>
      <c r="N252" s="134"/>
    </row>
    <row r="253" spans="1:14" s="83" customFormat="1" x14ac:dyDescent="0.3">
      <c r="A253" s="164"/>
      <c r="B253" s="182" t="s">
        <v>1373</v>
      </c>
      <c r="C253" s="102" t="s">
        <v>1374</v>
      </c>
      <c r="D253" s="50"/>
      <c r="E253" s="191">
        <v>0.55000000000000004</v>
      </c>
      <c r="F253" s="192">
        <v>50</v>
      </c>
      <c r="G253" s="191">
        <f t="shared" si="18"/>
        <v>27.500000000000004</v>
      </c>
      <c r="H253" s="191">
        <f t="shared" si="17"/>
        <v>31.075000000000003</v>
      </c>
      <c r="I253" s="191"/>
      <c r="J253" s="200"/>
      <c r="K253" s="151"/>
      <c r="L253" s="151"/>
      <c r="M253" s="134"/>
      <c r="N253" s="134"/>
    </row>
    <row r="254" spans="1:14" s="83" customFormat="1" x14ac:dyDescent="0.3">
      <c r="A254" s="164"/>
      <c r="B254" s="103" t="s">
        <v>1375</v>
      </c>
      <c r="C254" s="104" t="s">
        <v>1376</v>
      </c>
      <c r="D254" s="70"/>
      <c r="E254" s="193">
        <v>1</v>
      </c>
      <c r="F254" s="194">
        <v>50</v>
      </c>
      <c r="G254" s="193">
        <f t="shared" si="18"/>
        <v>50</v>
      </c>
      <c r="H254" s="193">
        <f t="shared" si="17"/>
        <v>56.499999999999993</v>
      </c>
      <c r="I254" s="193">
        <v>65.83</v>
      </c>
      <c r="J254" s="201">
        <v>65.83</v>
      </c>
      <c r="K254" s="151"/>
      <c r="L254" s="151"/>
      <c r="M254" s="134"/>
      <c r="N254" s="134"/>
    </row>
    <row r="255" spans="1:14" s="83" customFormat="1" x14ac:dyDescent="0.3">
      <c r="A255" s="164"/>
      <c r="B255" s="182" t="s">
        <v>1377</v>
      </c>
      <c r="C255" s="102" t="s">
        <v>1378</v>
      </c>
      <c r="D255" s="50" t="s">
        <v>1379</v>
      </c>
      <c r="E255" s="191">
        <v>0.5</v>
      </c>
      <c r="F255" s="192">
        <v>200</v>
      </c>
      <c r="G255" s="191">
        <f t="shared" si="18"/>
        <v>100</v>
      </c>
      <c r="H255" s="191">
        <f t="shared" si="17"/>
        <v>112.99999999999999</v>
      </c>
      <c r="I255" s="191"/>
      <c r="J255" s="200"/>
      <c r="K255" s="151"/>
      <c r="L255" s="151"/>
      <c r="M255" s="134"/>
      <c r="N255" s="134"/>
    </row>
    <row r="256" spans="1:14" s="4" customFormat="1" x14ac:dyDescent="0.3">
      <c r="A256" s="155"/>
      <c r="B256" s="103" t="s">
        <v>1380</v>
      </c>
      <c r="C256" s="104" t="s">
        <v>1381</v>
      </c>
      <c r="D256" s="70"/>
      <c r="E256" s="193">
        <v>30</v>
      </c>
      <c r="F256" s="194">
        <v>1</v>
      </c>
      <c r="G256" s="193">
        <f t="shared" si="18"/>
        <v>30</v>
      </c>
      <c r="H256" s="193">
        <f>G256*1.13</f>
        <v>33.9</v>
      </c>
      <c r="I256" s="193"/>
      <c r="J256" s="201"/>
      <c r="K256" s="151"/>
      <c r="L256" s="160"/>
      <c r="M256" s="151"/>
      <c r="N256" s="157"/>
    </row>
    <row r="257" spans="1:15" s="4" customFormat="1" x14ac:dyDescent="0.3">
      <c r="A257" s="155"/>
      <c r="B257" s="154"/>
      <c r="C257" s="102" t="s">
        <v>1382</v>
      </c>
      <c r="D257" s="50"/>
      <c r="E257" s="191"/>
      <c r="F257" s="192"/>
      <c r="G257" s="191"/>
      <c r="H257" s="191"/>
      <c r="I257" s="191">
        <v>10.01</v>
      </c>
      <c r="J257" s="200">
        <v>10.01</v>
      </c>
      <c r="K257" s="151"/>
      <c r="L257" s="160"/>
      <c r="M257" s="151"/>
      <c r="N257" s="157"/>
    </row>
    <row r="258" spans="1:15" s="4" customFormat="1" x14ac:dyDescent="0.3">
      <c r="A258" s="155"/>
      <c r="B258" s="158" t="s">
        <v>1383</v>
      </c>
      <c r="C258" s="38"/>
      <c r="D258" s="69"/>
      <c r="E258" s="179"/>
      <c r="F258" s="184"/>
      <c r="G258" s="179"/>
      <c r="H258" s="179">
        <f>SUM(H213:H256)</f>
        <v>5883.2093999999997</v>
      </c>
      <c r="I258" s="179">
        <f>SUM(I214:I256)</f>
        <v>3586.6000000000004</v>
      </c>
      <c r="J258" s="180">
        <f>SUM(J213:J257)</f>
        <v>4118.6900000000005</v>
      </c>
      <c r="K258" s="156"/>
      <c r="L258" s="160"/>
      <c r="M258" s="151"/>
      <c r="N258" s="157"/>
      <c r="O258" s="157"/>
    </row>
    <row r="259" spans="1:15" s="151" customFormat="1" x14ac:dyDescent="0.3">
      <c r="A259" s="155"/>
      <c r="B259" s="159"/>
      <c r="C259" s="251"/>
      <c r="D259" s="68"/>
      <c r="E259" s="196"/>
      <c r="F259" s="202"/>
      <c r="G259" s="196"/>
      <c r="H259" s="196"/>
      <c r="I259" s="196"/>
      <c r="J259" s="197"/>
      <c r="K259" s="156"/>
      <c r="L259" s="160"/>
      <c r="N259" s="157"/>
      <c r="O259" s="157"/>
    </row>
    <row r="260" spans="1:15" s="6" customFormat="1" x14ac:dyDescent="0.3">
      <c r="A260" s="150" t="s">
        <v>1089</v>
      </c>
      <c r="B260" s="151"/>
      <c r="C260" s="104"/>
      <c r="D260" s="70"/>
      <c r="E260" s="193"/>
      <c r="F260" s="194"/>
      <c r="G260" s="193"/>
      <c r="H260" s="193"/>
      <c r="I260" s="193"/>
      <c r="J260" s="201"/>
      <c r="K260" s="156"/>
      <c r="L260" s="124"/>
      <c r="M260" s="159"/>
      <c r="N260" s="123"/>
      <c r="O260" s="125"/>
    </row>
    <row r="261" spans="1:15" s="83" customFormat="1" x14ac:dyDescent="0.3">
      <c r="A261" s="164" t="s">
        <v>1384</v>
      </c>
      <c r="B261" s="159"/>
      <c r="C261" s="103"/>
      <c r="D261" s="70"/>
      <c r="E261" s="193"/>
      <c r="F261" s="194"/>
      <c r="G261" s="193"/>
      <c r="H261" s="193"/>
      <c r="I261" s="193"/>
      <c r="J261" s="201"/>
      <c r="K261" s="151"/>
      <c r="L261" s="151"/>
      <c r="M261" s="134"/>
      <c r="N261" s="134"/>
      <c r="O261" s="134"/>
    </row>
    <row r="262" spans="1:15" s="83" customFormat="1" x14ac:dyDescent="0.3">
      <c r="A262" s="150"/>
      <c r="B262" s="182" t="s">
        <v>1385</v>
      </c>
      <c r="C262" s="182" t="s">
        <v>1166</v>
      </c>
      <c r="D262" s="50"/>
      <c r="E262" s="191">
        <v>150</v>
      </c>
      <c r="F262" s="192">
        <v>1</v>
      </c>
      <c r="G262" s="191">
        <f t="shared" ref="G262:G277" si="19">E262*F262</f>
        <v>150</v>
      </c>
      <c r="H262" s="191">
        <f t="shared" ref="H262:H277" si="20">G262*1.13</f>
        <v>169.49999999999997</v>
      </c>
      <c r="I262" s="191"/>
      <c r="J262" s="200"/>
      <c r="K262" s="151"/>
      <c r="L262" s="151"/>
      <c r="M262" s="134"/>
      <c r="N262" s="134"/>
      <c r="O262" s="134"/>
    </row>
    <row r="263" spans="1:15" s="83" customFormat="1" x14ac:dyDescent="0.3">
      <c r="A263" s="150"/>
      <c r="B263" s="103" t="s">
        <v>1386</v>
      </c>
      <c r="C263" s="103" t="s">
        <v>1387</v>
      </c>
      <c r="D263" s="70"/>
      <c r="E263" s="193">
        <v>50</v>
      </c>
      <c r="F263" s="194">
        <v>1</v>
      </c>
      <c r="G263" s="193">
        <f t="shared" si="19"/>
        <v>50</v>
      </c>
      <c r="H263" s="193">
        <f t="shared" si="20"/>
        <v>56.499999999999993</v>
      </c>
      <c r="I263" s="193">
        <v>71.599999999999994</v>
      </c>
      <c r="J263" s="201">
        <v>71.599999999999994</v>
      </c>
      <c r="K263" s="151"/>
      <c r="L263" s="151"/>
      <c r="M263" s="134"/>
      <c r="N263" s="134"/>
      <c r="O263" s="134"/>
    </row>
    <row r="264" spans="1:15" s="83" customFormat="1" x14ac:dyDescent="0.3">
      <c r="A264" s="150"/>
      <c r="B264" s="182" t="s">
        <v>1388</v>
      </c>
      <c r="C264" s="182" t="s">
        <v>1389</v>
      </c>
      <c r="D264" s="50" t="s">
        <v>1390</v>
      </c>
      <c r="E264" s="191">
        <v>0</v>
      </c>
      <c r="F264" s="192">
        <v>1</v>
      </c>
      <c r="G264" s="191">
        <f t="shared" si="19"/>
        <v>0</v>
      </c>
      <c r="H264" s="191">
        <f t="shared" si="20"/>
        <v>0</v>
      </c>
      <c r="I264" s="191"/>
      <c r="J264" s="200"/>
      <c r="K264" s="151"/>
      <c r="L264" s="151"/>
      <c r="M264" s="134"/>
      <c r="N264" s="134"/>
      <c r="O264" s="134"/>
    </row>
    <row r="265" spans="1:15" s="83" customFormat="1" x14ac:dyDescent="0.3">
      <c r="A265" s="150"/>
      <c r="B265" s="103" t="s">
        <v>1391</v>
      </c>
      <c r="C265" s="103" t="s">
        <v>1392</v>
      </c>
      <c r="D265" s="70" t="s">
        <v>1393</v>
      </c>
      <c r="E265" s="193">
        <v>0</v>
      </c>
      <c r="F265" s="194">
        <v>1</v>
      </c>
      <c r="G265" s="193">
        <f t="shared" si="19"/>
        <v>0</v>
      </c>
      <c r="H265" s="193">
        <f t="shared" si="20"/>
        <v>0</v>
      </c>
      <c r="I265" s="193"/>
      <c r="J265" s="201"/>
      <c r="K265" s="151"/>
      <c r="L265" s="151"/>
      <c r="M265" s="134"/>
      <c r="N265" s="134"/>
      <c r="O265" s="134"/>
    </row>
    <row r="266" spans="1:15" s="83" customFormat="1" x14ac:dyDescent="0.3">
      <c r="A266" s="150"/>
      <c r="B266" s="182" t="s">
        <v>1394</v>
      </c>
      <c r="C266" s="182" t="s">
        <v>1395</v>
      </c>
      <c r="D266" s="50"/>
      <c r="E266" s="191">
        <v>20</v>
      </c>
      <c r="F266" s="192">
        <v>1</v>
      </c>
      <c r="G266" s="191">
        <f t="shared" si="19"/>
        <v>20</v>
      </c>
      <c r="H266" s="191">
        <f t="shared" si="20"/>
        <v>22.599999999999998</v>
      </c>
      <c r="I266" s="191"/>
      <c r="J266" s="200"/>
      <c r="K266" s="151"/>
      <c r="L266" s="151"/>
      <c r="M266" s="134"/>
      <c r="N266" s="134"/>
      <c r="O266" s="134"/>
    </row>
    <row r="267" spans="1:15" s="83" customFormat="1" x14ac:dyDescent="0.3">
      <c r="A267" s="74" t="s">
        <v>1396</v>
      </c>
      <c r="B267" s="103" t="s">
        <v>1397</v>
      </c>
      <c r="C267" s="103" t="s">
        <v>1398</v>
      </c>
      <c r="D267" s="70" t="s">
        <v>1399</v>
      </c>
      <c r="E267" s="193">
        <v>0</v>
      </c>
      <c r="F267" s="194">
        <v>1</v>
      </c>
      <c r="G267" s="193">
        <f>E267*F267</f>
        <v>0</v>
      </c>
      <c r="H267" s="193">
        <f>G267*1.13</f>
        <v>0</v>
      </c>
      <c r="I267" s="193"/>
      <c r="J267" s="201"/>
      <c r="K267" s="151"/>
      <c r="L267" s="151"/>
      <c r="M267" s="134"/>
      <c r="N267" s="134"/>
      <c r="O267" s="134"/>
    </row>
    <row r="268" spans="1:15" s="83" customFormat="1" x14ac:dyDescent="0.3">
      <c r="A268" s="150"/>
      <c r="B268" s="182" t="s">
        <v>1400</v>
      </c>
      <c r="C268" s="182" t="s">
        <v>1401</v>
      </c>
      <c r="D268" s="50" t="s">
        <v>1402</v>
      </c>
      <c r="E268" s="191">
        <v>0</v>
      </c>
      <c r="F268" s="192">
        <v>1</v>
      </c>
      <c r="G268" s="191">
        <f>E268*F268</f>
        <v>0</v>
      </c>
      <c r="H268" s="191">
        <f>G268*1.13</f>
        <v>0</v>
      </c>
      <c r="I268" s="191"/>
      <c r="J268" s="200"/>
      <c r="K268" s="151"/>
      <c r="L268" s="151"/>
      <c r="M268" s="134"/>
      <c r="N268" s="134"/>
      <c r="O268" s="134"/>
    </row>
    <row r="269" spans="1:15" s="83" customFormat="1" x14ac:dyDescent="0.3">
      <c r="A269" s="164" t="s">
        <v>653</v>
      </c>
      <c r="B269" s="134"/>
      <c r="C269" s="134"/>
      <c r="D269" s="134"/>
      <c r="E269" s="134"/>
      <c r="F269" s="134"/>
      <c r="G269" s="134"/>
      <c r="H269" s="134"/>
      <c r="I269" s="134"/>
      <c r="J269" s="257"/>
      <c r="K269" s="151"/>
      <c r="L269" s="151"/>
      <c r="M269" s="134"/>
      <c r="N269" s="134"/>
      <c r="O269" s="134"/>
    </row>
    <row r="270" spans="1:15" s="83" customFormat="1" x14ac:dyDescent="0.3">
      <c r="A270" s="150"/>
      <c r="B270" s="182" t="s">
        <v>1403</v>
      </c>
      <c r="C270" s="182" t="s">
        <v>1212</v>
      </c>
      <c r="D270" s="50" t="s">
        <v>1404</v>
      </c>
      <c r="E270" s="191">
        <v>70</v>
      </c>
      <c r="F270" s="192">
        <v>1</v>
      </c>
      <c r="G270" s="191">
        <f t="shared" si="19"/>
        <v>70</v>
      </c>
      <c r="H270" s="191">
        <f t="shared" si="20"/>
        <v>79.099999999999994</v>
      </c>
      <c r="I270" s="191"/>
      <c r="J270" s="200"/>
      <c r="K270" s="151"/>
      <c r="L270" s="151"/>
      <c r="M270" s="134"/>
      <c r="N270" s="134"/>
      <c r="O270" s="134"/>
    </row>
    <row r="271" spans="1:15" s="134" customFormat="1" x14ac:dyDescent="0.3">
      <c r="A271" s="150"/>
      <c r="B271" s="103" t="s">
        <v>1405</v>
      </c>
      <c r="C271" s="103" t="s">
        <v>694</v>
      </c>
      <c r="D271" s="70"/>
      <c r="E271" s="193">
        <v>3</v>
      </c>
      <c r="F271" s="194">
        <v>35</v>
      </c>
      <c r="G271" s="193">
        <f t="shared" si="19"/>
        <v>105</v>
      </c>
      <c r="H271" s="193">
        <f t="shared" si="20"/>
        <v>118.64999999999999</v>
      </c>
      <c r="I271" s="193"/>
      <c r="J271" s="201"/>
      <c r="K271" s="151"/>
      <c r="L271" s="151"/>
    </row>
    <row r="272" spans="1:15" s="83" customFormat="1" x14ac:dyDescent="0.3">
      <c r="A272" s="150"/>
      <c r="B272" s="182" t="s">
        <v>1406</v>
      </c>
      <c r="C272" s="182" t="s">
        <v>1398</v>
      </c>
      <c r="D272" s="50" t="s">
        <v>1407</v>
      </c>
      <c r="E272" s="191">
        <v>20</v>
      </c>
      <c r="F272" s="192">
        <v>1</v>
      </c>
      <c r="G272" s="191">
        <f t="shared" si="19"/>
        <v>20</v>
      </c>
      <c r="H272" s="191">
        <f t="shared" si="20"/>
        <v>22.599999999999998</v>
      </c>
      <c r="I272" s="191"/>
      <c r="J272" s="200"/>
      <c r="K272" s="151"/>
      <c r="L272" s="151"/>
      <c r="M272" s="134"/>
      <c r="N272" s="134"/>
      <c r="O272" s="134"/>
    </row>
    <row r="273" spans="1:15" s="134" customFormat="1" x14ac:dyDescent="0.3">
      <c r="A273" s="150"/>
      <c r="B273" s="103" t="s">
        <v>1408</v>
      </c>
      <c r="C273" s="103" t="s">
        <v>1409</v>
      </c>
      <c r="D273" s="70"/>
      <c r="E273" s="193">
        <v>50</v>
      </c>
      <c r="F273" s="194">
        <v>1</v>
      </c>
      <c r="G273" s="193">
        <f t="shared" si="19"/>
        <v>50</v>
      </c>
      <c r="H273" s="193">
        <f t="shared" si="20"/>
        <v>56.499999999999993</v>
      </c>
      <c r="I273" s="193"/>
      <c r="J273" s="201"/>
      <c r="K273" s="151"/>
      <c r="L273" s="151"/>
    </row>
    <row r="274" spans="1:15" s="83" customFormat="1" x14ac:dyDescent="0.3">
      <c r="A274" s="164" t="s">
        <v>1410</v>
      </c>
      <c r="B274" s="182"/>
      <c r="C274" s="182"/>
      <c r="D274" s="50"/>
      <c r="E274" s="191"/>
      <c r="F274" s="192"/>
      <c r="G274" s="191"/>
      <c r="H274" s="191"/>
      <c r="I274" s="191"/>
      <c r="J274" s="200"/>
      <c r="K274" s="151"/>
      <c r="L274" s="151"/>
      <c r="M274" s="134"/>
      <c r="N274" s="134"/>
      <c r="O274" s="134"/>
    </row>
    <row r="275" spans="1:15" s="134" customFormat="1" x14ac:dyDescent="0.3">
      <c r="A275" s="164"/>
      <c r="B275" s="103" t="s">
        <v>1411</v>
      </c>
      <c r="C275" s="103" t="s">
        <v>729</v>
      </c>
      <c r="D275" s="70" t="s">
        <v>1412</v>
      </c>
      <c r="E275" s="193">
        <v>2.5</v>
      </c>
      <c r="F275" s="194">
        <v>35</v>
      </c>
      <c r="G275" s="193">
        <f t="shared" si="19"/>
        <v>87.5</v>
      </c>
      <c r="H275" s="193">
        <f t="shared" si="20"/>
        <v>98.874999999999986</v>
      </c>
      <c r="I275" s="193"/>
      <c r="J275" s="201"/>
      <c r="K275" s="151"/>
      <c r="L275" s="151"/>
    </row>
    <row r="276" spans="1:15" s="83" customFormat="1" x14ac:dyDescent="0.3">
      <c r="A276" s="164" t="s">
        <v>1413</v>
      </c>
      <c r="B276" s="182"/>
      <c r="C276" s="182"/>
      <c r="D276" s="50"/>
      <c r="E276" s="191"/>
      <c r="F276" s="192"/>
      <c r="G276" s="191"/>
      <c r="H276" s="191"/>
      <c r="I276" s="191"/>
      <c r="J276" s="200"/>
      <c r="K276" s="151"/>
      <c r="L276" s="151"/>
      <c r="M276" s="134"/>
      <c r="N276" s="134"/>
      <c r="O276" s="134"/>
    </row>
    <row r="277" spans="1:15" s="134" customFormat="1" x14ac:dyDescent="0.3">
      <c r="A277" s="150"/>
      <c r="B277" s="103" t="s">
        <v>1414</v>
      </c>
      <c r="C277" s="103" t="s">
        <v>1415</v>
      </c>
      <c r="D277" s="70" t="s">
        <v>1416</v>
      </c>
      <c r="E277" s="193">
        <v>6</v>
      </c>
      <c r="F277" s="194">
        <v>3</v>
      </c>
      <c r="G277" s="193">
        <f t="shared" si="19"/>
        <v>18</v>
      </c>
      <c r="H277" s="193">
        <f t="shared" si="20"/>
        <v>20.339999999999996</v>
      </c>
      <c r="I277" s="193"/>
      <c r="J277" s="201"/>
      <c r="K277" s="151"/>
      <c r="L277" s="151"/>
    </row>
    <row r="278" spans="1:15" s="4" customFormat="1" x14ac:dyDescent="0.3">
      <c r="A278" s="155"/>
      <c r="B278" s="182" t="s">
        <v>1417</v>
      </c>
      <c r="C278" s="182" t="s">
        <v>239</v>
      </c>
      <c r="D278" s="50" t="s">
        <v>1418</v>
      </c>
      <c r="E278" s="191">
        <v>5.5</v>
      </c>
      <c r="F278" s="192">
        <v>6</v>
      </c>
      <c r="G278" s="191">
        <f>E278*F278</f>
        <v>33</v>
      </c>
      <c r="H278" s="191">
        <f>G278*1.13</f>
        <v>37.29</v>
      </c>
      <c r="I278" s="191"/>
      <c r="J278" s="200"/>
      <c r="K278" s="151"/>
      <c r="L278" s="160"/>
      <c r="M278" s="151"/>
      <c r="N278" s="157"/>
      <c r="O278" s="151"/>
    </row>
    <row r="279" spans="1:15" s="151" customFormat="1" x14ac:dyDescent="0.3">
      <c r="A279" s="155"/>
      <c r="C279" s="104"/>
      <c r="D279" s="70"/>
      <c r="E279" s="193"/>
      <c r="F279" s="194"/>
      <c r="G279" s="193"/>
      <c r="H279" s="193"/>
      <c r="I279" s="193"/>
      <c r="J279" s="201"/>
      <c r="L279" s="160"/>
      <c r="N279" s="157"/>
    </row>
    <row r="280" spans="1:15" s="4" customFormat="1" x14ac:dyDescent="0.3">
      <c r="A280" s="155"/>
      <c r="B280" s="158" t="s">
        <v>1419</v>
      </c>
      <c r="C280" s="38"/>
      <c r="D280" s="69"/>
      <c r="E280" s="179"/>
      <c r="F280" s="184"/>
      <c r="G280" s="179"/>
      <c r="H280" s="179">
        <f>SUM(H262:H278)</f>
        <v>681.95499999999993</v>
      </c>
      <c r="I280" s="179">
        <f>SUM(I263:I278)</f>
        <v>71.599999999999994</v>
      </c>
      <c r="J280" s="180">
        <f>SUM(J263:J278)</f>
        <v>71.599999999999994</v>
      </c>
      <c r="K280" s="151"/>
      <c r="L280" s="160"/>
      <c r="M280" s="151"/>
      <c r="N280" s="157"/>
      <c r="O280" s="151"/>
    </row>
    <row r="281" spans="1:15" s="151" customFormat="1" x14ac:dyDescent="0.3">
      <c r="A281" s="155"/>
      <c r="B281" s="159"/>
      <c r="C281" s="251"/>
      <c r="D281" s="68"/>
      <c r="E281" s="196"/>
      <c r="F281" s="202"/>
      <c r="G281" s="196"/>
      <c r="H281" s="196"/>
      <c r="I281" s="196"/>
      <c r="J281" s="197"/>
      <c r="L281" s="160"/>
      <c r="N281" s="157"/>
    </row>
    <row r="282" spans="1:15" s="6" customFormat="1" x14ac:dyDescent="0.3">
      <c r="A282" s="150" t="s">
        <v>1096</v>
      </c>
      <c r="B282" s="159"/>
      <c r="C282" s="251"/>
      <c r="D282" s="68"/>
      <c r="E282" s="196"/>
      <c r="F282" s="202"/>
      <c r="G282" s="196"/>
      <c r="H282" s="196"/>
      <c r="I282" s="196"/>
      <c r="J282" s="197"/>
      <c r="K282" s="156"/>
      <c r="L282" s="124"/>
      <c r="M282" s="159"/>
      <c r="N282" s="123"/>
      <c r="O282" s="125"/>
    </row>
    <row r="283" spans="1:15" s="83" customFormat="1" x14ac:dyDescent="0.3">
      <c r="A283" s="164" t="s">
        <v>1420</v>
      </c>
      <c r="B283" s="159"/>
      <c r="C283" s="103"/>
      <c r="D283" s="70"/>
      <c r="E283" s="193"/>
      <c r="F283" s="194"/>
      <c r="G283" s="193"/>
      <c r="H283" s="193"/>
      <c r="I283" s="193"/>
      <c r="J283" s="201"/>
      <c r="K283" s="151"/>
      <c r="L283" s="151"/>
      <c r="M283" s="134"/>
      <c r="N283" s="134"/>
      <c r="O283" s="134"/>
    </row>
    <row r="284" spans="1:15" s="83" customFormat="1" x14ac:dyDescent="0.3">
      <c r="A284" s="155"/>
      <c r="B284" s="182" t="s">
        <v>1421</v>
      </c>
      <c r="C284" s="102" t="s">
        <v>1422</v>
      </c>
      <c r="D284" s="191" t="s">
        <v>1313</v>
      </c>
      <c r="E284" s="191">
        <v>50</v>
      </c>
      <c r="F284" s="192">
        <v>2</v>
      </c>
      <c r="G284" s="191">
        <f>F284*E285</f>
        <v>100</v>
      </c>
      <c r="H284" s="191">
        <f t="shared" ref="H284:H317" si="21">G284*1.13</f>
        <v>112.99999999999999</v>
      </c>
      <c r="I284" s="191">
        <v>236.29</v>
      </c>
      <c r="J284" s="200">
        <f>236.29+20.33</f>
        <v>256.62</v>
      </c>
      <c r="K284" s="151"/>
      <c r="L284" s="151"/>
      <c r="M284" s="134"/>
      <c r="N284" s="134"/>
      <c r="O284" s="134"/>
    </row>
    <row r="285" spans="1:15" s="83" customFormat="1" x14ac:dyDescent="0.3">
      <c r="A285" s="155"/>
      <c r="B285" s="103" t="s">
        <v>1423</v>
      </c>
      <c r="C285" s="104" t="s">
        <v>1424</v>
      </c>
      <c r="D285" s="193" t="s">
        <v>1313</v>
      </c>
      <c r="E285" s="193">
        <v>50</v>
      </c>
      <c r="F285" s="194">
        <v>2</v>
      </c>
      <c r="G285" s="193">
        <f>E285*F285</f>
        <v>100</v>
      </c>
      <c r="H285" s="193">
        <f t="shared" si="21"/>
        <v>112.99999999999999</v>
      </c>
      <c r="I285" s="193">
        <v>20.329999999999998</v>
      </c>
      <c r="J285" s="201"/>
      <c r="K285" s="151"/>
      <c r="L285" s="151"/>
      <c r="M285" s="134"/>
      <c r="N285" s="134"/>
      <c r="O285" s="134"/>
    </row>
    <row r="286" spans="1:15" s="83" customFormat="1" x14ac:dyDescent="0.3">
      <c r="A286" s="155"/>
      <c r="B286" s="182" t="s">
        <v>1425</v>
      </c>
      <c r="C286" s="102" t="s">
        <v>1426</v>
      </c>
      <c r="D286" s="191" t="s">
        <v>1313</v>
      </c>
      <c r="E286" s="191">
        <v>84</v>
      </c>
      <c r="F286" s="192">
        <v>3</v>
      </c>
      <c r="G286" s="191">
        <f t="shared" ref="G286:G317" si="22">E286*F286</f>
        <v>252</v>
      </c>
      <c r="H286" s="191">
        <f t="shared" si="21"/>
        <v>284.76</v>
      </c>
      <c r="I286" s="191"/>
      <c r="J286" s="200">
        <v>135.6</v>
      </c>
      <c r="K286" s="151"/>
      <c r="L286" s="151"/>
      <c r="M286" s="134"/>
      <c r="N286" s="134"/>
      <c r="O286" s="134"/>
    </row>
    <row r="287" spans="1:15" s="83" customFormat="1" x14ac:dyDescent="0.3">
      <c r="A287" s="155"/>
      <c r="B287" s="103" t="s">
        <v>1427</v>
      </c>
      <c r="C287" s="104" t="s">
        <v>1428</v>
      </c>
      <c r="D287" s="193" t="s">
        <v>1313</v>
      </c>
      <c r="E287" s="193">
        <v>84</v>
      </c>
      <c r="F287" s="194">
        <v>3</v>
      </c>
      <c r="G287" s="193">
        <f t="shared" si="22"/>
        <v>252</v>
      </c>
      <c r="H287" s="193">
        <f t="shared" si="21"/>
        <v>284.76</v>
      </c>
      <c r="I287" s="193"/>
      <c r="J287" s="201"/>
      <c r="K287" s="151"/>
      <c r="L287" s="151"/>
      <c r="M287" s="134"/>
      <c r="N287" s="134"/>
      <c r="O287" s="134"/>
    </row>
    <row r="288" spans="1:15" s="83" customFormat="1" x14ac:dyDescent="0.3">
      <c r="A288" s="164"/>
      <c r="B288" s="182" t="s">
        <v>1429</v>
      </c>
      <c r="C288" s="102" t="s">
        <v>1430</v>
      </c>
      <c r="D288" s="191" t="s">
        <v>1431</v>
      </c>
      <c r="E288" s="191">
        <v>20</v>
      </c>
      <c r="F288" s="192">
        <v>3</v>
      </c>
      <c r="G288" s="191">
        <f t="shared" si="22"/>
        <v>60</v>
      </c>
      <c r="H288" s="191">
        <f t="shared" si="21"/>
        <v>67.8</v>
      </c>
      <c r="I288" s="191"/>
      <c r="J288" s="233"/>
      <c r="K288" s="151"/>
      <c r="L288" s="151"/>
      <c r="M288" s="134"/>
      <c r="N288" s="134"/>
      <c r="O288" s="134"/>
    </row>
    <row r="289" spans="1:15" s="83" customFormat="1" x14ac:dyDescent="0.3">
      <c r="A289" s="164" t="s">
        <v>1432</v>
      </c>
      <c r="B289" s="40"/>
      <c r="C289" s="104"/>
      <c r="D289" s="193"/>
      <c r="E289" s="193"/>
      <c r="F289" s="194"/>
      <c r="G289" s="193"/>
      <c r="H289" s="193"/>
      <c r="I289" s="193"/>
      <c r="J289" s="201"/>
      <c r="K289" s="151"/>
      <c r="L289" s="151"/>
      <c r="M289" s="134"/>
      <c r="N289" s="134"/>
      <c r="O289" s="134"/>
    </row>
    <row r="290" spans="1:15" s="83" customFormat="1" x14ac:dyDescent="0.3">
      <c r="A290" s="164"/>
      <c r="B290" s="182" t="s">
        <v>1433</v>
      </c>
      <c r="C290" s="102" t="s">
        <v>1434</v>
      </c>
      <c r="D290" s="191" t="s">
        <v>1313</v>
      </c>
      <c r="E290" s="191">
        <v>40</v>
      </c>
      <c r="F290" s="192">
        <v>1</v>
      </c>
      <c r="G290" s="191">
        <f t="shared" si="22"/>
        <v>40</v>
      </c>
      <c r="H290" s="191">
        <f t="shared" si="21"/>
        <v>45.199999999999996</v>
      </c>
      <c r="I290" s="191"/>
      <c r="J290" s="200"/>
      <c r="K290" s="151"/>
      <c r="L290" s="151"/>
    </row>
    <row r="291" spans="1:15" s="83" customFormat="1" x14ac:dyDescent="0.3">
      <c r="A291" s="164"/>
      <c r="B291" s="103" t="s">
        <v>1435</v>
      </c>
      <c r="C291" s="104" t="s">
        <v>1436</v>
      </c>
      <c r="D291" s="193" t="s">
        <v>1313</v>
      </c>
      <c r="E291" s="193">
        <v>40</v>
      </c>
      <c r="F291" s="194">
        <v>1</v>
      </c>
      <c r="G291" s="193">
        <f t="shared" si="22"/>
        <v>40</v>
      </c>
      <c r="H291" s="193">
        <f t="shared" si="21"/>
        <v>45.199999999999996</v>
      </c>
      <c r="I291" s="193"/>
      <c r="J291" s="201"/>
      <c r="K291" s="151"/>
      <c r="L291" s="151"/>
    </row>
    <row r="292" spans="1:15" s="83" customFormat="1" x14ac:dyDescent="0.3">
      <c r="A292" s="164"/>
      <c r="B292" s="182" t="s">
        <v>1437</v>
      </c>
      <c r="C292" s="102" t="s">
        <v>1438</v>
      </c>
      <c r="D292" s="191" t="s">
        <v>1313</v>
      </c>
      <c r="E292" s="191">
        <v>25</v>
      </c>
      <c r="F292" s="192">
        <v>80</v>
      </c>
      <c r="G292" s="191">
        <f t="shared" si="22"/>
        <v>2000</v>
      </c>
      <c r="H292" s="191">
        <f t="shared" si="21"/>
        <v>2260</v>
      </c>
      <c r="I292" s="191"/>
      <c r="J292" s="200"/>
      <c r="K292" s="151"/>
      <c r="L292" s="151"/>
    </row>
    <row r="293" spans="1:15" s="83" customFormat="1" x14ac:dyDescent="0.3">
      <c r="A293" s="164"/>
      <c r="B293" s="103" t="s">
        <v>1439</v>
      </c>
      <c r="C293" s="104" t="s">
        <v>1440</v>
      </c>
      <c r="D293" s="193" t="s">
        <v>1313</v>
      </c>
      <c r="E293" s="193">
        <v>25</v>
      </c>
      <c r="F293" s="194">
        <v>40</v>
      </c>
      <c r="G293" s="193">
        <f t="shared" si="22"/>
        <v>1000</v>
      </c>
      <c r="H293" s="116">
        <f t="shared" si="21"/>
        <v>1130</v>
      </c>
      <c r="I293" s="193"/>
      <c r="J293" s="201"/>
      <c r="K293" s="151"/>
      <c r="L293" s="151"/>
    </row>
    <row r="294" spans="1:15" s="83" customFormat="1" x14ac:dyDescent="0.3">
      <c r="A294" s="164"/>
      <c r="B294" s="182" t="s">
        <v>1441</v>
      </c>
      <c r="C294" s="102" t="s">
        <v>1442</v>
      </c>
      <c r="D294" s="191" t="s">
        <v>1313</v>
      </c>
      <c r="E294" s="191">
        <v>250</v>
      </c>
      <c r="F294" s="192">
        <v>2</v>
      </c>
      <c r="G294" s="191">
        <f t="shared" si="22"/>
        <v>500</v>
      </c>
      <c r="H294" s="191">
        <f t="shared" si="21"/>
        <v>565</v>
      </c>
      <c r="I294" s="191"/>
      <c r="J294" s="200"/>
      <c r="K294" s="151"/>
      <c r="L294" s="151"/>
    </row>
    <row r="295" spans="1:15" s="83" customFormat="1" x14ac:dyDescent="0.3">
      <c r="A295" s="164"/>
      <c r="B295" s="103" t="s">
        <v>1443</v>
      </c>
      <c r="C295" s="104" t="s">
        <v>1444</v>
      </c>
      <c r="D295" s="193" t="s">
        <v>1313</v>
      </c>
      <c r="E295" s="193">
        <v>250</v>
      </c>
      <c r="F295" s="194">
        <v>1</v>
      </c>
      <c r="G295" s="193">
        <f t="shared" si="22"/>
        <v>250</v>
      </c>
      <c r="H295" s="193">
        <f t="shared" si="21"/>
        <v>282.5</v>
      </c>
      <c r="I295" s="193"/>
      <c r="J295" s="201"/>
      <c r="K295" s="151"/>
      <c r="L295" s="151"/>
    </row>
    <row r="296" spans="1:15" s="83" customFormat="1" x14ac:dyDescent="0.3">
      <c r="A296" s="164"/>
      <c r="B296" s="182" t="s">
        <v>1445</v>
      </c>
      <c r="C296" s="102" t="s">
        <v>1446</v>
      </c>
      <c r="D296" s="191" t="s">
        <v>1313</v>
      </c>
      <c r="E296" s="191">
        <v>2</v>
      </c>
      <c r="F296" s="192">
        <v>125</v>
      </c>
      <c r="G296" s="191">
        <f t="shared" si="22"/>
        <v>250</v>
      </c>
      <c r="H296" s="191">
        <f t="shared" si="21"/>
        <v>282.5</v>
      </c>
      <c r="I296" s="191"/>
      <c r="J296" s="200"/>
      <c r="K296" s="151"/>
      <c r="L296" s="151"/>
    </row>
    <row r="297" spans="1:15" s="83" customFormat="1" x14ac:dyDescent="0.3">
      <c r="A297" s="164"/>
      <c r="B297" s="103" t="s">
        <v>1447</v>
      </c>
      <c r="C297" s="104" t="s">
        <v>1448</v>
      </c>
      <c r="D297" s="193" t="s">
        <v>1313</v>
      </c>
      <c r="E297" s="193">
        <v>2</v>
      </c>
      <c r="F297" s="194">
        <v>70</v>
      </c>
      <c r="G297" s="193">
        <f t="shared" si="22"/>
        <v>140</v>
      </c>
      <c r="H297" s="193">
        <f t="shared" si="21"/>
        <v>158.19999999999999</v>
      </c>
      <c r="I297" s="193"/>
      <c r="J297" s="201"/>
      <c r="K297" s="151"/>
      <c r="L297" s="151"/>
    </row>
    <row r="298" spans="1:15" s="83" customFormat="1" x14ac:dyDescent="0.3">
      <c r="A298" s="155"/>
      <c r="B298" s="182" t="s">
        <v>1449</v>
      </c>
      <c r="C298" s="102" t="s">
        <v>1450</v>
      </c>
      <c r="D298" s="191" t="s">
        <v>1451</v>
      </c>
      <c r="E298" s="191">
        <v>5</v>
      </c>
      <c r="F298" s="192">
        <v>20</v>
      </c>
      <c r="G298" s="191">
        <f t="shared" si="22"/>
        <v>100</v>
      </c>
      <c r="H298" s="191">
        <f t="shared" si="21"/>
        <v>112.99999999999999</v>
      </c>
      <c r="I298" s="191"/>
      <c r="J298" s="200"/>
      <c r="K298" s="151"/>
      <c r="L298" s="151"/>
    </row>
    <row r="299" spans="1:15" s="83" customFormat="1" x14ac:dyDescent="0.3">
      <c r="A299" s="134"/>
      <c r="B299" s="103" t="s">
        <v>1452</v>
      </c>
      <c r="C299" s="104" t="s">
        <v>1453</v>
      </c>
      <c r="D299" s="193" t="s">
        <v>1451</v>
      </c>
      <c r="E299" s="193">
        <v>5</v>
      </c>
      <c r="F299" s="194">
        <v>20</v>
      </c>
      <c r="G299" s="193">
        <f t="shared" si="22"/>
        <v>100</v>
      </c>
      <c r="H299" s="193">
        <f t="shared" si="21"/>
        <v>112.99999999999999</v>
      </c>
      <c r="I299" s="193"/>
      <c r="J299" s="201"/>
      <c r="K299" s="151"/>
      <c r="L299" s="151"/>
    </row>
    <row r="300" spans="1:15" s="134" customFormat="1" x14ac:dyDescent="0.3">
      <c r="A300" s="164" t="s">
        <v>1108</v>
      </c>
      <c r="B300" s="182"/>
      <c r="C300" s="102"/>
      <c r="D300" s="191"/>
      <c r="E300" s="191"/>
      <c r="F300" s="192"/>
      <c r="G300" s="191"/>
      <c r="H300" s="191"/>
      <c r="I300" s="191"/>
      <c r="J300" s="200"/>
      <c r="K300" s="151"/>
      <c r="L300" s="151"/>
    </row>
    <row r="301" spans="1:15" s="134" customFormat="1" x14ac:dyDescent="0.3">
      <c r="B301" s="103" t="s">
        <v>1454</v>
      </c>
      <c r="C301" s="104" t="s">
        <v>1162</v>
      </c>
      <c r="D301" s="193" t="s">
        <v>1455</v>
      </c>
      <c r="E301" s="193">
        <v>150</v>
      </c>
      <c r="F301" s="194">
        <v>1</v>
      </c>
      <c r="G301" s="193">
        <f t="shared" si="22"/>
        <v>150</v>
      </c>
      <c r="H301" s="193">
        <f t="shared" si="21"/>
        <v>169.49999999999997</v>
      </c>
      <c r="I301" s="193"/>
      <c r="J301" s="201"/>
      <c r="K301" s="151"/>
      <c r="L301" s="151"/>
    </row>
    <row r="302" spans="1:15" s="83" customFormat="1" x14ac:dyDescent="0.3">
      <c r="A302" s="155"/>
      <c r="B302" s="182" t="s">
        <v>1456</v>
      </c>
      <c r="C302" s="182" t="s">
        <v>1457</v>
      </c>
      <c r="D302" s="191" t="s">
        <v>1042</v>
      </c>
      <c r="E302" s="191">
        <v>30</v>
      </c>
      <c r="F302" s="192">
        <v>1</v>
      </c>
      <c r="G302" s="191">
        <f t="shared" si="22"/>
        <v>30</v>
      </c>
      <c r="H302" s="191">
        <f t="shared" si="21"/>
        <v>33.9</v>
      </c>
      <c r="I302" s="191"/>
      <c r="J302" s="200"/>
      <c r="K302" s="151"/>
      <c r="L302" s="151"/>
    </row>
    <row r="303" spans="1:15" s="134" customFormat="1" x14ac:dyDescent="0.3">
      <c r="A303" s="155"/>
      <c r="B303" s="103" t="s">
        <v>1458</v>
      </c>
      <c r="C303" s="103" t="s">
        <v>384</v>
      </c>
      <c r="D303" s="193" t="s">
        <v>1459</v>
      </c>
      <c r="E303" s="193">
        <v>2</v>
      </c>
      <c r="F303" s="194">
        <v>63</v>
      </c>
      <c r="G303" s="193">
        <f t="shared" si="22"/>
        <v>126</v>
      </c>
      <c r="H303" s="193">
        <f t="shared" si="21"/>
        <v>142.38</v>
      </c>
      <c r="I303" s="193"/>
      <c r="J303" s="201"/>
      <c r="K303" s="151"/>
      <c r="L303" s="151"/>
    </row>
    <row r="304" spans="1:15" s="83" customFormat="1" x14ac:dyDescent="0.3">
      <c r="A304" s="155"/>
      <c r="B304" s="182" t="s">
        <v>1460</v>
      </c>
      <c r="C304" s="182" t="s">
        <v>408</v>
      </c>
      <c r="D304" s="191" t="s">
        <v>1461</v>
      </c>
      <c r="E304" s="191">
        <v>7</v>
      </c>
      <c r="F304" s="192">
        <v>3</v>
      </c>
      <c r="G304" s="191">
        <f t="shared" si="22"/>
        <v>21</v>
      </c>
      <c r="H304" s="191">
        <f t="shared" si="21"/>
        <v>23.729999999999997</v>
      </c>
      <c r="I304" s="191"/>
      <c r="J304" s="200"/>
      <c r="K304" s="151"/>
      <c r="L304" s="151"/>
    </row>
    <row r="305" spans="1:14" s="134" customFormat="1" x14ac:dyDescent="0.3">
      <c r="A305" s="164" t="s">
        <v>1462</v>
      </c>
      <c r="B305" s="103"/>
      <c r="C305" s="103"/>
      <c r="D305" s="193"/>
      <c r="E305" s="193"/>
      <c r="F305" s="194"/>
      <c r="G305" s="193"/>
      <c r="H305" s="193"/>
      <c r="I305" s="193"/>
      <c r="J305" s="201"/>
      <c r="K305" s="151"/>
      <c r="L305" s="151"/>
    </row>
    <row r="306" spans="1:14" s="83" customFormat="1" x14ac:dyDescent="0.3">
      <c r="A306" s="155" t="s">
        <v>54</v>
      </c>
      <c r="B306" s="182" t="s">
        <v>1463</v>
      </c>
      <c r="C306" s="102" t="s">
        <v>1464</v>
      </c>
      <c r="D306" s="191" t="s">
        <v>1313</v>
      </c>
      <c r="E306" s="191">
        <v>30</v>
      </c>
      <c r="F306" s="192">
        <v>1</v>
      </c>
      <c r="G306" s="191">
        <f t="shared" si="22"/>
        <v>30</v>
      </c>
      <c r="H306" s="191">
        <f t="shared" si="21"/>
        <v>33.9</v>
      </c>
      <c r="I306" s="191"/>
      <c r="J306" s="200"/>
      <c r="K306" s="151"/>
      <c r="L306" s="151"/>
      <c r="M306" s="134"/>
      <c r="N306" s="134"/>
    </row>
    <row r="307" spans="1:14" s="134" customFormat="1" x14ac:dyDescent="0.3">
      <c r="A307" s="155"/>
      <c r="B307" s="103" t="s">
        <v>1465</v>
      </c>
      <c r="C307" s="103" t="s">
        <v>1466</v>
      </c>
      <c r="D307" s="193" t="s">
        <v>1313</v>
      </c>
      <c r="E307" s="193">
        <v>30</v>
      </c>
      <c r="F307" s="194">
        <v>1</v>
      </c>
      <c r="G307" s="193">
        <f t="shared" si="22"/>
        <v>30</v>
      </c>
      <c r="H307" s="193">
        <f t="shared" si="21"/>
        <v>33.9</v>
      </c>
      <c r="I307" s="193"/>
      <c r="J307" s="201"/>
      <c r="K307" s="151"/>
      <c r="L307" s="151"/>
    </row>
    <row r="308" spans="1:14" s="83" customFormat="1" x14ac:dyDescent="0.3">
      <c r="A308" s="155"/>
      <c r="B308" s="182" t="s">
        <v>1467</v>
      </c>
      <c r="C308" s="182" t="s">
        <v>1468</v>
      </c>
      <c r="D308" s="191" t="s">
        <v>1313</v>
      </c>
      <c r="E308" s="191">
        <v>10</v>
      </c>
      <c r="F308" s="192">
        <v>1</v>
      </c>
      <c r="G308" s="191">
        <f t="shared" si="22"/>
        <v>10</v>
      </c>
      <c r="H308" s="191">
        <f t="shared" si="21"/>
        <v>11.299999999999999</v>
      </c>
      <c r="I308" s="191"/>
      <c r="J308" s="200"/>
      <c r="K308" s="151"/>
      <c r="L308" s="151"/>
      <c r="M308" s="134"/>
      <c r="N308" s="134"/>
    </row>
    <row r="309" spans="1:14" s="134" customFormat="1" x14ac:dyDescent="0.3">
      <c r="A309" s="164"/>
      <c r="B309" s="103" t="s">
        <v>1469</v>
      </c>
      <c r="C309" s="103" t="s">
        <v>1470</v>
      </c>
      <c r="D309" s="193" t="s">
        <v>1313</v>
      </c>
      <c r="E309" s="193">
        <v>10</v>
      </c>
      <c r="F309" s="194">
        <v>1</v>
      </c>
      <c r="G309" s="193">
        <f t="shared" si="22"/>
        <v>10</v>
      </c>
      <c r="H309" s="193">
        <f t="shared" si="21"/>
        <v>11.299999999999999</v>
      </c>
      <c r="I309" s="193"/>
      <c r="J309" s="201"/>
      <c r="K309" s="151"/>
      <c r="L309" s="151"/>
    </row>
    <row r="310" spans="1:14" s="83" customFormat="1" x14ac:dyDescent="0.3">
      <c r="A310" s="164" t="s">
        <v>1110</v>
      </c>
      <c r="B310" s="39"/>
      <c r="C310" s="102"/>
      <c r="D310" s="191"/>
      <c r="E310" s="191"/>
      <c r="F310" s="192"/>
      <c r="G310" s="191"/>
      <c r="H310" s="191"/>
      <c r="I310" s="191"/>
      <c r="J310" s="200"/>
      <c r="K310" s="151"/>
      <c r="L310" s="151"/>
      <c r="M310" s="134"/>
      <c r="N310" s="134"/>
    </row>
    <row r="311" spans="1:14" s="134" customFormat="1" x14ac:dyDescent="0.3">
      <c r="A311" s="150"/>
      <c r="B311" s="103" t="s">
        <v>1471</v>
      </c>
      <c r="C311" s="103" t="s">
        <v>1472</v>
      </c>
      <c r="D311" s="193" t="s">
        <v>1473</v>
      </c>
      <c r="E311" s="193">
        <v>400</v>
      </c>
      <c r="F311" s="194">
        <v>1</v>
      </c>
      <c r="G311" s="193">
        <f t="shared" si="22"/>
        <v>400</v>
      </c>
      <c r="H311" s="193">
        <f t="shared" si="21"/>
        <v>451.99999999999994</v>
      </c>
      <c r="I311" s="193"/>
      <c r="J311" s="201"/>
      <c r="K311" s="151"/>
      <c r="L311" s="151"/>
    </row>
    <row r="312" spans="1:14" s="83" customFormat="1" x14ac:dyDescent="0.3">
      <c r="A312" s="150"/>
      <c r="B312" s="182" t="s">
        <v>1474</v>
      </c>
      <c r="C312" s="182" t="s">
        <v>1475</v>
      </c>
      <c r="D312" s="191" t="s">
        <v>1476</v>
      </c>
      <c r="E312" s="191">
        <v>3</v>
      </c>
      <c r="F312" s="192">
        <v>12</v>
      </c>
      <c r="G312" s="191">
        <f t="shared" si="22"/>
        <v>36</v>
      </c>
      <c r="H312" s="191">
        <f t="shared" si="21"/>
        <v>40.679999999999993</v>
      </c>
      <c r="I312" s="191"/>
      <c r="J312" s="200"/>
      <c r="K312" s="151"/>
      <c r="L312" s="151"/>
      <c r="M312" s="134"/>
      <c r="N312" s="134"/>
    </row>
    <row r="313" spans="1:14" s="134" customFormat="1" x14ac:dyDescent="0.3">
      <c r="A313" s="164"/>
      <c r="B313" s="103" t="s">
        <v>1477</v>
      </c>
      <c r="C313" s="103" t="s">
        <v>1162</v>
      </c>
      <c r="D313" s="193" t="s">
        <v>1478</v>
      </c>
      <c r="E313" s="193">
        <v>40</v>
      </c>
      <c r="F313" s="194">
        <v>1</v>
      </c>
      <c r="G313" s="193">
        <f t="shared" si="22"/>
        <v>40</v>
      </c>
      <c r="H313" s="193">
        <f t="shared" si="21"/>
        <v>45.199999999999996</v>
      </c>
      <c r="I313" s="193"/>
      <c r="J313" s="201"/>
      <c r="K313" s="151"/>
      <c r="L313" s="151"/>
    </row>
    <row r="314" spans="1:14" s="83" customFormat="1" x14ac:dyDescent="0.3">
      <c r="A314" s="164" t="s">
        <v>1479</v>
      </c>
      <c r="B314" s="39"/>
      <c r="C314" s="102"/>
      <c r="D314" s="191"/>
      <c r="E314" s="191"/>
      <c r="F314" s="192"/>
      <c r="G314" s="191"/>
      <c r="H314" s="191"/>
      <c r="I314" s="191"/>
      <c r="J314" s="200"/>
      <c r="K314" s="151"/>
      <c r="L314" s="151"/>
      <c r="M314" s="134"/>
      <c r="N314" s="134"/>
    </row>
    <row r="315" spans="1:14" s="134" customFormat="1" x14ac:dyDescent="0.3">
      <c r="A315" s="150"/>
      <c r="B315" s="103" t="s">
        <v>1480</v>
      </c>
      <c r="C315" s="103" t="s">
        <v>1481</v>
      </c>
      <c r="D315" s="193" t="s">
        <v>1482</v>
      </c>
      <c r="E315" s="193">
        <v>50</v>
      </c>
      <c r="F315" s="194">
        <v>1</v>
      </c>
      <c r="G315" s="193">
        <f t="shared" si="22"/>
        <v>50</v>
      </c>
      <c r="H315" s="193">
        <f t="shared" si="21"/>
        <v>56.499999999999993</v>
      </c>
      <c r="I315" s="193"/>
      <c r="J315" s="201"/>
      <c r="K315" s="151"/>
      <c r="L315" s="151"/>
    </row>
    <row r="316" spans="1:14" s="83" customFormat="1" x14ac:dyDescent="0.3">
      <c r="A316" s="150"/>
      <c r="B316" s="182" t="s">
        <v>1483</v>
      </c>
      <c r="C316" s="182" t="s">
        <v>1484</v>
      </c>
      <c r="D316" s="191" t="s">
        <v>1485</v>
      </c>
      <c r="E316" s="191">
        <v>50</v>
      </c>
      <c r="F316" s="192">
        <v>1</v>
      </c>
      <c r="G316" s="191">
        <f t="shared" si="22"/>
        <v>50</v>
      </c>
      <c r="H316" s="191">
        <f t="shared" si="21"/>
        <v>56.499999999999993</v>
      </c>
      <c r="I316" s="191"/>
      <c r="J316" s="200"/>
      <c r="K316" s="151"/>
      <c r="L316" s="151"/>
      <c r="M316" s="134"/>
      <c r="N316" s="134"/>
    </row>
    <row r="317" spans="1:14" s="134" customFormat="1" x14ac:dyDescent="0.3">
      <c r="A317" s="150"/>
      <c r="B317" s="103" t="s">
        <v>1486</v>
      </c>
      <c r="C317" s="103" t="s">
        <v>1487</v>
      </c>
      <c r="D317" s="193" t="s">
        <v>1488</v>
      </c>
      <c r="E317" s="193">
        <v>50</v>
      </c>
      <c r="F317" s="194">
        <v>1</v>
      </c>
      <c r="G317" s="193">
        <f t="shared" si="22"/>
        <v>50</v>
      </c>
      <c r="H317" s="193">
        <f t="shared" si="21"/>
        <v>56.499999999999993</v>
      </c>
      <c r="I317" s="193"/>
      <c r="J317" s="201"/>
      <c r="K317" s="151"/>
      <c r="L317" s="151"/>
    </row>
    <row r="318" spans="1:14" s="134" customFormat="1" x14ac:dyDescent="0.3">
      <c r="A318" s="150"/>
      <c r="B318" s="182"/>
      <c r="C318" s="182" t="s">
        <v>1489</v>
      </c>
      <c r="D318" s="191"/>
      <c r="E318" s="191"/>
      <c r="F318" s="192"/>
      <c r="G318" s="191"/>
      <c r="H318" s="191"/>
      <c r="I318" s="191">
        <v>137.29</v>
      </c>
      <c r="J318" s="200">
        <v>137.29</v>
      </c>
      <c r="K318" s="151"/>
      <c r="L318" s="151"/>
    </row>
    <row r="319" spans="1:14" s="83" customFormat="1" x14ac:dyDescent="0.3">
      <c r="A319" s="164"/>
      <c r="B319" s="103"/>
      <c r="C319" s="103" t="s">
        <v>411</v>
      </c>
      <c r="D319" s="193"/>
      <c r="E319" s="193"/>
      <c r="F319" s="194"/>
      <c r="G319" s="193"/>
      <c r="H319" s="193"/>
      <c r="I319" s="193">
        <v>1</v>
      </c>
      <c r="J319" s="201"/>
      <c r="K319" s="151"/>
      <c r="L319" s="151"/>
      <c r="M319" s="134"/>
      <c r="N319" s="134"/>
    </row>
    <row r="320" spans="1:14" s="4" customFormat="1" x14ac:dyDescent="0.3">
      <c r="A320" s="155"/>
      <c r="B320" s="44" t="s">
        <v>1490</v>
      </c>
      <c r="C320" s="38"/>
      <c r="D320" s="69"/>
      <c r="E320" s="179"/>
      <c r="F320" s="184"/>
      <c r="G320" s="179"/>
      <c r="H320" s="179">
        <f>SUM(H284:H319)</f>
        <v>7025.2099999999991</v>
      </c>
      <c r="I320" s="179">
        <f>SUM(I284:I319)</f>
        <v>394.90999999999997</v>
      </c>
      <c r="J320" s="180">
        <f>SUM(J284:J319)</f>
        <v>529.51</v>
      </c>
      <c r="K320" s="151"/>
      <c r="L320" s="160"/>
      <c r="M320" s="151"/>
      <c r="N320" s="157"/>
    </row>
    <row r="321" spans="1:15" s="4" customFormat="1" x14ac:dyDescent="0.3">
      <c r="A321" s="155"/>
      <c r="B321" s="129"/>
      <c r="C321" s="251"/>
      <c r="D321" s="68"/>
      <c r="E321" s="196"/>
      <c r="F321" s="202"/>
      <c r="G321" s="196"/>
      <c r="H321" s="196"/>
      <c r="I321" s="196"/>
      <c r="J321" s="197"/>
      <c r="K321" s="151"/>
      <c r="L321" s="160"/>
      <c r="M321" s="151"/>
      <c r="N321" s="157"/>
    </row>
    <row r="322" spans="1:15" s="6" customFormat="1" x14ac:dyDescent="0.3">
      <c r="A322" s="150" t="s">
        <v>1112</v>
      </c>
      <c r="B322" s="129"/>
      <c r="C322" s="103"/>
      <c r="D322" s="70"/>
      <c r="E322" s="193"/>
      <c r="F322" s="194"/>
      <c r="G322" s="193"/>
      <c r="H322" s="193"/>
      <c r="I322" s="193"/>
      <c r="J322" s="201"/>
      <c r="K322" s="156"/>
      <c r="L322" s="124"/>
      <c r="M322" s="159"/>
      <c r="N322" s="123"/>
      <c r="O322" s="125"/>
    </row>
    <row r="323" spans="1:15" s="83" customFormat="1" x14ac:dyDescent="0.3">
      <c r="A323" s="155"/>
      <c r="B323" s="182" t="s">
        <v>1491</v>
      </c>
      <c r="C323" s="102" t="s">
        <v>1492</v>
      </c>
      <c r="D323" s="191" t="s">
        <v>1493</v>
      </c>
      <c r="E323" s="191">
        <v>200</v>
      </c>
      <c r="F323" s="192">
        <v>1</v>
      </c>
      <c r="G323" s="191">
        <f t="shared" ref="G323:G328" si="23">F323*E323</f>
        <v>200</v>
      </c>
      <c r="H323" s="191">
        <f t="shared" ref="H323:H328" si="24">G323*1.13</f>
        <v>225.99999999999997</v>
      </c>
      <c r="I323" s="191"/>
      <c r="J323" s="200"/>
      <c r="K323" s="151"/>
      <c r="L323" s="151"/>
      <c r="M323" s="134"/>
      <c r="N323" s="134"/>
      <c r="O323" s="134"/>
    </row>
    <row r="324" spans="1:15" s="83" customFormat="1" x14ac:dyDescent="0.3">
      <c r="A324" s="155"/>
      <c r="B324" s="103" t="s">
        <v>1494</v>
      </c>
      <c r="C324" s="104" t="s">
        <v>349</v>
      </c>
      <c r="D324" s="193" t="s">
        <v>1495</v>
      </c>
      <c r="E324" s="193">
        <v>100</v>
      </c>
      <c r="F324" s="194">
        <v>1</v>
      </c>
      <c r="G324" s="193">
        <f t="shared" si="23"/>
        <v>100</v>
      </c>
      <c r="H324" s="193">
        <f t="shared" si="24"/>
        <v>112.99999999999999</v>
      </c>
      <c r="I324" s="193"/>
      <c r="J324" s="201"/>
      <c r="K324" s="151"/>
      <c r="L324" s="151"/>
      <c r="M324" s="134"/>
      <c r="N324" s="134"/>
      <c r="O324" s="134"/>
    </row>
    <row r="325" spans="1:15" s="83" customFormat="1" x14ac:dyDescent="0.3">
      <c r="A325" s="155"/>
      <c r="B325" s="182" t="s">
        <v>1496</v>
      </c>
      <c r="C325" s="102" t="s">
        <v>965</v>
      </c>
      <c r="D325" s="191"/>
      <c r="E325" s="191">
        <v>350</v>
      </c>
      <c r="F325" s="192">
        <v>1</v>
      </c>
      <c r="G325" s="191">
        <f t="shared" si="23"/>
        <v>350</v>
      </c>
      <c r="H325" s="191">
        <f t="shared" si="24"/>
        <v>395.49999999999994</v>
      </c>
      <c r="I325" s="191">
        <f>28.31</f>
        <v>28.31</v>
      </c>
      <c r="J325" s="200">
        <f>28.31+52.5</f>
        <v>80.81</v>
      </c>
      <c r="K325" s="151"/>
      <c r="L325" s="151"/>
      <c r="M325" s="134"/>
      <c r="N325" s="134"/>
      <c r="O325" s="134"/>
    </row>
    <row r="326" spans="1:15" s="83" customFormat="1" x14ac:dyDescent="0.3">
      <c r="A326" s="155"/>
      <c r="B326" s="103" t="s">
        <v>1497</v>
      </c>
      <c r="C326" s="104" t="s">
        <v>1498</v>
      </c>
      <c r="D326" s="193"/>
      <c r="E326" s="193">
        <v>100</v>
      </c>
      <c r="F326" s="194">
        <v>1</v>
      </c>
      <c r="G326" s="193">
        <f t="shared" si="23"/>
        <v>100</v>
      </c>
      <c r="H326" s="193">
        <f t="shared" si="24"/>
        <v>112.99999999999999</v>
      </c>
      <c r="I326" s="193"/>
      <c r="J326" s="201"/>
      <c r="K326" s="151"/>
      <c r="L326" s="151"/>
      <c r="M326" s="134"/>
      <c r="N326" s="134"/>
      <c r="O326" s="134"/>
    </row>
    <row r="327" spans="1:15" s="83" customFormat="1" x14ac:dyDescent="0.3">
      <c r="A327" s="155"/>
      <c r="B327" s="182" t="s">
        <v>1499</v>
      </c>
      <c r="C327" s="102" t="s">
        <v>1500</v>
      </c>
      <c r="D327" s="191"/>
      <c r="E327" s="191">
        <v>600</v>
      </c>
      <c r="F327" s="192">
        <v>1</v>
      </c>
      <c r="G327" s="191">
        <f t="shared" si="23"/>
        <v>600</v>
      </c>
      <c r="H327" s="191">
        <f t="shared" si="24"/>
        <v>677.99999999999989</v>
      </c>
      <c r="I327" s="191">
        <v>169.16</v>
      </c>
      <c r="J327" s="233">
        <v>169.16</v>
      </c>
      <c r="K327" s="151"/>
      <c r="L327" s="151"/>
      <c r="M327" s="134"/>
      <c r="N327" s="134"/>
      <c r="O327" s="134"/>
    </row>
    <row r="328" spans="1:15" s="83" customFormat="1" x14ac:dyDescent="0.3">
      <c r="A328" s="155"/>
      <c r="B328" s="103" t="s">
        <v>1501</v>
      </c>
      <c r="C328" s="104" t="s">
        <v>1502</v>
      </c>
      <c r="D328" s="193"/>
      <c r="E328" s="193">
        <v>30</v>
      </c>
      <c r="F328" s="194">
        <v>1</v>
      </c>
      <c r="G328" s="193">
        <f t="shared" si="23"/>
        <v>30</v>
      </c>
      <c r="H328" s="193">
        <f t="shared" si="24"/>
        <v>33.9</v>
      </c>
      <c r="I328" s="193"/>
      <c r="J328" s="201"/>
      <c r="K328" s="151"/>
      <c r="L328" s="151"/>
      <c r="M328" s="134"/>
      <c r="N328" s="134"/>
      <c r="O328" s="134"/>
    </row>
    <row r="329" spans="1:15" s="4" customFormat="1" x14ac:dyDescent="0.3">
      <c r="A329" s="155"/>
      <c r="B329" s="182"/>
      <c r="C329" s="102" t="s">
        <v>1566</v>
      </c>
      <c r="D329" s="50"/>
      <c r="E329" s="191"/>
      <c r="F329" s="192"/>
      <c r="G329" s="191"/>
      <c r="H329" s="191"/>
      <c r="I329" s="191"/>
      <c r="J329" s="200">
        <f>35.32+25</f>
        <v>60.32</v>
      </c>
      <c r="K329" s="151"/>
      <c r="L329" s="160"/>
      <c r="M329" s="151"/>
      <c r="N329" s="157"/>
      <c r="O329" s="151"/>
    </row>
    <row r="330" spans="1:15" s="4" customFormat="1" x14ac:dyDescent="0.3">
      <c r="A330" s="155"/>
      <c r="B330" s="44" t="s">
        <v>1503</v>
      </c>
      <c r="C330" s="38"/>
      <c r="D330" s="69"/>
      <c r="E330" s="179"/>
      <c r="F330" s="184"/>
      <c r="G330" s="179"/>
      <c r="H330" s="179">
        <f>SUM(H323:H329)</f>
        <v>1559.3999999999999</v>
      </c>
      <c r="I330" s="179">
        <f>SUM(I323:I329)</f>
        <v>197.47</v>
      </c>
      <c r="J330" s="180">
        <f>SUM(J323:J329)</f>
        <v>310.29000000000002</v>
      </c>
      <c r="K330" s="151"/>
      <c r="L330" s="160"/>
      <c r="M330" s="151"/>
      <c r="N330" s="157"/>
      <c r="O330" s="151"/>
    </row>
    <row r="331" spans="1:15" s="4" customFormat="1" x14ac:dyDescent="0.3">
      <c r="A331" s="155"/>
      <c r="B331" s="129"/>
      <c r="C331" s="251"/>
      <c r="D331" s="68"/>
      <c r="E331" s="196"/>
      <c r="F331" s="202"/>
      <c r="G331" s="196"/>
      <c r="H331" s="196"/>
      <c r="I331" s="196"/>
      <c r="J331" s="197"/>
      <c r="K331" s="151"/>
      <c r="L331" s="160"/>
      <c r="M331" s="151"/>
      <c r="N331" s="157"/>
      <c r="O331" s="151"/>
    </row>
    <row r="332" spans="1:15" s="6" customFormat="1" x14ac:dyDescent="0.3">
      <c r="A332" s="150" t="s">
        <v>1116</v>
      </c>
      <c r="B332" s="129"/>
      <c r="C332" s="103"/>
      <c r="D332" s="70"/>
      <c r="E332" s="193"/>
      <c r="F332" s="194"/>
      <c r="G332" s="193"/>
      <c r="H332" s="193"/>
      <c r="I332" s="193"/>
      <c r="J332" s="201"/>
      <c r="K332" s="156"/>
      <c r="L332" s="124"/>
      <c r="M332" s="159"/>
      <c r="N332" s="123"/>
      <c r="O332" s="125"/>
    </row>
    <row r="333" spans="1:15" s="134" customFormat="1" x14ac:dyDescent="0.3">
      <c r="A333" s="164"/>
      <c r="B333" s="182" t="s">
        <v>1504</v>
      </c>
      <c r="C333" s="102" t="s">
        <v>1505</v>
      </c>
      <c r="D333" s="191" t="s">
        <v>1506</v>
      </c>
      <c r="E333" s="191">
        <v>0</v>
      </c>
      <c r="F333" s="192">
        <v>0</v>
      </c>
      <c r="G333" s="191">
        <f>F333*E333</f>
        <v>0</v>
      </c>
      <c r="H333" s="191">
        <f t="shared" ref="H333:H349" si="25">G333*1.13</f>
        <v>0</v>
      </c>
      <c r="I333" s="191"/>
      <c r="J333" s="200"/>
      <c r="K333" s="151"/>
      <c r="L333" s="151"/>
    </row>
    <row r="334" spans="1:15" s="134" customFormat="1" x14ac:dyDescent="0.3">
      <c r="A334" s="155"/>
      <c r="B334" s="103" t="s">
        <v>1507</v>
      </c>
      <c r="C334" s="104" t="s">
        <v>1508</v>
      </c>
      <c r="D334" s="193" t="s">
        <v>1509</v>
      </c>
      <c r="E334" s="193">
        <v>150</v>
      </c>
      <c r="F334" s="194">
        <v>1</v>
      </c>
      <c r="G334" s="193">
        <f t="shared" ref="G334:G349" si="26">F334*E334</f>
        <v>150</v>
      </c>
      <c r="H334" s="193">
        <f t="shared" si="25"/>
        <v>169.49999999999997</v>
      </c>
      <c r="I334" s="193"/>
      <c r="J334" s="201"/>
      <c r="K334" s="151"/>
      <c r="L334" s="151"/>
    </row>
    <row r="335" spans="1:15" s="134" customFormat="1" x14ac:dyDescent="0.3">
      <c r="A335" s="155"/>
      <c r="B335" s="182" t="s">
        <v>1510</v>
      </c>
      <c r="C335" s="182" t="s">
        <v>1511</v>
      </c>
      <c r="D335" s="191" t="s">
        <v>1512</v>
      </c>
      <c r="E335" s="191">
        <v>35</v>
      </c>
      <c r="F335" s="192">
        <v>1</v>
      </c>
      <c r="G335" s="191">
        <f t="shared" si="26"/>
        <v>35</v>
      </c>
      <c r="H335" s="191">
        <f t="shared" si="25"/>
        <v>39.549999999999997</v>
      </c>
      <c r="I335" s="191"/>
      <c r="J335" s="200"/>
      <c r="K335" s="151"/>
      <c r="L335" s="151"/>
    </row>
    <row r="336" spans="1:15" s="134" customFormat="1" x14ac:dyDescent="0.3">
      <c r="A336" s="155"/>
      <c r="B336" s="103" t="s">
        <v>1513</v>
      </c>
      <c r="C336" s="103" t="s">
        <v>829</v>
      </c>
      <c r="D336" s="193" t="s">
        <v>1514</v>
      </c>
      <c r="E336" s="193">
        <v>7</v>
      </c>
      <c r="F336" s="194">
        <v>12</v>
      </c>
      <c r="G336" s="193">
        <f t="shared" si="26"/>
        <v>84</v>
      </c>
      <c r="H336" s="193">
        <f t="shared" si="25"/>
        <v>94.919999999999987</v>
      </c>
      <c r="I336" s="193"/>
      <c r="J336" s="201"/>
      <c r="K336" s="151"/>
      <c r="L336" s="151"/>
    </row>
    <row r="337" spans="1:14" s="134" customFormat="1" x14ac:dyDescent="0.3">
      <c r="A337" s="155"/>
      <c r="B337" s="182" t="s">
        <v>1515</v>
      </c>
      <c r="C337" s="182" t="s">
        <v>1516</v>
      </c>
      <c r="D337" s="191"/>
      <c r="E337" s="191">
        <v>200</v>
      </c>
      <c r="F337" s="192">
        <v>1</v>
      </c>
      <c r="G337" s="191">
        <f t="shared" si="26"/>
        <v>200</v>
      </c>
      <c r="H337" s="191">
        <f t="shared" si="25"/>
        <v>225.99999999999997</v>
      </c>
      <c r="I337" s="191"/>
      <c r="J337" s="200"/>
      <c r="K337" s="151"/>
      <c r="L337" s="151"/>
    </row>
    <row r="338" spans="1:14" s="134" customFormat="1" x14ac:dyDescent="0.3">
      <c r="A338" s="155"/>
      <c r="B338" s="103" t="s">
        <v>1517</v>
      </c>
      <c r="C338" s="104" t="s">
        <v>1518</v>
      </c>
      <c r="D338" s="193" t="s">
        <v>1519</v>
      </c>
      <c r="E338" s="193">
        <v>8</v>
      </c>
      <c r="F338" s="194">
        <v>4</v>
      </c>
      <c r="G338" s="193">
        <f t="shared" si="26"/>
        <v>32</v>
      </c>
      <c r="H338" s="193">
        <f t="shared" si="25"/>
        <v>36.159999999999997</v>
      </c>
      <c r="I338" s="193"/>
      <c r="J338" s="201"/>
      <c r="K338" s="151"/>
      <c r="L338" s="151"/>
    </row>
    <row r="339" spans="1:14" s="134" customFormat="1" x14ac:dyDescent="0.3">
      <c r="A339" s="155" t="s">
        <v>54</v>
      </c>
      <c r="B339" s="182" t="s">
        <v>1520</v>
      </c>
      <c r="C339" s="182" t="s">
        <v>1521</v>
      </c>
      <c r="D339" s="191" t="s">
        <v>1522</v>
      </c>
      <c r="E339" s="191">
        <v>2.2999999999999998</v>
      </c>
      <c r="F339" s="192">
        <v>3</v>
      </c>
      <c r="G339" s="191">
        <f t="shared" si="26"/>
        <v>6.8999999999999995</v>
      </c>
      <c r="H339" s="191">
        <f t="shared" si="25"/>
        <v>7.7969999999999988</v>
      </c>
      <c r="I339" s="191"/>
      <c r="J339" s="200"/>
      <c r="K339" s="151"/>
      <c r="L339" s="151"/>
    </row>
    <row r="340" spans="1:14" s="134" customFormat="1" x14ac:dyDescent="0.3">
      <c r="A340" s="155"/>
      <c r="B340" s="103" t="s">
        <v>1523</v>
      </c>
      <c r="C340" s="103" t="s">
        <v>1524</v>
      </c>
      <c r="D340" s="193" t="s">
        <v>1525</v>
      </c>
      <c r="E340" s="193">
        <v>20</v>
      </c>
      <c r="F340" s="194">
        <v>1</v>
      </c>
      <c r="G340" s="193">
        <f t="shared" si="26"/>
        <v>20</v>
      </c>
      <c r="H340" s="193">
        <f t="shared" si="25"/>
        <v>22.599999999999998</v>
      </c>
      <c r="I340" s="193"/>
      <c r="J340" s="201"/>
      <c r="K340" s="151"/>
      <c r="L340" s="151"/>
    </row>
    <row r="341" spans="1:14" s="134" customFormat="1" x14ac:dyDescent="0.3">
      <c r="A341" s="155"/>
      <c r="B341" s="182" t="s">
        <v>1526</v>
      </c>
      <c r="C341" s="182" t="s">
        <v>1527</v>
      </c>
      <c r="D341" s="191"/>
      <c r="E341" s="191">
        <v>3</v>
      </c>
      <c r="F341" s="192">
        <v>1</v>
      </c>
      <c r="G341" s="191">
        <f t="shared" si="26"/>
        <v>3</v>
      </c>
      <c r="H341" s="191">
        <f t="shared" si="25"/>
        <v>3.3899999999999997</v>
      </c>
      <c r="I341" s="191"/>
      <c r="J341" s="200"/>
      <c r="K341" s="151"/>
      <c r="L341" s="151"/>
    </row>
    <row r="342" spans="1:14" s="134" customFormat="1" x14ac:dyDescent="0.3">
      <c r="A342" s="150"/>
      <c r="B342" s="103" t="s">
        <v>1528</v>
      </c>
      <c r="C342" s="103" t="s">
        <v>1529</v>
      </c>
      <c r="D342" s="193"/>
      <c r="E342" s="193">
        <v>3</v>
      </c>
      <c r="F342" s="194">
        <v>1</v>
      </c>
      <c r="G342" s="193">
        <f t="shared" si="26"/>
        <v>3</v>
      </c>
      <c r="H342" s="193">
        <f t="shared" si="25"/>
        <v>3.3899999999999997</v>
      </c>
      <c r="I342" s="193"/>
      <c r="J342" s="201"/>
      <c r="K342" s="151"/>
      <c r="L342" s="151"/>
    </row>
    <row r="343" spans="1:14" s="134" customFormat="1" x14ac:dyDescent="0.3">
      <c r="A343" s="150"/>
      <c r="B343" s="182" t="s">
        <v>1530</v>
      </c>
      <c r="C343" s="182" t="s">
        <v>1531</v>
      </c>
      <c r="D343" s="191"/>
      <c r="E343" s="191">
        <v>3</v>
      </c>
      <c r="F343" s="192">
        <v>1</v>
      </c>
      <c r="G343" s="191">
        <f t="shared" si="26"/>
        <v>3</v>
      </c>
      <c r="H343" s="191">
        <f t="shared" si="25"/>
        <v>3.3899999999999997</v>
      </c>
      <c r="I343" s="191"/>
      <c r="J343" s="200"/>
      <c r="K343" s="151"/>
      <c r="L343" s="151"/>
    </row>
    <row r="344" spans="1:14" s="134" customFormat="1" x14ac:dyDescent="0.3">
      <c r="A344" s="150"/>
      <c r="B344" s="103" t="s">
        <v>1532</v>
      </c>
      <c r="C344" s="103" t="s">
        <v>1533</v>
      </c>
      <c r="D344" s="193" t="s">
        <v>1534</v>
      </c>
      <c r="E344" s="193">
        <v>16</v>
      </c>
      <c r="F344" s="194">
        <v>30</v>
      </c>
      <c r="G344" s="193">
        <f t="shared" si="26"/>
        <v>480</v>
      </c>
      <c r="H344" s="193">
        <f t="shared" si="25"/>
        <v>542.4</v>
      </c>
      <c r="I344" s="193"/>
      <c r="J344" s="201"/>
      <c r="K344" s="151"/>
      <c r="L344" s="151"/>
    </row>
    <row r="345" spans="1:14" s="134" customFormat="1" x14ac:dyDescent="0.3">
      <c r="A345" s="150"/>
      <c r="B345" s="182" t="s">
        <v>1535</v>
      </c>
      <c r="C345" s="182" t="s">
        <v>1415</v>
      </c>
      <c r="D345" s="191" t="s">
        <v>1536</v>
      </c>
      <c r="E345" s="191">
        <v>5</v>
      </c>
      <c r="F345" s="192">
        <v>1</v>
      </c>
      <c r="G345" s="191">
        <f t="shared" si="26"/>
        <v>5</v>
      </c>
      <c r="H345" s="191">
        <f t="shared" si="25"/>
        <v>5.6499999999999995</v>
      </c>
      <c r="I345" s="191"/>
      <c r="J345" s="200"/>
      <c r="K345" s="151"/>
      <c r="L345" s="151"/>
    </row>
    <row r="346" spans="1:14" s="134" customFormat="1" x14ac:dyDescent="0.3">
      <c r="A346" s="150"/>
      <c r="B346" s="103" t="s">
        <v>1537</v>
      </c>
      <c r="C346" s="103" t="s">
        <v>1538</v>
      </c>
      <c r="D346" s="193" t="s">
        <v>1539</v>
      </c>
      <c r="E346" s="193">
        <v>16</v>
      </c>
      <c r="F346" s="194">
        <v>1</v>
      </c>
      <c r="G346" s="193">
        <f t="shared" si="26"/>
        <v>16</v>
      </c>
      <c r="H346" s="193">
        <f t="shared" si="25"/>
        <v>18.079999999999998</v>
      </c>
      <c r="I346" s="193"/>
      <c r="J346" s="201"/>
      <c r="K346" s="151"/>
      <c r="L346" s="151"/>
    </row>
    <row r="347" spans="1:14" s="134" customFormat="1" x14ac:dyDescent="0.3">
      <c r="A347" s="150"/>
      <c r="B347" s="182" t="s">
        <v>1540</v>
      </c>
      <c r="C347" s="182" t="s">
        <v>1541</v>
      </c>
      <c r="D347" s="191"/>
      <c r="E347" s="191">
        <v>25</v>
      </c>
      <c r="F347" s="192">
        <v>1</v>
      </c>
      <c r="G347" s="191">
        <f t="shared" si="26"/>
        <v>25</v>
      </c>
      <c r="H347" s="191">
        <f t="shared" si="25"/>
        <v>28.249999999999996</v>
      </c>
      <c r="I347" s="191"/>
      <c r="J347" s="200"/>
      <c r="K347" s="151"/>
      <c r="L347" s="151"/>
    </row>
    <row r="348" spans="1:14" s="134" customFormat="1" x14ac:dyDescent="0.3">
      <c r="A348" s="150"/>
      <c r="B348" s="103" t="s">
        <v>1542</v>
      </c>
      <c r="C348" s="103" t="s">
        <v>1118</v>
      </c>
      <c r="D348" s="193" t="s">
        <v>1543</v>
      </c>
      <c r="E348" s="193">
        <v>18.23</v>
      </c>
      <c r="F348" s="194">
        <v>80</v>
      </c>
      <c r="G348" s="193">
        <f t="shared" si="26"/>
        <v>1458.4</v>
      </c>
      <c r="H348" s="193">
        <f t="shared" si="25"/>
        <v>1647.992</v>
      </c>
      <c r="I348" s="193">
        <v>587.6</v>
      </c>
      <c r="J348" s="201">
        <v>587.6</v>
      </c>
      <c r="K348" s="151"/>
      <c r="L348" s="151"/>
    </row>
    <row r="349" spans="1:14" s="83" customFormat="1" x14ac:dyDescent="0.3">
      <c r="A349" s="150"/>
      <c r="B349" s="182" t="s">
        <v>1544</v>
      </c>
      <c r="C349" s="182" t="s">
        <v>1120</v>
      </c>
      <c r="D349" s="191" t="s">
        <v>1545</v>
      </c>
      <c r="E349" s="191">
        <v>10.38</v>
      </c>
      <c r="F349" s="192">
        <v>80</v>
      </c>
      <c r="G349" s="191">
        <f t="shared" si="26"/>
        <v>830.40000000000009</v>
      </c>
      <c r="H349" s="191">
        <f t="shared" si="25"/>
        <v>938.35199999999998</v>
      </c>
      <c r="I349" s="191">
        <v>909.65</v>
      </c>
      <c r="J349" s="200">
        <v>909.65</v>
      </c>
      <c r="K349" s="151"/>
      <c r="L349" s="151"/>
      <c r="M349" s="134"/>
      <c r="N349" s="134"/>
    </row>
    <row r="350" spans="1:14" s="134" customFormat="1" x14ac:dyDescent="0.3">
      <c r="A350" s="150"/>
      <c r="B350" s="103" t="s">
        <v>1546</v>
      </c>
      <c r="C350" s="103" t="s">
        <v>675</v>
      </c>
      <c r="D350" s="193" t="s">
        <v>1547</v>
      </c>
      <c r="E350" s="193">
        <f>H99-SUM(H333:H349)</f>
        <v>906.57900000000063</v>
      </c>
      <c r="F350" s="194">
        <v>1</v>
      </c>
      <c r="G350" s="193">
        <f>F350*E350</f>
        <v>906.57900000000063</v>
      </c>
      <c r="H350" s="193">
        <f>G350</f>
        <v>906.57900000000063</v>
      </c>
      <c r="I350" s="193"/>
      <c r="J350" s="201"/>
      <c r="K350" s="151"/>
      <c r="L350" s="151"/>
    </row>
    <row r="351" spans="1:14" s="76" customFormat="1" x14ac:dyDescent="0.3">
      <c r="A351" s="155"/>
      <c r="B351" s="182"/>
      <c r="C351" s="102" t="s">
        <v>1566</v>
      </c>
      <c r="D351" s="50" t="s">
        <v>965</v>
      </c>
      <c r="E351" s="191"/>
      <c r="F351" s="192"/>
      <c r="G351" s="191"/>
      <c r="H351" s="191"/>
      <c r="I351" s="191"/>
      <c r="J351" s="200">
        <v>150</v>
      </c>
      <c r="K351" s="151"/>
      <c r="L351" s="160"/>
      <c r="M351" s="151"/>
      <c r="N351" s="157"/>
    </row>
    <row r="352" spans="1:14" s="4" customFormat="1" x14ac:dyDescent="0.3">
      <c r="A352" s="155"/>
      <c r="B352" s="158" t="s">
        <v>1548</v>
      </c>
      <c r="C352" s="38"/>
      <c r="D352" s="69"/>
      <c r="E352" s="179"/>
      <c r="F352" s="184"/>
      <c r="G352" s="179"/>
      <c r="H352" s="179">
        <f>SUM(H334:H350)</f>
        <v>4694</v>
      </c>
      <c r="I352" s="179">
        <f>SUM(I334:I349)</f>
        <v>1497.25</v>
      </c>
      <c r="J352" s="180">
        <f>SUM(J334:J351)</f>
        <v>1647.25</v>
      </c>
      <c r="K352" s="151"/>
      <c r="L352" s="160"/>
      <c r="M352" s="151"/>
      <c r="N352" s="157"/>
    </row>
    <row r="353" spans="1:15" s="4" customFormat="1" x14ac:dyDescent="0.3">
      <c r="A353" s="155"/>
      <c r="B353" s="159"/>
      <c r="C353" s="251"/>
      <c r="D353" s="68"/>
      <c r="E353" s="196"/>
      <c r="F353" s="202"/>
      <c r="G353" s="196"/>
      <c r="H353" s="196"/>
      <c r="I353" s="196"/>
      <c r="J353" s="197"/>
      <c r="K353" s="151"/>
      <c r="L353" s="160"/>
      <c r="M353" s="151"/>
      <c r="N353" s="157"/>
    </row>
    <row r="354" spans="1:15" s="9" customFormat="1" ht="18.75" x14ac:dyDescent="0.35">
      <c r="A354" s="165"/>
      <c r="B354" s="166"/>
      <c r="C354" s="37" t="s">
        <v>98</v>
      </c>
      <c r="D354" s="65"/>
      <c r="E354" s="203"/>
      <c r="F354" s="204"/>
      <c r="G354" s="203"/>
      <c r="H354" s="203">
        <f>H352+H330+H320+H280+H258+H209+H196+H190+H179+H160+H152</f>
        <v>50054.532299999992</v>
      </c>
      <c r="I354" s="203">
        <f>I352+I330+I320+I280+I258+I209+I196+I190+I179+I160+I152</f>
        <v>11603.77</v>
      </c>
      <c r="J354" s="205">
        <f>J352+J330+J320+J280+J258+J209+J196+J190+J179+J160+J152</f>
        <v>13584.030000000002</v>
      </c>
      <c r="K354" s="130"/>
      <c r="L354" s="131"/>
      <c r="M354" s="130"/>
      <c r="N354" s="130"/>
      <c r="O354" s="132"/>
    </row>
    <row r="355" spans="1:15" s="9" customFormat="1" ht="18.75" x14ac:dyDescent="0.35">
      <c r="A355" s="165"/>
      <c r="B355" s="166"/>
      <c r="C355" s="37"/>
      <c r="D355" s="65"/>
      <c r="E355" s="203"/>
      <c r="F355" s="204"/>
      <c r="G355" s="203"/>
      <c r="H355" s="203"/>
      <c r="I355" s="203"/>
      <c r="J355" s="205"/>
      <c r="K355" s="130"/>
      <c r="L355" s="131"/>
      <c r="M355" s="130"/>
      <c r="N355" s="130"/>
      <c r="O355" s="132"/>
    </row>
    <row r="356" spans="1:15" s="11" customFormat="1" ht="20.25" x14ac:dyDescent="0.35">
      <c r="A356" s="260" t="s">
        <v>99</v>
      </c>
      <c r="B356" s="261"/>
      <c r="C356" s="254"/>
      <c r="D356" s="64"/>
      <c r="E356" s="167"/>
      <c r="F356" s="190"/>
      <c r="G356" s="167"/>
      <c r="H356" s="167"/>
      <c r="I356" s="167"/>
      <c r="J356" s="168"/>
      <c r="K356" s="136"/>
      <c r="L356" s="136"/>
      <c r="M356" s="133"/>
      <c r="N356" s="133"/>
      <c r="O356" s="133"/>
    </row>
    <row r="357" spans="1:15" s="13" customFormat="1" ht="20.25" x14ac:dyDescent="0.35">
      <c r="A357" s="175"/>
      <c r="B357" s="169" t="s">
        <v>100</v>
      </c>
      <c r="C357" s="214"/>
      <c r="D357" s="63"/>
      <c r="E357" s="206"/>
      <c r="F357" s="206"/>
      <c r="G357" s="206"/>
      <c r="H357" s="206">
        <f>H101</f>
        <v>49487.418299999998</v>
      </c>
      <c r="I357" s="206">
        <f>I101</f>
        <v>14795.34</v>
      </c>
      <c r="J357" s="118">
        <f>J101</f>
        <v>15015.59</v>
      </c>
      <c r="K357" s="170"/>
      <c r="L357" s="170"/>
      <c r="M357" s="170"/>
      <c r="N357" s="170"/>
      <c r="O357" s="170"/>
    </row>
    <row r="358" spans="1:15" s="13" customFormat="1" ht="20.25" x14ac:dyDescent="0.35">
      <c r="A358" s="175"/>
      <c r="B358" s="170" t="s">
        <v>101</v>
      </c>
      <c r="C358" s="136"/>
      <c r="D358" s="62"/>
      <c r="E358" s="207"/>
      <c r="F358" s="207"/>
      <c r="G358" s="207"/>
      <c r="H358" s="207">
        <f>H354</f>
        <v>50054.532299999992</v>
      </c>
      <c r="I358" s="207">
        <f>I354</f>
        <v>11603.77</v>
      </c>
      <c r="J358" s="119">
        <f>J354</f>
        <v>13584.030000000002</v>
      </c>
      <c r="K358" s="170"/>
      <c r="L358" s="170"/>
      <c r="M358" s="170"/>
      <c r="N358" s="170"/>
      <c r="O358" s="170"/>
    </row>
    <row r="359" spans="1:15" s="13" customFormat="1" ht="20.25" x14ac:dyDescent="0.35">
      <c r="A359" s="208"/>
      <c r="B359" s="171" t="s">
        <v>102</v>
      </c>
      <c r="C359" s="215"/>
      <c r="D359" s="61"/>
      <c r="E359" s="209"/>
      <c r="F359" s="209"/>
      <c r="G359" s="209"/>
      <c r="H359" s="209">
        <f>H357-H358</f>
        <v>-567.11399999999412</v>
      </c>
      <c r="I359" s="209">
        <f>I357-I358</f>
        <v>3191.5699999999997</v>
      </c>
      <c r="J359" s="120">
        <f>J357-J358</f>
        <v>1431.5599999999977</v>
      </c>
      <c r="K359" s="170"/>
      <c r="L359" s="170"/>
      <c r="M359" s="170"/>
      <c r="N359" s="170"/>
      <c r="O359" s="170"/>
    </row>
    <row r="360" spans="1:15" s="4" customFormat="1" x14ac:dyDescent="0.3">
      <c r="A360" s="134"/>
      <c r="B360" s="134"/>
      <c r="C360" s="42"/>
      <c r="D360" s="60"/>
      <c r="E360" s="152"/>
      <c r="F360" s="188"/>
      <c r="G360" s="152"/>
      <c r="H360" s="152"/>
      <c r="I360" s="152"/>
      <c r="J360" s="152"/>
      <c r="K360" s="151"/>
      <c r="L360" s="151"/>
      <c r="M360" s="151"/>
      <c r="N360" s="151"/>
      <c r="O360" s="151"/>
    </row>
  </sheetData>
  <mergeCells count="6">
    <mergeCell ref="A103:C103"/>
    <mergeCell ref="A1:C4"/>
    <mergeCell ref="D1:J4"/>
    <mergeCell ref="A5:C5"/>
    <mergeCell ref="D5:E5"/>
    <mergeCell ref="A8:C8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0"/>
  <sheetViews>
    <sheetView zoomScale="75" zoomScaleNormal="75" zoomScalePageLayoutView="70" workbookViewId="0">
      <selection activeCell="B47" sqref="B47"/>
    </sheetView>
  </sheetViews>
  <sheetFormatPr defaultColWidth="8.85546875" defaultRowHeight="17.25" x14ac:dyDescent="0.3"/>
  <cols>
    <col min="1" max="1" width="17.28515625" style="16" customWidth="1"/>
    <col min="2" max="2" width="13.85546875" style="249" customWidth="1"/>
    <col min="3" max="3" width="56.85546875" style="41" bestFit="1" customWidth="1"/>
    <col min="4" max="4" width="63.140625" style="43" customWidth="1"/>
    <col min="5" max="5" width="12.42578125" style="23" bestFit="1" customWidth="1"/>
    <col min="6" max="6" width="10.85546875" style="24" bestFit="1" customWidth="1"/>
    <col min="7" max="7" width="13.85546875" style="23" bestFit="1" customWidth="1"/>
    <col min="8" max="8" width="17" style="23" bestFit="1" customWidth="1"/>
    <col min="9" max="9" width="22.42578125" style="23" customWidth="1"/>
    <col min="10" max="10" width="23" style="23" customWidth="1"/>
    <col min="11" max="11" width="12" style="4" customWidth="1"/>
    <col min="12" max="12" width="11.28515625" style="4" customWidth="1"/>
    <col min="13" max="13" width="9.85546875" style="15" bestFit="1" customWidth="1"/>
    <col min="14" max="14" width="10.140625" style="15" bestFit="1" customWidth="1"/>
    <col min="15" max="15" width="14.28515625" style="15" customWidth="1"/>
    <col min="16" max="16384" width="8.85546875" style="15"/>
  </cols>
  <sheetData>
    <row r="1" spans="1:14" s="1" customFormat="1" ht="38.25" x14ac:dyDescent="0.3">
      <c r="A1" s="34"/>
      <c r="B1" s="238"/>
      <c r="C1" s="31"/>
      <c r="D1" s="262" t="s">
        <v>103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</row>
    <row r="2" spans="1:14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</row>
    <row r="3" spans="1:14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</row>
    <row r="4" spans="1:14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</row>
    <row r="5" spans="1:14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</row>
    <row r="6" spans="1:14" s="21" customFormat="1" x14ac:dyDescent="0.3">
      <c r="A6" s="172"/>
      <c r="B6" s="239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</row>
    <row r="7" spans="1:14" s="1" customFormat="1" x14ac:dyDescent="0.3">
      <c r="A7" s="144"/>
      <c r="B7" s="240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</row>
    <row r="8" spans="1:14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</row>
    <row r="9" spans="1:14" s="4" customFormat="1" x14ac:dyDescent="0.3">
      <c r="A9" s="150" t="s">
        <v>6</v>
      </c>
      <c r="B9" s="241"/>
      <c r="C9" s="103"/>
      <c r="D9" s="193"/>
      <c r="E9" s="193"/>
      <c r="F9" s="194"/>
      <c r="G9" s="193"/>
      <c r="H9" s="193"/>
      <c r="I9" s="193"/>
      <c r="J9" s="201"/>
      <c r="K9" s="151"/>
      <c r="L9" s="151"/>
      <c r="M9" s="151"/>
      <c r="N9" s="151"/>
    </row>
    <row r="10" spans="1:14" s="4" customFormat="1" x14ac:dyDescent="0.3">
      <c r="A10" s="150" t="s">
        <v>61</v>
      </c>
      <c r="B10" s="241"/>
      <c r="C10" s="103"/>
      <c r="D10" s="193"/>
      <c r="E10" s="193"/>
      <c r="F10" s="194"/>
      <c r="G10" s="193"/>
      <c r="H10" s="193"/>
      <c r="I10" s="193"/>
      <c r="J10" s="201"/>
      <c r="K10" s="151"/>
      <c r="L10" s="151"/>
      <c r="M10" s="151"/>
      <c r="N10" s="151"/>
    </row>
    <row r="11" spans="1:14" s="4" customFormat="1" x14ac:dyDescent="0.3">
      <c r="A11" s="150"/>
      <c r="B11" s="182" t="s">
        <v>113</v>
      </c>
      <c r="C11" s="182" t="s">
        <v>114</v>
      </c>
      <c r="D11" s="191" t="s">
        <v>115</v>
      </c>
      <c r="E11" s="191">
        <v>150</v>
      </c>
      <c r="F11" s="192">
        <v>18</v>
      </c>
      <c r="G11" s="191">
        <f>E11*F11</f>
        <v>2700</v>
      </c>
      <c r="H11" s="191">
        <f>G11*1</f>
        <v>2700</v>
      </c>
      <c r="I11" s="191"/>
      <c r="J11" s="200">
        <v>941.05</v>
      </c>
      <c r="K11" s="151"/>
      <c r="L11" s="124"/>
      <c r="M11" s="151"/>
      <c r="N11" s="151"/>
    </row>
    <row r="12" spans="1:14" s="4" customFormat="1" x14ac:dyDescent="0.3">
      <c r="A12" s="150" t="s">
        <v>116</v>
      </c>
      <c r="B12" s="103"/>
      <c r="C12" s="104"/>
      <c r="D12" s="193"/>
      <c r="E12" s="193"/>
      <c r="F12" s="194"/>
      <c r="G12" s="193"/>
      <c r="H12" s="193"/>
      <c r="I12" s="193"/>
      <c r="J12" s="201"/>
      <c r="K12" s="151"/>
      <c r="L12" s="151"/>
      <c r="M12" s="151"/>
      <c r="N12" s="157"/>
    </row>
    <row r="13" spans="1:14" s="4" customFormat="1" x14ac:dyDescent="0.3">
      <c r="A13" s="150"/>
      <c r="B13" s="182" t="s">
        <v>117</v>
      </c>
      <c r="C13" s="102" t="s">
        <v>118</v>
      </c>
      <c r="D13" s="191" t="s">
        <v>119</v>
      </c>
      <c r="E13" s="191">
        <v>0.05</v>
      </c>
      <c r="F13" s="192">
        <v>10000</v>
      </c>
      <c r="G13" s="191">
        <f>E13*F13</f>
        <v>500</v>
      </c>
      <c r="H13" s="191">
        <f>G13*1</f>
        <v>500</v>
      </c>
      <c r="I13" s="191">
        <f>68.28+43.9+107+40+60+40+86.11+11.25+13.75+73.6+19.15+77.95+13.55+32.85+47+3.8+85+9.2+5.8+4.1+42.75+30+127+54.25+55+9.44+68.25+6+5.5+13.85+121.1+9.35+6.05+10.8+55.15+24.75+116.35+92.55+18.1+77.25+50+70.35+81.1+109.05+124.7</f>
        <v>2220.9799999999991</v>
      </c>
      <c r="J13" s="200">
        <v>3302.98</v>
      </c>
      <c r="K13" s="151"/>
      <c r="L13" s="151"/>
      <c r="M13" s="151"/>
      <c r="N13" s="157"/>
    </row>
    <row r="14" spans="1:14" s="4" customFormat="1" x14ac:dyDescent="0.3">
      <c r="A14" s="150"/>
      <c r="B14" s="103" t="s">
        <v>120</v>
      </c>
      <c r="C14" s="104" t="s">
        <v>121</v>
      </c>
      <c r="D14" s="193" t="s">
        <v>119</v>
      </c>
      <c r="E14" s="193">
        <v>0.25</v>
      </c>
      <c r="F14" s="194">
        <v>1000</v>
      </c>
      <c r="G14" s="193">
        <f>E14*F14</f>
        <v>250</v>
      </c>
      <c r="H14" s="193">
        <f>G14*1</f>
        <v>250</v>
      </c>
      <c r="I14" s="193"/>
      <c r="J14" s="201"/>
      <c r="K14" s="151"/>
      <c r="L14" s="151"/>
      <c r="M14" s="151"/>
      <c r="N14" s="157"/>
    </row>
    <row r="15" spans="1:14" s="4" customFormat="1" x14ac:dyDescent="0.3">
      <c r="A15" s="150"/>
      <c r="B15" s="182"/>
      <c r="C15" s="102"/>
      <c r="D15" s="191" t="s">
        <v>54</v>
      </c>
      <c r="E15" s="191"/>
      <c r="F15" s="192"/>
      <c r="G15" s="191"/>
      <c r="H15" s="191"/>
      <c r="I15" s="191"/>
      <c r="J15" s="200"/>
      <c r="K15" s="151"/>
      <c r="L15" s="151"/>
      <c r="M15" s="151"/>
      <c r="N15" s="157"/>
    </row>
    <row r="16" spans="1:14" s="4" customFormat="1" x14ac:dyDescent="0.3">
      <c r="A16" s="150" t="s">
        <v>9</v>
      </c>
      <c r="B16" s="103"/>
      <c r="C16" s="104"/>
      <c r="D16" s="193"/>
      <c r="E16" s="193"/>
      <c r="F16" s="194"/>
      <c r="G16" s="193"/>
      <c r="H16" s="193"/>
      <c r="I16" s="193"/>
      <c r="J16" s="201"/>
      <c r="K16" s="151"/>
      <c r="L16" s="151"/>
      <c r="M16" s="151"/>
      <c r="N16" s="157"/>
    </row>
    <row r="17" spans="1:14" s="4" customFormat="1" x14ac:dyDescent="0.3">
      <c r="A17" s="150"/>
      <c r="B17" s="182" t="s">
        <v>122</v>
      </c>
      <c r="C17" s="102" t="s">
        <v>123</v>
      </c>
      <c r="D17" s="191" t="s">
        <v>124</v>
      </c>
      <c r="E17" s="191">
        <v>20</v>
      </c>
      <c r="F17" s="192">
        <v>12</v>
      </c>
      <c r="G17" s="191">
        <f>E17*F17</f>
        <v>240</v>
      </c>
      <c r="H17" s="191">
        <f>G17*1</f>
        <v>240</v>
      </c>
      <c r="I17" s="191">
        <f>121.75+84.7+35.75+12+16.5+49.8+0.9</f>
        <v>321.39999999999998</v>
      </c>
      <c r="J17" s="200">
        <v>321.39999999999998</v>
      </c>
      <c r="K17" s="151"/>
      <c r="L17" s="151"/>
      <c r="M17" s="151"/>
      <c r="N17" s="157"/>
    </row>
    <row r="18" spans="1:14" s="4" customFormat="1" x14ac:dyDescent="0.3">
      <c r="A18" s="150" t="s">
        <v>10</v>
      </c>
      <c r="B18" s="103"/>
      <c r="C18" s="104"/>
      <c r="D18" s="193" t="s">
        <v>54</v>
      </c>
      <c r="E18" s="193"/>
      <c r="F18" s="194"/>
      <c r="G18" s="193"/>
      <c r="H18" s="193"/>
      <c r="I18" s="193"/>
      <c r="J18" s="201"/>
      <c r="K18" s="151"/>
      <c r="L18" s="151"/>
      <c r="M18" s="151"/>
      <c r="N18" s="157"/>
    </row>
    <row r="19" spans="1:14" s="4" customFormat="1" x14ac:dyDescent="0.3">
      <c r="A19" s="150"/>
      <c r="B19" s="182" t="s">
        <v>125</v>
      </c>
      <c r="C19" s="102" t="s">
        <v>126</v>
      </c>
      <c r="D19" s="191" t="s">
        <v>127</v>
      </c>
      <c r="E19" s="191">
        <v>3078.47</v>
      </c>
      <c r="F19" s="192">
        <v>12</v>
      </c>
      <c r="G19" s="191">
        <f>E19*F19</f>
        <v>36941.64</v>
      </c>
      <c r="H19" s="191">
        <f>G19*1</f>
        <v>36941.64</v>
      </c>
      <c r="I19" s="191">
        <f>3078.47*7</f>
        <v>21549.289999999997</v>
      </c>
      <c r="J19" s="200">
        <v>37036.769999999997</v>
      </c>
      <c r="K19" s="151"/>
      <c r="L19" s="151"/>
      <c r="M19" s="151"/>
      <c r="N19" s="157"/>
    </row>
    <row r="20" spans="1:14" s="4" customFormat="1" x14ac:dyDescent="0.3">
      <c r="A20" s="150" t="s">
        <v>11</v>
      </c>
      <c r="B20" s="103"/>
      <c r="C20" s="104"/>
      <c r="D20" s="193"/>
      <c r="E20" s="193"/>
      <c r="F20" s="194"/>
      <c r="G20" s="193"/>
      <c r="H20" s="193"/>
      <c r="I20" s="193"/>
      <c r="J20" s="201"/>
      <c r="K20" s="151"/>
      <c r="L20" s="151"/>
      <c r="M20" s="151"/>
      <c r="N20" s="157"/>
    </row>
    <row r="21" spans="1:14" s="4" customFormat="1" x14ac:dyDescent="0.3">
      <c r="A21" s="150"/>
      <c r="B21" s="182" t="s">
        <v>128</v>
      </c>
      <c r="C21" s="102" t="s">
        <v>129</v>
      </c>
      <c r="D21" s="191" t="s">
        <v>130</v>
      </c>
      <c r="E21" s="191">
        <v>9040</v>
      </c>
      <c r="F21" s="192">
        <v>1</v>
      </c>
      <c r="G21" s="191">
        <f>E21*F21</f>
        <v>9040</v>
      </c>
      <c r="H21" s="191">
        <f>G21*1</f>
        <v>9040</v>
      </c>
      <c r="I21" s="191">
        <v>9040</v>
      </c>
      <c r="J21" s="200">
        <v>9040</v>
      </c>
      <c r="K21" s="151"/>
      <c r="L21" s="151"/>
      <c r="M21" s="151"/>
      <c r="N21" s="157"/>
    </row>
    <row r="22" spans="1:14" s="4" customFormat="1" x14ac:dyDescent="0.3">
      <c r="A22" s="150" t="s">
        <v>12</v>
      </c>
      <c r="B22" s="103"/>
      <c r="C22" s="104"/>
      <c r="D22" s="193"/>
      <c r="E22" s="193"/>
      <c r="F22" s="194"/>
      <c r="G22" s="193"/>
      <c r="H22" s="193"/>
      <c r="I22" s="193"/>
      <c r="J22" s="201"/>
      <c r="K22" s="151"/>
      <c r="L22" s="151"/>
      <c r="M22" s="151"/>
      <c r="N22" s="157"/>
    </row>
    <row r="23" spans="1:14" s="4" customFormat="1" x14ac:dyDescent="0.3">
      <c r="A23" s="150"/>
      <c r="B23" s="182" t="s">
        <v>131</v>
      </c>
      <c r="C23" s="102" t="s">
        <v>132</v>
      </c>
      <c r="D23" s="191" t="s">
        <v>133</v>
      </c>
      <c r="E23" s="191">
        <f>118.03-60</f>
        <v>58.03</v>
      </c>
      <c r="F23" s="216">
        <v>2838</v>
      </c>
      <c r="G23" s="191">
        <f>E23*F23</f>
        <v>164689.14000000001</v>
      </c>
      <c r="H23" s="191">
        <f>G23*1</f>
        <v>164689.14000000001</v>
      </c>
      <c r="I23" s="191">
        <f>136568.31+13111.28</f>
        <v>149679.59</v>
      </c>
      <c r="J23" s="200">
        <f>141796.31+13111.28</f>
        <v>154907.59</v>
      </c>
      <c r="K23" s="151"/>
      <c r="L23" s="152"/>
      <c r="M23" s="151"/>
      <c r="N23" s="157"/>
    </row>
    <row r="24" spans="1:14" s="4" customFormat="1" x14ac:dyDescent="0.3">
      <c r="A24" s="150"/>
      <c r="B24" s="103" t="s">
        <v>134</v>
      </c>
      <c r="C24" s="104" t="s">
        <v>135</v>
      </c>
      <c r="D24" s="193" t="s">
        <v>136</v>
      </c>
      <c r="E24" s="193">
        <v>-5228</v>
      </c>
      <c r="F24" s="194">
        <v>1</v>
      </c>
      <c r="G24" s="193">
        <f>E24*F24</f>
        <v>-5228</v>
      </c>
      <c r="H24" s="193">
        <f>G24*1</f>
        <v>-5228</v>
      </c>
      <c r="I24" s="193"/>
      <c r="J24" s="201">
        <v>-5228</v>
      </c>
      <c r="K24" s="151"/>
      <c r="L24" s="160"/>
      <c r="M24" s="151"/>
      <c r="N24" s="157"/>
    </row>
    <row r="25" spans="1:14" s="4" customFormat="1" x14ac:dyDescent="0.3">
      <c r="A25" s="150"/>
      <c r="B25" s="182"/>
      <c r="C25" s="102"/>
      <c r="D25" s="191"/>
      <c r="E25" s="191"/>
      <c r="F25" s="192"/>
      <c r="G25" s="191"/>
      <c r="H25" s="191"/>
      <c r="I25" s="191"/>
      <c r="J25" s="200"/>
      <c r="K25" s="151"/>
      <c r="L25" s="124"/>
      <c r="M25" s="151"/>
      <c r="N25" s="157"/>
    </row>
    <row r="26" spans="1:14" s="4" customFormat="1" x14ac:dyDescent="0.3">
      <c r="A26" s="150" t="s">
        <v>137</v>
      </c>
      <c r="B26" s="103"/>
      <c r="C26" s="104"/>
      <c r="D26" s="193"/>
      <c r="E26" s="193"/>
      <c r="F26" s="194"/>
      <c r="G26" s="193"/>
      <c r="H26" s="193"/>
      <c r="I26" s="193"/>
      <c r="J26" s="201"/>
      <c r="K26" s="151"/>
      <c r="L26" s="160"/>
      <c r="M26" s="151"/>
      <c r="N26" s="157"/>
    </row>
    <row r="27" spans="1:14" s="4" customFormat="1" x14ac:dyDescent="0.3">
      <c r="A27" s="150"/>
      <c r="B27" s="182" t="s">
        <v>138</v>
      </c>
      <c r="C27" s="102" t="s">
        <v>139</v>
      </c>
      <c r="D27" s="191" t="s">
        <v>140</v>
      </c>
      <c r="E27" s="191">
        <v>10000</v>
      </c>
      <c r="F27" s="192">
        <v>1</v>
      </c>
      <c r="G27" s="191">
        <f>E27*F27</f>
        <v>10000</v>
      </c>
      <c r="H27" s="191">
        <f>G27*1</f>
        <v>10000</v>
      </c>
      <c r="I27" s="191">
        <f>597.5+212.5+2020+862.5+3715+3315+4142.5</f>
        <v>14865</v>
      </c>
      <c r="J27" s="200">
        <v>22690</v>
      </c>
      <c r="K27" s="151"/>
      <c r="L27" s="160"/>
      <c r="M27" s="151"/>
      <c r="N27" s="157"/>
    </row>
    <row r="28" spans="1:14" s="4" customFormat="1" x14ac:dyDescent="0.3">
      <c r="A28" s="150"/>
      <c r="B28" s="103" t="s">
        <v>141</v>
      </c>
      <c r="C28" s="104" t="s">
        <v>142</v>
      </c>
      <c r="D28" s="193" t="s">
        <v>140</v>
      </c>
      <c r="E28" s="193">
        <v>16000</v>
      </c>
      <c r="F28" s="194">
        <v>1</v>
      </c>
      <c r="G28" s="193">
        <f>E28*F28</f>
        <v>16000</v>
      </c>
      <c r="H28" s="193">
        <f>G28*1</f>
        <v>16000</v>
      </c>
      <c r="I28" s="193"/>
      <c r="J28" s="201">
        <v>2286.25</v>
      </c>
      <c r="K28" s="151"/>
      <c r="L28" s="160"/>
      <c r="M28" s="151"/>
      <c r="N28" s="157"/>
    </row>
    <row r="29" spans="1:14" s="4" customFormat="1" x14ac:dyDescent="0.3">
      <c r="A29" s="150"/>
      <c r="B29" s="182"/>
      <c r="C29" s="102"/>
      <c r="D29" s="191"/>
      <c r="E29" s="191"/>
      <c r="F29" s="192"/>
      <c r="G29" s="191"/>
      <c r="H29" s="191"/>
      <c r="I29" s="191"/>
      <c r="J29" s="200"/>
      <c r="K29" s="151"/>
      <c r="L29" s="160"/>
      <c r="M29" s="151"/>
      <c r="N29" s="157"/>
    </row>
    <row r="30" spans="1:14" s="4" customFormat="1" x14ac:dyDescent="0.3">
      <c r="A30" s="150" t="s">
        <v>14</v>
      </c>
      <c r="B30" s="103"/>
      <c r="C30" s="104"/>
      <c r="D30" s="193"/>
      <c r="E30" s="193"/>
      <c r="F30" s="194"/>
      <c r="G30" s="193"/>
      <c r="H30" s="193"/>
      <c r="I30" s="193"/>
      <c r="J30" s="201"/>
      <c r="K30" s="151"/>
      <c r="L30" s="160"/>
      <c r="M30" s="151"/>
      <c r="N30" s="157"/>
    </row>
    <row r="31" spans="1:14" s="4" customFormat="1" x14ac:dyDescent="0.3">
      <c r="A31" s="150"/>
      <c r="B31" s="182" t="s">
        <v>143</v>
      </c>
      <c r="C31" s="102" t="s">
        <v>144</v>
      </c>
      <c r="D31" s="191" t="s">
        <v>145</v>
      </c>
      <c r="E31" s="191">
        <v>10</v>
      </c>
      <c r="F31" s="192">
        <v>50</v>
      </c>
      <c r="G31" s="191">
        <f>E31*F31</f>
        <v>500</v>
      </c>
      <c r="H31" s="191">
        <f>G31*1</f>
        <v>500</v>
      </c>
      <c r="I31" s="191">
        <f>290+10+5</f>
        <v>305</v>
      </c>
      <c r="J31" s="200">
        <v>305</v>
      </c>
      <c r="K31" s="151"/>
      <c r="L31" s="160"/>
      <c r="M31" s="151"/>
      <c r="N31" s="157"/>
    </row>
    <row r="32" spans="1:14" s="151" customFormat="1" x14ac:dyDescent="0.3">
      <c r="A32" s="150" t="s">
        <v>15</v>
      </c>
      <c r="B32" s="103"/>
      <c r="C32" s="104" t="s">
        <v>54</v>
      </c>
      <c r="D32" s="193"/>
      <c r="E32" s="193"/>
      <c r="F32" s="194"/>
      <c r="G32" s="193"/>
      <c r="H32" s="193"/>
      <c r="I32" s="193"/>
      <c r="J32" s="201"/>
      <c r="L32" s="160"/>
      <c r="N32" s="157"/>
    </row>
    <row r="33" spans="1:15" s="151" customFormat="1" x14ac:dyDescent="0.3">
      <c r="A33" s="150"/>
      <c r="B33" s="182" t="s">
        <v>146</v>
      </c>
      <c r="C33" s="102" t="s">
        <v>147</v>
      </c>
      <c r="D33" s="191"/>
      <c r="E33" s="191">
        <v>15</v>
      </c>
      <c r="F33" s="192">
        <v>462</v>
      </c>
      <c r="G33" s="191">
        <f>F33*E33</f>
        <v>6930</v>
      </c>
      <c r="H33" s="191">
        <f>G33</f>
        <v>6930</v>
      </c>
      <c r="I33" s="191">
        <f>6930+6794.05</f>
        <v>13724.05</v>
      </c>
      <c r="J33" s="200">
        <v>13724.05</v>
      </c>
      <c r="L33" s="160"/>
      <c r="N33" s="157"/>
    </row>
    <row r="34" spans="1:15" s="4" customFormat="1" x14ac:dyDescent="0.3">
      <c r="A34" s="150" t="s">
        <v>1570</v>
      </c>
      <c r="B34" s="103"/>
      <c r="C34" s="104"/>
      <c r="D34" s="193"/>
      <c r="E34" s="193"/>
      <c r="F34" s="194"/>
      <c r="G34" s="193"/>
      <c r="H34" s="193"/>
      <c r="I34" s="193"/>
      <c r="J34" s="201"/>
      <c r="K34" s="151"/>
      <c r="L34" s="160"/>
      <c r="M34" s="151"/>
      <c r="N34" s="157"/>
      <c r="O34" s="151"/>
    </row>
    <row r="35" spans="1:15" s="4" customFormat="1" x14ac:dyDescent="0.3">
      <c r="A35" s="150"/>
      <c r="B35" s="182" t="s">
        <v>1571</v>
      </c>
      <c r="C35" s="102" t="s">
        <v>1572</v>
      </c>
      <c r="D35" s="191" t="s">
        <v>1573</v>
      </c>
      <c r="E35" s="191"/>
      <c r="F35" s="216"/>
      <c r="G35" s="191"/>
      <c r="H35" s="191"/>
      <c r="I35" s="191"/>
      <c r="J35" s="200">
        <v>5030.57</v>
      </c>
      <c r="K35" s="151"/>
      <c r="L35" s="160"/>
      <c r="M35" s="151"/>
      <c r="N35" s="157"/>
      <c r="O35" s="151"/>
    </row>
    <row r="36" spans="1:15" s="6" customFormat="1" x14ac:dyDescent="0.3">
      <c r="A36" s="150"/>
      <c r="B36" s="103"/>
      <c r="C36" s="104"/>
      <c r="D36" s="193"/>
      <c r="E36" s="193"/>
      <c r="F36" s="194"/>
      <c r="G36" s="193"/>
      <c r="H36" s="193"/>
      <c r="I36" s="193"/>
      <c r="J36" s="201"/>
      <c r="K36" s="156"/>
      <c r="L36" s="160"/>
      <c r="M36" s="159"/>
      <c r="N36" s="125"/>
      <c r="O36" s="125"/>
    </row>
    <row r="37" spans="1:15" s="6" customFormat="1" x14ac:dyDescent="0.3">
      <c r="A37" s="150"/>
      <c r="B37" s="243" t="s">
        <v>16</v>
      </c>
      <c r="C37" s="35"/>
      <c r="D37" s="210"/>
      <c r="E37" s="210"/>
      <c r="F37" s="211"/>
      <c r="G37" s="210"/>
      <c r="H37" s="179">
        <f>SUM(H9:H36)</f>
        <v>242562.78000000003</v>
      </c>
      <c r="I37" s="179">
        <f>SUM(I9:I36)</f>
        <v>211705.31</v>
      </c>
      <c r="J37" s="180">
        <f>SUM(J9:J36)</f>
        <v>244357.65999999997</v>
      </c>
      <c r="K37" s="156"/>
      <c r="L37" s="160"/>
      <c r="M37" s="159"/>
      <c r="N37" s="125"/>
      <c r="O37" s="125"/>
    </row>
    <row r="38" spans="1:15" s="6" customFormat="1" x14ac:dyDescent="0.3">
      <c r="A38" s="150"/>
      <c r="B38" s="241"/>
      <c r="C38" s="129"/>
      <c r="D38" s="196"/>
      <c r="E38" s="196"/>
      <c r="F38" s="202"/>
      <c r="G38" s="196"/>
      <c r="H38" s="196"/>
      <c r="I38" s="196"/>
      <c r="J38" s="197"/>
      <c r="K38" s="156"/>
      <c r="L38" s="160"/>
      <c r="M38" s="159"/>
      <c r="N38" s="125"/>
      <c r="O38" s="125"/>
    </row>
    <row r="39" spans="1:15" s="4" customFormat="1" x14ac:dyDescent="0.3">
      <c r="A39" s="150" t="s">
        <v>148</v>
      </c>
      <c r="B39" s="241"/>
      <c r="C39" s="103"/>
      <c r="D39" s="193"/>
      <c r="E39" s="193"/>
      <c r="F39" s="194"/>
      <c r="G39" s="193"/>
      <c r="H39" s="193"/>
      <c r="I39" s="193"/>
      <c r="J39" s="201"/>
      <c r="K39" s="151"/>
      <c r="L39" s="160"/>
      <c r="M39" s="151" t="s">
        <v>54</v>
      </c>
      <c r="N39" s="157"/>
      <c r="O39" s="151"/>
    </row>
    <row r="40" spans="1:15" s="4" customFormat="1" x14ac:dyDescent="0.3">
      <c r="A40" s="150" t="s">
        <v>50</v>
      </c>
      <c r="B40" s="241"/>
      <c r="C40" s="103"/>
      <c r="D40" s="193"/>
      <c r="E40" s="193"/>
      <c r="F40" s="194"/>
      <c r="G40" s="193"/>
      <c r="H40" s="193"/>
      <c r="I40" s="193"/>
      <c r="J40" s="201"/>
      <c r="K40" s="151"/>
      <c r="L40" s="160"/>
      <c r="M40" s="151"/>
      <c r="N40" s="157"/>
      <c r="O40" s="151"/>
    </row>
    <row r="41" spans="1:15" s="4" customFormat="1" ht="18.75" x14ac:dyDescent="0.35">
      <c r="A41" s="150"/>
      <c r="B41" s="182" t="s">
        <v>149</v>
      </c>
      <c r="C41" s="102" t="s">
        <v>150</v>
      </c>
      <c r="D41" s="191" t="s">
        <v>151</v>
      </c>
      <c r="E41" s="191">
        <v>635.25</v>
      </c>
      <c r="F41" s="192">
        <v>12</v>
      </c>
      <c r="G41" s="191">
        <f>E41*F41</f>
        <v>7623</v>
      </c>
      <c r="H41" s="191">
        <f>G41*1</f>
        <v>7623</v>
      </c>
      <c r="I41" s="191">
        <v>4446.68</v>
      </c>
      <c r="J41" s="200">
        <v>7622.88</v>
      </c>
      <c r="K41" s="151"/>
      <c r="L41" s="127"/>
      <c r="M41" s="151"/>
      <c r="N41" s="157"/>
      <c r="O41" s="151"/>
    </row>
    <row r="42" spans="1:15" s="4" customFormat="1" ht="18.75" x14ac:dyDescent="0.35">
      <c r="A42" s="150" t="s">
        <v>51</v>
      </c>
      <c r="B42" s="103"/>
      <c r="C42" s="104"/>
      <c r="D42" s="193"/>
      <c r="E42" s="193"/>
      <c r="F42" s="194"/>
      <c r="G42" s="193"/>
      <c r="H42" s="193"/>
      <c r="I42" s="193"/>
      <c r="J42" s="201"/>
      <c r="K42" s="151"/>
      <c r="L42" s="127"/>
      <c r="M42" s="151"/>
      <c r="N42" s="157"/>
      <c r="O42" s="151"/>
    </row>
    <row r="43" spans="1:15" s="4" customFormat="1" x14ac:dyDescent="0.3">
      <c r="A43" s="150"/>
      <c r="B43" s="182" t="s">
        <v>152</v>
      </c>
      <c r="C43" s="102" t="s">
        <v>153</v>
      </c>
      <c r="D43" s="191" t="s">
        <v>151</v>
      </c>
      <c r="E43" s="191">
        <v>3330.08</v>
      </c>
      <c r="F43" s="192">
        <v>12</v>
      </c>
      <c r="G43" s="191">
        <f>E43*F43</f>
        <v>39960.959999999999</v>
      </c>
      <c r="H43" s="191">
        <f>G43*1</f>
        <v>39960.959999999999</v>
      </c>
      <c r="I43" s="191">
        <v>23310.49</v>
      </c>
      <c r="J43" s="200">
        <v>39960.839999999997</v>
      </c>
      <c r="K43" s="151"/>
      <c r="L43" s="129"/>
      <c r="M43" s="151"/>
      <c r="N43" s="157"/>
      <c r="O43" s="151"/>
    </row>
    <row r="44" spans="1:15" s="4" customFormat="1" x14ac:dyDescent="0.3">
      <c r="A44" s="150" t="s">
        <v>52</v>
      </c>
      <c r="B44" s="103"/>
      <c r="C44" s="104"/>
      <c r="D44" s="193"/>
      <c r="E44" s="193"/>
      <c r="F44" s="194"/>
      <c r="G44" s="193"/>
      <c r="H44" s="193"/>
      <c r="I44" s="193"/>
      <c r="J44" s="201"/>
      <c r="K44" s="151"/>
      <c r="L44" s="124"/>
      <c r="M44" s="151"/>
      <c r="N44" s="157"/>
      <c r="O44" s="151"/>
    </row>
    <row r="45" spans="1:15" s="4" customFormat="1" x14ac:dyDescent="0.3">
      <c r="A45" s="150"/>
      <c r="B45" s="182" t="s">
        <v>154</v>
      </c>
      <c r="C45" s="102" t="s">
        <v>155</v>
      </c>
      <c r="D45" s="191" t="s">
        <v>151</v>
      </c>
      <c r="E45" s="191">
        <v>1367.07</v>
      </c>
      <c r="F45" s="192">
        <v>12</v>
      </c>
      <c r="G45" s="191">
        <f>E45*F45</f>
        <v>16404.84</v>
      </c>
      <c r="H45" s="191">
        <f>G45*1</f>
        <v>16404.84</v>
      </c>
      <c r="I45" s="191">
        <v>9360.4500000000007</v>
      </c>
      <c r="J45" s="200">
        <v>16404.810000000001</v>
      </c>
      <c r="K45" s="151"/>
      <c r="L45" s="160"/>
      <c r="M45" s="151"/>
      <c r="N45" s="157"/>
      <c r="O45" s="151"/>
    </row>
    <row r="46" spans="1:15" s="4" customFormat="1" x14ac:dyDescent="0.3">
      <c r="A46" s="150" t="s">
        <v>53</v>
      </c>
      <c r="B46" s="103"/>
      <c r="C46" s="104"/>
      <c r="D46" s="193"/>
      <c r="E46" s="193"/>
      <c r="F46" s="194"/>
      <c r="G46" s="193"/>
      <c r="H46" s="193"/>
      <c r="I46" s="193"/>
      <c r="J46" s="201"/>
      <c r="K46" s="151"/>
      <c r="L46" s="160"/>
      <c r="M46" s="151"/>
      <c r="N46" s="157"/>
      <c r="O46" s="151"/>
    </row>
    <row r="47" spans="1:15" s="4" customFormat="1" x14ac:dyDescent="0.3">
      <c r="A47" s="150"/>
      <c r="B47" s="182" t="s">
        <v>156</v>
      </c>
      <c r="C47" s="102" t="s">
        <v>157</v>
      </c>
      <c r="D47" s="191" t="s">
        <v>151</v>
      </c>
      <c r="E47" s="191">
        <v>282.08</v>
      </c>
      <c r="F47" s="192">
        <v>12</v>
      </c>
      <c r="G47" s="191">
        <f>E47*F47</f>
        <v>3384.96</v>
      </c>
      <c r="H47" s="191">
        <f>G47*1</f>
        <v>3384.96</v>
      </c>
      <c r="I47" s="191">
        <v>1878.86</v>
      </c>
      <c r="J47" s="200">
        <v>3384.99</v>
      </c>
      <c r="K47" s="151"/>
      <c r="L47" s="160"/>
      <c r="M47" s="151"/>
      <c r="N47" s="157"/>
      <c r="O47" s="151"/>
    </row>
    <row r="48" spans="1:15" s="4" customFormat="1" x14ac:dyDescent="0.3">
      <c r="A48" s="150" t="s">
        <v>55</v>
      </c>
      <c r="B48" s="103"/>
      <c r="C48" s="104"/>
      <c r="D48" s="193"/>
      <c r="E48" s="193"/>
      <c r="F48" s="194"/>
      <c r="G48" s="193"/>
      <c r="H48" s="193"/>
      <c r="I48" s="193"/>
      <c r="J48" s="201"/>
      <c r="K48" s="151"/>
      <c r="L48" s="160"/>
      <c r="M48" s="151"/>
      <c r="N48" s="157"/>
      <c r="O48" s="151"/>
    </row>
    <row r="49" spans="1:15" s="4" customFormat="1" x14ac:dyDescent="0.3">
      <c r="A49" s="150"/>
      <c r="B49" s="182" t="s">
        <v>158</v>
      </c>
      <c r="C49" s="102" t="s">
        <v>159</v>
      </c>
      <c r="D49" s="191" t="s">
        <v>151</v>
      </c>
      <c r="E49" s="191">
        <v>272</v>
      </c>
      <c r="F49" s="192">
        <v>12</v>
      </c>
      <c r="G49" s="191">
        <f>E49*F49</f>
        <v>3264</v>
      </c>
      <c r="H49" s="191">
        <f>G49*1</f>
        <v>3264</v>
      </c>
      <c r="I49" s="191">
        <v>1802</v>
      </c>
      <c r="J49" s="200">
        <v>3264</v>
      </c>
      <c r="K49" s="151"/>
      <c r="L49" s="160"/>
      <c r="M49" s="151"/>
      <c r="N49" s="157"/>
      <c r="O49" s="151"/>
    </row>
    <row r="50" spans="1:15" s="4" customFormat="1" x14ac:dyDescent="0.3">
      <c r="A50" s="150" t="s">
        <v>56</v>
      </c>
      <c r="B50" s="103"/>
      <c r="C50" s="104"/>
      <c r="D50" s="193"/>
      <c r="E50" s="193"/>
      <c r="F50" s="194"/>
      <c r="G50" s="193"/>
      <c r="H50" s="193"/>
      <c r="I50" s="193"/>
      <c r="J50" s="201"/>
      <c r="K50" s="151"/>
      <c r="L50" s="160"/>
      <c r="M50" s="151"/>
      <c r="N50" s="157"/>
      <c r="O50" s="151"/>
    </row>
    <row r="51" spans="1:15" s="4" customFormat="1" x14ac:dyDescent="0.3">
      <c r="A51" s="150"/>
      <c r="B51" s="182" t="s">
        <v>160</v>
      </c>
      <c r="C51" s="102" t="s">
        <v>161</v>
      </c>
      <c r="D51" s="191" t="s">
        <v>151</v>
      </c>
      <c r="E51" s="191">
        <v>88.38</v>
      </c>
      <c r="F51" s="192">
        <v>12</v>
      </c>
      <c r="G51" s="191">
        <f>E51*F51</f>
        <v>1060.56</v>
      </c>
      <c r="H51" s="191">
        <f>G51*1</f>
        <v>1060.56</v>
      </c>
      <c r="I51" s="191"/>
      <c r="J51" s="201">
        <v>3128.91</v>
      </c>
      <c r="K51" s="151"/>
      <c r="L51" s="160"/>
      <c r="M51" s="151"/>
      <c r="N51" s="157"/>
      <c r="O51" s="151"/>
    </row>
    <row r="52" spans="1:15" s="4" customFormat="1" x14ac:dyDescent="0.3">
      <c r="A52" s="150"/>
      <c r="B52" s="103" t="s">
        <v>162</v>
      </c>
      <c r="C52" s="104" t="s">
        <v>163</v>
      </c>
      <c r="D52" s="193" t="s">
        <v>164</v>
      </c>
      <c r="E52" s="193">
        <v>150</v>
      </c>
      <c r="F52" s="194">
        <v>12</v>
      </c>
      <c r="G52" s="193">
        <f>E52*F52</f>
        <v>1800</v>
      </c>
      <c r="H52" s="193">
        <f>G52*1</f>
        <v>1800</v>
      </c>
      <c r="I52" s="193">
        <v>1922.36</v>
      </c>
      <c r="J52" s="201"/>
      <c r="K52" s="156"/>
      <c r="L52" s="160"/>
      <c r="M52" s="156"/>
      <c r="N52" s="156"/>
      <c r="O52" s="157"/>
    </row>
    <row r="53" spans="1:15" s="4" customFormat="1" x14ac:dyDescent="0.3">
      <c r="A53" s="150"/>
      <c r="B53" s="242"/>
      <c r="C53" s="102"/>
      <c r="D53" s="191" t="s">
        <v>54</v>
      </c>
      <c r="E53" s="191"/>
      <c r="F53" s="192"/>
      <c r="G53" s="191"/>
      <c r="H53" s="191"/>
      <c r="I53" s="191"/>
      <c r="J53" s="200"/>
      <c r="K53" s="156"/>
      <c r="L53" s="160"/>
      <c r="M53" s="156"/>
      <c r="N53" s="156"/>
      <c r="O53" s="157"/>
    </row>
    <row r="54" spans="1:15" s="7" customFormat="1" ht="18.75" x14ac:dyDescent="0.35">
      <c r="A54" s="150"/>
      <c r="B54" s="243" t="s">
        <v>57</v>
      </c>
      <c r="C54" s="36"/>
      <c r="D54" s="179"/>
      <c r="E54" s="179"/>
      <c r="F54" s="184"/>
      <c r="G54" s="179"/>
      <c r="H54" s="179">
        <f>SUM(H41:H53)</f>
        <v>73498.320000000007</v>
      </c>
      <c r="I54" s="179">
        <f>SUM(I41:I53)</f>
        <v>42720.840000000004</v>
      </c>
      <c r="J54" s="180">
        <f>SUM(J41:J53)</f>
        <v>73766.430000000008</v>
      </c>
      <c r="K54" s="126"/>
      <c r="L54" s="160"/>
      <c r="M54" s="126"/>
      <c r="N54" s="126"/>
      <c r="O54" s="128"/>
    </row>
    <row r="55" spans="1:15" s="7" customFormat="1" ht="18.75" x14ac:dyDescent="0.35">
      <c r="A55" s="150"/>
      <c r="B55" s="241"/>
      <c r="C55" s="129"/>
      <c r="D55" s="196"/>
      <c r="E55" s="196"/>
      <c r="F55" s="202"/>
      <c r="G55" s="196"/>
      <c r="H55" s="196"/>
      <c r="I55" s="196"/>
      <c r="J55" s="197"/>
      <c r="K55" s="126"/>
      <c r="L55" s="160"/>
      <c r="M55" s="126"/>
      <c r="N55" s="126"/>
      <c r="O55" s="128"/>
    </row>
    <row r="56" spans="1:15" s="4" customFormat="1" ht="18.75" x14ac:dyDescent="0.35">
      <c r="A56" s="161"/>
      <c r="B56" s="244"/>
      <c r="C56" s="37" t="s">
        <v>58</v>
      </c>
      <c r="D56" s="203"/>
      <c r="E56" s="203"/>
      <c r="F56" s="204"/>
      <c r="G56" s="203"/>
      <c r="H56" s="203">
        <f>H54+H37</f>
        <v>316061.10000000003</v>
      </c>
      <c r="I56" s="203">
        <f>I54+I37</f>
        <v>254426.15</v>
      </c>
      <c r="J56" s="205">
        <f>J54+J37</f>
        <v>318124.08999999997</v>
      </c>
      <c r="K56" s="129"/>
      <c r="L56" s="151"/>
      <c r="M56" s="151"/>
      <c r="N56" s="151"/>
      <c r="O56" s="151"/>
    </row>
    <row r="57" spans="1:15" s="6" customFormat="1" ht="18.75" x14ac:dyDescent="0.35">
      <c r="A57" s="161"/>
      <c r="B57" s="244"/>
      <c r="C57" s="37"/>
      <c r="D57" s="196"/>
      <c r="E57" s="196"/>
      <c r="F57" s="202"/>
      <c r="G57" s="196"/>
      <c r="H57" s="196"/>
      <c r="I57" s="196"/>
      <c r="J57" s="197"/>
      <c r="K57" s="156"/>
      <c r="L57" s="151"/>
      <c r="M57" s="159"/>
      <c r="N57" s="123"/>
      <c r="O57" s="125"/>
    </row>
    <row r="58" spans="1:15" s="6" customFormat="1" x14ac:dyDescent="0.3">
      <c r="A58" s="273" t="s">
        <v>59</v>
      </c>
      <c r="B58" s="274"/>
      <c r="C58" s="274"/>
      <c r="D58" s="148"/>
      <c r="E58" s="163"/>
      <c r="F58" s="189"/>
      <c r="G58" s="163"/>
      <c r="H58" s="163"/>
      <c r="I58" s="163"/>
      <c r="J58" s="149"/>
      <c r="K58" s="156"/>
      <c r="L58" s="151"/>
      <c r="M58" s="159"/>
      <c r="N58" s="123"/>
      <c r="O58" s="125"/>
    </row>
    <row r="59" spans="1:15" s="4" customFormat="1" x14ac:dyDescent="0.3">
      <c r="A59" s="150" t="s">
        <v>165</v>
      </c>
      <c r="B59" s="241"/>
      <c r="C59" s="103"/>
      <c r="D59" s="193"/>
      <c r="E59" s="193"/>
      <c r="F59" s="194"/>
      <c r="G59" s="193"/>
      <c r="H59" s="193"/>
      <c r="I59" s="193"/>
      <c r="J59" s="201"/>
      <c r="K59" s="151"/>
      <c r="L59" s="151"/>
      <c r="M59" s="151"/>
      <c r="N59" s="157"/>
      <c r="O59" s="151"/>
    </row>
    <row r="60" spans="1:15" s="4" customFormat="1" x14ac:dyDescent="0.3">
      <c r="A60" s="150" t="s">
        <v>61</v>
      </c>
      <c r="B60" s="241"/>
      <c r="C60" s="103"/>
      <c r="D60" s="193"/>
      <c r="E60" s="193"/>
      <c r="F60" s="194"/>
      <c r="G60" s="193"/>
      <c r="H60" s="193"/>
      <c r="I60" s="193"/>
      <c r="J60" s="201"/>
      <c r="K60" s="151"/>
      <c r="L60" s="160"/>
      <c r="M60" s="151"/>
      <c r="N60" s="157"/>
      <c r="O60" s="151"/>
    </row>
    <row r="61" spans="1:15" s="4" customFormat="1" x14ac:dyDescent="0.3">
      <c r="A61" s="150"/>
      <c r="B61" s="182" t="s">
        <v>166</v>
      </c>
      <c r="C61" s="102" t="s">
        <v>167</v>
      </c>
      <c r="D61" s="191" t="s">
        <v>168</v>
      </c>
      <c r="E61" s="191">
        <v>140</v>
      </c>
      <c r="F61" s="192">
        <v>18</v>
      </c>
      <c r="G61" s="191">
        <f>E61*F61</f>
        <v>2520</v>
      </c>
      <c r="H61" s="191">
        <f>G61*1</f>
        <v>2520</v>
      </c>
      <c r="I61" s="191"/>
      <c r="J61" s="200">
        <v>1020.11</v>
      </c>
      <c r="K61" s="151"/>
      <c r="L61" s="258"/>
      <c r="M61" s="259"/>
      <c r="N61" s="157"/>
      <c r="O61" s="151"/>
    </row>
    <row r="62" spans="1:15" s="4" customFormat="1" x14ac:dyDescent="0.3">
      <c r="A62" s="150" t="s">
        <v>62</v>
      </c>
      <c r="B62" s="103"/>
      <c r="C62" s="104"/>
      <c r="D62" s="193"/>
      <c r="E62" s="193"/>
      <c r="F62" s="194"/>
      <c r="G62" s="193"/>
      <c r="H62" s="193"/>
      <c r="I62" s="193"/>
      <c r="J62" s="201"/>
      <c r="K62" s="151"/>
      <c r="L62" s="258"/>
      <c r="M62" s="259"/>
      <c r="N62" s="157"/>
      <c r="O62" s="151"/>
    </row>
    <row r="63" spans="1:15" s="4" customFormat="1" x14ac:dyDescent="0.3">
      <c r="A63" s="150"/>
      <c r="B63" s="182" t="s">
        <v>169</v>
      </c>
      <c r="C63" s="102" t="s">
        <v>170</v>
      </c>
      <c r="D63" s="191" t="s">
        <v>171</v>
      </c>
      <c r="E63" s="191">
        <v>236</v>
      </c>
      <c r="F63" s="192">
        <v>12</v>
      </c>
      <c r="G63" s="191">
        <f t="shared" ref="G63:G69" si="0">E63*F63</f>
        <v>2832</v>
      </c>
      <c r="H63" s="191">
        <f>G63*1</f>
        <v>2832</v>
      </c>
      <c r="I63" s="191">
        <v>728.33</v>
      </c>
      <c r="J63" s="200">
        <v>2469.16</v>
      </c>
      <c r="K63" s="151"/>
      <c r="L63" s="258"/>
      <c r="M63" s="259"/>
      <c r="N63" s="157"/>
      <c r="O63" s="151"/>
    </row>
    <row r="64" spans="1:15" s="4" customFormat="1" x14ac:dyDescent="0.3">
      <c r="A64" s="150"/>
      <c r="B64" s="103" t="s">
        <v>172</v>
      </c>
      <c r="C64" s="104" t="s">
        <v>173</v>
      </c>
      <c r="D64" s="193" t="s">
        <v>174</v>
      </c>
      <c r="E64" s="193">
        <v>100</v>
      </c>
      <c r="F64" s="194">
        <v>12</v>
      </c>
      <c r="G64" s="193">
        <f t="shared" si="0"/>
        <v>1200</v>
      </c>
      <c r="H64" s="193">
        <f t="shared" ref="H64:H69" si="1">G64*1.13</f>
        <v>1355.9999999999998</v>
      </c>
      <c r="I64" s="193">
        <v>204.84</v>
      </c>
      <c r="J64" s="201">
        <v>313.23</v>
      </c>
      <c r="K64" s="152"/>
      <c r="L64" s="160"/>
      <c r="M64" s="151"/>
      <c r="N64" s="157"/>
      <c r="O64" s="151"/>
    </row>
    <row r="65" spans="1:15" s="4" customFormat="1" x14ac:dyDescent="0.3">
      <c r="A65" s="150"/>
      <c r="B65" s="182" t="s">
        <v>175</v>
      </c>
      <c r="C65" s="102" t="s">
        <v>121</v>
      </c>
      <c r="D65" s="191" t="s">
        <v>176</v>
      </c>
      <c r="E65" s="191">
        <v>7.2999999999999995E-2</v>
      </c>
      <c r="F65" s="192">
        <v>2000</v>
      </c>
      <c r="G65" s="191">
        <f t="shared" si="0"/>
        <v>146</v>
      </c>
      <c r="H65" s="191">
        <f t="shared" si="1"/>
        <v>164.98</v>
      </c>
      <c r="I65" s="191">
        <f>125.85+114.57+131+130+32.75+82.57</f>
        <v>616.74</v>
      </c>
      <c r="J65" s="233">
        <v>1050.1500000000001</v>
      </c>
      <c r="K65" s="151"/>
      <c r="L65" s="160"/>
      <c r="M65" s="151"/>
      <c r="N65" s="157"/>
      <c r="O65" s="151"/>
    </row>
    <row r="66" spans="1:15" s="4" customFormat="1" x14ac:dyDescent="0.3">
      <c r="A66" s="150"/>
      <c r="B66" s="103" t="s">
        <v>177</v>
      </c>
      <c r="C66" s="103" t="s">
        <v>178</v>
      </c>
      <c r="D66" s="193" t="s">
        <v>176</v>
      </c>
      <c r="E66" s="193">
        <v>0.01</v>
      </c>
      <c r="F66" s="194">
        <v>85000</v>
      </c>
      <c r="G66" s="193">
        <f>E66*F66</f>
        <v>850</v>
      </c>
      <c r="H66" s="193">
        <f>G66*1.13</f>
        <v>960.49999999999989</v>
      </c>
      <c r="I66" s="193">
        <f>152.07+130.81+73.85+77.57+127.75</f>
        <v>562.04999999999995</v>
      </c>
      <c r="J66" s="201"/>
      <c r="K66" s="151"/>
      <c r="L66" s="160"/>
      <c r="M66" s="151"/>
      <c r="N66" s="157"/>
      <c r="O66" s="151"/>
    </row>
    <row r="67" spans="1:15" s="4" customFormat="1" x14ac:dyDescent="0.3">
      <c r="A67" s="150"/>
      <c r="B67" s="182"/>
      <c r="C67" s="102"/>
      <c r="D67" s="191"/>
      <c r="E67" s="191"/>
      <c r="F67" s="192"/>
      <c r="G67" s="191"/>
      <c r="H67" s="191"/>
      <c r="I67" s="191"/>
      <c r="J67" s="200"/>
      <c r="K67" s="151"/>
      <c r="L67" s="160"/>
      <c r="M67" s="151"/>
      <c r="N67" s="157"/>
      <c r="O67" s="151"/>
    </row>
    <row r="68" spans="1:15" s="4" customFormat="1" x14ac:dyDescent="0.3">
      <c r="A68" s="150" t="s">
        <v>9</v>
      </c>
      <c r="B68" s="103"/>
      <c r="C68" s="104"/>
      <c r="D68" s="193"/>
      <c r="E68" s="193"/>
      <c r="F68" s="194"/>
      <c r="G68" s="193"/>
      <c r="H68" s="193"/>
      <c r="I68" s="193"/>
      <c r="J68" s="201"/>
      <c r="K68" s="151"/>
      <c r="L68" s="160"/>
      <c r="M68" s="151"/>
      <c r="N68" s="157"/>
      <c r="O68" s="151"/>
    </row>
    <row r="69" spans="1:15" s="4" customFormat="1" x14ac:dyDescent="0.3">
      <c r="A69" s="150"/>
      <c r="B69" s="182" t="s">
        <v>179</v>
      </c>
      <c r="C69" s="102" t="s">
        <v>180</v>
      </c>
      <c r="D69" s="191" t="s">
        <v>181</v>
      </c>
      <c r="E69" s="191">
        <v>10</v>
      </c>
      <c r="F69" s="192">
        <v>12</v>
      </c>
      <c r="G69" s="191">
        <f t="shared" si="0"/>
        <v>120</v>
      </c>
      <c r="H69" s="191">
        <f t="shared" si="1"/>
        <v>135.6</v>
      </c>
      <c r="I69" s="191">
        <v>11.29</v>
      </c>
      <c r="J69" s="233">
        <v>11.29</v>
      </c>
      <c r="K69" s="151"/>
      <c r="L69" s="160"/>
      <c r="M69" s="151"/>
      <c r="N69" s="157"/>
      <c r="O69" s="151"/>
    </row>
    <row r="70" spans="1:15" s="4" customFormat="1" x14ac:dyDescent="0.3">
      <c r="A70" s="150" t="s">
        <v>63</v>
      </c>
      <c r="B70" s="103"/>
      <c r="C70" s="104"/>
      <c r="D70" s="193"/>
      <c r="E70" s="193"/>
      <c r="F70" s="194"/>
      <c r="G70" s="193"/>
      <c r="H70" s="193"/>
      <c r="I70" s="193"/>
      <c r="J70" s="201"/>
      <c r="K70" s="151"/>
      <c r="L70" s="160"/>
      <c r="M70" s="151"/>
      <c r="N70" s="157"/>
      <c r="O70" s="151"/>
    </row>
    <row r="71" spans="1:15" s="4" customFormat="1" x14ac:dyDescent="0.3">
      <c r="A71" s="150"/>
      <c r="B71" s="182" t="s">
        <v>182</v>
      </c>
      <c r="C71" s="102" t="s">
        <v>183</v>
      </c>
      <c r="D71" s="191" t="s">
        <v>184</v>
      </c>
      <c r="E71" s="191">
        <v>1695</v>
      </c>
      <c r="F71" s="192">
        <v>1</v>
      </c>
      <c r="G71" s="191">
        <f>E71*F71</f>
        <v>1695</v>
      </c>
      <c r="H71" s="191">
        <f>G71*1</f>
        <v>1695</v>
      </c>
      <c r="I71" s="191"/>
      <c r="J71" s="200"/>
      <c r="K71" s="151"/>
      <c r="L71" s="160"/>
      <c r="M71" s="151"/>
      <c r="N71" s="157"/>
      <c r="O71" s="151"/>
    </row>
    <row r="72" spans="1:15" s="4" customFormat="1" x14ac:dyDescent="0.3">
      <c r="A72" s="150" t="s">
        <v>64</v>
      </c>
      <c r="B72" s="103"/>
      <c r="C72" s="104"/>
      <c r="D72" s="193"/>
      <c r="E72" s="193"/>
      <c r="F72" s="194"/>
      <c r="G72" s="193"/>
      <c r="H72" s="193"/>
      <c r="I72" s="193"/>
      <c r="J72" s="201"/>
      <c r="K72" s="151"/>
      <c r="L72" s="160"/>
      <c r="M72" s="151"/>
      <c r="N72" s="157"/>
      <c r="O72" s="151"/>
    </row>
    <row r="73" spans="1:15" s="4" customFormat="1" x14ac:dyDescent="0.3">
      <c r="A73" s="150"/>
      <c r="B73" s="182" t="s">
        <v>185</v>
      </c>
      <c r="C73" s="102" t="s">
        <v>186</v>
      </c>
      <c r="D73" s="191" t="s">
        <v>187</v>
      </c>
      <c r="E73" s="191">
        <v>11000</v>
      </c>
      <c r="F73" s="192">
        <v>1</v>
      </c>
      <c r="G73" s="191">
        <f>E73*F73</f>
        <v>11000</v>
      </c>
      <c r="H73" s="191">
        <f>G73*1.13</f>
        <v>12429.999999999998</v>
      </c>
      <c r="I73" s="191"/>
      <c r="J73" s="233">
        <v>12653.34</v>
      </c>
      <c r="K73" s="151"/>
      <c r="L73" s="160"/>
      <c r="M73" s="151"/>
      <c r="N73" s="157"/>
      <c r="O73" s="151"/>
    </row>
    <row r="74" spans="1:15" s="151" customFormat="1" x14ac:dyDescent="0.3">
      <c r="A74" s="150" t="s">
        <v>65</v>
      </c>
      <c r="B74" s="103"/>
      <c r="C74" s="104"/>
      <c r="D74" s="193"/>
      <c r="E74" s="193"/>
      <c r="F74" s="194"/>
      <c r="G74" s="193"/>
      <c r="H74" s="193"/>
      <c r="I74" s="193"/>
      <c r="J74" s="201"/>
      <c r="L74" s="160"/>
      <c r="N74" s="157"/>
    </row>
    <row r="75" spans="1:15" s="151" customFormat="1" x14ac:dyDescent="0.3">
      <c r="A75" s="150"/>
      <c r="B75" s="182" t="s">
        <v>188</v>
      </c>
      <c r="C75" s="102" t="s">
        <v>189</v>
      </c>
      <c r="D75" s="191" t="s">
        <v>187</v>
      </c>
      <c r="E75" s="191">
        <v>10.5</v>
      </c>
      <c r="F75" s="192">
        <v>775</v>
      </c>
      <c r="G75" s="191">
        <f>E75*F75</f>
        <v>8137.5</v>
      </c>
      <c r="H75" s="191">
        <f>G75*1.13</f>
        <v>9195.375</v>
      </c>
      <c r="I75" s="191">
        <f>18.75</f>
        <v>18.75</v>
      </c>
      <c r="J75" s="200">
        <v>9351.6299999999992</v>
      </c>
      <c r="N75" s="157"/>
    </row>
    <row r="76" spans="1:15" s="4" customFormat="1" x14ac:dyDescent="0.3">
      <c r="A76" s="150" t="s">
        <v>66</v>
      </c>
      <c r="B76" s="103"/>
      <c r="C76" s="104"/>
      <c r="D76" s="193"/>
      <c r="E76" s="193"/>
      <c r="F76" s="194"/>
      <c r="G76" s="193"/>
      <c r="H76" s="193"/>
      <c r="I76" s="193"/>
      <c r="J76" s="201"/>
      <c r="K76" s="151"/>
      <c r="L76" s="160"/>
      <c r="M76" s="151"/>
      <c r="N76" s="157"/>
      <c r="O76" s="151"/>
    </row>
    <row r="77" spans="1:15" s="4" customFormat="1" x14ac:dyDescent="0.3">
      <c r="A77" s="150"/>
      <c r="B77" s="182" t="s">
        <v>190</v>
      </c>
      <c r="C77" s="102" t="s">
        <v>15</v>
      </c>
      <c r="D77" s="191" t="s">
        <v>191</v>
      </c>
      <c r="E77" s="191">
        <v>10.220000000000001</v>
      </c>
      <c r="F77" s="192">
        <v>450</v>
      </c>
      <c r="G77" s="191">
        <f>F77*E77</f>
        <v>4599</v>
      </c>
      <c r="H77" s="191">
        <f>G77*1.13</f>
        <v>5196.87</v>
      </c>
      <c r="I77" s="191">
        <v>5445.16</v>
      </c>
      <c r="J77" s="200">
        <v>10639.77</v>
      </c>
      <c r="K77" s="151"/>
      <c r="L77" s="160"/>
      <c r="M77" s="151"/>
      <c r="N77" s="157"/>
      <c r="O77" s="151"/>
    </row>
    <row r="78" spans="1:15" s="4" customFormat="1" x14ac:dyDescent="0.3">
      <c r="A78" s="150"/>
      <c r="B78" s="103"/>
      <c r="C78" s="104"/>
      <c r="D78" s="193"/>
      <c r="E78" s="193"/>
      <c r="F78" s="194"/>
      <c r="G78" s="193"/>
      <c r="H78" s="193"/>
      <c r="I78" s="193"/>
      <c r="J78" s="201"/>
      <c r="K78" s="156"/>
      <c r="L78" s="151"/>
      <c r="M78" s="151"/>
      <c r="N78" s="157"/>
      <c r="O78" s="157"/>
    </row>
    <row r="79" spans="1:15" s="4" customFormat="1" x14ac:dyDescent="0.3">
      <c r="A79" s="150"/>
      <c r="B79" s="243" t="s">
        <v>192</v>
      </c>
      <c r="C79" s="38"/>
      <c r="D79" s="179"/>
      <c r="E79" s="179"/>
      <c r="F79" s="184"/>
      <c r="G79" s="179"/>
      <c r="H79" s="179">
        <f>SUM(H59:H78)</f>
        <v>36486.324999999997</v>
      </c>
      <c r="I79" s="179">
        <f>SUM(I59:I78)</f>
        <v>7587.16</v>
      </c>
      <c r="J79" s="180">
        <f>SUM(J59:J78)</f>
        <v>37508.679999999993</v>
      </c>
      <c r="K79" s="156"/>
      <c r="L79" s="160"/>
      <c r="M79" s="151"/>
      <c r="N79" s="157"/>
      <c r="O79" s="157"/>
    </row>
    <row r="80" spans="1:15" s="4" customFormat="1" x14ac:dyDescent="0.3">
      <c r="A80" s="150"/>
      <c r="B80" s="241"/>
      <c r="C80" s="129"/>
      <c r="D80" s="196"/>
      <c r="E80" s="196"/>
      <c r="F80" s="202"/>
      <c r="G80" s="196"/>
      <c r="H80" s="196"/>
      <c r="I80" s="196"/>
      <c r="J80" s="197"/>
      <c r="K80" s="156"/>
      <c r="L80" s="160"/>
      <c r="M80" s="151"/>
      <c r="N80" s="157"/>
      <c r="O80" s="157"/>
    </row>
    <row r="81" spans="1:15" s="4" customFormat="1" x14ac:dyDescent="0.3">
      <c r="A81" s="150" t="s">
        <v>71</v>
      </c>
      <c r="B81" s="241"/>
      <c r="C81" s="103"/>
      <c r="D81" s="193"/>
      <c r="E81" s="193"/>
      <c r="F81" s="194"/>
      <c r="G81" s="193"/>
      <c r="H81" s="193"/>
      <c r="I81" s="193"/>
      <c r="J81" s="201"/>
      <c r="K81" s="156"/>
      <c r="L81" s="151"/>
      <c r="M81" s="151"/>
      <c r="N81" s="157"/>
      <c r="O81" s="157"/>
    </row>
    <row r="82" spans="1:15" s="4" customFormat="1" x14ac:dyDescent="0.3">
      <c r="A82" s="150" t="s">
        <v>72</v>
      </c>
      <c r="B82" s="241"/>
      <c r="C82" s="103"/>
      <c r="D82" s="193"/>
      <c r="E82" s="193"/>
      <c r="F82" s="194"/>
      <c r="G82" s="193"/>
      <c r="H82" s="193"/>
      <c r="I82" s="193"/>
      <c r="J82" s="201"/>
      <c r="K82" s="156"/>
      <c r="L82" s="151"/>
      <c r="M82" s="151"/>
      <c r="N82" s="157"/>
      <c r="O82" s="157"/>
    </row>
    <row r="83" spans="1:15" s="4" customFormat="1" x14ac:dyDescent="0.3">
      <c r="A83" s="150"/>
      <c r="B83" s="182" t="s">
        <v>193</v>
      </c>
      <c r="C83" s="102" t="s">
        <v>194</v>
      </c>
      <c r="D83" s="191" t="s">
        <v>195</v>
      </c>
      <c r="E83" s="191">
        <v>50</v>
      </c>
      <c r="F83" s="192">
        <v>13</v>
      </c>
      <c r="G83" s="191">
        <f>E83*F83</f>
        <v>650</v>
      </c>
      <c r="H83" s="191">
        <f>G83*1</f>
        <v>650</v>
      </c>
      <c r="I83" s="191">
        <f>5372.99+50+50+50+50+50</f>
        <v>5622.99</v>
      </c>
      <c r="J83" s="200">
        <v>650</v>
      </c>
      <c r="K83" s="156"/>
      <c r="L83" s="151"/>
      <c r="M83" s="151"/>
      <c r="N83" s="157"/>
      <c r="O83" s="157"/>
    </row>
    <row r="84" spans="1:15" s="4" customFormat="1" x14ac:dyDescent="0.3">
      <c r="A84" s="150"/>
      <c r="B84" s="103" t="s">
        <v>196</v>
      </c>
      <c r="C84" s="104" t="s">
        <v>197</v>
      </c>
      <c r="D84" s="193" t="s">
        <v>198</v>
      </c>
      <c r="E84" s="193">
        <v>16.899999999999999</v>
      </c>
      <c r="F84" s="194">
        <v>560</v>
      </c>
      <c r="G84" s="193">
        <f>E84*F84</f>
        <v>9464</v>
      </c>
      <c r="H84" s="193">
        <f>G84*1</f>
        <v>9464</v>
      </c>
      <c r="I84" s="193"/>
      <c r="J84" s="201">
        <v>9523.15</v>
      </c>
      <c r="K84" s="156"/>
      <c r="L84" s="151"/>
      <c r="M84" s="151"/>
      <c r="N84" s="157"/>
      <c r="O84" s="157"/>
    </row>
    <row r="85" spans="1:15" s="4" customFormat="1" x14ac:dyDescent="0.3">
      <c r="A85" s="150"/>
      <c r="B85" s="182" t="s">
        <v>199</v>
      </c>
      <c r="C85" s="102" t="s">
        <v>200</v>
      </c>
      <c r="D85" s="191" t="s">
        <v>198</v>
      </c>
      <c r="E85" s="191">
        <v>16.899999999999999</v>
      </c>
      <c r="F85" s="192">
        <v>560</v>
      </c>
      <c r="G85" s="191">
        <f>E85*F85</f>
        <v>9464</v>
      </c>
      <c r="H85" s="191">
        <f>G85*1</f>
        <v>9464</v>
      </c>
      <c r="I85" s="191"/>
      <c r="J85" s="200">
        <v>9345.7000000000007</v>
      </c>
      <c r="K85" s="156"/>
      <c r="L85" s="151"/>
      <c r="M85" s="151"/>
      <c r="N85" s="157"/>
      <c r="O85" s="157"/>
    </row>
    <row r="86" spans="1:15" s="4" customFormat="1" x14ac:dyDescent="0.3">
      <c r="A86" s="150"/>
      <c r="B86" s="103" t="s">
        <v>201</v>
      </c>
      <c r="C86" s="104" t="s">
        <v>202</v>
      </c>
      <c r="D86" s="193" t="s">
        <v>198</v>
      </c>
      <c r="E86" s="193">
        <v>16.899999999999999</v>
      </c>
      <c r="F86" s="194">
        <v>560</v>
      </c>
      <c r="G86" s="193">
        <f>E86*F86</f>
        <v>9464</v>
      </c>
      <c r="H86" s="193">
        <f>G86*1</f>
        <v>9464</v>
      </c>
      <c r="I86" s="193"/>
      <c r="J86" s="201">
        <v>9523.15</v>
      </c>
      <c r="K86" s="156"/>
      <c r="L86" s="160"/>
      <c r="M86" s="151"/>
      <c r="N86" s="157"/>
      <c r="O86" s="157"/>
    </row>
    <row r="87" spans="1:15" s="4" customFormat="1" x14ac:dyDescent="0.3">
      <c r="A87" s="150"/>
      <c r="B87" s="182" t="s">
        <v>203</v>
      </c>
      <c r="C87" s="102" t="s">
        <v>204</v>
      </c>
      <c r="D87" s="191"/>
      <c r="E87" s="191"/>
      <c r="F87" s="192"/>
      <c r="G87" s="191"/>
      <c r="H87" s="191"/>
      <c r="I87" s="191">
        <v>2.79</v>
      </c>
      <c r="J87" s="200">
        <v>112.83</v>
      </c>
      <c r="K87" s="156"/>
      <c r="L87" s="151"/>
      <c r="M87" s="151"/>
      <c r="N87" s="157"/>
      <c r="O87" s="157"/>
    </row>
    <row r="88" spans="1:15" s="4" customFormat="1" x14ac:dyDescent="0.3">
      <c r="A88" s="150" t="s">
        <v>73</v>
      </c>
      <c r="B88" s="40"/>
      <c r="C88" s="104"/>
      <c r="D88" s="193"/>
      <c r="E88" s="193"/>
      <c r="F88" s="194"/>
      <c r="G88" s="193"/>
      <c r="H88" s="193"/>
      <c r="I88" s="193"/>
      <c r="J88" s="201"/>
      <c r="K88" s="156"/>
      <c r="L88" s="151"/>
      <c r="M88" s="151"/>
      <c r="N88" s="157"/>
      <c r="O88" s="157"/>
    </row>
    <row r="89" spans="1:15" s="4" customFormat="1" x14ac:dyDescent="0.3">
      <c r="A89" s="150"/>
      <c r="B89" s="182" t="s">
        <v>205</v>
      </c>
      <c r="C89" s="102" t="s">
        <v>206</v>
      </c>
      <c r="D89" s="191" t="s">
        <v>207</v>
      </c>
      <c r="E89" s="191">
        <v>88.2</v>
      </c>
      <c r="F89" s="192">
        <v>8</v>
      </c>
      <c r="G89" s="191">
        <f>E89*F89</f>
        <v>705.6</v>
      </c>
      <c r="H89" s="191">
        <f>G89*1.13</f>
        <v>797.32799999999997</v>
      </c>
      <c r="I89" s="191">
        <v>149.41999999999999</v>
      </c>
      <c r="J89" s="200">
        <v>764.47</v>
      </c>
      <c r="K89" s="156"/>
      <c r="L89" s="160"/>
      <c r="M89" s="151"/>
      <c r="N89" s="157"/>
      <c r="O89" s="157"/>
    </row>
    <row r="90" spans="1:15" s="4" customFormat="1" x14ac:dyDescent="0.3">
      <c r="A90" s="150" t="s">
        <v>74</v>
      </c>
      <c r="B90" s="40"/>
      <c r="C90" s="104"/>
      <c r="D90" s="193"/>
      <c r="E90" s="193"/>
      <c r="F90" s="194"/>
      <c r="G90" s="193"/>
      <c r="H90" s="193"/>
      <c r="I90" s="193"/>
      <c r="J90" s="201"/>
      <c r="K90" s="156"/>
      <c r="L90" s="151"/>
      <c r="M90" s="151"/>
      <c r="N90" s="157"/>
      <c r="O90" s="157"/>
    </row>
    <row r="91" spans="1:15" s="4" customFormat="1" x14ac:dyDescent="0.3">
      <c r="A91" s="150"/>
      <c r="B91" s="182" t="s">
        <v>208</v>
      </c>
      <c r="C91" s="102" t="s">
        <v>209</v>
      </c>
      <c r="D91" s="191" t="s">
        <v>207</v>
      </c>
      <c r="E91" s="191">
        <v>150.38999999999999</v>
      </c>
      <c r="F91" s="192">
        <v>8</v>
      </c>
      <c r="G91" s="191">
        <f>E91*F91</f>
        <v>1203.1199999999999</v>
      </c>
      <c r="H91" s="191">
        <f>G91*1</f>
        <v>1203.1199999999999</v>
      </c>
      <c r="I91" s="191">
        <v>226.93</v>
      </c>
      <c r="J91" s="200">
        <v>1237.92</v>
      </c>
      <c r="K91" s="156"/>
      <c r="L91" s="160"/>
      <c r="M91" s="151"/>
      <c r="N91" s="157"/>
      <c r="O91" s="157"/>
    </row>
    <row r="92" spans="1:15" s="4" customFormat="1" x14ac:dyDescent="0.3">
      <c r="A92" s="150" t="s">
        <v>210</v>
      </c>
      <c r="B92" s="40"/>
      <c r="C92" s="104"/>
      <c r="D92" s="193"/>
      <c r="E92" s="193"/>
      <c r="F92" s="194"/>
      <c r="G92" s="193"/>
      <c r="H92" s="193"/>
      <c r="I92" s="193"/>
      <c r="J92" s="201"/>
      <c r="K92" s="156"/>
      <c r="L92" s="160"/>
      <c r="M92" s="151"/>
      <c r="N92" s="151"/>
      <c r="O92" s="151"/>
    </row>
    <row r="93" spans="1:15" s="4" customFormat="1" x14ac:dyDescent="0.3">
      <c r="A93" s="150"/>
      <c r="B93" s="182" t="s">
        <v>211</v>
      </c>
      <c r="C93" s="102" t="s">
        <v>212</v>
      </c>
      <c r="D93" s="191" t="s">
        <v>213</v>
      </c>
      <c r="E93" s="191">
        <f>4988.4</f>
        <v>4988.3999999999996</v>
      </c>
      <c r="F93" s="192">
        <v>1</v>
      </c>
      <c r="G93" s="191">
        <f>E93*F93</f>
        <v>4988.3999999999996</v>
      </c>
      <c r="H93" s="191">
        <f>G93*1</f>
        <v>4988.3999999999996</v>
      </c>
      <c r="I93" s="191">
        <v>5494.47</v>
      </c>
      <c r="J93" s="200">
        <v>5494.47</v>
      </c>
      <c r="K93" s="156"/>
      <c r="L93" s="160"/>
      <c r="M93" s="151"/>
      <c r="N93" s="151"/>
      <c r="O93" s="151"/>
    </row>
    <row r="94" spans="1:15" s="4" customFormat="1" x14ac:dyDescent="0.3">
      <c r="A94" s="150"/>
      <c r="B94" s="103"/>
      <c r="C94" s="103" t="s">
        <v>214</v>
      </c>
      <c r="D94" s="193" t="s">
        <v>215</v>
      </c>
      <c r="E94" s="193">
        <v>16.899999999999999</v>
      </c>
      <c r="F94" s="194">
        <f>35*3</f>
        <v>105</v>
      </c>
      <c r="G94" s="193">
        <f>E94*F94</f>
        <v>1774.4999999999998</v>
      </c>
      <c r="H94" s="193">
        <f>G94*1</f>
        <v>1774.4999999999998</v>
      </c>
      <c r="I94" s="193"/>
      <c r="J94" s="201">
        <v>1774.5</v>
      </c>
      <c r="K94" s="156"/>
      <c r="L94" s="151"/>
      <c r="M94" s="151"/>
      <c r="N94" s="151"/>
      <c r="O94" s="151"/>
    </row>
    <row r="95" spans="1:15" s="4" customFormat="1" x14ac:dyDescent="0.3">
      <c r="A95" s="150"/>
      <c r="B95" s="242"/>
      <c r="C95" s="182"/>
      <c r="D95" s="191"/>
      <c r="E95" s="191"/>
      <c r="F95" s="192"/>
      <c r="G95" s="191"/>
      <c r="H95" s="191"/>
      <c r="I95" s="191"/>
      <c r="J95" s="200"/>
      <c r="K95" s="156"/>
      <c r="L95" s="151"/>
      <c r="M95" s="151"/>
      <c r="N95" s="157"/>
      <c r="O95" s="157"/>
    </row>
    <row r="96" spans="1:15" s="4" customFormat="1" x14ac:dyDescent="0.3">
      <c r="A96" s="150"/>
      <c r="B96" s="243" t="s">
        <v>76</v>
      </c>
      <c r="C96" s="36"/>
      <c r="D96" s="179"/>
      <c r="E96" s="179"/>
      <c r="F96" s="184"/>
      <c r="G96" s="179"/>
      <c r="H96" s="179">
        <f>SUM(H83:H95)</f>
        <v>37805.347999999998</v>
      </c>
      <c r="I96" s="179">
        <f>SUM(I83:I95)</f>
        <v>11496.6</v>
      </c>
      <c r="J96" s="180">
        <f>SUM(J83:J95)</f>
        <v>38426.19</v>
      </c>
      <c r="K96" s="156"/>
      <c r="L96" s="160"/>
      <c r="M96" s="151"/>
      <c r="N96" s="157"/>
      <c r="O96" s="157"/>
    </row>
    <row r="97" spans="1:15" s="4" customFormat="1" x14ac:dyDescent="0.3">
      <c r="A97" s="150"/>
      <c r="B97" s="231"/>
      <c r="C97" s="103"/>
      <c r="D97" s="193"/>
      <c r="E97" s="193"/>
      <c r="F97" s="194"/>
      <c r="G97" s="193"/>
      <c r="H97" s="193"/>
      <c r="I97" s="193"/>
      <c r="J97" s="201"/>
      <c r="K97" s="156"/>
      <c r="L97" s="160"/>
      <c r="M97" s="151"/>
      <c r="N97" s="157"/>
      <c r="O97" s="157"/>
    </row>
    <row r="98" spans="1:15" s="4" customFormat="1" x14ac:dyDescent="0.3">
      <c r="A98" s="150" t="s">
        <v>77</v>
      </c>
      <c r="B98" s="241"/>
      <c r="C98" s="103"/>
      <c r="D98" s="193"/>
      <c r="E98" s="193"/>
      <c r="F98" s="194"/>
      <c r="G98" s="193"/>
      <c r="H98" s="193"/>
      <c r="I98" s="193"/>
      <c r="J98" s="201"/>
      <c r="K98" s="156"/>
      <c r="L98" s="160"/>
      <c r="M98" s="151"/>
      <c r="N98" s="157"/>
      <c r="O98" s="157"/>
    </row>
    <row r="99" spans="1:15" s="4" customFormat="1" x14ac:dyDescent="0.3">
      <c r="A99" s="150" t="s">
        <v>78</v>
      </c>
      <c r="B99" s="241"/>
      <c r="C99" s="103"/>
      <c r="D99" s="193"/>
      <c r="E99" s="193"/>
      <c r="F99" s="194"/>
      <c r="G99" s="193"/>
      <c r="H99" s="193"/>
      <c r="I99" s="193"/>
      <c r="J99" s="201"/>
      <c r="K99" s="156"/>
      <c r="L99" s="160"/>
      <c r="M99" s="151"/>
      <c r="N99" s="157"/>
      <c r="O99" s="157"/>
    </row>
    <row r="100" spans="1:15" s="4" customFormat="1" x14ac:dyDescent="0.3">
      <c r="A100" s="150"/>
      <c r="B100" s="182" t="s">
        <v>216</v>
      </c>
      <c r="C100" s="102" t="s">
        <v>217</v>
      </c>
      <c r="D100" s="191" t="s">
        <v>218</v>
      </c>
      <c r="E100" s="191">
        <v>35</v>
      </c>
      <c r="F100" s="192">
        <v>450</v>
      </c>
      <c r="G100" s="191">
        <f>E100*F100</f>
        <v>15750</v>
      </c>
      <c r="H100" s="191">
        <f>G100*1.13</f>
        <v>17797.5</v>
      </c>
      <c r="I100" s="191">
        <f>1423.8+919.54+1483.13+1789.64+672.35</f>
        <v>6288.4600000000009</v>
      </c>
      <c r="J100" s="200">
        <v>12922.98</v>
      </c>
      <c r="K100" s="156"/>
      <c r="L100" s="160"/>
      <c r="M100" s="151"/>
      <c r="N100" s="157"/>
      <c r="O100" s="157"/>
    </row>
    <row r="101" spans="1:15" s="4" customFormat="1" x14ac:dyDescent="0.3">
      <c r="A101" s="150"/>
      <c r="B101" s="103" t="s">
        <v>219</v>
      </c>
      <c r="C101" s="104" t="s">
        <v>220</v>
      </c>
      <c r="D101" s="193" t="s">
        <v>221</v>
      </c>
      <c r="E101" s="193">
        <v>2600</v>
      </c>
      <c r="F101" s="194">
        <v>1</v>
      </c>
      <c r="G101" s="193">
        <f>E101*F101</f>
        <v>2600</v>
      </c>
      <c r="H101" s="193">
        <f>G101*1.13</f>
        <v>2937.9999999999995</v>
      </c>
      <c r="I101" s="193">
        <f>5932.5+6215</f>
        <v>12147.5</v>
      </c>
      <c r="J101" s="201">
        <f>5932.5+6215</f>
        <v>12147.5</v>
      </c>
      <c r="K101" s="156"/>
      <c r="L101" s="160"/>
      <c r="M101" s="151"/>
      <c r="N101" s="157"/>
      <c r="O101" s="157"/>
    </row>
    <row r="102" spans="1:15" s="4" customFormat="1" x14ac:dyDescent="0.3">
      <c r="A102" s="150"/>
      <c r="B102" s="182"/>
      <c r="C102" s="102" t="s">
        <v>1567</v>
      </c>
      <c r="D102" s="191"/>
      <c r="E102" s="191"/>
      <c r="F102" s="192"/>
      <c r="G102" s="191"/>
      <c r="H102" s="191"/>
      <c r="I102" s="191"/>
      <c r="J102" s="200">
        <v>529.35</v>
      </c>
      <c r="K102" s="156"/>
      <c r="L102" s="151"/>
      <c r="M102" s="151"/>
      <c r="N102" s="157"/>
      <c r="O102" s="157"/>
    </row>
    <row r="103" spans="1:15" s="4" customFormat="1" x14ac:dyDescent="0.3">
      <c r="A103" s="150" t="s">
        <v>222</v>
      </c>
      <c r="B103" s="103"/>
      <c r="C103" s="103"/>
      <c r="D103" s="193"/>
      <c r="E103" s="193"/>
      <c r="F103" s="194"/>
      <c r="G103" s="193"/>
      <c r="H103" s="193"/>
      <c r="I103" s="193"/>
      <c r="J103" s="201"/>
      <c r="K103" s="156"/>
      <c r="L103" s="151"/>
      <c r="M103" s="151"/>
      <c r="N103" s="157"/>
      <c r="O103" s="157"/>
    </row>
    <row r="104" spans="1:15" s="4" customFormat="1" x14ac:dyDescent="0.3">
      <c r="A104" s="150"/>
      <c r="B104" s="182" t="s">
        <v>223</v>
      </c>
      <c r="C104" s="182" t="s">
        <v>224</v>
      </c>
      <c r="D104" s="191" t="s">
        <v>225</v>
      </c>
      <c r="E104" s="191">
        <v>53013.82</v>
      </c>
      <c r="F104" s="192">
        <v>1</v>
      </c>
      <c r="G104" s="191">
        <f>E104*F104</f>
        <v>53013.82</v>
      </c>
      <c r="H104" s="191">
        <f>G104*1</f>
        <v>53013.82</v>
      </c>
      <c r="I104" s="191">
        <v>66500</v>
      </c>
      <c r="J104" s="200">
        <v>66500</v>
      </c>
      <c r="K104" s="156"/>
      <c r="L104" s="151"/>
      <c r="M104" s="151"/>
      <c r="N104" s="157"/>
      <c r="O104" s="157"/>
    </row>
    <row r="105" spans="1:15" s="4" customFormat="1" x14ac:dyDescent="0.3">
      <c r="A105" s="150"/>
      <c r="B105" s="103" t="s">
        <v>226</v>
      </c>
      <c r="C105" s="103" t="s">
        <v>224</v>
      </c>
      <c r="D105" s="193" t="s">
        <v>227</v>
      </c>
      <c r="E105" s="193">
        <v>12954.18</v>
      </c>
      <c r="F105" s="194">
        <v>1</v>
      </c>
      <c r="G105" s="193">
        <f>E105*F105</f>
        <v>12954.18</v>
      </c>
      <c r="H105" s="193">
        <f>G105*1</f>
        <v>12954.18</v>
      </c>
      <c r="I105" s="193"/>
      <c r="J105" s="201"/>
      <c r="K105" s="156"/>
      <c r="L105" s="151"/>
      <c r="M105" s="151"/>
      <c r="N105" s="151"/>
      <c r="O105" s="151"/>
    </row>
    <row r="106" spans="1:15" s="4" customFormat="1" x14ac:dyDescent="0.3">
      <c r="A106" s="150"/>
      <c r="B106" s="182" t="s">
        <v>228</v>
      </c>
      <c r="C106" s="182" t="s">
        <v>229</v>
      </c>
      <c r="D106" s="191" t="s">
        <v>230</v>
      </c>
      <c r="E106" s="191">
        <v>1423.8</v>
      </c>
      <c r="F106" s="192">
        <v>1</v>
      </c>
      <c r="G106" s="191">
        <f>E106*F106</f>
        <v>1423.8</v>
      </c>
      <c r="H106" s="191">
        <f>G106*1</f>
        <v>1423.8</v>
      </c>
      <c r="I106" s="191">
        <v>1645.28</v>
      </c>
      <c r="J106" s="200">
        <v>1645.28</v>
      </c>
      <c r="K106" s="156"/>
      <c r="L106" s="151"/>
      <c r="M106" s="151"/>
      <c r="N106" s="157"/>
      <c r="O106" s="157"/>
    </row>
    <row r="107" spans="1:15" s="4" customFormat="1" x14ac:dyDescent="0.3">
      <c r="A107" s="150" t="s">
        <v>80</v>
      </c>
      <c r="B107" s="103"/>
      <c r="C107" s="103"/>
      <c r="D107" s="193"/>
      <c r="E107" s="193"/>
      <c r="F107" s="194"/>
      <c r="G107" s="193"/>
      <c r="H107" s="193"/>
      <c r="I107" s="193"/>
      <c r="J107" s="201"/>
      <c r="K107" s="156"/>
      <c r="L107" s="151"/>
      <c r="M107" s="151"/>
      <c r="N107" s="151"/>
      <c r="O107" s="151"/>
    </row>
    <row r="108" spans="1:15" s="4" customFormat="1" x14ac:dyDescent="0.3">
      <c r="A108" s="20"/>
      <c r="B108" s="182" t="s">
        <v>231</v>
      </c>
      <c r="C108" s="182" t="s">
        <v>232</v>
      </c>
      <c r="D108" s="191" t="s">
        <v>233</v>
      </c>
      <c r="E108" s="191">
        <v>1690</v>
      </c>
      <c r="F108" s="192">
        <v>12</v>
      </c>
      <c r="G108" s="191">
        <f>E108*F108</f>
        <v>20280</v>
      </c>
      <c r="H108" s="191">
        <f>G108*1</f>
        <v>20280</v>
      </c>
      <c r="I108" s="191"/>
      <c r="J108" s="200">
        <v>20280</v>
      </c>
      <c r="K108" s="156"/>
      <c r="L108" s="151"/>
      <c r="M108" s="151"/>
      <c r="N108" s="157"/>
      <c r="O108" s="157"/>
    </row>
    <row r="109" spans="1:15" s="4" customFormat="1" x14ac:dyDescent="0.3">
      <c r="A109" s="150" t="s">
        <v>81</v>
      </c>
      <c r="B109" s="103"/>
      <c r="C109" s="103"/>
      <c r="D109" s="193"/>
      <c r="E109" s="193"/>
      <c r="F109" s="194"/>
      <c r="G109" s="193"/>
      <c r="H109" s="193"/>
      <c r="I109" s="193"/>
      <c r="J109" s="201"/>
      <c r="K109" s="156"/>
      <c r="L109" s="151"/>
      <c r="M109" s="151"/>
      <c r="N109" s="157"/>
      <c r="O109" s="157"/>
    </row>
    <row r="110" spans="1:15" s="4" customFormat="1" x14ac:dyDescent="0.3">
      <c r="A110" s="20"/>
      <c r="B110" s="182" t="s">
        <v>234</v>
      </c>
      <c r="C110" s="182" t="s">
        <v>235</v>
      </c>
      <c r="D110" s="191" t="s">
        <v>236</v>
      </c>
      <c r="E110" s="191">
        <v>385</v>
      </c>
      <c r="F110" s="192">
        <v>12</v>
      </c>
      <c r="G110" s="191">
        <f>E110*F110</f>
        <v>4620</v>
      </c>
      <c r="H110" s="191">
        <f>G110*1</f>
        <v>4620</v>
      </c>
      <c r="I110" s="191">
        <v>2343.19</v>
      </c>
      <c r="J110" s="200">
        <v>5585.08</v>
      </c>
      <c r="K110" s="156"/>
      <c r="L110" s="151"/>
      <c r="M110" s="151"/>
      <c r="N110" s="157"/>
      <c r="O110" s="157"/>
    </row>
    <row r="111" spans="1:15" s="4" customFormat="1" x14ac:dyDescent="0.3">
      <c r="A111" s="20"/>
      <c r="B111" s="103" t="s">
        <v>237</v>
      </c>
      <c r="C111" s="103" t="s">
        <v>235</v>
      </c>
      <c r="D111" s="193" t="s">
        <v>238</v>
      </c>
      <c r="E111" s="193">
        <v>55</v>
      </c>
      <c r="F111" s="194">
        <v>12</v>
      </c>
      <c r="G111" s="193">
        <f>E111*F111</f>
        <v>660</v>
      </c>
      <c r="H111" s="193">
        <f>G111*1</f>
        <v>660</v>
      </c>
      <c r="I111" s="193"/>
      <c r="J111" s="201"/>
      <c r="K111" s="156"/>
      <c r="L111" s="151"/>
      <c r="M111" s="151"/>
      <c r="N111" s="151"/>
      <c r="O111" s="151"/>
    </row>
    <row r="112" spans="1:15" s="4" customFormat="1" x14ac:dyDescent="0.3">
      <c r="A112" s="20"/>
      <c r="B112" s="39"/>
      <c r="C112" s="182"/>
      <c r="D112" s="191"/>
      <c r="E112" s="191"/>
      <c r="F112" s="192"/>
      <c r="G112" s="191"/>
      <c r="H112" s="191"/>
      <c r="I112" s="191"/>
      <c r="J112" s="200"/>
      <c r="K112" s="156"/>
      <c r="L112" s="151"/>
      <c r="M112" s="151"/>
      <c r="N112" s="157"/>
      <c r="O112" s="157"/>
    </row>
    <row r="113" spans="1:15" s="4" customFormat="1" x14ac:dyDescent="0.3">
      <c r="A113" s="150" t="s">
        <v>239</v>
      </c>
      <c r="B113" s="103"/>
      <c r="C113" s="103"/>
      <c r="D113" s="193"/>
      <c r="E113" s="193"/>
      <c r="F113" s="194"/>
      <c r="G113" s="193"/>
      <c r="H113" s="193"/>
      <c r="I113" s="193"/>
      <c r="J113" s="201"/>
      <c r="K113" s="156"/>
      <c r="L113" s="151"/>
      <c r="M113" s="151"/>
      <c r="N113" s="157"/>
      <c r="O113" s="157"/>
    </row>
    <row r="114" spans="1:15" s="4" customFormat="1" x14ac:dyDescent="0.3">
      <c r="A114" s="20"/>
      <c r="B114" s="182" t="s">
        <v>240</v>
      </c>
      <c r="C114" s="182" t="s">
        <v>241</v>
      </c>
      <c r="D114" s="191" t="s">
        <v>242</v>
      </c>
      <c r="E114" s="191">
        <f>3672*1.05</f>
        <v>3855.6000000000004</v>
      </c>
      <c r="F114" s="192">
        <v>1</v>
      </c>
      <c r="G114" s="191">
        <f>E114*F114</f>
        <v>3855.6000000000004</v>
      </c>
      <c r="H114" s="191">
        <f>G114*1</f>
        <v>3855.6000000000004</v>
      </c>
      <c r="I114" s="191"/>
      <c r="J114" s="200">
        <v>4000</v>
      </c>
      <c r="K114" s="156"/>
      <c r="L114" s="151"/>
      <c r="M114" s="151"/>
      <c r="N114" s="157"/>
      <c r="O114" s="157"/>
    </row>
    <row r="115" spans="1:15" s="4" customFormat="1" x14ac:dyDescent="0.3">
      <c r="A115" s="20"/>
      <c r="B115" s="103" t="s">
        <v>243</v>
      </c>
      <c r="C115" s="103" t="s">
        <v>244</v>
      </c>
      <c r="D115" s="193" t="s">
        <v>245</v>
      </c>
      <c r="E115" s="193">
        <v>1279.8</v>
      </c>
      <c r="F115" s="194">
        <v>1</v>
      </c>
      <c r="G115" s="193">
        <f>E115*F115</f>
        <v>1279.8</v>
      </c>
      <c r="H115" s="193">
        <f>G115*1</f>
        <v>1279.8</v>
      </c>
      <c r="I115" s="193"/>
      <c r="J115" s="201">
        <v>1364.04</v>
      </c>
      <c r="K115" s="156"/>
      <c r="L115" s="151"/>
      <c r="M115" s="151"/>
      <c r="N115" s="151"/>
      <c r="O115" s="151"/>
    </row>
    <row r="116" spans="1:15" s="4" customFormat="1" x14ac:dyDescent="0.3">
      <c r="A116" s="20"/>
      <c r="B116" s="39"/>
      <c r="C116" s="182"/>
      <c r="D116" s="191"/>
      <c r="E116" s="191"/>
      <c r="F116" s="192"/>
      <c r="G116" s="191"/>
      <c r="H116" s="191"/>
      <c r="I116" s="191"/>
      <c r="J116" s="200"/>
      <c r="K116" s="156"/>
      <c r="L116" s="151"/>
      <c r="M116" s="151"/>
      <c r="N116" s="157"/>
      <c r="O116" s="157"/>
    </row>
    <row r="117" spans="1:15" s="4" customFormat="1" x14ac:dyDescent="0.3">
      <c r="A117" s="150" t="s">
        <v>83</v>
      </c>
      <c r="B117" s="103"/>
      <c r="C117" s="103"/>
      <c r="D117" s="193"/>
      <c r="E117" s="193"/>
      <c r="F117" s="194"/>
      <c r="G117" s="193"/>
      <c r="H117" s="193"/>
      <c r="I117" s="193"/>
      <c r="J117" s="201"/>
      <c r="K117" s="156"/>
      <c r="L117" s="151"/>
      <c r="M117" s="151"/>
      <c r="N117" s="151"/>
      <c r="O117" s="151"/>
    </row>
    <row r="118" spans="1:15" s="4" customFormat="1" x14ac:dyDescent="0.3">
      <c r="A118" s="20"/>
      <c r="B118" s="182" t="s">
        <v>246</v>
      </c>
      <c r="C118" s="182" t="s">
        <v>247</v>
      </c>
      <c r="D118" s="191" t="s">
        <v>248</v>
      </c>
      <c r="E118" s="191">
        <v>21.58</v>
      </c>
      <c r="F118" s="192">
        <v>24</v>
      </c>
      <c r="G118" s="191">
        <f>E118*F118</f>
        <v>517.91999999999996</v>
      </c>
      <c r="H118" s="191">
        <f>G118*1.13</f>
        <v>585.24959999999987</v>
      </c>
      <c r="I118" s="191"/>
      <c r="J118" s="200">
        <v>86.32</v>
      </c>
      <c r="K118" s="156"/>
      <c r="L118" s="151"/>
      <c r="M118" s="151"/>
      <c r="N118" s="157"/>
      <c r="O118" s="157"/>
    </row>
    <row r="119" spans="1:15" s="4" customFormat="1" x14ac:dyDescent="0.3">
      <c r="A119" s="150"/>
      <c r="B119" s="103" t="s">
        <v>249</v>
      </c>
      <c r="C119" s="103" t="s">
        <v>250</v>
      </c>
      <c r="D119" s="193" t="s">
        <v>251</v>
      </c>
      <c r="E119" s="193">
        <f>70+9.95+(34.95/4)</f>
        <v>88.6875</v>
      </c>
      <c r="F119" s="194">
        <v>12</v>
      </c>
      <c r="G119" s="193">
        <f>E119*F119</f>
        <v>1064.25</v>
      </c>
      <c r="H119" s="193">
        <f>G119*1.13</f>
        <v>1202.6025</v>
      </c>
      <c r="I119" s="193"/>
      <c r="J119" s="201"/>
      <c r="K119" s="156"/>
      <c r="L119" s="151"/>
      <c r="M119" s="151"/>
      <c r="N119" s="151"/>
      <c r="O119" s="151"/>
    </row>
    <row r="120" spans="1:15" s="4" customFormat="1" x14ac:dyDescent="0.3">
      <c r="A120" s="20"/>
      <c r="B120" s="182" t="s">
        <v>252</v>
      </c>
      <c r="C120" s="182" t="s">
        <v>253</v>
      </c>
      <c r="D120" s="191" t="s">
        <v>254</v>
      </c>
      <c r="E120" s="49">
        <f>0.0182+0.00125</f>
        <v>1.9450000000000002E-2</v>
      </c>
      <c r="F120" s="182">
        <f>6600*12</f>
        <v>79200</v>
      </c>
      <c r="G120" s="191">
        <f>E120*F120</f>
        <v>1540.44</v>
      </c>
      <c r="H120" s="191">
        <f>G120*1.13</f>
        <v>1740.6971999999998</v>
      </c>
      <c r="I120" s="191"/>
      <c r="J120" s="200"/>
      <c r="K120" s="156"/>
      <c r="L120" s="151"/>
      <c r="M120" s="151"/>
      <c r="N120" s="157"/>
      <c r="O120" s="157"/>
    </row>
    <row r="121" spans="1:15" s="4" customFormat="1" x14ac:dyDescent="0.3">
      <c r="A121" s="150"/>
      <c r="B121" s="103" t="s">
        <v>255</v>
      </c>
      <c r="C121" s="103" t="s">
        <v>253</v>
      </c>
      <c r="D121" s="193" t="s">
        <v>256</v>
      </c>
      <c r="E121" s="48">
        <v>9.7000000000000003E-2</v>
      </c>
      <c r="F121" s="194">
        <f>61*12</f>
        <v>732</v>
      </c>
      <c r="G121" s="193">
        <f>E121*F121</f>
        <v>71.004000000000005</v>
      </c>
      <c r="H121" s="193">
        <f>G121*1.13</f>
        <v>80.234520000000003</v>
      </c>
      <c r="I121" s="193"/>
      <c r="J121" s="201"/>
      <c r="K121" s="156"/>
      <c r="L121" s="151"/>
      <c r="M121" s="151"/>
      <c r="N121" s="151"/>
      <c r="O121" s="151"/>
    </row>
    <row r="122" spans="1:15" s="4" customFormat="1" x14ac:dyDescent="0.3">
      <c r="A122" s="20"/>
      <c r="B122" s="182" t="s">
        <v>257</v>
      </c>
      <c r="C122" s="182" t="s">
        <v>258</v>
      </c>
      <c r="D122" s="191" t="s">
        <v>259</v>
      </c>
      <c r="E122" s="191">
        <v>30</v>
      </c>
      <c r="F122" s="192">
        <v>3</v>
      </c>
      <c r="G122" s="191">
        <f>E122*F122</f>
        <v>90</v>
      </c>
      <c r="H122" s="191">
        <f>G122*1.13</f>
        <v>101.69999999999999</v>
      </c>
      <c r="I122" s="191">
        <v>2094.27</v>
      </c>
      <c r="J122" s="200">
        <v>4696.8100000000004</v>
      </c>
      <c r="K122" s="156"/>
      <c r="L122" s="151"/>
      <c r="M122" s="151"/>
      <c r="N122" s="157"/>
      <c r="O122" s="157"/>
    </row>
    <row r="123" spans="1:15" s="4" customFormat="1" x14ac:dyDescent="0.3">
      <c r="A123" s="150"/>
      <c r="B123" s="103"/>
      <c r="C123" s="103"/>
      <c r="D123" s="193"/>
      <c r="E123" s="193"/>
      <c r="F123" s="194"/>
      <c r="G123" s="193"/>
      <c r="H123" s="193"/>
      <c r="I123" s="193"/>
      <c r="J123" s="201"/>
      <c r="K123" s="156"/>
      <c r="L123" s="151"/>
      <c r="M123" s="151"/>
      <c r="N123" s="157"/>
      <c r="O123" s="157"/>
    </row>
    <row r="124" spans="1:15" s="4" customFormat="1" x14ac:dyDescent="0.3">
      <c r="A124" s="150"/>
      <c r="B124" s="243" t="s">
        <v>84</v>
      </c>
      <c r="C124" s="36"/>
      <c r="D124" s="179"/>
      <c r="E124" s="179"/>
      <c r="F124" s="184"/>
      <c r="G124" s="179"/>
      <c r="H124" s="179">
        <f>SUM(H100:H123)</f>
        <v>122533.18381999999</v>
      </c>
      <c r="I124" s="179">
        <f>SUM(I100:I123)</f>
        <v>91018.7</v>
      </c>
      <c r="J124" s="180">
        <f>SUM(J100:J123)</f>
        <v>129757.36</v>
      </c>
      <c r="K124" s="156"/>
      <c r="L124" s="151"/>
      <c r="M124" s="151"/>
      <c r="N124" s="157"/>
      <c r="O124" s="157"/>
    </row>
    <row r="125" spans="1:15" s="4" customFormat="1" x14ac:dyDescent="0.3">
      <c r="A125" s="150"/>
      <c r="B125" s="231"/>
      <c r="C125" s="103"/>
      <c r="D125" s="193"/>
      <c r="E125" s="193"/>
      <c r="F125" s="194"/>
      <c r="G125" s="193"/>
      <c r="H125" s="193"/>
      <c r="I125" s="193"/>
      <c r="J125" s="201"/>
      <c r="K125" s="156"/>
      <c r="L125" s="151"/>
      <c r="M125" s="151"/>
      <c r="N125" s="157"/>
      <c r="O125" s="157"/>
    </row>
    <row r="126" spans="1:15" s="4" customFormat="1" x14ac:dyDescent="0.3">
      <c r="A126" s="150" t="s">
        <v>85</v>
      </c>
      <c r="B126" s="241"/>
      <c r="C126" s="103"/>
      <c r="D126" s="193"/>
      <c r="E126" s="193"/>
      <c r="F126" s="194"/>
      <c r="G126" s="193"/>
      <c r="H126" s="193"/>
      <c r="I126" s="193"/>
      <c r="J126" s="201"/>
      <c r="K126" s="156"/>
      <c r="L126" s="160"/>
      <c r="M126" s="151"/>
      <c r="N126" s="151"/>
      <c r="O126" s="151"/>
    </row>
    <row r="127" spans="1:15" s="151" customFormat="1" x14ac:dyDescent="0.3">
      <c r="A127" s="150" t="s">
        <v>86</v>
      </c>
      <c r="B127" s="241"/>
      <c r="C127" s="103"/>
      <c r="D127" s="193"/>
      <c r="E127" s="193"/>
      <c r="F127" s="194"/>
      <c r="G127" s="193"/>
      <c r="H127" s="193"/>
      <c r="I127" s="193"/>
      <c r="J127" s="201"/>
      <c r="K127" s="156"/>
      <c r="L127" s="160"/>
    </row>
    <row r="128" spans="1:15" s="151" customFormat="1" x14ac:dyDescent="0.3">
      <c r="A128" s="150"/>
      <c r="B128" s="182" t="s">
        <v>260</v>
      </c>
      <c r="C128" s="102" t="s">
        <v>261</v>
      </c>
      <c r="D128" s="191" t="s">
        <v>262</v>
      </c>
      <c r="E128" s="191">
        <v>6</v>
      </c>
      <c r="F128" s="192">
        <v>5</v>
      </c>
      <c r="G128" s="191">
        <f>E128*F128</f>
        <v>30</v>
      </c>
      <c r="H128" s="191">
        <f>G128*1</f>
        <v>30</v>
      </c>
      <c r="I128" s="191"/>
      <c r="J128" s="200"/>
      <c r="K128" s="156"/>
      <c r="L128" s="160"/>
    </row>
    <row r="129" spans="1:15" s="4" customFormat="1" x14ac:dyDescent="0.3">
      <c r="A129" s="150"/>
      <c r="B129" s="103" t="s">
        <v>263</v>
      </c>
      <c r="C129" s="104" t="s">
        <v>264</v>
      </c>
      <c r="D129" s="193" t="s">
        <v>265</v>
      </c>
      <c r="E129" s="193">
        <v>900</v>
      </c>
      <c r="F129" s="194">
        <v>1</v>
      </c>
      <c r="G129" s="193">
        <f>E129*F129</f>
        <v>900</v>
      </c>
      <c r="H129" s="193">
        <f>G129*1</f>
        <v>900</v>
      </c>
      <c r="I129" s="193">
        <v>663.2</v>
      </c>
      <c r="J129" s="201">
        <v>663.2</v>
      </c>
      <c r="K129" s="156"/>
      <c r="L129" s="160"/>
      <c r="M129" s="151"/>
      <c r="N129" s="157"/>
      <c r="O129" s="157"/>
    </row>
    <row r="130" spans="1:15" s="4" customFormat="1" x14ac:dyDescent="0.3">
      <c r="A130" s="150"/>
      <c r="B130" s="182"/>
      <c r="C130" s="102"/>
      <c r="D130" s="191"/>
      <c r="E130" s="191"/>
      <c r="F130" s="192"/>
      <c r="G130" s="191"/>
      <c r="H130" s="191"/>
      <c r="I130" s="191"/>
      <c r="J130" s="200"/>
      <c r="K130" s="156"/>
      <c r="L130" s="151"/>
      <c r="M130" s="151"/>
      <c r="N130" s="157"/>
      <c r="O130" s="157"/>
    </row>
    <row r="131" spans="1:15" s="4" customFormat="1" x14ac:dyDescent="0.3">
      <c r="A131" s="150" t="s">
        <v>87</v>
      </c>
      <c r="B131" s="103"/>
      <c r="C131" s="103"/>
      <c r="D131" s="193"/>
      <c r="E131" s="193"/>
      <c r="F131" s="194"/>
      <c r="G131" s="193"/>
      <c r="H131" s="193"/>
      <c r="I131" s="193"/>
      <c r="J131" s="201"/>
      <c r="K131" s="156"/>
      <c r="L131" s="151"/>
      <c r="M131" s="151"/>
      <c r="N131" s="157"/>
      <c r="O131" s="157"/>
    </row>
    <row r="132" spans="1:15" s="4" customFormat="1" x14ac:dyDescent="0.3">
      <c r="A132" s="150"/>
      <c r="B132" s="182" t="s">
        <v>266</v>
      </c>
      <c r="C132" s="182" t="s">
        <v>267</v>
      </c>
      <c r="D132" s="191" t="s">
        <v>268</v>
      </c>
      <c r="E132" s="191">
        <v>38.619999999999997</v>
      </c>
      <c r="F132" s="192">
        <v>12</v>
      </c>
      <c r="G132" s="191">
        <f>E132*F132</f>
        <v>463.43999999999994</v>
      </c>
      <c r="H132" s="191">
        <f>G132*1.13</f>
        <v>523.68719999999985</v>
      </c>
      <c r="I132" s="191">
        <f>36.34+72.68+36.54+36.75+36.95+37.15</f>
        <v>256.40999999999997</v>
      </c>
      <c r="J132" s="200">
        <v>256.41000000000003</v>
      </c>
      <c r="K132" s="156"/>
      <c r="L132" s="151"/>
      <c r="M132" s="151"/>
      <c r="N132" s="151"/>
      <c r="O132" s="151"/>
    </row>
    <row r="133" spans="1:15" s="4" customFormat="1" x14ac:dyDescent="0.3">
      <c r="A133" s="150" t="s">
        <v>88</v>
      </c>
      <c r="B133" s="103"/>
      <c r="C133" s="103"/>
      <c r="D133" s="193"/>
      <c r="E133" s="193"/>
      <c r="F133" s="194"/>
      <c r="G133" s="193"/>
      <c r="H133" s="193"/>
      <c r="I133" s="193"/>
      <c r="J133" s="201"/>
      <c r="K133" s="156"/>
      <c r="L133" s="151"/>
      <c r="M133" s="151"/>
      <c r="N133" s="151"/>
      <c r="O133" s="151"/>
    </row>
    <row r="134" spans="1:15" s="4" customFormat="1" x14ac:dyDescent="0.3">
      <c r="A134" s="150"/>
      <c r="B134" s="182" t="s">
        <v>269</v>
      </c>
      <c r="C134" s="182" t="s">
        <v>270</v>
      </c>
      <c r="D134" s="191" t="s">
        <v>271</v>
      </c>
      <c r="E134" s="191">
        <v>1260</v>
      </c>
      <c r="F134" s="192">
        <v>1</v>
      </c>
      <c r="G134" s="191">
        <v>1260</v>
      </c>
      <c r="H134" s="191">
        <v>1423.8</v>
      </c>
      <c r="I134" s="191">
        <f>5686.16+384.15</f>
        <v>6070.3099999999995</v>
      </c>
      <c r="J134" s="200">
        <f>5686.16+384.15+203.38</f>
        <v>6273.69</v>
      </c>
      <c r="K134" s="156"/>
      <c r="L134" s="151"/>
      <c r="M134" s="151"/>
      <c r="N134" s="151"/>
      <c r="O134" s="151"/>
    </row>
    <row r="135" spans="1:15" s="4" customFormat="1" x14ac:dyDescent="0.3">
      <c r="A135" s="150"/>
      <c r="B135" s="103" t="s">
        <v>272</v>
      </c>
      <c r="C135" s="103" t="s">
        <v>273</v>
      </c>
      <c r="D135" s="193" t="s">
        <v>274</v>
      </c>
      <c r="E135" s="193">
        <v>500</v>
      </c>
      <c r="F135" s="117">
        <v>1</v>
      </c>
      <c r="G135" s="193">
        <v>500</v>
      </c>
      <c r="H135" s="116">
        <v>500</v>
      </c>
      <c r="I135" s="193"/>
      <c r="J135" s="201"/>
      <c r="K135" s="156"/>
      <c r="L135" s="151"/>
      <c r="M135" s="151"/>
      <c r="N135" s="151"/>
      <c r="O135" s="151"/>
    </row>
    <row r="136" spans="1:15" s="4" customFormat="1" x14ac:dyDescent="0.3">
      <c r="A136" s="150"/>
      <c r="B136" s="182" t="s">
        <v>275</v>
      </c>
      <c r="C136" s="182" t="s">
        <v>276</v>
      </c>
      <c r="D136" s="191" t="s">
        <v>277</v>
      </c>
      <c r="E136" s="191">
        <v>1142</v>
      </c>
      <c r="F136" s="192">
        <v>1</v>
      </c>
      <c r="G136" s="191">
        <v>1142</v>
      </c>
      <c r="H136" s="191">
        <v>1142</v>
      </c>
      <c r="I136" s="191"/>
      <c r="J136" s="200">
        <v>1180.94</v>
      </c>
      <c r="K136" s="156"/>
      <c r="L136" s="151"/>
      <c r="M136" s="151"/>
      <c r="N136" s="151"/>
      <c r="O136" s="151"/>
    </row>
    <row r="137" spans="1:15" s="76" customFormat="1" x14ac:dyDescent="0.3">
      <c r="A137" s="150"/>
      <c r="B137" s="103" t="s">
        <v>278</v>
      </c>
      <c r="C137" s="103" t="s">
        <v>279</v>
      </c>
      <c r="D137" s="193" t="s">
        <v>280</v>
      </c>
      <c r="E137" s="193">
        <v>400</v>
      </c>
      <c r="F137" s="194">
        <v>2</v>
      </c>
      <c r="G137" s="193">
        <v>800</v>
      </c>
      <c r="H137" s="193">
        <v>904</v>
      </c>
      <c r="I137" s="193">
        <f>880.06-150</f>
        <v>730.06</v>
      </c>
      <c r="J137" s="201">
        <v>730.06</v>
      </c>
      <c r="K137" s="156"/>
      <c r="L137" s="160"/>
      <c r="M137" s="151"/>
      <c r="N137" s="157"/>
      <c r="O137" s="157"/>
    </row>
    <row r="138" spans="1:15" s="76" customFormat="1" x14ac:dyDescent="0.3">
      <c r="A138" s="150"/>
      <c r="B138" s="182" t="s">
        <v>281</v>
      </c>
      <c r="C138" s="182" t="s">
        <v>282</v>
      </c>
      <c r="D138" s="191" t="s">
        <v>283</v>
      </c>
      <c r="E138" s="191">
        <v>500</v>
      </c>
      <c r="F138" s="192">
        <v>1</v>
      </c>
      <c r="G138" s="191">
        <v>500</v>
      </c>
      <c r="H138" s="191">
        <v>565</v>
      </c>
      <c r="I138" s="191"/>
      <c r="J138" s="200"/>
      <c r="K138" s="156"/>
      <c r="L138" s="160"/>
      <c r="M138" s="151"/>
      <c r="N138" s="157"/>
      <c r="O138" s="157"/>
    </row>
    <row r="139" spans="1:15" s="4" customFormat="1" x14ac:dyDescent="0.3">
      <c r="A139" s="164"/>
      <c r="B139" s="103" t="s">
        <v>284</v>
      </c>
      <c r="C139" s="104" t="s">
        <v>285</v>
      </c>
      <c r="D139" s="193" t="s">
        <v>286</v>
      </c>
      <c r="E139" s="193">
        <v>40</v>
      </c>
      <c r="F139" s="194">
        <v>2</v>
      </c>
      <c r="G139" s="193">
        <f>E139*F139</f>
        <v>80</v>
      </c>
      <c r="H139" s="193">
        <f>G139</f>
        <v>80</v>
      </c>
      <c r="I139" s="193"/>
      <c r="J139" s="201">
        <f>31.57+67.59</f>
        <v>99.16</v>
      </c>
      <c r="K139" s="156"/>
      <c r="L139" s="151"/>
      <c r="M139" s="151"/>
      <c r="N139" s="151"/>
      <c r="O139" s="151"/>
    </row>
    <row r="140" spans="1:15" s="151" customFormat="1" x14ac:dyDescent="0.3">
      <c r="A140" s="164"/>
      <c r="B140" s="182" t="s">
        <v>287</v>
      </c>
      <c r="C140" s="102" t="s">
        <v>288</v>
      </c>
      <c r="D140" s="191" t="s">
        <v>286</v>
      </c>
      <c r="E140" s="191">
        <v>80</v>
      </c>
      <c r="F140" s="192">
        <v>1</v>
      </c>
      <c r="G140" s="191">
        <f>E140*F140</f>
        <v>80</v>
      </c>
      <c r="H140" s="191">
        <f>G140*1.13</f>
        <v>90.399999999999991</v>
      </c>
      <c r="I140" s="191"/>
      <c r="J140" s="200">
        <v>62.13</v>
      </c>
      <c r="K140" s="156"/>
    </row>
    <row r="141" spans="1:15" s="151" customFormat="1" x14ac:dyDescent="0.3">
      <c r="A141" s="150"/>
      <c r="B141" s="103" t="s">
        <v>289</v>
      </c>
      <c r="C141" s="103" t="s">
        <v>290</v>
      </c>
      <c r="D141" s="193" t="s">
        <v>291</v>
      </c>
      <c r="E141" s="193">
        <v>2293</v>
      </c>
      <c r="F141" s="194">
        <v>1</v>
      </c>
      <c r="G141" s="193">
        <v>2293</v>
      </c>
      <c r="H141" s="193">
        <v>2591.09</v>
      </c>
      <c r="I141" s="193"/>
      <c r="J141" s="201">
        <v>2489.29</v>
      </c>
      <c r="K141" s="156"/>
    </row>
    <row r="142" spans="1:15" s="151" customFormat="1" x14ac:dyDescent="0.3">
      <c r="A142" s="150"/>
      <c r="B142" s="182" t="s">
        <v>292</v>
      </c>
      <c r="C142" s="182" t="s">
        <v>293</v>
      </c>
      <c r="D142" s="191" t="s">
        <v>294</v>
      </c>
      <c r="E142" s="191">
        <v>2000</v>
      </c>
      <c r="F142" s="192">
        <v>1</v>
      </c>
      <c r="G142" s="191">
        <f>F142*E142</f>
        <v>2000</v>
      </c>
      <c r="H142" s="191">
        <f>G142*1.13</f>
        <v>2260</v>
      </c>
      <c r="I142" s="191">
        <f>1180.94+1809.31+2489.29</f>
        <v>5479.54</v>
      </c>
      <c r="J142" s="200">
        <v>1809.31</v>
      </c>
      <c r="K142" s="156"/>
    </row>
    <row r="143" spans="1:15" s="4" customFormat="1" x14ac:dyDescent="0.3">
      <c r="A143" s="150"/>
      <c r="B143" s="182"/>
      <c r="C143" s="182" t="s">
        <v>295</v>
      </c>
      <c r="D143" s="191" t="s">
        <v>296</v>
      </c>
      <c r="E143" s="191"/>
      <c r="F143" s="192"/>
      <c r="G143" s="191"/>
      <c r="H143" s="191"/>
      <c r="I143" s="191">
        <v>112.99</v>
      </c>
      <c r="J143" s="200">
        <v>112.99</v>
      </c>
      <c r="K143" s="156"/>
      <c r="L143" s="160"/>
      <c r="M143" s="151"/>
      <c r="N143" s="157"/>
      <c r="O143" s="157"/>
    </row>
    <row r="144" spans="1:15" s="4" customFormat="1" x14ac:dyDescent="0.3">
      <c r="A144" s="150"/>
      <c r="B144" s="182"/>
      <c r="C144" s="182" t="s">
        <v>1568</v>
      </c>
      <c r="D144" s="191" t="s">
        <v>1569</v>
      </c>
      <c r="E144" s="191"/>
      <c r="F144" s="192"/>
      <c r="G144" s="191"/>
      <c r="H144" s="191"/>
      <c r="I144" s="191"/>
      <c r="J144" s="200">
        <v>60</v>
      </c>
      <c r="K144" s="156"/>
      <c r="L144" s="151"/>
      <c r="M144" s="151"/>
      <c r="N144" s="157"/>
      <c r="O144" s="157"/>
    </row>
    <row r="145" spans="1:15" s="4" customFormat="1" x14ac:dyDescent="0.3">
      <c r="A145" s="150" t="s">
        <v>89</v>
      </c>
      <c r="B145" s="103"/>
      <c r="C145" s="103"/>
      <c r="D145" s="193"/>
      <c r="E145" s="193"/>
      <c r="F145" s="194"/>
      <c r="G145" s="193"/>
      <c r="H145" s="193"/>
      <c r="I145" s="193"/>
      <c r="J145" s="201"/>
      <c r="K145" s="156"/>
      <c r="L145" s="151"/>
      <c r="M145" s="151"/>
      <c r="N145" s="157"/>
      <c r="O145" s="157"/>
    </row>
    <row r="146" spans="1:15" s="4" customFormat="1" x14ac:dyDescent="0.3">
      <c r="A146" s="150"/>
      <c r="B146" s="182" t="s">
        <v>297</v>
      </c>
      <c r="C146" s="182" t="s">
        <v>298</v>
      </c>
      <c r="D146" s="191" t="s">
        <v>299</v>
      </c>
      <c r="E146" s="191">
        <v>68.5</v>
      </c>
      <c r="F146" s="192">
        <v>12</v>
      </c>
      <c r="G146" s="191">
        <f>E146*F146</f>
        <v>822</v>
      </c>
      <c r="H146" s="191">
        <f>G146*1</f>
        <v>822</v>
      </c>
      <c r="I146" s="191">
        <f>77.54+107.44+45.61+21.58*4+27.29+2.85+96.1+33.98</f>
        <v>477.13000000000011</v>
      </c>
      <c r="J146" s="200">
        <v>582.97</v>
      </c>
      <c r="K146" s="156"/>
      <c r="L146" s="151"/>
      <c r="M146" s="151"/>
      <c r="N146" s="151"/>
      <c r="O146" s="151"/>
    </row>
    <row r="147" spans="1:15" s="4" customFormat="1" x14ac:dyDescent="0.3">
      <c r="A147" s="150" t="s">
        <v>90</v>
      </c>
      <c r="B147" s="103"/>
      <c r="C147" s="103"/>
      <c r="D147" s="193"/>
      <c r="E147" s="193"/>
      <c r="F147" s="194"/>
      <c r="G147" s="193"/>
      <c r="H147" s="193"/>
      <c r="I147" s="193"/>
      <c r="J147" s="201"/>
      <c r="K147" s="156"/>
      <c r="L147" s="151"/>
      <c r="M147" s="151"/>
      <c r="N147" s="151"/>
      <c r="O147" s="151"/>
    </row>
    <row r="148" spans="1:15" s="4" customFormat="1" x14ac:dyDescent="0.3">
      <c r="A148" s="150"/>
      <c r="B148" s="182" t="s">
        <v>300</v>
      </c>
      <c r="C148" s="182" t="s">
        <v>301</v>
      </c>
      <c r="D148" s="191" t="s">
        <v>302</v>
      </c>
      <c r="E148" s="191">
        <v>40</v>
      </c>
      <c r="F148" s="192">
        <v>12</v>
      </c>
      <c r="G148" s="191">
        <f>E148*F148</f>
        <v>480</v>
      </c>
      <c r="H148" s="191">
        <f>G148*1.13</f>
        <v>542.4</v>
      </c>
      <c r="I148" s="191">
        <v>125.48</v>
      </c>
      <c r="J148" s="200">
        <v>553.08000000000004</v>
      </c>
      <c r="K148" s="156"/>
      <c r="L148" s="151"/>
      <c r="M148" s="151"/>
      <c r="N148" s="151"/>
      <c r="O148" s="151"/>
    </row>
    <row r="149" spans="1:15" s="4" customFormat="1" x14ac:dyDescent="0.3">
      <c r="A149" s="150" t="s">
        <v>91</v>
      </c>
      <c r="B149" s="129"/>
      <c r="C149" s="103"/>
      <c r="D149" s="193"/>
      <c r="E149" s="193"/>
      <c r="F149" s="194"/>
      <c r="G149" s="193"/>
      <c r="H149" s="193"/>
      <c r="I149" s="193"/>
      <c r="J149" s="201"/>
      <c r="K149" s="156"/>
      <c r="L149" s="151"/>
      <c r="M149" s="151"/>
      <c r="N149" s="151"/>
      <c r="O149" s="151"/>
    </row>
    <row r="150" spans="1:15" s="4" customFormat="1" x14ac:dyDescent="0.3">
      <c r="A150" s="150"/>
      <c r="B150" s="182" t="s">
        <v>303</v>
      </c>
      <c r="C150" s="182" t="s">
        <v>304</v>
      </c>
      <c r="D150" s="191" t="s">
        <v>305</v>
      </c>
      <c r="E150" s="191">
        <f>957.81/2</f>
        <v>478.90499999999997</v>
      </c>
      <c r="F150" s="192">
        <v>2</v>
      </c>
      <c r="G150" s="191">
        <f>E150*F150</f>
        <v>957.81</v>
      </c>
      <c r="H150" s="191">
        <f>G150*1</f>
        <v>957.81</v>
      </c>
      <c r="I150" s="191">
        <v>474.14</v>
      </c>
      <c r="J150" s="200">
        <v>1153.6099999999999</v>
      </c>
      <c r="K150" s="156"/>
      <c r="L150" s="151"/>
      <c r="M150" s="151"/>
      <c r="N150" s="151"/>
      <c r="O150" s="151"/>
    </row>
    <row r="151" spans="1:15" s="4" customFormat="1" x14ac:dyDescent="0.3">
      <c r="A151" s="150" t="s">
        <v>92</v>
      </c>
      <c r="B151" s="129"/>
      <c r="C151" s="103"/>
      <c r="D151" s="193"/>
      <c r="E151" s="193"/>
      <c r="F151" s="194"/>
      <c r="G151" s="193"/>
      <c r="H151" s="193"/>
      <c r="I151" s="193"/>
      <c r="J151" s="201"/>
      <c r="K151" s="156"/>
      <c r="L151" s="151"/>
      <c r="M151" s="151"/>
      <c r="N151" s="151"/>
      <c r="O151" s="151"/>
    </row>
    <row r="152" spans="1:15" s="4" customFormat="1" x14ac:dyDescent="0.3">
      <c r="A152" s="150"/>
      <c r="B152" s="182" t="s">
        <v>306</v>
      </c>
      <c r="C152" s="182" t="s">
        <v>307</v>
      </c>
      <c r="D152" s="191" t="s">
        <v>308</v>
      </c>
      <c r="E152" s="191">
        <v>0.5</v>
      </c>
      <c r="F152" s="192">
        <v>1800</v>
      </c>
      <c r="G152" s="191">
        <f>E152*F152</f>
        <v>900</v>
      </c>
      <c r="H152" s="191">
        <f>G152*1</f>
        <v>900</v>
      </c>
      <c r="I152" s="191">
        <v>147.5</v>
      </c>
      <c r="J152" s="200">
        <f>449.97+28</f>
        <v>477.97</v>
      </c>
      <c r="K152" s="156"/>
      <c r="L152" s="151"/>
      <c r="M152" s="151"/>
      <c r="N152" s="151"/>
      <c r="O152" s="151"/>
    </row>
    <row r="153" spans="1:15" s="4" customFormat="1" x14ac:dyDescent="0.3">
      <c r="A153" s="150" t="s">
        <v>93</v>
      </c>
      <c r="B153" s="129"/>
      <c r="C153" s="103"/>
      <c r="D153" s="193"/>
      <c r="E153" s="193"/>
      <c r="F153" s="194"/>
      <c r="G153" s="193"/>
      <c r="H153" s="193"/>
      <c r="I153" s="193"/>
      <c r="J153" s="201"/>
      <c r="K153" s="156"/>
      <c r="L153" s="151"/>
      <c r="M153" s="151"/>
      <c r="N153" s="151"/>
      <c r="O153" s="151"/>
    </row>
    <row r="154" spans="1:15" s="4" customFormat="1" x14ac:dyDescent="0.3">
      <c r="A154" s="150"/>
      <c r="B154" s="182" t="s">
        <v>309</v>
      </c>
      <c r="C154" s="182" t="s">
        <v>310</v>
      </c>
      <c r="D154" s="191" t="s">
        <v>311</v>
      </c>
      <c r="E154" s="191">
        <v>475</v>
      </c>
      <c r="F154" s="192">
        <v>1</v>
      </c>
      <c r="G154" s="191">
        <f>E154*F154</f>
        <v>475</v>
      </c>
      <c r="H154" s="191">
        <f>G154*1.13</f>
        <v>536.75</v>
      </c>
      <c r="I154" s="191">
        <v>462.48</v>
      </c>
      <c r="J154" s="200">
        <v>773.63</v>
      </c>
      <c r="K154" s="156"/>
      <c r="L154" s="151"/>
      <c r="M154" s="151"/>
      <c r="N154" s="151"/>
      <c r="O154" s="151"/>
    </row>
    <row r="155" spans="1:15" s="4" customFormat="1" x14ac:dyDescent="0.3">
      <c r="A155" s="150" t="s">
        <v>94</v>
      </c>
      <c r="B155" s="129"/>
      <c r="C155" s="103"/>
      <c r="D155" s="193"/>
      <c r="E155" s="193"/>
      <c r="F155" s="194"/>
      <c r="G155" s="193"/>
      <c r="H155" s="193"/>
      <c r="I155" s="193"/>
      <c r="J155" s="201"/>
      <c r="K155" s="156"/>
      <c r="L155" s="151"/>
      <c r="M155" s="151"/>
      <c r="N155" s="151"/>
      <c r="O155" s="151"/>
    </row>
    <row r="156" spans="1:15" s="4" customFormat="1" x14ac:dyDescent="0.3">
      <c r="A156" s="150"/>
      <c r="B156" s="182" t="s">
        <v>312</v>
      </c>
      <c r="C156" s="182" t="s">
        <v>313</v>
      </c>
      <c r="D156" s="191" t="s">
        <v>314</v>
      </c>
      <c r="E156" s="191">
        <f>H17-H69</f>
        <v>104.4</v>
      </c>
      <c r="F156" s="192">
        <v>1</v>
      </c>
      <c r="G156" s="191">
        <f>E156*F156</f>
        <v>104.4</v>
      </c>
      <c r="H156" s="191">
        <f>G156*1</f>
        <v>104.4</v>
      </c>
      <c r="I156" s="191"/>
      <c r="J156" s="200">
        <v>0</v>
      </c>
      <c r="K156" s="156"/>
      <c r="L156" s="151"/>
      <c r="M156" s="151"/>
      <c r="N156" s="151"/>
      <c r="O156" s="151"/>
    </row>
    <row r="157" spans="1:15" s="4" customFormat="1" x14ac:dyDescent="0.3">
      <c r="A157" s="150" t="s">
        <v>95</v>
      </c>
      <c r="B157" s="129"/>
      <c r="C157" s="103"/>
      <c r="D157" s="193"/>
      <c r="E157" s="193"/>
      <c r="F157" s="194"/>
      <c r="G157" s="193"/>
      <c r="H157" s="193"/>
      <c r="I157" s="193"/>
      <c r="J157" s="201"/>
      <c r="K157" s="156"/>
      <c r="L157" s="151"/>
      <c r="M157" s="151"/>
      <c r="N157" s="151"/>
      <c r="O157" s="151"/>
    </row>
    <row r="158" spans="1:15" s="4" customFormat="1" x14ac:dyDescent="0.3">
      <c r="A158" s="150"/>
      <c r="B158" s="182" t="s">
        <v>315</v>
      </c>
      <c r="C158" s="182" t="s">
        <v>316</v>
      </c>
      <c r="D158" s="191"/>
      <c r="E158" s="191">
        <v>0</v>
      </c>
      <c r="F158" s="192">
        <v>1</v>
      </c>
      <c r="G158" s="191">
        <f>E158*F158</f>
        <v>0</v>
      </c>
      <c r="H158" s="191">
        <f>G158*1.13</f>
        <v>0</v>
      </c>
      <c r="I158" s="191"/>
      <c r="J158" s="200">
        <v>0</v>
      </c>
      <c r="K158" s="156"/>
      <c r="L158" s="151"/>
      <c r="M158" s="151"/>
      <c r="N158" s="151"/>
      <c r="O158" s="151"/>
    </row>
    <row r="159" spans="1:15" s="4" customFormat="1" x14ac:dyDescent="0.3">
      <c r="A159" s="150" t="s">
        <v>317</v>
      </c>
      <c r="B159" s="129"/>
      <c r="C159" s="103"/>
      <c r="D159" s="193"/>
      <c r="E159" s="193"/>
      <c r="F159" s="194"/>
      <c r="G159" s="193"/>
      <c r="H159" s="193"/>
      <c r="I159" s="193"/>
      <c r="J159" s="201"/>
      <c r="K159" s="156"/>
      <c r="L159" s="151"/>
      <c r="M159" s="151"/>
      <c r="N159" s="151"/>
      <c r="O159" s="151"/>
    </row>
    <row r="160" spans="1:15" s="4" customFormat="1" x14ac:dyDescent="0.3">
      <c r="A160" s="150"/>
      <c r="B160" s="182" t="s">
        <v>318</v>
      </c>
      <c r="C160" s="182" t="s">
        <v>319</v>
      </c>
      <c r="D160" s="191" t="s">
        <v>320</v>
      </c>
      <c r="E160" s="191">
        <v>15000</v>
      </c>
      <c r="F160" s="192">
        <v>1</v>
      </c>
      <c r="G160" s="191">
        <f>E160*F160</f>
        <v>15000</v>
      </c>
      <c r="H160" s="191">
        <f>G160*1</f>
        <v>15000</v>
      </c>
      <c r="I160" s="191">
        <f>40.49</f>
        <v>40.49</v>
      </c>
      <c r="J160" s="200">
        <v>2106.2399999999998</v>
      </c>
      <c r="K160" s="156"/>
      <c r="L160" s="151"/>
      <c r="M160" s="151"/>
      <c r="N160" s="157"/>
      <c r="O160" s="157"/>
    </row>
    <row r="161" spans="1:15" s="4" customFormat="1" x14ac:dyDescent="0.3">
      <c r="A161" s="150"/>
      <c r="B161" s="129"/>
      <c r="C161" s="103"/>
      <c r="D161" s="193"/>
      <c r="E161" s="193"/>
      <c r="F161" s="194"/>
      <c r="G161" s="193"/>
      <c r="H161" s="193"/>
      <c r="I161" s="193"/>
      <c r="J161" s="201"/>
      <c r="K161" s="156"/>
      <c r="L161" s="151"/>
      <c r="M161" s="151"/>
      <c r="N161" s="157"/>
      <c r="O161" s="157"/>
    </row>
    <row r="162" spans="1:15" s="9" customFormat="1" ht="18.75" x14ac:dyDescent="0.35">
      <c r="A162" s="150"/>
      <c r="B162" s="243" t="s">
        <v>97</v>
      </c>
      <c r="C162" s="36"/>
      <c r="D162" s="179"/>
      <c r="E162" s="179"/>
      <c r="F162" s="184"/>
      <c r="G162" s="179"/>
      <c r="H162" s="179">
        <f>SUM(H128:H161)</f>
        <v>29873.337199999998</v>
      </c>
      <c r="I162" s="179">
        <f>SUM(I128:I161)</f>
        <v>15039.729999999998</v>
      </c>
      <c r="J162" s="180">
        <f>SUM(J128:J161)</f>
        <v>19384.68</v>
      </c>
      <c r="K162" s="130"/>
      <c r="L162" s="151"/>
      <c r="M162" s="130"/>
      <c r="N162" s="130"/>
      <c r="O162" s="132"/>
    </row>
    <row r="163" spans="1:15" s="9" customFormat="1" ht="18.75" x14ac:dyDescent="0.35">
      <c r="A163" s="105"/>
      <c r="B163" s="231"/>
      <c r="C163" s="129"/>
      <c r="D163" s="196"/>
      <c r="E163" s="196"/>
      <c r="F163" s="202"/>
      <c r="G163" s="196"/>
      <c r="H163" s="196"/>
      <c r="I163" s="196"/>
      <c r="J163" s="197"/>
      <c r="K163" s="130"/>
      <c r="L163" s="151"/>
      <c r="M163" s="130"/>
      <c r="N163" s="130"/>
      <c r="O163" s="132"/>
    </row>
    <row r="164" spans="1:15" s="11" customFormat="1" ht="20.25" x14ac:dyDescent="0.35">
      <c r="A164" s="45"/>
      <c r="B164" s="245"/>
      <c r="C164" s="37" t="s">
        <v>98</v>
      </c>
      <c r="D164" s="203"/>
      <c r="E164" s="203"/>
      <c r="F164" s="204"/>
      <c r="G164" s="203"/>
      <c r="H164" s="203">
        <f>H162+H124+H96+H79</f>
        <v>226698.19402</v>
      </c>
      <c r="I164" s="203">
        <f>I162+I124+I96+I79</f>
        <v>125142.19</v>
      </c>
      <c r="J164" s="205">
        <f>J162+J124+J96+J79</f>
        <v>225076.91</v>
      </c>
      <c r="K164" s="136"/>
      <c r="L164" s="151"/>
      <c r="M164" s="133"/>
      <c r="N164" s="133"/>
      <c r="O164" s="133"/>
    </row>
    <row r="165" spans="1:15" s="13" customFormat="1" ht="20.25" x14ac:dyDescent="0.35">
      <c r="A165" s="45"/>
      <c r="B165" s="245"/>
      <c r="C165" s="37"/>
      <c r="D165" s="203"/>
      <c r="E165" s="203"/>
      <c r="F165" s="204"/>
      <c r="G165" s="203"/>
      <c r="H165" s="203"/>
      <c r="I165" s="203"/>
      <c r="J165" s="205"/>
      <c r="K165" s="170"/>
      <c r="L165" s="159"/>
      <c r="M165" s="170"/>
      <c r="N165" s="170"/>
      <c r="O165" s="170"/>
    </row>
    <row r="166" spans="1:15" s="13" customFormat="1" ht="20.25" x14ac:dyDescent="0.35">
      <c r="A166" s="275" t="s">
        <v>99</v>
      </c>
      <c r="B166" s="276"/>
      <c r="C166" s="276"/>
      <c r="D166" s="167"/>
      <c r="E166" s="167"/>
      <c r="F166" s="190"/>
      <c r="G166" s="167"/>
      <c r="H166" s="167"/>
      <c r="I166" s="167"/>
      <c r="J166" s="168"/>
      <c r="K166" s="170"/>
      <c r="L166" s="159"/>
      <c r="M166" s="170"/>
      <c r="N166" s="170"/>
      <c r="O166" s="170"/>
    </row>
    <row r="167" spans="1:15" s="13" customFormat="1" ht="20.25" x14ac:dyDescent="0.35">
      <c r="A167" s="46"/>
      <c r="B167" s="246" t="s">
        <v>100</v>
      </c>
      <c r="C167" s="214"/>
      <c r="D167" s="206"/>
      <c r="E167" s="206"/>
      <c r="F167" s="206"/>
      <c r="G167" s="206"/>
      <c r="H167" s="206">
        <f>H56</f>
        <v>316061.10000000003</v>
      </c>
      <c r="I167" s="206">
        <f>I56</f>
        <v>254426.15</v>
      </c>
      <c r="J167" s="118">
        <f>J56</f>
        <v>318124.08999999997</v>
      </c>
      <c r="K167" s="170"/>
      <c r="L167" s="159"/>
      <c r="M167" s="170"/>
      <c r="N167" s="170"/>
      <c r="O167" s="170"/>
    </row>
    <row r="168" spans="1:15" s="4" customFormat="1" ht="20.25" x14ac:dyDescent="0.35">
      <c r="A168" s="46"/>
      <c r="B168" s="247" t="s">
        <v>101</v>
      </c>
      <c r="C168" s="136"/>
      <c r="D168" s="207"/>
      <c r="E168" s="207"/>
      <c r="F168" s="207"/>
      <c r="G168" s="207"/>
      <c r="H168" s="207">
        <f>H164</f>
        <v>226698.19402</v>
      </c>
      <c r="I168" s="207">
        <f>I164</f>
        <v>125142.19</v>
      </c>
      <c r="J168" s="119">
        <f>J164</f>
        <v>225076.91</v>
      </c>
      <c r="K168" s="151"/>
      <c r="L168" s="151"/>
      <c r="M168" s="151"/>
      <c r="N168" s="151"/>
      <c r="O168" s="151"/>
    </row>
    <row r="169" spans="1:15" ht="20.25" x14ac:dyDescent="0.35">
      <c r="A169" s="47"/>
      <c r="B169" s="248" t="s">
        <v>102</v>
      </c>
      <c r="C169" s="215"/>
      <c r="D169" s="209"/>
      <c r="E169" s="209"/>
      <c r="F169" s="209"/>
      <c r="G169" s="209"/>
      <c r="H169" s="209">
        <f>H167-H168</f>
        <v>89362.90598000004</v>
      </c>
      <c r="I169" s="209">
        <f>I167-I168</f>
        <v>129283.95999999999</v>
      </c>
      <c r="J169" s="120">
        <f>J167-J168</f>
        <v>93047.179999999964</v>
      </c>
    </row>
    <row r="170" spans="1:15" x14ac:dyDescent="0.3">
      <c r="A170" s="99"/>
      <c r="C170" s="42"/>
      <c r="E170" s="193"/>
      <c r="F170" s="194"/>
      <c r="G170" s="193"/>
      <c r="H170" s="193"/>
      <c r="I170" s="193"/>
      <c r="J170" s="193"/>
    </row>
  </sheetData>
  <mergeCells count="6">
    <mergeCell ref="A166:C166"/>
    <mergeCell ref="D1:J4"/>
    <mergeCell ref="A5:C5"/>
    <mergeCell ref="D5:E5"/>
    <mergeCell ref="A8:C8"/>
    <mergeCell ref="A58:C58"/>
  </mergeCells>
  <pageMargins left="0" right="0" top="0" bottom="0" header="0" footer="0"/>
  <pageSetup scale="41" fitToHeight="0" orientation="landscape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zoomScale="70" zoomScaleNormal="70" zoomScalePageLayoutView="70" workbookViewId="0">
      <pane xSplit="3" ySplit="6" topLeftCell="E7" activePane="bottomRight" state="frozen"/>
      <selection pane="topRight" activeCell="C1" sqref="C1"/>
      <selection pane="bottomLeft" activeCell="A4" sqref="A4"/>
      <selection pane="bottomRight" activeCell="D27" sqref="D27"/>
    </sheetView>
  </sheetViews>
  <sheetFormatPr defaultColWidth="8.85546875" defaultRowHeight="17.25" x14ac:dyDescent="0.3"/>
  <cols>
    <col min="1" max="2" width="13.85546875" style="15" customWidth="1"/>
    <col min="3" max="3" width="30.5703125" style="41" bestFit="1" customWidth="1"/>
    <col min="4" max="4" width="46.42578125" style="60" bestFit="1" customWidth="1"/>
    <col min="5" max="5" width="12" style="5" bestFit="1" customWidth="1"/>
    <col min="6" max="6" width="15.28515625" style="22" customWidth="1"/>
    <col min="7" max="7" width="11.140625" style="5" bestFit="1" customWidth="1"/>
    <col min="8" max="8" width="16.570312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customHeight="1" x14ac:dyDescent="0.3">
      <c r="A1" s="284"/>
      <c r="B1" s="285"/>
      <c r="C1" s="286"/>
      <c r="D1" s="262" t="s">
        <v>321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customHeight="1" x14ac:dyDescent="0.3">
      <c r="A2" s="287"/>
      <c r="B2" s="288"/>
      <c r="C2" s="289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customHeight="1" x14ac:dyDescent="0.3">
      <c r="A3" s="287"/>
      <c r="B3" s="288"/>
      <c r="C3" s="289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customHeight="1" x14ac:dyDescent="0.3">
      <c r="A4" s="290"/>
      <c r="B4" s="291"/>
      <c r="C4" s="292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72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71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/>
      <c r="B9" s="159"/>
      <c r="C9" s="129"/>
      <c r="D9" s="68"/>
      <c r="E9" s="196"/>
      <c r="F9" s="202"/>
      <c r="G9" s="196"/>
      <c r="H9" s="196"/>
      <c r="I9" s="196"/>
      <c r="J9" s="197"/>
      <c r="K9" s="156"/>
      <c r="L9" s="160"/>
      <c r="M9" s="156"/>
      <c r="N9" s="156"/>
      <c r="O9" s="157"/>
    </row>
    <row r="10" spans="1:15" s="7" customFormat="1" ht="18.75" x14ac:dyDescent="0.35">
      <c r="A10" s="161"/>
      <c r="B10" s="162"/>
      <c r="C10" s="37" t="s">
        <v>58</v>
      </c>
      <c r="D10" s="65"/>
      <c r="E10" s="203"/>
      <c r="F10" s="204"/>
      <c r="G10" s="203"/>
      <c r="H10" s="203">
        <v>0</v>
      </c>
      <c r="I10" s="203">
        <v>0</v>
      </c>
      <c r="J10" s="205">
        <v>0</v>
      </c>
      <c r="K10" s="126"/>
      <c r="L10" s="127"/>
      <c r="M10" s="126"/>
      <c r="N10" s="126"/>
      <c r="O10" s="128"/>
    </row>
    <row r="11" spans="1:15" s="7" customFormat="1" ht="18.75" x14ac:dyDescent="0.35">
      <c r="A11" s="161"/>
      <c r="B11" s="162"/>
      <c r="C11" s="37"/>
      <c r="D11" s="68"/>
      <c r="E11" s="196"/>
      <c r="F11" s="202"/>
      <c r="G11" s="196"/>
      <c r="H11" s="196"/>
      <c r="I11" s="196"/>
      <c r="J11" s="197"/>
      <c r="K11" s="126"/>
      <c r="L11" s="127"/>
      <c r="M11" s="126"/>
      <c r="N11" s="126"/>
      <c r="O11" s="128"/>
    </row>
    <row r="12" spans="1:15" s="4" customFormat="1" x14ac:dyDescent="0.3">
      <c r="A12" s="273" t="s">
        <v>59</v>
      </c>
      <c r="B12" s="274"/>
      <c r="C12" s="274"/>
      <c r="D12" s="71"/>
      <c r="E12" s="163"/>
      <c r="F12" s="189"/>
      <c r="G12" s="163"/>
      <c r="H12" s="163"/>
      <c r="I12" s="163"/>
      <c r="J12" s="149"/>
      <c r="K12" s="129"/>
      <c r="L12" s="129"/>
      <c r="M12" s="151"/>
      <c r="N12" s="151"/>
      <c r="O12" s="151"/>
    </row>
    <row r="13" spans="1:15" s="6" customFormat="1" x14ac:dyDescent="0.3">
      <c r="A13" s="150" t="s">
        <v>322</v>
      </c>
      <c r="B13" s="159"/>
      <c r="C13" s="103"/>
      <c r="D13" s="70"/>
      <c r="E13" s="193"/>
      <c r="F13" s="194"/>
      <c r="G13" s="193"/>
      <c r="H13" s="193"/>
      <c r="I13" s="193"/>
      <c r="J13" s="201"/>
      <c r="K13" s="156"/>
      <c r="L13" s="124"/>
      <c r="M13" s="159"/>
      <c r="N13" s="123"/>
      <c r="O13" s="125"/>
    </row>
    <row r="14" spans="1:15" s="4" customFormat="1" x14ac:dyDescent="0.3">
      <c r="A14" s="151"/>
      <c r="B14" s="182" t="s">
        <v>323</v>
      </c>
      <c r="C14" s="102" t="s">
        <v>324</v>
      </c>
      <c r="D14" s="50" t="s">
        <v>325</v>
      </c>
      <c r="E14" s="191">
        <v>2000</v>
      </c>
      <c r="F14" s="192">
        <v>1</v>
      </c>
      <c r="G14" s="191">
        <f>E14*F14</f>
        <v>2000</v>
      </c>
      <c r="H14" s="191">
        <f>G14</f>
        <v>2000</v>
      </c>
      <c r="I14" s="191">
        <v>1971.59</v>
      </c>
      <c r="J14" s="200">
        <v>1971.59</v>
      </c>
      <c r="K14" s="151"/>
      <c r="L14" s="160"/>
      <c r="M14" s="151"/>
      <c r="N14" s="157"/>
      <c r="O14" s="151"/>
    </row>
    <row r="15" spans="1:15" s="151" customFormat="1" x14ac:dyDescent="0.3">
      <c r="A15" s="155"/>
      <c r="C15" s="104"/>
      <c r="D15" s="70"/>
      <c r="E15" s="193"/>
      <c r="F15" s="194"/>
      <c r="G15" s="193"/>
      <c r="H15" s="193"/>
      <c r="I15" s="193"/>
      <c r="J15" s="201"/>
      <c r="L15" s="160"/>
      <c r="N15" s="157"/>
    </row>
    <row r="16" spans="1:15" s="4" customFormat="1" x14ac:dyDescent="0.3">
      <c r="A16" s="155"/>
      <c r="B16" s="158" t="s">
        <v>326</v>
      </c>
      <c r="C16" s="38"/>
      <c r="D16" s="69"/>
      <c r="E16" s="179"/>
      <c r="F16" s="184"/>
      <c r="G16" s="179"/>
      <c r="H16" s="179">
        <f>SUM(H13:H14)</f>
        <v>2000</v>
      </c>
      <c r="I16" s="179">
        <f>SUM(I13:I14)</f>
        <v>1971.59</v>
      </c>
      <c r="J16" s="180">
        <f>SUM(J13:J14)</f>
        <v>1971.59</v>
      </c>
      <c r="K16" s="151"/>
      <c r="L16" s="160"/>
      <c r="M16" s="151"/>
      <c r="N16" s="157"/>
      <c r="O16" s="151"/>
    </row>
    <row r="17" spans="1:15" s="4" customFormat="1" x14ac:dyDescent="0.3">
      <c r="A17" s="150"/>
      <c r="B17" s="159"/>
      <c r="C17" s="129"/>
      <c r="D17" s="68"/>
      <c r="E17" s="196"/>
      <c r="F17" s="202"/>
      <c r="G17" s="196"/>
      <c r="H17" s="196"/>
      <c r="I17" s="196"/>
      <c r="J17" s="197"/>
      <c r="K17" s="156"/>
      <c r="L17" s="160"/>
      <c r="M17" s="151"/>
      <c r="N17" s="157"/>
      <c r="O17" s="157"/>
    </row>
    <row r="18" spans="1:15" s="4" customFormat="1" x14ac:dyDescent="0.3">
      <c r="A18" s="150" t="s">
        <v>327</v>
      </c>
      <c r="B18" s="159"/>
      <c r="C18" s="103"/>
      <c r="D18" s="70"/>
      <c r="E18" s="193"/>
      <c r="F18" s="194"/>
      <c r="G18" s="193"/>
      <c r="H18" s="193"/>
      <c r="I18" s="193"/>
      <c r="J18" s="201"/>
      <c r="K18" s="156"/>
      <c r="L18" s="160"/>
      <c r="M18" s="151"/>
      <c r="N18" s="157"/>
      <c r="O18" s="157"/>
    </row>
    <row r="19" spans="1:15" s="4" customFormat="1" x14ac:dyDescent="0.3">
      <c r="A19" s="164"/>
      <c r="B19" s="182" t="s">
        <v>328</v>
      </c>
      <c r="C19" s="102" t="s">
        <v>329</v>
      </c>
      <c r="D19" s="50" t="s">
        <v>330</v>
      </c>
      <c r="E19" s="191">
        <v>12</v>
      </c>
      <c r="F19" s="192">
        <v>16</v>
      </c>
      <c r="G19" s="191">
        <f>E19*F19</f>
        <v>192</v>
      </c>
      <c r="H19" s="191">
        <f>G19*1.13</f>
        <v>216.95999999999998</v>
      </c>
      <c r="I19" s="191"/>
      <c r="J19" s="200">
        <v>329.01</v>
      </c>
      <c r="K19" s="156"/>
      <c r="L19" s="160"/>
      <c r="M19" s="151"/>
      <c r="N19" s="157"/>
      <c r="O19" s="157"/>
    </row>
    <row r="20" spans="1:15" s="4" customFormat="1" x14ac:dyDescent="0.3">
      <c r="A20" s="164"/>
      <c r="B20" s="103" t="s">
        <v>331</v>
      </c>
      <c r="C20" s="104" t="s">
        <v>332</v>
      </c>
      <c r="D20" s="70" t="s">
        <v>333</v>
      </c>
      <c r="E20" s="193">
        <v>25</v>
      </c>
      <c r="F20" s="194">
        <v>14</v>
      </c>
      <c r="G20" s="193">
        <f>E20*F20</f>
        <v>350</v>
      </c>
      <c r="H20" s="193">
        <f>G20*1.13</f>
        <v>395.49999999999994</v>
      </c>
      <c r="I20" s="193">
        <v>380.45</v>
      </c>
      <c r="J20" s="201">
        <v>380.45</v>
      </c>
      <c r="K20" s="156"/>
      <c r="L20" s="160"/>
      <c r="M20" s="151"/>
      <c r="N20" s="157"/>
      <c r="O20" s="157"/>
    </row>
    <row r="21" spans="1:15" s="4" customFormat="1" x14ac:dyDescent="0.3">
      <c r="A21" s="164"/>
      <c r="B21" s="182" t="s">
        <v>334</v>
      </c>
      <c r="C21" s="102" t="s">
        <v>335</v>
      </c>
      <c r="D21" s="50" t="s">
        <v>336</v>
      </c>
      <c r="E21" s="191">
        <v>65</v>
      </c>
      <c r="F21" s="192">
        <v>18</v>
      </c>
      <c r="G21" s="191">
        <f>E21*F21</f>
        <v>1170</v>
      </c>
      <c r="H21" s="191">
        <f>G21*1.13</f>
        <v>1322.1</v>
      </c>
      <c r="I21" s="191"/>
      <c r="J21" s="200"/>
      <c r="K21" s="156"/>
      <c r="L21" s="160"/>
      <c r="M21" s="151"/>
      <c r="N21" s="157"/>
      <c r="O21" s="157"/>
    </row>
    <row r="22" spans="1:15" s="4" customFormat="1" x14ac:dyDescent="0.3">
      <c r="A22" s="164"/>
      <c r="B22" s="103" t="s">
        <v>337</v>
      </c>
      <c r="C22" s="104" t="s">
        <v>338</v>
      </c>
      <c r="D22" s="70" t="s">
        <v>339</v>
      </c>
      <c r="E22" s="193">
        <v>65</v>
      </c>
      <c r="F22" s="194">
        <v>2</v>
      </c>
      <c r="G22" s="193">
        <f>E22*F22</f>
        <v>130</v>
      </c>
      <c r="H22" s="193">
        <f>G22*1.13</f>
        <v>146.89999999999998</v>
      </c>
      <c r="I22" s="193"/>
      <c r="J22" s="201"/>
      <c r="K22" s="156"/>
      <c r="L22" s="160"/>
      <c r="M22" s="151"/>
      <c r="N22" s="157"/>
      <c r="O22" s="157"/>
    </row>
    <row r="23" spans="1:15" s="4" customFormat="1" x14ac:dyDescent="0.3">
      <c r="A23" s="155"/>
      <c r="B23" s="182" t="s">
        <v>1557</v>
      </c>
      <c r="C23" s="182" t="s">
        <v>1558</v>
      </c>
      <c r="D23" s="50"/>
      <c r="E23" s="191"/>
      <c r="F23" s="192"/>
      <c r="G23" s="191"/>
      <c r="H23" s="191"/>
      <c r="I23" s="191"/>
      <c r="J23" s="200">
        <v>287.81</v>
      </c>
      <c r="K23" s="156"/>
      <c r="L23" s="151"/>
      <c r="M23" s="151"/>
      <c r="N23" s="151"/>
      <c r="O23" s="151"/>
    </row>
    <row r="24" spans="1:15" s="4" customFormat="1" x14ac:dyDescent="0.3">
      <c r="A24" s="155"/>
      <c r="B24" s="158" t="s">
        <v>340</v>
      </c>
      <c r="C24" s="36"/>
      <c r="D24" s="69"/>
      <c r="E24" s="179"/>
      <c r="F24" s="184"/>
      <c r="G24" s="179"/>
      <c r="H24" s="179">
        <f>SUM(H19:H23)</f>
        <v>2081.46</v>
      </c>
      <c r="I24" s="179">
        <f>SUM(I19:I23)</f>
        <v>380.45</v>
      </c>
      <c r="J24" s="180">
        <f>SUM(J19:J23)</f>
        <v>997.27</v>
      </c>
      <c r="K24" s="156"/>
      <c r="L24" s="151"/>
      <c r="M24" s="151"/>
      <c r="N24" s="151"/>
      <c r="O24" s="151"/>
    </row>
    <row r="25" spans="1:15" s="4" customFormat="1" x14ac:dyDescent="0.3">
      <c r="A25" s="155"/>
      <c r="B25" s="151"/>
      <c r="C25" s="103"/>
      <c r="D25" s="70"/>
      <c r="E25" s="193"/>
      <c r="F25" s="194"/>
      <c r="G25" s="193"/>
      <c r="H25" s="193"/>
      <c r="I25" s="193"/>
      <c r="J25" s="201"/>
      <c r="K25" s="156"/>
      <c r="L25" s="160"/>
      <c r="M25" s="151"/>
      <c r="N25" s="157"/>
      <c r="O25" s="157"/>
    </row>
    <row r="26" spans="1:15" s="4" customFormat="1" x14ac:dyDescent="0.3">
      <c r="A26" s="150" t="s">
        <v>341</v>
      </c>
      <c r="B26" s="159"/>
      <c r="C26" s="103"/>
      <c r="D26" s="70"/>
      <c r="E26" s="193"/>
      <c r="F26" s="194"/>
      <c r="G26" s="193"/>
      <c r="H26" s="193"/>
      <c r="I26" s="193"/>
      <c r="J26" s="201"/>
      <c r="K26" s="156"/>
      <c r="L26" s="160"/>
      <c r="M26" s="151"/>
      <c r="N26" s="157"/>
      <c r="O26" s="157"/>
    </row>
    <row r="27" spans="1:15" s="4" customFormat="1" x14ac:dyDescent="0.3">
      <c r="A27" s="155"/>
      <c r="B27" s="182" t="s">
        <v>342</v>
      </c>
      <c r="C27" s="102" t="s">
        <v>343</v>
      </c>
      <c r="D27" s="50" t="s">
        <v>344</v>
      </c>
      <c r="E27" s="191">
        <v>230</v>
      </c>
      <c r="F27" s="192">
        <v>4</v>
      </c>
      <c r="G27" s="191">
        <f>E27*F27</f>
        <v>920</v>
      </c>
      <c r="H27" s="191">
        <f>G27*1.13</f>
        <v>1039.5999999999999</v>
      </c>
      <c r="I27" s="191">
        <f>325.26+351.92+254.06-26.66+325.26</f>
        <v>1229.8400000000001</v>
      </c>
      <c r="J27" s="200">
        <f>325.26+351.92+254.06-26.66+325.26</f>
        <v>1229.8400000000001</v>
      </c>
      <c r="K27" s="156"/>
      <c r="L27" s="160"/>
      <c r="M27" s="151"/>
      <c r="N27" s="157"/>
      <c r="O27" s="157"/>
    </row>
    <row r="28" spans="1:15" s="4" customFormat="1" x14ac:dyDescent="0.3">
      <c r="A28" s="155"/>
      <c r="B28" s="103" t="s">
        <v>345</v>
      </c>
      <c r="C28" s="103" t="s">
        <v>346</v>
      </c>
      <c r="D28" s="70" t="s">
        <v>347</v>
      </c>
      <c r="E28" s="193">
        <v>57.5</v>
      </c>
      <c r="F28" s="194">
        <v>4</v>
      </c>
      <c r="G28" s="193">
        <f>E28*F28</f>
        <v>230</v>
      </c>
      <c r="H28" s="193">
        <f>G28*1.13</f>
        <v>259.89999999999998</v>
      </c>
      <c r="I28" s="193"/>
      <c r="J28" s="201">
        <f>55.37</f>
        <v>55.37</v>
      </c>
      <c r="K28" s="156"/>
      <c r="L28" s="160"/>
      <c r="M28" s="151"/>
      <c r="N28" s="157"/>
      <c r="O28" s="157"/>
    </row>
    <row r="29" spans="1:15" s="4" customFormat="1" x14ac:dyDescent="0.3">
      <c r="A29" s="155"/>
      <c r="B29" s="182" t="s">
        <v>348</v>
      </c>
      <c r="C29" s="182" t="s">
        <v>349</v>
      </c>
      <c r="D29" s="50" t="s">
        <v>349</v>
      </c>
      <c r="E29" s="191">
        <v>70</v>
      </c>
      <c r="F29" s="192">
        <v>4</v>
      </c>
      <c r="G29" s="191">
        <f>E29*F29</f>
        <v>280</v>
      </c>
      <c r="H29" s="191">
        <f>G29*1.13</f>
        <v>316.39999999999998</v>
      </c>
      <c r="I29" s="191">
        <f>14.89+34.38+69.5+55.37+79.38</f>
        <v>253.52</v>
      </c>
      <c r="J29" s="200">
        <f>14.89+34.38+79.38+17+54.36+69.5</f>
        <v>269.51</v>
      </c>
      <c r="K29" s="156"/>
      <c r="L29" s="160"/>
      <c r="M29" s="151"/>
      <c r="N29" s="157"/>
      <c r="O29" s="157"/>
    </row>
    <row r="30" spans="1:15" s="4" customFormat="1" x14ac:dyDescent="0.3">
      <c r="A30" s="155"/>
      <c r="B30" s="103" t="s">
        <v>350</v>
      </c>
      <c r="C30" s="103" t="s">
        <v>229</v>
      </c>
      <c r="D30" s="70" t="s">
        <v>351</v>
      </c>
      <c r="E30" s="193">
        <v>20</v>
      </c>
      <c r="F30" s="194">
        <v>4</v>
      </c>
      <c r="G30" s="193">
        <f>E30*F30</f>
        <v>80</v>
      </c>
      <c r="H30" s="193">
        <f>G30*1.13</f>
        <v>90.399999999999991</v>
      </c>
      <c r="I30" s="193"/>
      <c r="J30" s="201"/>
      <c r="K30" s="156"/>
      <c r="L30" s="151"/>
      <c r="M30" s="151"/>
      <c r="N30" s="151"/>
      <c r="O30" s="151"/>
    </row>
    <row r="31" spans="1:15" s="4" customFormat="1" x14ac:dyDescent="0.3">
      <c r="A31" s="164"/>
      <c r="B31" s="182" t="s">
        <v>352</v>
      </c>
      <c r="C31" s="182" t="s">
        <v>353</v>
      </c>
      <c r="D31" s="50" t="s">
        <v>354</v>
      </c>
      <c r="E31" s="191">
        <v>135</v>
      </c>
      <c r="F31" s="192">
        <v>16</v>
      </c>
      <c r="G31" s="191">
        <f>E31*F31</f>
        <v>2160</v>
      </c>
      <c r="H31" s="191">
        <f>G31</f>
        <v>2160</v>
      </c>
      <c r="I31" s="191">
        <v>2160</v>
      </c>
      <c r="J31" s="200">
        <v>2160</v>
      </c>
      <c r="K31" s="156"/>
      <c r="L31" s="160"/>
      <c r="M31" s="151"/>
      <c r="N31" s="157"/>
      <c r="O31" s="157"/>
    </row>
    <row r="32" spans="1:15" s="151" customFormat="1" x14ac:dyDescent="0.3">
      <c r="A32" s="155"/>
      <c r="C32" s="103"/>
      <c r="D32" s="70"/>
      <c r="E32" s="193"/>
      <c r="F32" s="194"/>
      <c r="G32" s="193"/>
      <c r="H32" s="193"/>
      <c r="I32" s="193"/>
      <c r="J32" s="201"/>
      <c r="K32" s="156"/>
    </row>
    <row r="33" spans="1:15" s="4" customFormat="1" x14ac:dyDescent="0.3">
      <c r="A33" s="155"/>
      <c r="B33" s="158" t="s">
        <v>355</v>
      </c>
      <c r="C33" s="36"/>
      <c r="D33" s="69"/>
      <c r="E33" s="179"/>
      <c r="F33" s="184"/>
      <c r="G33" s="179"/>
      <c r="H33" s="179">
        <f>SUM(H27:H32)</f>
        <v>3866.3</v>
      </c>
      <c r="I33" s="179">
        <f>SUM(I27:I32)</f>
        <v>3643.36</v>
      </c>
      <c r="J33" s="180">
        <f>SUM(J27:J32)</f>
        <v>3714.7200000000003</v>
      </c>
      <c r="K33" s="156"/>
      <c r="L33" s="160"/>
      <c r="M33" s="151"/>
      <c r="N33" s="157"/>
      <c r="O33" s="157"/>
    </row>
    <row r="34" spans="1:15" s="4" customFormat="1" x14ac:dyDescent="0.3">
      <c r="A34" s="155"/>
      <c r="B34" s="151"/>
      <c r="C34" s="129"/>
      <c r="D34" s="68"/>
      <c r="E34" s="196"/>
      <c r="F34" s="202"/>
      <c r="G34" s="196"/>
      <c r="H34" s="196"/>
      <c r="I34" s="196"/>
      <c r="J34" s="197"/>
      <c r="K34" s="156"/>
      <c r="L34" s="160"/>
      <c r="M34" s="151"/>
      <c r="N34" s="157"/>
      <c r="O34" s="157"/>
    </row>
    <row r="35" spans="1:15" s="4" customFormat="1" x14ac:dyDescent="0.3">
      <c r="A35" s="150" t="s">
        <v>356</v>
      </c>
      <c r="B35" s="159"/>
      <c r="C35" s="103"/>
      <c r="D35" s="70"/>
      <c r="E35" s="193"/>
      <c r="F35" s="194"/>
      <c r="G35" s="193"/>
      <c r="H35" s="193"/>
      <c r="I35" s="193"/>
      <c r="J35" s="201"/>
      <c r="K35" s="156"/>
      <c r="L35" s="151"/>
      <c r="M35" s="151"/>
      <c r="N35" s="151"/>
      <c r="O35" s="151"/>
    </row>
    <row r="36" spans="1:15" s="4" customFormat="1" x14ac:dyDescent="0.3">
      <c r="A36" s="150"/>
      <c r="B36" s="182" t="s">
        <v>357</v>
      </c>
      <c r="C36" s="182" t="s">
        <v>358</v>
      </c>
      <c r="D36" s="50" t="s">
        <v>359</v>
      </c>
      <c r="E36" s="191">
        <v>80</v>
      </c>
      <c r="F36" s="192">
        <v>10</v>
      </c>
      <c r="G36" s="191">
        <f>E36*F36</f>
        <v>800</v>
      </c>
      <c r="H36" s="191">
        <f>G36</f>
        <v>800</v>
      </c>
      <c r="I36" s="191">
        <v>2179.14</v>
      </c>
      <c r="J36" s="200">
        <v>2179.14</v>
      </c>
      <c r="K36" s="156"/>
      <c r="L36" s="151"/>
      <c r="M36" s="151"/>
      <c r="N36" s="151"/>
      <c r="O36" s="151"/>
    </row>
    <row r="37" spans="1:15" s="4" customFormat="1" x14ac:dyDescent="0.3">
      <c r="A37" s="150"/>
      <c r="B37" s="103" t="s">
        <v>360</v>
      </c>
      <c r="C37" s="103" t="s">
        <v>361</v>
      </c>
      <c r="D37" s="70" t="s">
        <v>359</v>
      </c>
      <c r="E37" s="193">
        <v>80</v>
      </c>
      <c r="F37" s="194">
        <v>18</v>
      </c>
      <c r="G37" s="193">
        <f>E37*F37</f>
        <v>1440</v>
      </c>
      <c r="H37" s="193">
        <f>G37</f>
        <v>1440</v>
      </c>
      <c r="I37" s="193"/>
      <c r="J37" s="201"/>
      <c r="K37" s="156"/>
      <c r="L37" s="151"/>
      <c r="M37" s="151"/>
      <c r="N37" s="151"/>
      <c r="O37" s="151"/>
    </row>
    <row r="38" spans="1:15" s="4" customFormat="1" x14ac:dyDescent="0.3">
      <c r="A38" s="150" t="s">
        <v>362</v>
      </c>
      <c r="B38" s="237"/>
      <c r="C38" s="182" t="s">
        <v>363</v>
      </c>
      <c r="D38" s="50" t="s">
        <v>364</v>
      </c>
      <c r="E38" s="191"/>
      <c r="F38" s="192"/>
      <c r="G38" s="191"/>
      <c r="H38" s="191"/>
      <c r="I38" s="191">
        <f>57.91+27.8</f>
        <v>85.71</v>
      </c>
      <c r="J38" s="200">
        <f>57.91+27.8</f>
        <v>85.71</v>
      </c>
      <c r="K38" s="156"/>
      <c r="L38" s="151"/>
      <c r="M38" s="151"/>
      <c r="N38" s="151"/>
      <c r="O38" s="151"/>
    </row>
    <row r="39" spans="1:15" s="4" customFormat="1" x14ac:dyDescent="0.3">
      <c r="A39" s="155"/>
      <c r="B39" s="158" t="s">
        <v>365</v>
      </c>
      <c r="C39" s="36"/>
      <c r="D39" s="69"/>
      <c r="E39" s="179"/>
      <c r="F39" s="184"/>
      <c r="G39" s="179"/>
      <c r="H39" s="179">
        <f>SUM(H36:H38)</f>
        <v>2240</v>
      </c>
      <c r="I39" s="179">
        <f>SUM(I36:I38)</f>
        <v>2264.85</v>
      </c>
      <c r="J39" s="180">
        <f>SUM(J36:J38)</f>
        <v>2264.85</v>
      </c>
      <c r="K39" s="156"/>
      <c r="L39" s="160"/>
      <c r="M39" s="151"/>
      <c r="N39" s="157"/>
      <c r="O39" s="157"/>
    </row>
    <row r="40" spans="1:15" s="4" customFormat="1" x14ac:dyDescent="0.3">
      <c r="A40" s="155"/>
      <c r="B40" s="159"/>
      <c r="C40" s="129"/>
      <c r="D40" s="68"/>
      <c r="E40" s="196"/>
      <c r="F40" s="202"/>
      <c r="G40" s="196"/>
      <c r="H40" s="196"/>
      <c r="I40" s="196"/>
      <c r="J40" s="197"/>
      <c r="K40" s="156"/>
      <c r="L40" s="160"/>
      <c r="M40" s="151"/>
      <c r="N40" s="157"/>
      <c r="O40" s="157"/>
    </row>
    <row r="41" spans="1:15" s="9" customFormat="1" ht="18.75" x14ac:dyDescent="0.35">
      <c r="A41" s="165"/>
      <c r="B41" s="166"/>
      <c r="C41" s="37" t="s">
        <v>98</v>
      </c>
      <c r="D41" s="65"/>
      <c r="E41" s="203"/>
      <c r="F41" s="204"/>
      <c r="G41" s="203"/>
      <c r="H41" s="203">
        <f>H39+H33+H16+H24</f>
        <v>10187.76</v>
      </c>
      <c r="I41" s="203">
        <f>I39+I33+I16+I24</f>
        <v>8260.25</v>
      </c>
      <c r="J41" s="205">
        <f>J39+J33+J16+J24</f>
        <v>8948.43</v>
      </c>
      <c r="K41" s="132"/>
      <c r="L41" s="131"/>
      <c r="M41" s="130"/>
      <c r="N41" s="130"/>
      <c r="O41" s="132"/>
    </row>
    <row r="42" spans="1:15" s="9" customFormat="1" ht="18.75" x14ac:dyDescent="0.35">
      <c r="A42" s="165"/>
      <c r="B42" s="166"/>
      <c r="C42" s="37"/>
      <c r="D42" s="65"/>
      <c r="E42" s="203"/>
      <c r="F42" s="204"/>
      <c r="G42" s="203"/>
      <c r="H42" s="203"/>
      <c r="I42" s="203"/>
      <c r="J42" s="205"/>
      <c r="K42" s="130"/>
      <c r="L42" s="131"/>
      <c r="M42" s="130"/>
      <c r="N42" s="130"/>
      <c r="O42" s="132"/>
    </row>
    <row r="43" spans="1:15" s="11" customFormat="1" ht="20.25" x14ac:dyDescent="0.35">
      <c r="A43" s="275" t="s">
        <v>99</v>
      </c>
      <c r="B43" s="276"/>
      <c r="C43" s="276"/>
      <c r="D43" s="64"/>
      <c r="E43" s="167"/>
      <c r="F43" s="190"/>
      <c r="G43" s="167"/>
      <c r="H43" s="167"/>
      <c r="I43" s="167"/>
      <c r="J43" s="168"/>
      <c r="K43" s="136"/>
      <c r="L43" s="136"/>
      <c r="M43" s="133"/>
      <c r="N43" s="133"/>
      <c r="O43" s="133"/>
    </row>
    <row r="44" spans="1:15" s="13" customFormat="1" ht="20.25" x14ac:dyDescent="0.35">
      <c r="A44" s="175"/>
      <c r="B44" s="169" t="s">
        <v>100</v>
      </c>
      <c r="C44" s="214"/>
      <c r="D44" s="63" t="s">
        <v>54</v>
      </c>
      <c r="E44" s="206"/>
      <c r="F44" s="206"/>
      <c r="G44" s="206"/>
      <c r="H44" s="206">
        <f>H10</f>
        <v>0</v>
      </c>
      <c r="I44" s="206">
        <f>I10</f>
        <v>0</v>
      </c>
      <c r="J44" s="118">
        <f>J10</f>
        <v>0</v>
      </c>
      <c r="K44" s="170"/>
      <c r="L44" s="170"/>
      <c r="M44" s="170"/>
      <c r="N44" s="170"/>
      <c r="O44" s="170"/>
    </row>
    <row r="45" spans="1:15" s="13" customFormat="1" ht="20.25" x14ac:dyDescent="0.35">
      <c r="A45" s="175"/>
      <c r="B45" s="170" t="s">
        <v>101</v>
      </c>
      <c r="C45" s="136"/>
      <c r="D45" s="62"/>
      <c r="E45" s="207"/>
      <c r="F45" s="207"/>
      <c r="G45" s="207"/>
      <c r="H45" s="207">
        <f>H41</f>
        <v>10187.76</v>
      </c>
      <c r="I45" s="207">
        <f>I41</f>
        <v>8260.25</v>
      </c>
      <c r="J45" s="119">
        <f>J41</f>
        <v>8948.43</v>
      </c>
      <c r="K45" s="170"/>
      <c r="L45" s="170"/>
      <c r="M45" s="170"/>
      <c r="N45" s="170"/>
      <c r="O45" s="170"/>
    </row>
    <row r="46" spans="1:15" s="13" customFormat="1" ht="20.25" x14ac:dyDescent="0.35">
      <c r="A46" s="208"/>
      <c r="B46" s="171" t="s">
        <v>102</v>
      </c>
      <c r="C46" s="215"/>
      <c r="D46" s="61"/>
      <c r="E46" s="209"/>
      <c r="F46" s="209"/>
      <c r="G46" s="209"/>
      <c r="H46" s="209">
        <f>H44-H45</f>
        <v>-10187.76</v>
      </c>
      <c r="I46" s="209">
        <f>I44-I45</f>
        <v>-8260.25</v>
      </c>
      <c r="J46" s="120">
        <f>J44-J45</f>
        <v>-8948.43</v>
      </c>
      <c r="K46" s="170"/>
      <c r="L46" s="170"/>
      <c r="M46" s="170"/>
      <c r="N46" s="170"/>
      <c r="O46" s="170"/>
    </row>
    <row r="47" spans="1:15" s="4" customFormat="1" x14ac:dyDescent="0.3">
      <c r="A47" s="134"/>
      <c r="B47" s="134"/>
      <c r="C47" s="42"/>
      <c r="D47" s="60"/>
      <c r="E47" s="152"/>
      <c r="F47" s="188"/>
      <c r="G47" s="152"/>
      <c r="H47" s="152"/>
      <c r="I47" s="152"/>
      <c r="J47" s="152"/>
      <c r="K47" s="151"/>
      <c r="L47" s="151"/>
      <c r="M47" s="151"/>
      <c r="N47" s="151"/>
      <c r="O47" s="151"/>
    </row>
  </sheetData>
  <mergeCells count="7">
    <mergeCell ref="A43:C43"/>
    <mergeCell ref="D1:J4"/>
    <mergeCell ref="A5:C5"/>
    <mergeCell ref="D5:E5"/>
    <mergeCell ref="A8:C8"/>
    <mergeCell ref="A12:C12"/>
    <mergeCell ref="A1:C4"/>
  </mergeCells>
  <pageMargins left="0" right="0" top="0" bottom="0" header="0" footer="0"/>
  <pageSetup scale="45" fitToHeight="0" orientation="landscape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D25" sqref="D25"/>
    </sheetView>
  </sheetViews>
  <sheetFormatPr defaultColWidth="8.85546875" defaultRowHeight="17.25" x14ac:dyDescent="0.3"/>
  <cols>
    <col min="1" max="2" width="13.85546875" style="15" customWidth="1"/>
    <col min="3" max="3" width="32.140625" style="41" customWidth="1"/>
    <col min="4" max="4" width="34.42578125" style="17" bestFit="1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customHeight="1" x14ac:dyDescent="0.3">
      <c r="A1" s="284"/>
      <c r="B1" s="285"/>
      <c r="C1" s="286"/>
      <c r="D1" s="262" t="s">
        <v>366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customHeight="1" x14ac:dyDescent="0.3">
      <c r="A2" s="287"/>
      <c r="B2" s="288"/>
      <c r="C2" s="289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customHeight="1" x14ac:dyDescent="0.3">
      <c r="A3" s="287"/>
      <c r="B3" s="288"/>
      <c r="C3" s="289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customHeight="1" x14ac:dyDescent="0.3">
      <c r="A4" s="290"/>
      <c r="B4" s="291"/>
      <c r="C4" s="292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/>
      <c r="B9" s="159"/>
      <c r="C9" s="129"/>
      <c r="D9" s="196"/>
      <c r="E9" s="196"/>
      <c r="F9" s="202"/>
      <c r="G9" s="196"/>
      <c r="H9" s="196"/>
      <c r="I9" s="196"/>
      <c r="J9" s="197"/>
      <c r="K9" s="156"/>
      <c r="L9" s="160"/>
      <c r="M9" s="156"/>
      <c r="N9" s="156"/>
      <c r="O9" s="157"/>
    </row>
    <row r="10" spans="1:15" s="7" customFormat="1" ht="18.75" x14ac:dyDescent="0.35">
      <c r="A10" s="161"/>
      <c r="B10" s="162"/>
      <c r="C10" s="37" t="s">
        <v>58</v>
      </c>
      <c r="D10" s="203"/>
      <c r="E10" s="203"/>
      <c r="F10" s="204"/>
      <c r="G10" s="203"/>
      <c r="H10" s="203">
        <v>0</v>
      </c>
      <c r="I10" s="203">
        <v>0</v>
      </c>
      <c r="J10" s="205">
        <v>0</v>
      </c>
      <c r="K10" s="126"/>
      <c r="L10" s="127"/>
      <c r="M10" s="126"/>
      <c r="N10" s="126"/>
      <c r="O10" s="128"/>
    </row>
    <row r="11" spans="1:15" s="7" customFormat="1" ht="18.75" x14ac:dyDescent="0.35">
      <c r="A11" s="161"/>
      <c r="B11" s="162"/>
      <c r="C11" s="37"/>
      <c r="D11" s="196"/>
      <c r="E11" s="196"/>
      <c r="F11" s="202"/>
      <c r="G11" s="196"/>
      <c r="H11" s="196"/>
      <c r="I11" s="196"/>
      <c r="J11" s="197"/>
      <c r="K11" s="126"/>
      <c r="L11" s="127"/>
      <c r="M11" s="126"/>
      <c r="N11" s="126"/>
      <c r="O11" s="128"/>
    </row>
    <row r="12" spans="1:15" s="4" customFormat="1" x14ac:dyDescent="0.3">
      <c r="A12" s="273" t="s">
        <v>59</v>
      </c>
      <c r="B12" s="274"/>
      <c r="C12" s="274"/>
      <c r="D12" s="148"/>
      <c r="E12" s="163"/>
      <c r="F12" s="189"/>
      <c r="G12" s="163"/>
      <c r="H12" s="163"/>
      <c r="I12" s="163"/>
      <c r="J12" s="149"/>
      <c r="K12" s="129"/>
      <c r="L12" s="129"/>
      <c r="M12" s="151"/>
      <c r="N12" s="151"/>
      <c r="O12" s="151"/>
    </row>
    <row r="13" spans="1:15" s="6" customFormat="1" x14ac:dyDescent="0.3">
      <c r="A13" s="150" t="s">
        <v>367</v>
      </c>
      <c r="B13" s="159"/>
      <c r="C13" s="103"/>
      <c r="D13" s="193"/>
      <c r="E13" s="193"/>
      <c r="F13" s="194"/>
      <c r="G13" s="193"/>
      <c r="H13" s="193"/>
      <c r="I13" s="193"/>
      <c r="J13" s="201"/>
      <c r="K13" s="156"/>
      <c r="L13" s="124"/>
      <c r="M13" s="159"/>
      <c r="N13" s="123"/>
      <c r="O13" s="125"/>
    </row>
    <row r="14" spans="1:15" s="4" customFormat="1" x14ac:dyDescent="0.3">
      <c r="A14" s="155"/>
      <c r="B14" s="182" t="s">
        <v>368</v>
      </c>
      <c r="C14" s="102" t="s">
        <v>369</v>
      </c>
      <c r="D14" s="191" t="s">
        <v>370</v>
      </c>
      <c r="E14" s="191">
        <f>16*6</f>
        <v>96</v>
      </c>
      <c r="F14" s="192">
        <v>7</v>
      </c>
      <c r="G14" s="191">
        <f>E14*F14</f>
        <v>672</v>
      </c>
      <c r="H14" s="191">
        <f>G14*1.13</f>
        <v>759.3599999999999</v>
      </c>
      <c r="I14" s="191">
        <f>72.26+46.79</f>
        <v>119.05000000000001</v>
      </c>
      <c r="J14" s="200">
        <f>72.26+46.79+77.75+58.61</f>
        <v>255.41000000000003</v>
      </c>
      <c r="K14" s="151"/>
      <c r="L14" s="160"/>
      <c r="M14" s="151"/>
      <c r="N14" s="157"/>
      <c r="O14" s="151"/>
    </row>
    <row r="15" spans="1:15" s="4" customFormat="1" x14ac:dyDescent="0.3">
      <c r="A15" s="155"/>
      <c r="B15" s="103" t="s">
        <v>371</v>
      </c>
      <c r="C15" s="104" t="s">
        <v>372</v>
      </c>
      <c r="D15" s="193" t="s">
        <v>373</v>
      </c>
      <c r="E15" s="193">
        <f>7*20</f>
        <v>140</v>
      </c>
      <c r="F15" s="194">
        <v>2</v>
      </c>
      <c r="G15" s="193">
        <f>E15*F15</f>
        <v>280</v>
      </c>
      <c r="H15" s="193">
        <f>G15*1.13</f>
        <v>316.39999999999998</v>
      </c>
      <c r="I15" s="193"/>
      <c r="J15" s="201"/>
      <c r="K15" s="151"/>
      <c r="L15" s="160"/>
      <c r="M15" s="151"/>
      <c r="N15" s="157"/>
      <c r="O15" s="151"/>
    </row>
    <row r="16" spans="1:15" s="4" customFormat="1" x14ac:dyDescent="0.3">
      <c r="A16" s="155"/>
      <c r="B16" s="182" t="s">
        <v>374</v>
      </c>
      <c r="C16" s="102" t="s">
        <v>375</v>
      </c>
      <c r="D16" s="191" t="s">
        <v>376</v>
      </c>
      <c r="E16" s="191">
        <v>35</v>
      </c>
      <c r="F16" s="192">
        <v>30</v>
      </c>
      <c r="G16" s="191">
        <f>E16*F16</f>
        <v>1050</v>
      </c>
      <c r="H16" s="191">
        <f>G16*1.13</f>
        <v>1186.5</v>
      </c>
      <c r="I16" s="191"/>
      <c r="J16" s="200">
        <v>984.64</v>
      </c>
      <c r="K16" s="151"/>
      <c r="L16" s="160"/>
      <c r="M16" s="151"/>
      <c r="N16" s="157"/>
      <c r="O16" s="151"/>
    </row>
    <row r="17" spans="1:15" s="4" customFormat="1" x14ac:dyDescent="0.3">
      <c r="A17" s="155"/>
      <c r="B17" s="103" t="s">
        <v>377</v>
      </c>
      <c r="C17" s="104" t="s">
        <v>378</v>
      </c>
      <c r="D17" s="193" t="s">
        <v>379</v>
      </c>
      <c r="E17" s="193">
        <v>20</v>
      </c>
      <c r="F17" s="194">
        <v>4</v>
      </c>
      <c r="G17" s="193">
        <f>E17*F17</f>
        <v>80</v>
      </c>
      <c r="H17" s="193">
        <f>G17*1.13</f>
        <v>90.399999999999991</v>
      </c>
      <c r="I17" s="193"/>
      <c r="J17" s="201"/>
      <c r="K17" s="151"/>
      <c r="L17" s="160"/>
      <c r="M17" s="151"/>
      <c r="N17" s="157"/>
      <c r="O17" s="151"/>
    </row>
    <row r="18" spans="1:15" s="4" customFormat="1" x14ac:dyDescent="0.3">
      <c r="A18" s="155"/>
      <c r="B18" s="154" t="s">
        <v>1557</v>
      </c>
      <c r="C18" s="102" t="s">
        <v>1559</v>
      </c>
      <c r="D18" s="191" t="s">
        <v>1560</v>
      </c>
      <c r="E18" s="191"/>
      <c r="F18" s="192"/>
      <c r="G18" s="191"/>
      <c r="H18" s="191"/>
      <c r="I18" s="191"/>
      <c r="J18" s="200">
        <v>112.99</v>
      </c>
      <c r="K18" s="151"/>
      <c r="L18" s="160"/>
      <c r="M18" s="151"/>
      <c r="N18" s="157"/>
      <c r="O18" s="151"/>
    </row>
    <row r="19" spans="1:15" s="4" customFormat="1" x14ac:dyDescent="0.3">
      <c r="A19" s="155"/>
      <c r="B19" s="158" t="s">
        <v>380</v>
      </c>
      <c r="C19" s="38"/>
      <c r="D19" s="179"/>
      <c r="E19" s="179"/>
      <c r="F19" s="184"/>
      <c r="G19" s="179"/>
      <c r="H19" s="179">
        <f>SUM(H13:H17)</f>
        <v>2352.66</v>
      </c>
      <c r="I19" s="179">
        <f>SUM(I13:I17)</f>
        <v>119.05000000000001</v>
      </c>
      <c r="J19" s="180">
        <f>SUM(J13:J17)</f>
        <v>1240.05</v>
      </c>
      <c r="K19" s="151"/>
      <c r="L19" s="160"/>
      <c r="M19" s="151"/>
      <c r="N19" s="157"/>
      <c r="O19" s="151"/>
    </row>
    <row r="20" spans="1:15" s="4" customFormat="1" x14ac:dyDescent="0.3">
      <c r="A20" s="150"/>
      <c r="B20" s="159"/>
      <c r="C20" s="129"/>
      <c r="D20" s="196"/>
      <c r="E20" s="196"/>
      <c r="F20" s="202"/>
      <c r="G20" s="196"/>
      <c r="H20" s="196"/>
      <c r="I20" s="196"/>
      <c r="J20" s="197"/>
      <c r="K20" s="156"/>
      <c r="L20" s="160"/>
      <c r="M20" s="151"/>
      <c r="N20" s="157"/>
      <c r="O20" s="157"/>
    </row>
    <row r="21" spans="1:15" s="4" customFormat="1" x14ac:dyDescent="0.3">
      <c r="A21" s="155"/>
      <c r="B21" s="151"/>
      <c r="C21" s="104"/>
      <c r="D21" s="193"/>
      <c r="E21" s="193"/>
      <c r="F21" s="194"/>
      <c r="G21" s="193"/>
      <c r="H21" s="193"/>
      <c r="I21" s="193"/>
      <c r="J21" s="201"/>
      <c r="K21" s="156"/>
      <c r="L21" s="160"/>
      <c r="M21" s="151"/>
      <c r="N21" s="157"/>
      <c r="O21" s="157"/>
    </row>
    <row r="22" spans="1:15" s="9" customFormat="1" ht="18.75" x14ac:dyDescent="0.35">
      <c r="A22" s="165"/>
      <c r="B22" s="166"/>
      <c r="C22" s="37" t="s">
        <v>98</v>
      </c>
      <c r="D22" s="203"/>
      <c r="E22" s="203"/>
      <c r="F22" s="204"/>
      <c r="G22" s="203"/>
      <c r="H22" s="203">
        <f>H19</f>
        <v>2352.66</v>
      </c>
      <c r="I22" s="203">
        <f>I19</f>
        <v>119.05000000000001</v>
      </c>
      <c r="J22" s="205">
        <f>J19</f>
        <v>1240.05</v>
      </c>
      <c r="K22" s="130"/>
      <c r="L22" s="131"/>
      <c r="M22" s="130"/>
      <c r="N22" s="130"/>
      <c r="O22" s="132"/>
    </row>
    <row r="23" spans="1:15" s="9" customFormat="1" ht="18.75" x14ac:dyDescent="0.35">
      <c r="A23" s="165"/>
      <c r="B23" s="166"/>
      <c r="C23" s="37"/>
      <c r="D23" s="203"/>
      <c r="E23" s="203"/>
      <c r="F23" s="204"/>
      <c r="G23" s="203"/>
      <c r="H23" s="203"/>
      <c r="I23" s="203"/>
      <c r="J23" s="205"/>
      <c r="K23" s="130"/>
      <c r="L23" s="131"/>
      <c r="M23" s="130"/>
      <c r="N23" s="130"/>
      <c r="O23" s="132"/>
    </row>
    <row r="24" spans="1:15" s="11" customFormat="1" ht="20.25" x14ac:dyDescent="0.35">
      <c r="A24" s="275" t="s">
        <v>99</v>
      </c>
      <c r="B24" s="276"/>
      <c r="C24" s="276"/>
      <c r="D24" s="167"/>
      <c r="E24" s="167"/>
      <c r="F24" s="190"/>
      <c r="G24" s="167"/>
      <c r="H24" s="167"/>
      <c r="I24" s="167"/>
      <c r="J24" s="168"/>
      <c r="K24" s="136"/>
      <c r="L24" s="136"/>
      <c r="M24" s="133"/>
      <c r="N24" s="133"/>
      <c r="O24" s="133"/>
    </row>
    <row r="25" spans="1:15" s="13" customFormat="1" ht="20.25" x14ac:dyDescent="0.35">
      <c r="A25" s="175"/>
      <c r="B25" s="169" t="s">
        <v>100</v>
      </c>
      <c r="C25" s="214"/>
      <c r="D25" s="206"/>
      <c r="E25" s="206"/>
      <c r="F25" s="206"/>
      <c r="G25" s="206"/>
      <c r="H25" s="206">
        <f>H10</f>
        <v>0</v>
      </c>
      <c r="I25" s="206">
        <f>I10</f>
        <v>0</v>
      </c>
      <c r="J25" s="118">
        <f>J10</f>
        <v>0</v>
      </c>
      <c r="K25" s="170"/>
      <c r="L25" s="170"/>
      <c r="M25" s="170"/>
      <c r="N25" s="170"/>
      <c r="O25" s="170"/>
    </row>
    <row r="26" spans="1:15" s="13" customFormat="1" ht="20.25" x14ac:dyDescent="0.35">
      <c r="A26" s="175"/>
      <c r="B26" s="170" t="s">
        <v>101</v>
      </c>
      <c r="C26" s="136"/>
      <c r="D26" s="207"/>
      <c r="E26" s="207"/>
      <c r="F26" s="207"/>
      <c r="G26" s="207"/>
      <c r="H26" s="207">
        <f>H22</f>
        <v>2352.66</v>
      </c>
      <c r="I26" s="207">
        <f>I22</f>
        <v>119.05000000000001</v>
      </c>
      <c r="J26" s="119">
        <f>J22</f>
        <v>1240.05</v>
      </c>
      <c r="K26" s="170"/>
      <c r="L26" s="170"/>
      <c r="M26" s="170"/>
      <c r="N26" s="170"/>
      <c r="O26" s="170"/>
    </row>
    <row r="27" spans="1:15" s="13" customFormat="1" ht="20.25" x14ac:dyDescent="0.35">
      <c r="A27" s="208"/>
      <c r="B27" s="171" t="s">
        <v>102</v>
      </c>
      <c r="C27" s="215"/>
      <c r="D27" s="209"/>
      <c r="E27" s="209"/>
      <c r="F27" s="209"/>
      <c r="G27" s="209"/>
      <c r="H27" s="209">
        <f>H25-H26</f>
        <v>-2352.66</v>
      </c>
      <c r="I27" s="209">
        <f>I25-I26</f>
        <v>-119.05000000000001</v>
      </c>
      <c r="J27" s="120">
        <f>J25-J26</f>
        <v>-1240.05</v>
      </c>
      <c r="K27" s="170"/>
      <c r="L27" s="170"/>
      <c r="M27" s="170"/>
      <c r="N27" s="170"/>
      <c r="O27" s="170"/>
    </row>
    <row r="28" spans="1:15" s="4" customFormat="1" x14ac:dyDescent="0.3">
      <c r="A28" s="134"/>
      <c r="B28" s="134"/>
      <c r="C28" s="42"/>
      <c r="D28" s="135"/>
      <c r="E28" s="152"/>
      <c r="F28" s="188"/>
      <c r="G28" s="152"/>
      <c r="H28" s="152"/>
      <c r="I28" s="152"/>
      <c r="J28" s="152"/>
      <c r="K28" s="151"/>
      <c r="L28" s="151"/>
      <c r="M28" s="151"/>
      <c r="N28" s="151"/>
      <c r="O28" s="151"/>
    </row>
  </sheetData>
  <mergeCells count="7">
    <mergeCell ref="A24:C24"/>
    <mergeCell ref="D1:J4"/>
    <mergeCell ref="A5:C5"/>
    <mergeCell ref="D5:E5"/>
    <mergeCell ref="A8:C8"/>
    <mergeCell ref="A12:C12"/>
    <mergeCell ref="A1:C4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I22" sqref="I22"/>
    </sheetView>
  </sheetViews>
  <sheetFormatPr defaultColWidth="8.85546875" defaultRowHeight="17.25" x14ac:dyDescent="0.3"/>
  <cols>
    <col min="1" max="2" width="13.85546875" style="83" customWidth="1"/>
    <col min="3" max="3" width="27.28515625" style="41" customWidth="1"/>
    <col min="4" max="4" width="66.28515625" style="84" bestFit="1" customWidth="1"/>
    <col min="5" max="5" width="12" style="77" bestFit="1" customWidth="1"/>
    <col min="6" max="6" width="10.85546875" style="86" bestFit="1" customWidth="1"/>
    <col min="7" max="7" width="10.5703125" style="77" bestFit="1" customWidth="1"/>
    <col min="8" max="8" width="15" style="77" bestFit="1" customWidth="1"/>
    <col min="9" max="9" width="22.42578125" style="77" customWidth="1"/>
    <col min="10" max="10" width="23" style="77" customWidth="1"/>
    <col min="11" max="11" width="12" style="76" customWidth="1"/>
    <col min="12" max="12" width="11.28515625" style="76" customWidth="1"/>
    <col min="13" max="13" width="8.85546875" style="83"/>
    <col min="14" max="14" width="10.140625" style="83" bestFit="1" customWidth="1"/>
    <col min="15" max="15" width="14.28515625" style="83" customWidth="1"/>
    <col min="16" max="16384" width="8.85546875" style="83"/>
  </cols>
  <sheetData>
    <row r="1" spans="1:15" s="75" customFormat="1" ht="38.25" x14ac:dyDescent="0.3">
      <c r="A1" s="212"/>
      <c r="B1" s="213"/>
      <c r="C1" s="31"/>
      <c r="D1" s="262" t="s">
        <v>381</v>
      </c>
      <c r="E1" s="263"/>
      <c r="F1" s="263"/>
      <c r="G1" s="263"/>
      <c r="H1" s="263"/>
      <c r="I1" s="263"/>
      <c r="J1" s="293"/>
      <c r="K1" s="121"/>
      <c r="L1" s="121"/>
      <c r="M1" s="121"/>
      <c r="N1" s="121"/>
      <c r="O1" s="121"/>
    </row>
    <row r="2" spans="1:15" s="75" customFormat="1" ht="38.25" x14ac:dyDescent="0.3">
      <c r="A2" s="140"/>
      <c r="B2" s="141"/>
      <c r="C2" s="32"/>
      <c r="D2" s="294"/>
      <c r="E2" s="295"/>
      <c r="F2" s="295"/>
      <c r="G2" s="295"/>
      <c r="H2" s="295"/>
      <c r="I2" s="295"/>
      <c r="J2" s="296"/>
      <c r="K2" s="121"/>
      <c r="L2" s="121"/>
      <c r="M2" s="121"/>
      <c r="N2" s="121"/>
      <c r="O2" s="121"/>
    </row>
    <row r="3" spans="1:15" s="75" customFormat="1" ht="38.25" x14ac:dyDescent="0.3">
      <c r="A3" s="140"/>
      <c r="B3" s="141"/>
      <c r="C3" s="32"/>
      <c r="D3" s="294"/>
      <c r="E3" s="295"/>
      <c r="F3" s="295"/>
      <c r="G3" s="295"/>
      <c r="H3" s="295"/>
      <c r="I3" s="295"/>
      <c r="J3" s="296"/>
      <c r="K3" s="121"/>
      <c r="L3" s="121"/>
      <c r="M3" s="121"/>
      <c r="N3" s="121"/>
      <c r="O3" s="121"/>
    </row>
    <row r="4" spans="1:15" s="75" customFormat="1" ht="38.25" x14ac:dyDescent="0.3">
      <c r="A4" s="142"/>
      <c r="B4" s="143"/>
      <c r="C4" s="33"/>
      <c r="D4" s="297"/>
      <c r="E4" s="298"/>
      <c r="F4" s="298"/>
      <c r="G4" s="298"/>
      <c r="H4" s="298"/>
      <c r="I4" s="298"/>
      <c r="J4" s="299"/>
      <c r="K4" s="121"/>
      <c r="L4" s="121"/>
      <c r="M4" s="121"/>
      <c r="N4" s="121"/>
      <c r="O4" s="121"/>
    </row>
    <row r="5" spans="1:15" s="75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85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75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75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76" customFormat="1" x14ac:dyDescent="0.3">
      <c r="A9" s="150"/>
      <c r="B9" s="159"/>
      <c r="C9" s="129"/>
      <c r="D9" s="196"/>
      <c r="E9" s="196"/>
      <c r="F9" s="202"/>
      <c r="G9" s="196"/>
      <c r="H9" s="196"/>
      <c r="I9" s="196"/>
      <c r="J9" s="197"/>
      <c r="K9" s="156"/>
      <c r="L9" s="160"/>
      <c r="M9" s="156"/>
      <c r="N9" s="156"/>
      <c r="O9" s="157"/>
    </row>
    <row r="10" spans="1:15" s="79" customFormat="1" ht="18.75" x14ac:dyDescent="0.35">
      <c r="A10" s="161"/>
      <c r="B10" s="162"/>
      <c r="C10" s="37" t="s">
        <v>58</v>
      </c>
      <c r="D10" s="203"/>
      <c r="E10" s="203"/>
      <c r="F10" s="204"/>
      <c r="G10" s="203"/>
      <c r="H10" s="203">
        <v>0</v>
      </c>
      <c r="I10" s="203">
        <v>0</v>
      </c>
      <c r="J10" s="205">
        <v>0</v>
      </c>
      <c r="K10" s="126"/>
      <c r="L10" s="127"/>
      <c r="M10" s="126"/>
      <c r="N10" s="126"/>
      <c r="O10" s="128"/>
    </row>
    <row r="11" spans="1:15" s="79" customFormat="1" ht="18.75" x14ac:dyDescent="0.35">
      <c r="A11" s="161"/>
      <c r="B11" s="162"/>
      <c r="C11" s="37"/>
      <c r="D11" s="196"/>
      <c r="E11" s="196"/>
      <c r="F11" s="202"/>
      <c r="G11" s="196"/>
      <c r="H11" s="196"/>
      <c r="I11" s="196"/>
      <c r="J11" s="197"/>
      <c r="K11" s="126"/>
      <c r="L11" s="127"/>
      <c r="M11" s="126"/>
      <c r="N11" s="126"/>
      <c r="O11" s="128"/>
    </row>
    <row r="12" spans="1:15" s="76" customFormat="1" x14ac:dyDescent="0.3">
      <c r="A12" s="273" t="s">
        <v>59</v>
      </c>
      <c r="B12" s="274"/>
      <c r="C12" s="274"/>
      <c r="D12" s="148"/>
      <c r="E12" s="163"/>
      <c r="F12" s="189"/>
      <c r="G12" s="163"/>
      <c r="H12" s="163"/>
      <c r="I12" s="163"/>
      <c r="J12" s="149"/>
      <c r="K12" s="129"/>
      <c r="L12" s="129"/>
      <c r="M12" s="151"/>
      <c r="N12" s="151"/>
      <c r="O12" s="151"/>
    </row>
    <row r="13" spans="1:15" s="76" customFormat="1" x14ac:dyDescent="0.3">
      <c r="A13" s="150" t="s">
        <v>382</v>
      </c>
      <c r="B13" s="159"/>
      <c r="C13" s="103"/>
      <c r="D13" s="193"/>
      <c r="E13" s="193"/>
      <c r="F13" s="194"/>
      <c r="G13" s="193"/>
      <c r="H13" s="193"/>
      <c r="I13" s="193"/>
      <c r="J13" s="201"/>
      <c r="K13" s="156"/>
      <c r="L13" s="160"/>
      <c r="M13" s="151"/>
      <c r="N13" s="157"/>
      <c r="O13" s="157"/>
    </row>
    <row r="14" spans="1:15" s="76" customFormat="1" x14ac:dyDescent="0.3">
      <c r="A14" s="155"/>
      <c r="B14" s="182" t="s">
        <v>383</v>
      </c>
      <c r="C14" s="102" t="s">
        <v>384</v>
      </c>
      <c r="D14" s="191" t="s">
        <v>385</v>
      </c>
      <c r="E14" s="191">
        <v>2</v>
      </c>
      <c r="F14" s="192">
        <v>150</v>
      </c>
      <c r="G14" s="191">
        <f>E14*F14</f>
        <v>300</v>
      </c>
      <c r="H14" s="191">
        <f>G14*1.13</f>
        <v>338.99999999999994</v>
      </c>
      <c r="I14" s="191"/>
      <c r="J14" s="200"/>
      <c r="K14" s="156"/>
      <c r="L14" s="160"/>
      <c r="M14" s="151"/>
      <c r="N14" s="157"/>
      <c r="O14" s="157"/>
    </row>
    <row r="15" spans="1:15" s="76" customFormat="1" x14ac:dyDescent="0.3">
      <c r="A15" s="155"/>
      <c r="B15" s="103" t="s">
        <v>386</v>
      </c>
      <c r="C15" s="103" t="s">
        <v>387</v>
      </c>
      <c r="D15" s="193"/>
      <c r="E15" s="193">
        <v>0.5</v>
      </c>
      <c r="F15" s="194">
        <v>150</v>
      </c>
      <c r="G15" s="193">
        <f>E15*F15</f>
        <v>75</v>
      </c>
      <c r="H15" s="193">
        <f>G15*1.13</f>
        <v>84.749999999999986</v>
      </c>
      <c r="I15" s="193"/>
      <c r="J15" s="201"/>
      <c r="K15" s="156"/>
      <c r="L15" s="160"/>
      <c r="M15" s="151"/>
      <c r="N15" s="157"/>
      <c r="O15" s="157"/>
    </row>
    <row r="16" spans="1:15" s="76" customFormat="1" x14ac:dyDescent="0.3">
      <c r="A16" s="155"/>
      <c r="B16" s="182"/>
      <c r="C16" s="182"/>
      <c r="D16" s="191"/>
      <c r="E16" s="191"/>
      <c r="F16" s="192"/>
      <c r="G16" s="191"/>
      <c r="H16" s="191"/>
      <c r="I16" s="191"/>
      <c r="J16" s="200"/>
      <c r="K16" s="156"/>
      <c r="L16" s="151"/>
      <c r="M16" s="151"/>
      <c r="N16" s="151"/>
      <c r="O16" s="151"/>
    </row>
    <row r="17" spans="1:15" s="76" customFormat="1" x14ac:dyDescent="0.3">
      <c r="A17" s="155"/>
      <c r="B17" s="158" t="s">
        <v>388</v>
      </c>
      <c r="C17" s="36"/>
      <c r="D17" s="179"/>
      <c r="E17" s="179"/>
      <c r="F17" s="184"/>
      <c r="G17" s="179"/>
      <c r="H17" s="179">
        <f>SUM(H14:H16)</f>
        <v>423.74999999999994</v>
      </c>
      <c r="I17" s="179">
        <f>SUM(I14:I16)</f>
        <v>0</v>
      </c>
      <c r="J17" s="180">
        <f>SUM(J14:J16)</f>
        <v>0</v>
      </c>
      <c r="K17" s="156"/>
      <c r="L17" s="160"/>
      <c r="M17" s="151"/>
      <c r="N17" s="157"/>
      <c r="O17" s="157"/>
    </row>
    <row r="18" spans="1:15" s="91" customFormat="1" x14ac:dyDescent="0.3">
      <c r="A18" s="155"/>
      <c r="B18" s="151"/>
      <c r="C18" s="104"/>
      <c r="D18" s="193"/>
      <c r="E18" s="193"/>
      <c r="F18" s="194"/>
      <c r="G18" s="193"/>
      <c r="H18" s="193"/>
      <c r="I18" s="193"/>
      <c r="J18" s="201"/>
      <c r="K18" s="156"/>
      <c r="L18" s="160"/>
      <c r="M18" s="151"/>
      <c r="N18" s="157"/>
      <c r="O18" s="157"/>
    </row>
    <row r="19" spans="1:15" s="91" customFormat="1" x14ac:dyDescent="0.3">
      <c r="A19" s="150" t="s">
        <v>389</v>
      </c>
      <c r="B19" s="159"/>
      <c r="C19" s="103"/>
      <c r="D19" s="193"/>
      <c r="E19" s="193"/>
      <c r="F19" s="194"/>
      <c r="G19" s="193"/>
      <c r="H19" s="193"/>
      <c r="I19" s="193"/>
      <c r="J19" s="201"/>
      <c r="K19" s="156"/>
      <c r="L19" s="160"/>
      <c r="M19" s="151"/>
      <c r="N19" s="157"/>
      <c r="O19" s="157"/>
    </row>
    <row r="20" spans="1:15" s="91" customFormat="1" x14ac:dyDescent="0.3">
      <c r="A20" s="155"/>
      <c r="B20" s="182" t="s">
        <v>390</v>
      </c>
      <c r="C20" s="102" t="s">
        <v>391</v>
      </c>
      <c r="D20" s="50" t="s">
        <v>392</v>
      </c>
      <c r="E20" s="191">
        <v>50</v>
      </c>
      <c r="F20" s="192">
        <v>12</v>
      </c>
      <c r="G20" s="191">
        <f>E20*F20</f>
        <v>600</v>
      </c>
      <c r="H20" s="191">
        <f>G20*1.13</f>
        <v>677.99999999999989</v>
      </c>
      <c r="I20" s="191"/>
      <c r="J20" s="200"/>
      <c r="K20" s="156"/>
      <c r="L20" s="160"/>
      <c r="M20" s="151"/>
      <c r="N20" s="157"/>
      <c r="O20" s="157"/>
    </row>
    <row r="21" spans="1:15" s="151" customFormat="1" x14ac:dyDescent="0.3">
      <c r="A21" s="155"/>
      <c r="B21" s="151" t="s">
        <v>393</v>
      </c>
      <c r="C21" s="103" t="s">
        <v>394</v>
      </c>
      <c r="D21" s="193"/>
      <c r="E21" s="193"/>
      <c r="F21" s="194"/>
      <c r="G21" s="193"/>
      <c r="H21" s="193"/>
      <c r="I21" s="193">
        <v>40.49</v>
      </c>
      <c r="J21" s="201"/>
      <c r="K21" s="156"/>
    </row>
    <row r="22" spans="1:15" s="91" customFormat="1" x14ac:dyDescent="0.3">
      <c r="A22" s="155"/>
      <c r="B22" s="158" t="s">
        <v>395</v>
      </c>
      <c r="C22" s="36"/>
      <c r="D22" s="179"/>
      <c r="E22" s="179"/>
      <c r="F22" s="184"/>
      <c r="G22" s="179"/>
      <c r="H22" s="179">
        <f>SUM(H20:H21)</f>
        <v>677.99999999999989</v>
      </c>
      <c r="I22" s="179">
        <f>SUM(I20:I21)</f>
        <v>40.49</v>
      </c>
      <c r="J22" s="180">
        <f>SUM(J20:J21)</f>
        <v>0</v>
      </c>
      <c r="K22" s="156"/>
      <c r="L22" s="160"/>
      <c r="M22" s="151"/>
      <c r="N22" s="157"/>
      <c r="O22" s="157"/>
    </row>
    <row r="23" spans="1:15" s="151" customFormat="1" x14ac:dyDescent="0.3">
      <c r="A23" s="155"/>
      <c r="B23" s="159"/>
      <c r="C23" s="129"/>
      <c r="D23" s="196"/>
      <c r="E23" s="196"/>
      <c r="F23" s="202"/>
      <c r="G23" s="196"/>
      <c r="H23" s="196"/>
      <c r="I23" s="196"/>
      <c r="J23" s="197"/>
      <c r="K23" s="156"/>
      <c r="L23" s="160"/>
      <c r="N23" s="157"/>
      <c r="O23" s="157"/>
    </row>
    <row r="24" spans="1:15" s="95" customFormat="1" ht="18.75" x14ac:dyDescent="0.35">
      <c r="A24" s="165"/>
      <c r="B24" s="166"/>
      <c r="C24" s="37" t="s">
        <v>98</v>
      </c>
      <c r="D24" s="203"/>
      <c r="E24" s="203"/>
      <c r="F24" s="204"/>
      <c r="G24" s="203"/>
      <c r="H24" s="203">
        <f>H17+H22</f>
        <v>1101.7499999999998</v>
      </c>
      <c r="I24" s="203">
        <f>I17+I22</f>
        <v>40.49</v>
      </c>
      <c r="J24" s="203">
        <f>J17+J22</f>
        <v>0</v>
      </c>
      <c r="K24" s="130"/>
      <c r="L24" s="131"/>
      <c r="M24" s="130"/>
      <c r="N24" s="130"/>
      <c r="O24" s="132"/>
    </row>
    <row r="25" spans="1:15" s="95" customFormat="1" ht="18.75" x14ac:dyDescent="0.35">
      <c r="A25" s="165"/>
      <c r="B25" s="166"/>
      <c r="C25" s="37"/>
      <c r="D25" s="203"/>
      <c r="E25" s="203"/>
      <c r="F25" s="204"/>
      <c r="G25" s="203"/>
      <c r="H25" s="203"/>
      <c r="I25" s="203"/>
      <c r="J25" s="205"/>
      <c r="K25" s="130"/>
      <c r="L25" s="131"/>
      <c r="M25" s="130"/>
      <c r="N25" s="130"/>
      <c r="O25" s="132"/>
    </row>
    <row r="26" spans="1:15" s="96" customFormat="1" ht="20.25" x14ac:dyDescent="0.35">
      <c r="A26" s="275" t="s">
        <v>99</v>
      </c>
      <c r="B26" s="276"/>
      <c r="C26" s="276"/>
      <c r="D26" s="167"/>
      <c r="E26" s="167"/>
      <c r="F26" s="190"/>
      <c r="G26" s="167"/>
      <c r="H26" s="167"/>
      <c r="I26" s="167"/>
      <c r="J26" s="168"/>
      <c r="K26" s="136"/>
      <c r="L26" s="136"/>
      <c r="M26" s="133"/>
      <c r="N26" s="133"/>
      <c r="O26" s="133"/>
    </row>
    <row r="27" spans="1:15" s="97" customFormat="1" ht="20.25" x14ac:dyDescent="0.35">
      <c r="A27" s="175"/>
      <c r="B27" s="169" t="s">
        <v>100</v>
      </c>
      <c r="C27" s="214"/>
      <c r="D27" s="206"/>
      <c r="E27" s="206"/>
      <c r="F27" s="206"/>
      <c r="G27" s="206"/>
      <c r="H27" s="206">
        <f>H10</f>
        <v>0</v>
      </c>
      <c r="I27" s="206">
        <f>I10</f>
        <v>0</v>
      </c>
      <c r="J27" s="118">
        <f>J10</f>
        <v>0</v>
      </c>
      <c r="K27" s="170"/>
      <c r="L27" s="170"/>
      <c r="M27" s="170"/>
      <c r="N27" s="170"/>
      <c r="O27" s="170"/>
    </row>
    <row r="28" spans="1:15" s="82" customFormat="1" ht="20.25" x14ac:dyDescent="0.35">
      <c r="A28" s="175"/>
      <c r="B28" s="170" t="s">
        <v>101</v>
      </c>
      <c r="C28" s="136"/>
      <c r="D28" s="207"/>
      <c r="E28" s="207"/>
      <c r="F28" s="207"/>
      <c r="G28" s="207"/>
      <c r="H28" s="207">
        <f>H24</f>
        <v>1101.7499999999998</v>
      </c>
      <c r="I28" s="207">
        <f>I24</f>
        <v>40.49</v>
      </c>
      <c r="J28" s="119">
        <f>J24</f>
        <v>0</v>
      </c>
      <c r="K28" s="170"/>
      <c r="L28" s="170"/>
      <c r="M28" s="170"/>
      <c r="N28" s="170"/>
      <c r="O28" s="170"/>
    </row>
    <row r="29" spans="1:15" s="82" customFormat="1" ht="20.25" x14ac:dyDescent="0.35">
      <c r="A29" s="208"/>
      <c r="B29" s="171" t="s">
        <v>102</v>
      </c>
      <c r="C29" s="215"/>
      <c r="D29" s="209"/>
      <c r="E29" s="209"/>
      <c r="F29" s="209"/>
      <c r="G29" s="209"/>
      <c r="H29" s="209">
        <f>H27-H28</f>
        <v>-1101.7499999999998</v>
      </c>
      <c r="I29" s="209">
        <f>I27-I28</f>
        <v>-40.49</v>
      </c>
      <c r="J29" s="120">
        <f>J27-J28</f>
        <v>0</v>
      </c>
      <c r="K29" s="170"/>
      <c r="L29" s="170"/>
      <c r="M29" s="170"/>
      <c r="N29" s="170"/>
      <c r="O29" s="170"/>
    </row>
    <row r="30" spans="1:15" s="76" customFormat="1" x14ac:dyDescent="0.3">
      <c r="A30" s="134"/>
      <c r="B30" s="134"/>
      <c r="C30" s="42"/>
      <c r="D30" s="135"/>
      <c r="E30" s="152"/>
      <c r="F30" s="188"/>
      <c r="G30" s="152"/>
      <c r="H30" s="152"/>
      <c r="I30" s="152"/>
      <c r="J30" s="152"/>
      <c r="K30" s="151"/>
      <c r="L30" s="151"/>
      <c r="M30" s="151"/>
      <c r="N30" s="151"/>
      <c r="O30" s="151"/>
    </row>
  </sheetData>
  <mergeCells count="6">
    <mergeCell ref="A26:C26"/>
    <mergeCell ref="D1:J4"/>
    <mergeCell ref="A5:C5"/>
    <mergeCell ref="D5:E5"/>
    <mergeCell ref="A8:C8"/>
    <mergeCell ref="A12:C12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A29" sqref="A29:C29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24.42578125" style="17" bestFit="1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x14ac:dyDescent="0.3">
      <c r="A1" s="212"/>
      <c r="B1" s="213"/>
      <c r="C1" s="31"/>
      <c r="D1" s="262" t="s">
        <v>396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 t="s">
        <v>397</v>
      </c>
      <c r="B9" s="159"/>
      <c r="C9" s="103"/>
      <c r="D9" s="152"/>
      <c r="E9" s="152"/>
      <c r="F9" s="188"/>
      <c r="G9" s="152"/>
      <c r="H9" s="152"/>
      <c r="I9" s="152"/>
      <c r="J9" s="153"/>
      <c r="K9" s="151"/>
      <c r="L9" s="151"/>
      <c r="M9" s="151"/>
      <c r="N9" s="151"/>
      <c r="O9" s="151"/>
    </row>
    <row r="10" spans="1:15" s="4" customFormat="1" x14ac:dyDescent="0.3">
      <c r="A10" s="159"/>
      <c r="B10" s="182" t="s">
        <v>398</v>
      </c>
      <c r="C10" s="182" t="s">
        <v>399</v>
      </c>
      <c r="D10" s="218" t="s">
        <v>400</v>
      </c>
      <c r="E10" s="191">
        <v>5</v>
      </c>
      <c r="F10" s="192">
        <v>1600</v>
      </c>
      <c r="G10" s="191">
        <f>E10*F10</f>
        <v>8000</v>
      </c>
      <c r="H10" s="191">
        <f>G10</f>
        <v>8000</v>
      </c>
      <c r="I10" s="191">
        <f>1950.25+99+395.05+1192.3</f>
        <v>3636.6000000000004</v>
      </c>
      <c r="J10" s="200">
        <v>3636.6</v>
      </c>
      <c r="K10" s="151"/>
      <c r="L10" s="151"/>
      <c r="M10" s="151"/>
      <c r="N10" s="151"/>
      <c r="O10" s="151"/>
    </row>
    <row r="11" spans="1:15" s="55" customFormat="1" x14ac:dyDescent="0.3">
      <c r="A11" s="151"/>
      <c r="C11" s="250"/>
      <c r="D11" s="224"/>
      <c r="E11" s="224"/>
      <c r="F11" s="225"/>
      <c r="G11" s="224"/>
      <c r="H11" s="224"/>
      <c r="I11" s="224"/>
      <c r="J11" s="229"/>
      <c r="N11" s="228"/>
    </row>
    <row r="12" spans="1:15" s="4" customFormat="1" x14ac:dyDescent="0.3">
      <c r="A12" s="151"/>
      <c r="B12" s="158" t="s">
        <v>401</v>
      </c>
      <c r="C12" s="250"/>
      <c r="D12" s="224"/>
      <c r="E12" s="224"/>
      <c r="F12" s="225"/>
      <c r="G12" s="224"/>
      <c r="H12" s="226">
        <f>H10</f>
        <v>8000</v>
      </c>
      <c r="I12" s="226">
        <f>I10</f>
        <v>3636.6000000000004</v>
      </c>
      <c r="J12" s="227">
        <f>J10</f>
        <v>3636.6</v>
      </c>
      <c r="K12" s="151"/>
      <c r="L12" s="151"/>
      <c r="M12" s="151"/>
      <c r="N12" s="157"/>
      <c r="O12" s="151"/>
    </row>
    <row r="13" spans="1:15" s="4" customFormat="1" x14ac:dyDescent="0.3">
      <c r="A13" s="150"/>
      <c r="B13" s="159"/>
      <c r="C13" s="129"/>
      <c r="D13" s="196"/>
      <c r="E13" s="196"/>
      <c r="F13" s="202"/>
      <c r="G13" s="196"/>
      <c r="H13" s="196"/>
      <c r="I13" s="196"/>
      <c r="J13" s="197"/>
      <c r="K13" s="156"/>
      <c r="L13" s="160"/>
      <c r="M13" s="156"/>
      <c r="N13" s="156"/>
      <c r="O13" s="157"/>
    </row>
    <row r="14" spans="1:15" s="7" customFormat="1" ht="18.75" x14ac:dyDescent="0.35">
      <c r="A14" s="161"/>
      <c r="B14" s="162"/>
      <c r="C14" s="37" t="s">
        <v>58</v>
      </c>
      <c r="D14" s="203"/>
      <c r="E14" s="203"/>
      <c r="F14" s="204"/>
      <c r="G14" s="203"/>
      <c r="H14" s="203">
        <f>H12</f>
        <v>8000</v>
      </c>
      <c r="I14" s="203">
        <f>I12</f>
        <v>3636.6000000000004</v>
      </c>
      <c r="J14" s="205">
        <f>J12</f>
        <v>3636.6</v>
      </c>
      <c r="K14" s="126"/>
      <c r="L14" s="127"/>
      <c r="M14" s="126"/>
      <c r="N14" s="126"/>
      <c r="O14" s="128"/>
    </row>
    <row r="15" spans="1:15" s="7" customFormat="1" ht="18.75" x14ac:dyDescent="0.35">
      <c r="A15" s="161"/>
      <c r="B15" s="162"/>
      <c r="C15" s="37"/>
      <c r="D15" s="196"/>
      <c r="E15" s="196"/>
      <c r="F15" s="202"/>
      <c r="G15" s="196"/>
      <c r="H15" s="196"/>
      <c r="I15" s="196"/>
      <c r="J15" s="197"/>
      <c r="K15" s="126"/>
      <c r="L15" s="127"/>
      <c r="M15" s="126"/>
      <c r="N15" s="126"/>
      <c r="O15" s="128"/>
    </row>
    <row r="16" spans="1:15" s="4" customFormat="1" x14ac:dyDescent="0.3">
      <c r="A16" s="273" t="s">
        <v>59</v>
      </c>
      <c r="B16" s="274"/>
      <c r="C16" s="274"/>
      <c r="D16" s="148"/>
      <c r="E16" s="163"/>
      <c r="F16" s="189"/>
      <c r="G16" s="163"/>
      <c r="H16" s="163"/>
      <c r="I16" s="163"/>
      <c r="J16" s="149"/>
      <c r="K16" s="129"/>
      <c r="L16" s="129"/>
      <c r="M16" s="151"/>
      <c r="N16" s="151"/>
      <c r="O16" s="151"/>
    </row>
    <row r="17" spans="1:15" s="6" customFormat="1" x14ac:dyDescent="0.3">
      <c r="A17" s="150" t="s">
        <v>397</v>
      </c>
      <c r="B17" s="159"/>
      <c r="C17" s="103"/>
      <c r="D17" s="193"/>
      <c r="E17" s="193"/>
      <c r="F17" s="194"/>
      <c r="G17" s="193"/>
      <c r="H17" s="193"/>
      <c r="I17" s="193"/>
      <c r="J17" s="201"/>
      <c r="K17" s="156"/>
      <c r="L17" s="124"/>
      <c r="M17" s="159"/>
      <c r="N17" s="123"/>
      <c r="O17" s="125"/>
    </row>
    <row r="18" spans="1:15" s="4" customFormat="1" x14ac:dyDescent="0.3">
      <c r="A18" s="155"/>
      <c r="B18" s="182" t="s">
        <v>402</v>
      </c>
      <c r="C18" s="102" t="s">
        <v>403</v>
      </c>
      <c r="D18" s="191" t="s">
        <v>404</v>
      </c>
      <c r="E18" s="191">
        <v>40</v>
      </c>
      <c r="F18" s="192">
        <v>200</v>
      </c>
      <c r="G18" s="191">
        <f>E18*F18</f>
        <v>8000</v>
      </c>
      <c r="H18" s="191">
        <f>G18</f>
        <v>8000</v>
      </c>
      <c r="I18" s="191">
        <f>80*9+140*3+8*100+160+60*2</f>
        <v>2220</v>
      </c>
      <c r="J18" s="200">
        <v>4480</v>
      </c>
      <c r="K18" s="151"/>
      <c r="L18" s="160"/>
      <c r="M18" s="151"/>
      <c r="N18" s="157"/>
      <c r="O18" s="151"/>
    </row>
    <row r="19" spans="1:15" s="4" customFormat="1" x14ac:dyDescent="0.3">
      <c r="A19" s="155"/>
      <c r="B19" s="103" t="s">
        <v>405</v>
      </c>
      <c r="C19" s="104" t="s">
        <v>406</v>
      </c>
      <c r="D19" s="193" t="s">
        <v>384</v>
      </c>
      <c r="E19" s="193">
        <v>2</v>
      </c>
      <c r="F19" s="194">
        <v>65</v>
      </c>
      <c r="G19" s="193">
        <f>E19*F19</f>
        <v>130</v>
      </c>
      <c r="H19" s="193">
        <f>G19*1.13</f>
        <v>146.89999999999998</v>
      </c>
      <c r="I19" s="193"/>
      <c r="J19" s="201"/>
      <c r="K19" s="151"/>
      <c r="L19" s="160"/>
      <c r="M19" s="151"/>
      <c r="N19" s="157"/>
      <c r="O19" s="151"/>
    </row>
    <row r="20" spans="1:15" s="4" customFormat="1" x14ac:dyDescent="0.3">
      <c r="A20" s="155"/>
      <c r="B20" s="182" t="s">
        <v>407</v>
      </c>
      <c r="C20" s="102" t="s">
        <v>406</v>
      </c>
      <c r="D20" s="191" t="s">
        <v>408</v>
      </c>
      <c r="E20" s="191">
        <v>0.5</v>
      </c>
      <c r="F20" s="192">
        <v>65</v>
      </c>
      <c r="G20" s="191">
        <f>E20*F20</f>
        <v>32.5</v>
      </c>
      <c r="H20" s="191">
        <f>G20*1.13</f>
        <v>36.724999999999994</v>
      </c>
      <c r="I20" s="191"/>
      <c r="J20" s="200"/>
      <c r="K20" s="151"/>
      <c r="L20" s="160"/>
      <c r="M20" s="151"/>
      <c r="N20" s="157"/>
      <c r="O20" s="151"/>
    </row>
    <row r="21" spans="1:15" s="4" customFormat="1" x14ac:dyDescent="0.3">
      <c r="A21" s="155"/>
      <c r="B21" s="103" t="s">
        <v>409</v>
      </c>
      <c r="C21" s="104" t="s">
        <v>410</v>
      </c>
      <c r="D21" s="193" t="s">
        <v>411</v>
      </c>
      <c r="E21" s="193">
        <v>0.6</v>
      </c>
      <c r="F21" s="194">
        <v>200</v>
      </c>
      <c r="G21" s="193">
        <f>E21*F21</f>
        <v>120</v>
      </c>
      <c r="H21" s="193">
        <f>G21*1.13</f>
        <v>135.6</v>
      </c>
      <c r="I21" s="193"/>
      <c r="J21" s="201"/>
      <c r="K21" s="151"/>
      <c r="L21" s="160"/>
      <c r="M21" s="151"/>
      <c r="N21" s="157"/>
      <c r="O21" s="151"/>
    </row>
    <row r="22" spans="1:15" s="4" customFormat="1" x14ac:dyDescent="0.3">
      <c r="A22" s="155"/>
      <c r="B22" s="182" t="s">
        <v>412</v>
      </c>
      <c r="C22" s="102" t="s">
        <v>410</v>
      </c>
      <c r="D22" s="191" t="s">
        <v>413</v>
      </c>
      <c r="E22" s="191">
        <v>0.75</v>
      </c>
      <c r="F22" s="192">
        <v>1000</v>
      </c>
      <c r="G22" s="191">
        <f>E22*F22</f>
        <v>750</v>
      </c>
      <c r="H22" s="191">
        <f>G22*1.13</f>
        <v>847.49999999999989</v>
      </c>
      <c r="I22" s="191">
        <v>92.88</v>
      </c>
      <c r="J22" s="233">
        <v>92.88</v>
      </c>
      <c r="K22" s="151"/>
      <c r="L22" s="160"/>
      <c r="M22" s="151"/>
      <c r="N22" s="157"/>
      <c r="O22" s="151"/>
    </row>
    <row r="23" spans="1:15" s="151" customFormat="1" x14ac:dyDescent="0.3">
      <c r="A23" s="155"/>
      <c r="B23" s="182" t="s">
        <v>1557</v>
      </c>
      <c r="C23" s="102" t="s">
        <v>1562</v>
      </c>
      <c r="D23" s="191"/>
      <c r="E23" s="191"/>
      <c r="F23" s="192"/>
      <c r="G23" s="191"/>
      <c r="H23" s="191"/>
      <c r="I23" s="191"/>
      <c r="J23" s="233">
        <v>14.69</v>
      </c>
      <c r="L23" s="160"/>
      <c r="N23" s="157"/>
    </row>
    <row r="24" spans="1:15" s="151" customFormat="1" x14ac:dyDescent="0.3">
      <c r="A24" s="155" t="s">
        <v>1549</v>
      </c>
      <c r="C24" s="104" t="s">
        <v>1550</v>
      </c>
      <c r="D24" s="193"/>
      <c r="E24" s="193"/>
      <c r="F24" s="194"/>
      <c r="G24" s="193"/>
      <c r="H24" s="193"/>
      <c r="I24" s="193">
        <v>130</v>
      </c>
      <c r="J24" s="201"/>
      <c r="L24" s="160"/>
      <c r="N24" s="157"/>
    </row>
    <row r="25" spans="1:15" s="4" customFormat="1" x14ac:dyDescent="0.3">
      <c r="A25" s="155"/>
      <c r="B25" s="158" t="s">
        <v>414</v>
      </c>
      <c r="C25" s="38"/>
      <c r="D25" s="179"/>
      <c r="E25" s="179"/>
      <c r="F25" s="184"/>
      <c r="G25" s="179"/>
      <c r="H25" s="179">
        <f>SUM(H18:H22)</f>
        <v>9166.7250000000004</v>
      </c>
      <c r="I25" s="179">
        <f>SUM(I18:I24)</f>
        <v>2442.88</v>
      </c>
      <c r="J25" s="180">
        <f>SUM(J18:J24)</f>
        <v>4587.57</v>
      </c>
      <c r="K25" s="151"/>
      <c r="L25" s="160"/>
      <c r="M25" s="151"/>
      <c r="N25" s="157"/>
      <c r="O25" s="151"/>
    </row>
    <row r="26" spans="1:15" s="4" customFormat="1" x14ac:dyDescent="0.3">
      <c r="A26" s="155"/>
      <c r="B26" s="151"/>
      <c r="C26" s="104"/>
      <c r="D26" s="193"/>
      <c r="E26" s="193"/>
      <c r="F26" s="194"/>
      <c r="G26" s="193"/>
      <c r="H26" s="193"/>
      <c r="I26" s="193"/>
      <c r="J26" s="201"/>
      <c r="K26" s="156"/>
      <c r="L26" s="160"/>
      <c r="M26" s="151"/>
      <c r="N26" s="157"/>
      <c r="O26" s="157"/>
    </row>
    <row r="27" spans="1:15" s="9" customFormat="1" ht="18.75" x14ac:dyDescent="0.35">
      <c r="A27" s="165"/>
      <c r="B27" s="166"/>
      <c r="C27" s="37" t="s">
        <v>98</v>
      </c>
      <c r="D27" s="203"/>
      <c r="E27" s="203"/>
      <c r="F27" s="204"/>
      <c r="G27" s="203"/>
      <c r="H27" s="203">
        <f>H25</f>
        <v>9166.7250000000004</v>
      </c>
      <c r="I27" s="203">
        <f>I25</f>
        <v>2442.88</v>
      </c>
      <c r="J27" s="205">
        <f>J25</f>
        <v>4587.57</v>
      </c>
      <c r="K27" s="130"/>
      <c r="L27" s="131"/>
      <c r="M27" s="130"/>
      <c r="N27" s="130"/>
      <c r="O27" s="132"/>
    </row>
    <row r="28" spans="1:15" s="9" customFormat="1" ht="18.75" x14ac:dyDescent="0.35">
      <c r="A28" s="165"/>
      <c r="B28" s="166"/>
      <c r="C28" s="37"/>
      <c r="D28" s="203"/>
      <c r="E28" s="203"/>
      <c r="F28" s="204"/>
      <c r="G28" s="203"/>
      <c r="H28" s="203"/>
      <c r="I28" s="203"/>
      <c r="J28" s="205"/>
      <c r="K28" s="130"/>
      <c r="L28" s="131"/>
      <c r="M28" s="130"/>
      <c r="N28" s="130"/>
      <c r="O28" s="132"/>
    </row>
    <row r="29" spans="1:15" s="11" customFormat="1" ht="20.25" x14ac:dyDescent="0.35">
      <c r="A29" s="275" t="s">
        <v>99</v>
      </c>
      <c r="B29" s="276"/>
      <c r="C29" s="276"/>
      <c r="D29" s="167"/>
      <c r="E29" s="167"/>
      <c r="F29" s="190"/>
      <c r="G29" s="167"/>
      <c r="H29" s="167"/>
      <c r="I29" s="167"/>
      <c r="J29" s="168"/>
      <c r="K29" s="136"/>
      <c r="L29" s="136"/>
      <c r="M29" s="133"/>
      <c r="N29" s="133"/>
      <c r="O29" s="133"/>
    </row>
    <row r="30" spans="1:15" s="13" customFormat="1" ht="20.25" x14ac:dyDescent="0.35">
      <c r="A30" s="175"/>
      <c r="B30" s="169" t="s">
        <v>100</v>
      </c>
      <c r="C30" s="214"/>
      <c r="D30" s="206"/>
      <c r="E30" s="206"/>
      <c r="F30" s="206"/>
      <c r="G30" s="206"/>
      <c r="H30" s="206">
        <f>H14</f>
        <v>8000</v>
      </c>
      <c r="I30" s="206">
        <v>0</v>
      </c>
      <c r="J30" s="118">
        <f>J14</f>
        <v>3636.6</v>
      </c>
      <c r="K30" s="170"/>
      <c r="L30" s="170"/>
      <c r="M30" s="170"/>
      <c r="N30" s="170"/>
      <c r="O30" s="170"/>
    </row>
    <row r="31" spans="1:15" s="13" customFormat="1" ht="20.25" x14ac:dyDescent="0.35">
      <c r="A31" s="175"/>
      <c r="B31" s="170" t="s">
        <v>101</v>
      </c>
      <c r="C31" s="136"/>
      <c r="D31" s="207"/>
      <c r="E31" s="207"/>
      <c r="F31" s="207"/>
      <c r="G31" s="207"/>
      <c r="H31" s="207">
        <f>H27</f>
        <v>9166.7250000000004</v>
      </c>
      <c r="I31" s="207">
        <v>0</v>
      </c>
      <c r="J31" s="119">
        <f>J27</f>
        <v>4587.57</v>
      </c>
      <c r="K31" s="170"/>
      <c r="L31" s="170"/>
      <c r="M31" s="170"/>
      <c r="N31" s="170"/>
      <c r="O31" s="170"/>
    </row>
    <row r="32" spans="1:15" s="13" customFormat="1" ht="20.25" x14ac:dyDescent="0.35">
      <c r="A32" s="208"/>
      <c r="B32" s="171" t="s">
        <v>102</v>
      </c>
      <c r="C32" s="215"/>
      <c r="D32" s="209"/>
      <c r="E32" s="209"/>
      <c r="F32" s="209"/>
      <c r="G32" s="209"/>
      <c r="H32" s="209">
        <f>H30-H31</f>
        <v>-1166.7250000000004</v>
      </c>
      <c r="I32" s="209">
        <v>0</v>
      </c>
      <c r="J32" s="120">
        <f>J30-J31</f>
        <v>-950.9699999999998</v>
      </c>
      <c r="K32" s="170"/>
      <c r="L32" s="170"/>
      <c r="M32" s="170"/>
      <c r="N32" s="170"/>
      <c r="O32" s="170"/>
    </row>
    <row r="33" spans="1:15" s="4" customFormat="1" x14ac:dyDescent="0.3">
      <c r="A33" s="134"/>
      <c r="B33" s="134"/>
      <c r="C33" s="42"/>
      <c r="D33" s="135"/>
      <c r="E33" s="152"/>
      <c r="F33" s="188"/>
      <c r="G33" s="152"/>
      <c r="H33" s="152"/>
      <c r="I33" s="152"/>
      <c r="J33" s="152"/>
      <c r="K33" s="151"/>
      <c r="L33" s="151"/>
      <c r="M33" s="151"/>
      <c r="N33" s="151"/>
      <c r="O33" s="151"/>
    </row>
  </sheetData>
  <mergeCells count="6">
    <mergeCell ref="A29:C29"/>
    <mergeCell ref="D1:J4"/>
    <mergeCell ref="A5:C5"/>
    <mergeCell ref="D5:E5"/>
    <mergeCell ref="A8:C8"/>
    <mergeCell ref="A16:C16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zoomScale="70" zoomScaleNormal="70" zoomScalePageLayoutView="70" workbookViewId="0">
      <pane xSplit="3" ySplit="6" topLeftCell="G19" activePane="bottomRight" state="frozen"/>
      <selection pane="topRight" activeCell="C1" sqref="C1"/>
      <selection pane="bottomLeft" activeCell="A4" sqref="A4"/>
      <selection pane="bottomRight" activeCell="I43" sqref="I43"/>
    </sheetView>
  </sheetViews>
  <sheetFormatPr defaultColWidth="8.85546875" defaultRowHeight="17.25" x14ac:dyDescent="0.3"/>
  <cols>
    <col min="1" max="2" width="13.85546875" style="15" customWidth="1"/>
    <col min="3" max="3" width="42.85546875" style="41" bestFit="1" customWidth="1"/>
    <col min="4" max="4" width="44.85546875" style="17" bestFit="1" customWidth="1"/>
    <col min="5" max="5" width="12" style="5" bestFit="1" customWidth="1"/>
    <col min="6" max="6" width="10.85546875" style="22" bestFit="1" customWidth="1"/>
    <col min="7" max="7" width="11.140625" style="5" bestFit="1" customWidth="1"/>
    <col min="8" max="8" width="16.5703125" style="5" bestFit="1" customWidth="1"/>
    <col min="9" max="9" width="22.42578125" style="5" customWidth="1"/>
    <col min="10" max="10" width="23" style="5" customWidth="1"/>
    <col min="11" max="11" width="12" style="4" customWidth="1"/>
    <col min="12" max="12" width="11.28515625" style="4" customWidth="1"/>
    <col min="13" max="13" width="8.85546875" style="15"/>
    <col min="14" max="14" width="10.140625" style="15" bestFit="1" customWidth="1"/>
    <col min="15" max="15" width="14.28515625" style="15" customWidth="1"/>
    <col min="16" max="16384" width="8.85546875" style="15"/>
  </cols>
  <sheetData>
    <row r="1" spans="1:15" s="1" customFormat="1" ht="38.25" x14ac:dyDescent="0.3">
      <c r="A1" s="212"/>
      <c r="B1" s="213"/>
      <c r="C1" s="31"/>
      <c r="D1" s="262" t="s">
        <v>415</v>
      </c>
      <c r="E1" s="280"/>
      <c r="F1" s="280"/>
      <c r="G1" s="280"/>
      <c r="H1" s="280"/>
      <c r="I1" s="280"/>
      <c r="J1" s="264"/>
      <c r="K1" s="121"/>
      <c r="L1" s="121"/>
      <c r="M1" s="121"/>
      <c r="N1" s="121"/>
      <c r="O1" s="121"/>
    </row>
    <row r="2" spans="1:15" s="1" customFormat="1" ht="38.25" x14ac:dyDescent="0.3">
      <c r="A2" s="140"/>
      <c r="B2" s="141"/>
      <c r="C2" s="32"/>
      <c r="D2" s="265"/>
      <c r="E2" s="266"/>
      <c r="F2" s="266"/>
      <c r="G2" s="266"/>
      <c r="H2" s="266"/>
      <c r="I2" s="266"/>
      <c r="J2" s="267"/>
      <c r="K2" s="121"/>
      <c r="L2" s="121"/>
      <c r="M2" s="121"/>
      <c r="N2" s="121"/>
      <c r="O2" s="121"/>
    </row>
    <row r="3" spans="1:15" s="1" customFormat="1" ht="38.25" x14ac:dyDescent="0.3">
      <c r="A3" s="140"/>
      <c r="B3" s="141"/>
      <c r="C3" s="32"/>
      <c r="D3" s="265"/>
      <c r="E3" s="266"/>
      <c r="F3" s="266"/>
      <c r="G3" s="266"/>
      <c r="H3" s="266"/>
      <c r="I3" s="266"/>
      <c r="J3" s="267"/>
      <c r="K3" s="121"/>
      <c r="L3" s="121"/>
      <c r="M3" s="121"/>
      <c r="N3" s="121"/>
      <c r="O3" s="121"/>
    </row>
    <row r="4" spans="1:15" s="1" customFormat="1" ht="38.25" x14ac:dyDescent="0.3">
      <c r="A4" s="142"/>
      <c r="B4" s="143"/>
      <c r="C4" s="33"/>
      <c r="D4" s="268"/>
      <c r="E4" s="269"/>
      <c r="F4" s="269"/>
      <c r="G4" s="269"/>
      <c r="H4" s="269"/>
      <c r="I4" s="269"/>
      <c r="J4" s="270"/>
      <c r="K4" s="121"/>
      <c r="L4" s="121"/>
      <c r="M4" s="121"/>
      <c r="N4" s="121"/>
      <c r="O4" s="121"/>
    </row>
    <row r="5" spans="1:15" s="1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21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1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1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4" customFormat="1" x14ac:dyDescent="0.3">
      <c r="A9" s="150" t="s">
        <v>416</v>
      </c>
      <c r="B9" s="159"/>
      <c r="C9" s="103"/>
      <c r="D9" s="152"/>
      <c r="E9" s="152"/>
      <c r="F9" s="188"/>
      <c r="G9" s="152"/>
      <c r="H9" s="152"/>
      <c r="I9" s="152"/>
      <c r="J9" s="153"/>
      <c r="K9" s="151"/>
      <c r="L9" s="151"/>
      <c r="M9" s="151"/>
      <c r="N9" s="151"/>
      <c r="O9" s="151"/>
    </row>
    <row r="10" spans="1:15" s="4" customFormat="1" x14ac:dyDescent="0.3">
      <c r="A10" s="150"/>
      <c r="B10" s="182" t="s">
        <v>417</v>
      </c>
      <c r="C10" s="182" t="s">
        <v>418</v>
      </c>
      <c r="D10" s="191" t="s">
        <v>419</v>
      </c>
      <c r="E10" s="191">
        <v>240</v>
      </c>
      <c r="F10" s="192">
        <v>1</v>
      </c>
      <c r="G10" s="191">
        <f>F10*E10</f>
        <v>240</v>
      </c>
      <c r="H10" s="191">
        <f>G10</f>
        <v>240</v>
      </c>
      <c r="I10" s="191"/>
      <c r="J10" s="200"/>
      <c r="K10" s="151"/>
      <c r="L10" s="151"/>
      <c r="M10" s="151"/>
      <c r="N10" s="151"/>
      <c r="O10" s="151"/>
    </row>
    <row r="11" spans="1:15" s="4" customFormat="1" x14ac:dyDescent="0.3">
      <c r="A11" s="155"/>
      <c r="B11" s="103" t="s">
        <v>420</v>
      </c>
      <c r="C11" s="104" t="s">
        <v>421</v>
      </c>
      <c r="D11" s="193" t="s">
        <v>422</v>
      </c>
      <c r="E11" s="193">
        <v>250</v>
      </c>
      <c r="F11" s="194">
        <v>1</v>
      </c>
      <c r="G11" s="193">
        <f>F11*E11</f>
        <v>250</v>
      </c>
      <c r="H11" s="193">
        <f>G11</f>
        <v>250</v>
      </c>
      <c r="I11" s="193"/>
      <c r="J11" s="201"/>
      <c r="K11" s="151"/>
      <c r="L11" s="151"/>
      <c r="M11" s="151"/>
      <c r="N11" s="157"/>
      <c r="O11" s="151"/>
    </row>
    <row r="12" spans="1:15" s="4" customFormat="1" x14ac:dyDescent="0.3">
      <c r="A12" s="155"/>
      <c r="B12" s="154"/>
      <c r="C12" s="102"/>
      <c r="D12" s="191"/>
      <c r="E12" s="191"/>
      <c r="F12" s="192"/>
      <c r="G12" s="191"/>
      <c r="H12" s="191"/>
      <c r="I12" s="191"/>
      <c r="J12" s="200"/>
      <c r="K12" s="151"/>
      <c r="L12" s="151"/>
      <c r="M12" s="151"/>
      <c r="N12" s="157"/>
      <c r="O12" s="151"/>
    </row>
    <row r="13" spans="1:15" s="4" customFormat="1" x14ac:dyDescent="0.3">
      <c r="A13" s="155"/>
      <c r="B13" s="158" t="s">
        <v>423</v>
      </c>
      <c r="C13" s="35"/>
      <c r="D13" s="210"/>
      <c r="E13" s="210"/>
      <c r="F13" s="211"/>
      <c r="G13" s="210"/>
      <c r="H13" s="179">
        <f>SUM(H10:H11)</f>
        <v>490</v>
      </c>
      <c r="I13" s="179">
        <f>SUM(I10:I11)</f>
        <v>0</v>
      </c>
      <c r="J13" s="180">
        <f>SUM(J10:J11)</f>
        <v>0</v>
      </c>
      <c r="K13" s="151"/>
      <c r="L13" s="151"/>
      <c r="M13" s="151"/>
      <c r="N13" s="157"/>
      <c r="O13" s="151"/>
    </row>
    <row r="14" spans="1:15" s="4" customFormat="1" x14ac:dyDescent="0.3">
      <c r="A14" s="150"/>
      <c r="B14" s="159"/>
      <c r="C14" s="129"/>
      <c r="D14" s="196"/>
      <c r="E14" s="196"/>
      <c r="F14" s="202"/>
      <c r="G14" s="196"/>
      <c r="H14" s="196"/>
      <c r="I14" s="196"/>
      <c r="J14" s="197"/>
      <c r="K14" s="156"/>
      <c r="L14" s="160"/>
      <c r="M14" s="156"/>
      <c r="N14" s="156"/>
      <c r="O14" s="157"/>
    </row>
    <row r="15" spans="1:15" s="4" customFormat="1" ht="18.75" x14ac:dyDescent="0.35">
      <c r="A15" s="161"/>
      <c r="B15" s="162"/>
      <c r="C15" s="37" t="s">
        <v>58</v>
      </c>
      <c r="D15" s="203"/>
      <c r="E15" s="203"/>
      <c r="F15" s="204"/>
      <c r="G15" s="203"/>
      <c r="H15" s="203">
        <f>H13</f>
        <v>490</v>
      </c>
      <c r="I15" s="203">
        <f>I13</f>
        <v>0</v>
      </c>
      <c r="J15" s="205">
        <f>J13</f>
        <v>0</v>
      </c>
      <c r="K15" s="126"/>
      <c r="L15" s="127"/>
      <c r="M15" s="126"/>
      <c r="N15" s="126"/>
      <c r="O15" s="128"/>
    </row>
    <row r="16" spans="1:15" s="4" customFormat="1" ht="18.75" x14ac:dyDescent="0.35">
      <c r="A16" s="161"/>
      <c r="B16" s="162"/>
      <c r="C16" s="37"/>
      <c r="D16" s="196"/>
      <c r="E16" s="196"/>
      <c r="F16" s="202"/>
      <c r="G16" s="196"/>
      <c r="H16" s="196"/>
      <c r="I16" s="196"/>
      <c r="J16" s="197"/>
      <c r="K16" s="126"/>
      <c r="L16" s="127"/>
      <c r="M16" s="126"/>
      <c r="N16" s="126"/>
      <c r="O16" s="128"/>
    </row>
    <row r="17" spans="1:15" s="4" customFormat="1" x14ac:dyDescent="0.3">
      <c r="A17" s="273" t="s">
        <v>59</v>
      </c>
      <c r="B17" s="274"/>
      <c r="C17" s="274"/>
      <c r="D17" s="148"/>
      <c r="E17" s="163"/>
      <c r="F17" s="189"/>
      <c r="G17" s="163"/>
      <c r="H17" s="163"/>
      <c r="I17" s="163"/>
      <c r="J17" s="149"/>
      <c r="K17" s="129"/>
      <c r="L17" s="129"/>
      <c r="M17" s="151"/>
      <c r="N17" s="151"/>
      <c r="O17" s="151"/>
    </row>
    <row r="18" spans="1:15" s="4" customFormat="1" x14ac:dyDescent="0.3">
      <c r="A18" s="150" t="s">
        <v>424</v>
      </c>
      <c r="B18" s="159"/>
      <c r="C18" s="103"/>
      <c r="D18" s="193"/>
      <c r="E18" s="193"/>
      <c r="F18" s="194"/>
      <c r="G18" s="193"/>
      <c r="H18" s="193"/>
      <c r="I18" s="193"/>
      <c r="J18" s="201"/>
      <c r="K18" s="156"/>
      <c r="L18" s="124"/>
      <c r="M18" s="159"/>
      <c r="N18" s="123"/>
      <c r="O18" s="125"/>
    </row>
    <row r="19" spans="1:15" s="7" customFormat="1" ht="18.75" x14ac:dyDescent="0.35">
      <c r="A19" s="155"/>
      <c r="B19" s="103" t="s">
        <v>425</v>
      </c>
      <c r="C19" s="103" t="s">
        <v>426</v>
      </c>
      <c r="D19" s="193" t="s">
        <v>427</v>
      </c>
      <c r="E19" s="193">
        <v>150</v>
      </c>
      <c r="F19" s="194">
        <v>3</v>
      </c>
      <c r="G19" s="193">
        <f>E19*F19</f>
        <v>450</v>
      </c>
      <c r="H19" s="193">
        <f>G19*1.13</f>
        <v>508.49999999999994</v>
      </c>
      <c r="I19" s="193"/>
      <c r="J19" s="201"/>
      <c r="K19" s="219"/>
      <c r="L19" s="160"/>
      <c r="M19" s="151"/>
      <c r="N19" s="157"/>
      <c r="O19" s="151"/>
    </row>
    <row r="20" spans="1:15" s="4" customFormat="1" x14ac:dyDescent="0.3">
      <c r="A20" s="155"/>
      <c r="B20" s="182" t="s">
        <v>428</v>
      </c>
      <c r="C20" s="102" t="s">
        <v>429</v>
      </c>
      <c r="D20" s="191" t="s">
        <v>430</v>
      </c>
      <c r="E20" s="191">
        <v>75</v>
      </c>
      <c r="F20" s="192">
        <v>5</v>
      </c>
      <c r="G20" s="191">
        <f>E20*F20</f>
        <v>375</v>
      </c>
      <c r="H20" s="191">
        <f>G20*1.13</f>
        <v>423.74999999999994</v>
      </c>
      <c r="I20" s="191"/>
      <c r="J20" s="233"/>
      <c r="K20" s="151"/>
      <c r="L20" s="160"/>
      <c r="M20" s="151"/>
      <c r="N20" s="157"/>
      <c r="O20" s="151"/>
    </row>
    <row r="21" spans="1:15" s="4" customFormat="1" x14ac:dyDescent="0.3">
      <c r="A21" s="155"/>
      <c r="B21" s="103" t="s">
        <v>431</v>
      </c>
      <c r="C21" s="104" t="s">
        <v>432</v>
      </c>
      <c r="D21" s="193" t="s">
        <v>433</v>
      </c>
      <c r="E21" s="193">
        <v>150</v>
      </c>
      <c r="F21" s="194">
        <v>1</v>
      </c>
      <c r="G21" s="193">
        <f>E21*F21</f>
        <v>150</v>
      </c>
      <c r="H21" s="193">
        <f>G21*1.13</f>
        <v>169.49999999999997</v>
      </c>
      <c r="I21" s="193"/>
      <c r="J21" s="201"/>
      <c r="K21" s="151"/>
      <c r="L21" s="160"/>
      <c r="M21" s="151"/>
      <c r="N21" s="157"/>
      <c r="O21" s="151"/>
    </row>
    <row r="22" spans="1:15" s="4" customFormat="1" x14ac:dyDescent="0.3">
      <c r="A22" s="155"/>
      <c r="B22" s="182"/>
      <c r="C22" s="102"/>
      <c r="D22" s="191"/>
      <c r="E22" s="191"/>
      <c r="F22" s="192"/>
      <c r="G22" s="191"/>
      <c r="H22" s="191"/>
      <c r="I22" s="191"/>
      <c r="J22" s="200"/>
      <c r="K22" s="151"/>
      <c r="L22" s="160"/>
      <c r="M22" s="151"/>
      <c r="N22" s="157"/>
      <c r="O22" s="151"/>
    </row>
    <row r="23" spans="1:15" s="4" customFormat="1" x14ac:dyDescent="0.3">
      <c r="A23" s="155"/>
      <c r="B23" s="158" t="s">
        <v>434</v>
      </c>
      <c r="C23" s="38"/>
      <c r="D23" s="179"/>
      <c r="E23" s="179"/>
      <c r="F23" s="184"/>
      <c r="G23" s="179"/>
      <c r="H23" s="179">
        <f>SUM(H19:H21)</f>
        <v>1101.7499999999998</v>
      </c>
      <c r="I23" s="179">
        <v>0</v>
      </c>
      <c r="J23" s="180">
        <v>0</v>
      </c>
      <c r="K23" s="151"/>
      <c r="L23" s="160"/>
      <c r="M23" s="151"/>
      <c r="N23" s="157"/>
      <c r="O23" s="151"/>
    </row>
    <row r="24" spans="1:15" s="4" customFormat="1" x14ac:dyDescent="0.3">
      <c r="A24" s="150"/>
      <c r="B24" s="159"/>
      <c r="C24" s="129"/>
      <c r="D24" s="196"/>
      <c r="E24" s="196"/>
      <c r="F24" s="202"/>
      <c r="G24" s="196"/>
      <c r="H24" s="196"/>
      <c r="I24" s="196"/>
      <c r="J24" s="197"/>
      <c r="K24" s="156"/>
      <c r="L24" s="160"/>
      <c r="M24" s="151"/>
      <c r="N24" s="157"/>
      <c r="O24" s="157"/>
    </row>
    <row r="25" spans="1:15" s="4" customFormat="1" x14ac:dyDescent="0.3">
      <c r="A25" s="150" t="s">
        <v>435</v>
      </c>
      <c r="B25" s="159"/>
      <c r="C25" s="103"/>
      <c r="D25" s="193"/>
      <c r="E25" s="193"/>
      <c r="F25" s="194"/>
      <c r="G25" s="193"/>
      <c r="H25" s="193"/>
      <c r="I25" s="193"/>
      <c r="J25" s="201"/>
      <c r="K25" s="156"/>
      <c r="L25" s="160"/>
      <c r="M25" s="151"/>
      <c r="N25" s="157"/>
      <c r="O25" s="157"/>
    </row>
    <row r="26" spans="1:15" s="4" customFormat="1" x14ac:dyDescent="0.3">
      <c r="A26" s="164"/>
      <c r="B26" s="182" t="s">
        <v>436</v>
      </c>
      <c r="C26" s="102" t="s">
        <v>437</v>
      </c>
      <c r="D26" s="191"/>
      <c r="E26" s="191">
        <v>120</v>
      </c>
      <c r="F26" s="192">
        <v>5</v>
      </c>
      <c r="G26" s="191">
        <f>F26*E26</f>
        <v>600</v>
      </c>
      <c r="H26" s="191">
        <f>G26</f>
        <v>600</v>
      </c>
      <c r="I26" s="191">
        <f>600+95</f>
        <v>695</v>
      </c>
      <c r="J26" s="200">
        <f>600+95</f>
        <v>695</v>
      </c>
      <c r="K26" s="220"/>
      <c r="L26" s="160"/>
      <c r="M26" s="151"/>
      <c r="N26" s="157"/>
      <c r="O26" s="157"/>
    </row>
    <row r="27" spans="1:15" s="4" customFormat="1" x14ac:dyDescent="0.3">
      <c r="A27" s="164"/>
      <c r="B27" s="103" t="s">
        <v>438</v>
      </c>
      <c r="C27" s="104" t="s">
        <v>439</v>
      </c>
      <c r="D27" s="193"/>
      <c r="E27" s="193">
        <v>50</v>
      </c>
      <c r="F27" s="194">
        <v>5</v>
      </c>
      <c r="G27" s="193">
        <f t="shared" ref="G27:G34" si="0">F27*E27</f>
        <v>250</v>
      </c>
      <c r="H27" s="193">
        <f t="shared" ref="H27:H34" si="1">G27</f>
        <v>250</v>
      </c>
      <c r="I27" s="193">
        <v>375</v>
      </c>
      <c r="J27" s="201">
        <v>375</v>
      </c>
      <c r="K27" s="156"/>
      <c r="L27" s="160"/>
      <c r="M27" s="151"/>
      <c r="N27" s="157"/>
      <c r="O27" s="157"/>
    </row>
    <row r="28" spans="1:15" s="4" customFormat="1" x14ac:dyDescent="0.3">
      <c r="A28" s="164"/>
      <c r="B28" s="182" t="s">
        <v>440</v>
      </c>
      <c r="C28" s="102" t="s">
        <v>441</v>
      </c>
      <c r="D28" s="191" t="s">
        <v>442</v>
      </c>
      <c r="E28" s="191">
        <v>50</v>
      </c>
      <c r="F28" s="192">
        <v>3</v>
      </c>
      <c r="G28" s="191">
        <f t="shared" si="0"/>
        <v>150</v>
      </c>
      <c r="H28" s="191">
        <f t="shared" si="1"/>
        <v>150</v>
      </c>
      <c r="I28" s="191"/>
      <c r="J28" s="200"/>
      <c r="K28" s="156"/>
      <c r="L28" s="160"/>
      <c r="M28" s="151"/>
      <c r="N28" s="157"/>
      <c r="O28" s="157"/>
    </row>
    <row r="29" spans="1:15" s="4" customFormat="1" x14ac:dyDescent="0.3">
      <c r="A29" s="164"/>
      <c r="B29" s="182" t="s">
        <v>443</v>
      </c>
      <c r="C29" s="104" t="s">
        <v>444</v>
      </c>
      <c r="D29" s="193"/>
      <c r="E29" s="193">
        <v>75</v>
      </c>
      <c r="F29" s="194">
        <v>3</v>
      </c>
      <c r="G29" s="193">
        <f t="shared" si="0"/>
        <v>225</v>
      </c>
      <c r="H29" s="193">
        <f t="shared" si="1"/>
        <v>225</v>
      </c>
      <c r="I29" s="193"/>
      <c r="J29" s="201"/>
      <c r="K29" s="156"/>
      <c r="L29" s="160"/>
      <c r="M29" s="151"/>
      <c r="N29" s="157"/>
      <c r="O29" s="157"/>
    </row>
    <row r="30" spans="1:15" s="4" customFormat="1" x14ac:dyDescent="0.3">
      <c r="A30" s="164"/>
      <c r="B30" s="103" t="s">
        <v>445</v>
      </c>
      <c r="C30" s="102" t="s">
        <v>446</v>
      </c>
      <c r="D30" s="191"/>
      <c r="E30" s="191">
        <v>50</v>
      </c>
      <c r="F30" s="192">
        <v>2</v>
      </c>
      <c r="G30" s="191">
        <f t="shared" si="0"/>
        <v>100</v>
      </c>
      <c r="H30" s="191">
        <f t="shared" si="1"/>
        <v>100</v>
      </c>
      <c r="I30" s="191">
        <v>50</v>
      </c>
      <c r="J30" s="200">
        <v>50</v>
      </c>
      <c r="K30" s="156"/>
      <c r="L30" s="160"/>
      <c r="M30" s="151"/>
      <c r="N30" s="157"/>
      <c r="O30" s="157"/>
    </row>
    <row r="31" spans="1:15" s="4" customFormat="1" x14ac:dyDescent="0.3">
      <c r="A31" s="164"/>
      <c r="B31" s="182" t="s">
        <v>447</v>
      </c>
      <c r="C31" s="104" t="s">
        <v>448</v>
      </c>
      <c r="D31" s="193" t="s">
        <v>449</v>
      </c>
      <c r="E31" s="193">
        <v>250</v>
      </c>
      <c r="F31" s="194">
        <v>16</v>
      </c>
      <c r="G31" s="193">
        <f t="shared" si="0"/>
        <v>4000</v>
      </c>
      <c r="H31" s="193">
        <f t="shared" si="1"/>
        <v>4000</v>
      </c>
      <c r="I31" s="193"/>
      <c r="J31" s="201"/>
      <c r="K31" s="220"/>
      <c r="L31" s="160"/>
      <c r="M31" s="151"/>
      <c r="N31" s="157"/>
      <c r="O31" s="157"/>
    </row>
    <row r="32" spans="1:15" s="4" customFormat="1" x14ac:dyDescent="0.3">
      <c r="A32" s="164"/>
      <c r="B32" s="182" t="s">
        <v>450</v>
      </c>
      <c r="C32" s="102" t="s">
        <v>448</v>
      </c>
      <c r="D32" s="191" t="s">
        <v>451</v>
      </c>
      <c r="E32" s="191">
        <v>60</v>
      </c>
      <c r="F32" s="192">
        <v>16</v>
      </c>
      <c r="G32" s="191">
        <f t="shared" si="0"/>
        <v>960</v>
      </c>
      <c r="H32" s="191">
        <f t="shared" si="1"/>
        <v>960</v>
      </c>
      <c r="I32" s="191"/>
      <c r="J32" s="200"/>
      <c r="K32" s="156"/>
      <c r="L32" s="160"/>
      <c r="M32" s="151"/>
      <c r="N32" s="157"/>
      <c r="O32" s="157"/>
    </row>
    <row r="33" spans="1:15" s="4" customFormat="1" x14ac:dyDescent="0.3">
      <c r="A33" s="164"/>
      <c r="B33" s="103" t="s">
        <v>452</v>
      </c>
      <c r="C33" s="104" t="s">
        <v>453</v>
      </c>
      <c r="D33" s="193" t="s">
        <v>454</v>
      </c>
      <c r="E33" s="193">
        <v>200</v>
      </c>
      <c r="F33" s="194">
        <v>5</v>
      </c>
      <c r="G33" s="193">
        <f t="shared" si="0"/>
        <v>1000</v>
      </c>
      <c r="H33" s="193">
        <f>G33</f>
        <v>1000</v>
      </c>
      <c r="I33" s="193">
        <f>200*2+200+200</f>
        <v>800</v>
      </c>
      <c r="J33" s="201">
        <v>800</v>
      </c>
      <c r="K33" s="156"/>
      <c r="L33" s="160"/>
      <c r="M33" s="151"/>
      <c r="N33" s="157"/>
      <c r="O33" s="157"/>
    </row>
    <row r="34" spans="1:15" s="4" customFormat="1" x14ac:dyDescent="0.3">
      <c r="A34" s="164"/>
      <c r="B34" s="182" t="s">
        <v>455</v>
      </c>
      <c r="C34" s="102" t="s">
        <v>456</v>
      </c>
      <c r="D34" s="191" t="s">
        <v>457</v>
      </c>
      <c r="E34" s="191">
        <v>500</v>
      </c>
      <c r="F34" s="192">
        <v>1</v>
      </c>
      <c r="G34" s="191">
        <f t="shared" si="0"/>
        <v>500</v>
      </c>
      <c r="H34" s="191">
        <f t="shared" si="1"/>
        <v>500</v>
      </c>
      <c r="I34" s="191">
        <v>171.08</v>
      </c>
      <c r="J34" s="200">
        <v>171.08</v>
      </c>
      <c r="K34" s="156"/>
      <c r="L34" s="160"/>
      <c r="M34" s="151"/>
      <c r="N34" s="157"/>
      <c r="O34" s="157"/>
    </row>
    <row r="35" spans="1:15" s="4" customFormat="1" x14ac:dyDescent="0.3">
      <c r="A35" s="155" t="s">
        <v>362</v>
      </c>
      <c r="B35" s="151"/>
      <c r="C35" s="103"/>
      <c r="D35" s="193"/>
      <c r="E35" s="193"/>
      <c r="F35" s="194"/>
      <c r="G35" s="193"/>
      <c r="H35" s="193"/>
      <c r="I35" s="193"/>
      <c r="J35" s="201"/>
      <c r="K35" s="156"/>
      <c r="L35" s="151"/>
      <c r="M35" s="151"/>
      <c r="N35" s="151"/>
      <c r="O35" s="151"/>
    </row>
    <row r="36" spans="1:15" s="4" customFormat="1" x14ac:dyDescent="0.3">
      <c r="A36" s="155"/>
      <c r="B36" s="158" t="s">
        <v>458</v>
      </c>
      <c r="C36" s="36"/>
      <c r="D36" s="179"/>
      <c r="E36" s="179"/>
      <c r="F36" s="184"/>
      <c r="G36" s="179"/>
      <c r="H36" s="179">
        <f>SUM(H26:H34)</f>
        <v>7785</v>
      </c>
      <c r="I36" s="179">
        <f>SUM(I26:I34)</f>
        <v>2091.08</v>
      </c>
      <c r="J36" s="180">
        <f>SUM(J26:J34)</f>
        <v>2091.08</v>
      </c>
      <c r="K36" s="156"/>
      <c r="L36" s="151"/>
      <c r="M36" s="151"/>
      <c r="N36" s="151"/>
      <c r="O36" s="151"/>
    </row>
    <row r="37" spans="1:15" s="4" customFormat="1" x14ac:dyDescent="0.3">
      <c r="A37" s="155"/>
      <c r="B37" s="151"/>
      <c r="C37" s="103"/>
      <c r="D37" s="193"/>
      <c r="E37" s="193"/>
      <c r="F37" s="194"/>
      <c r="G37" s="193"/>
      <c r="H37" s="193"/>
      <c r="I37" s="193"/>
      <c r="J37" s="201"/>
      <c r="K37" s="156"/>
      <c r="L37" s="160"/>
      <c r="M37" s="151"/>
      <c r="N37" s="157"/>
      <c r="O37" s="157"/>
    </row>
    <row r="38" spans="1:15" s="4" customFormat="1" x14ac:dyDescent="0.3">
      <c r="A38" s="150" t="s">
        <v>459</v>
      </c>
      <c r="B38" s="159"/>
      <c r="C38" s="103"/>
      <c r="D38" s="193"/>
      <c r="E38" s="193"/>
      <c r="F38" s="194"/>
      <c r="G38" s="193"/>
      <c r="H38" s="193"/>
      <c r="I38" s="193"/>
      <c r="J38" s="201"/>
      <c r="K38" s="156"/>
      <c r="L38" s="160"/>
      <c r="M38" s="151"/>
      <c r="N38" s="157"/>
      <c r="O38" s="157"/>
    </row>
    <row r="39" spans="1:15" s="4" customFormat="1" x14ac:dyDescent="0.3">
      <c r="A39" s="155"/>
      <c r="B39" s="182" t="s">
        <v>460</v>
      </c>
      <c r="C39" s="102" t="s">
        <v>461</v>
      </c>
      <c r="D39" s="191" t="s">
        <v>462</v>
      </c>
      <c r="E39" s="191">
        <v>50</v>
      </c>
      <c r="F39" s="192">
        <v>1</v>
      </c>
      <c r="G39" s="191">
        <f>F39*E39</f>
        <v>50</v>
      </c>
      <c r="H39" s="191">
        <f>G39*1.13</f>
        <v>56.499999999999993</v>
      </c>
      <c r="I39" s="191">
        <v>98.68</v>
      </c>
      <c r="J39" s="200">
        <f>98.68+161.22/2</f>
        <v>179.29000000000002</v>
      </c>
      <c r="K39" s="156"/>
      <c r="L39" s="160"/>
      <c r="M39" s="151"/>
      <c r="N39" s="157"/>
      <c r="O39" s="157"/>
    </row>
    <row r="40" spans="1:15" s="4" customFormat="1" x14ac:dyDescent="0.3">
      <c r="A40" s="155"/>
      <c r="B40" s="103" t="s">
        <v>463</v>
      </c>
      <c r="C40" s="103" t="s">
        <v>456</v>
      </c>
      <c r="D40" s="193" t="s">
        <v>457</v>
      </c>
      <c r="E40" s="193">
        <v>500</v>
      </c>
      <c r="F40" s="194">
        <v>1</v>
      </c>
      <c r="G40" s="193">
        <f t="shared" ref="G40:G49" si="2">F40*E40</f>
        <v>500</v>
      </c>
      <c r="H40" s="193">
        <v>500</v>
      </c>
      <c r="I40" s="193"/>
      <c r="J40" s="201"/>
      <c r="K40" s="156"/>
      <c r="L40" s="160"/>
      <c r="M40" s="151"/>
      <c r="N40" s="157"/>
      <c r="O40" s="157"/>
    </row>
    <row r="41" spans="1:15" s="4" customFormat="1" x14ac:dyDescent="0.3">
      <c r="A41" s="155"/>
      <c r="B41" s="182" t="s">
        <v>464</v>
      </c>
      <c r="C41" s="182" t="s">
        <v>465</v>
      </c>
      <c r="D41" s="191" t="s">
        <v>466</v>
      </c>
      <c r="E41" s="191">
        <v>200</v>
      </c>
      <c r="F41" s="192">
        <v>1</v>
      </c>
      <c r="G41" s="191">
        <f t="shared" si="2"/>
        <v>200</v>
      </c>
      <c r="H41" s="191">
        <f>G41*1.13</f>
        <v>225.99999999999997</v>
      </c>
      <c r="I41" s="191"/>
      <c r="J41" s="200"/>
      <c r="K41" s="156"/>
      <c r="L41" s="160"/>
      <c r="M41" s="151"/>
      <c r="N41" s="157"/>
      <c r="O41" s="157"/>
    </row>
    <row r="42" spans="1:15" s="4" customFormat="1" x14ac:dyDescent="0.3">
      <c r="A42" s="155"/>
      <c r="B42" s="103" t="s">
        <v>467</v>
      </c>
      <c r="C42" s="103" t="s">
        <v>468</v>
      </c>
      <c r="D42" s="193" t="s">
        <v>469</v>
      </c>
      <c r="E42" s="193">
        <v>200</v>
      </c>
      <c r="F42" s="194">
        <v>1</v>
      </c>
      <c r="G42" s="193">
        <f t="shared" si="2"/>
        <v>200</v>
      </c>
      <c r="H42" s="193">
        <f>G42*1.13</f>
        <v>225.99999999999997</v>
      </c>
      <c r="I42" s="193"/>
      <c r="J42" s="201"/>
      <c r="K42" s="156"/>
      <c r="L42" s="151"/>
      <c r="M42" s="151"/>
      <c r="N42" s="151"/>
      <c r="O42" s="151"/>
    </row>
    <row r="43" spans="1:15" s="4" customFormat="1" x14ac:dyDescent="0.3">
      <c r="A43" s="164"/>
      <c r="B43" s="182" t="s">
        <v>470</v>
      </c>
      <c r="C43" s="182" t="s">
        <v>471</v>
      </c>
      <c r="D43" s="191" t="s">
        <v>472</v>
      </c>
      <c r="E43" s="191">
        <v>60</v>
      </c>
      <c r="F43" s="192">
        <v>4</v>
      </c>
      <c r="G43" s="191">
        <f t="shared" si="2"/>
        <v>240</v>
      </c>
      <c r="H43" s="191">
        <f>G43*1.13</f>
        <v>271.2</v>
      </c>
      <c r="I43" s="191"/>
      <c r="J43" s="200">
        <f>161.22/2</f>
        <v>80.61</v>
      </c>
      <c r="K43" s="156"/>
      <c r="L43" s="160"/>
      <c r="M43" s="151"/>
      <c r="N43" s="157"/>
      <c r="O43" s="157"/>
    </row>
    <row r="44" spans="1:15" s="4" customFormat="1" x14ac:dyDescent="0.3">
      <c r="A44" s="155"/>
      <c r="B44" s="103" t="s">
        <v>473</v>
      </c>
      <c r="C44" s="103" t="s">
        <v>474</v>
      </c>
      <c r="D44" s="193" t="s">
        <v>475</v>
      </c>
      <c r="E44" s="193">
        <v>50</v>
      </c>
      <c r="F44" s="194">
        <v>5</v>
      </c>
      <c r="G44" s="193">
        <f t="shared" si="2"/>
        <v>250</v>
      </c>
      <c r="H44" s="193">
        <f>G44*1.13</f>
        <v>282.5</v>
      </c>
      <c r="I44" s="193">
        <v>76.3</v>
      </c>
      <c r="J44" s="201">
        <v>76.3</v>
      </c>
      <c r="K44" s="156"/>
      <c r="L44" s="151"/>
      <c r="M44" s="151"/>
      <c r="N44" s="151"/>
      <c r="O44" s="151"/>
    </row>
    <row r="45" spans="1:15" s="4" customFormat="1" x14ac:dyDescent="0.3">
      <c r="A45" s="164"/>
      <c r="B45" s="182" t="s">
        <v>476</v>
      </c>
      <c r="C45" s="182" t="s">
        <v>477</v>
      </c>
      <c r="D45" s="191" t="s">
        <v>478</v>
      </c>
      <c r="E45" s="191">
        <v>200</v>
      </c>
      <c r="F45" s="192">
        <v>1</v>
      </c>
      <c r="G45" s="191">
        <f t="shared" si="2"/>
        <v>200</v>
      </c>
      <c r="H45" s="191">
        <f>G45*1.13</f>
        <v>225.99999999999997</v>
      </c>
      <c r="I45" s="191"/>
      <c r="J45" s="200"/>
      <c r="K45" s="156"/>
      <c r="L45" s="160"/>
      <c r="M45" s="151"/>
      <c r="N45" s="157"/>
      <c r="O45" s="157"/>
    </row>
    <row r="46" spans="1:15" s="4" customFormat="1" x14ac:dyDescent="0.3">
      <c r="A46" s="155"/>
      <c r="B46" s="103" t="s">
        <v>479</v>
      </c>
      <c r="C46" s="103" t="s">
        <v>480</v>
      </c>
      <c r="D46" s="193" t="s">
        <v>481</v>
      </c>
      <c r="E46" s="193">
        <v>15</v>
      </c>
      <c r="F46" s="194">
        <v>75</v>
      </c>
      <c r="G46" s="193">
        <f t="shared" si="2"/>
        <v>1125</v>
      </c>
      <c r="H46" s="193">
        <f>G46</f>
        <v>1125</v>
      </c>
      <c r="I46" s="193"/>
      <c r="J46" s="201"/>
      <c r="K46" s="156"/>
      <c r="L46" s="151"/>
      <c r="M46" s="151"/>
      <c r="N46" s="151"/>
      <c r="O46" s="151"/>
    </row>
    <row r="47" spans="1:15" s="4" customFormat="1" x14ac:dyDescent="0.3">
      <c r="A47" s="164"/>
      <c r="B47" s="182" t="s">
        <v>482</v>
      </c>
      <c r="C47" s="182" t="s">
        <v>483</v>
      </c>
      <c r="D47" s="191" t="s">
        <v>484</v>
      </c>
      <c r="E47" s="191">
        <v>300</v>
      </c>
      <c r="F47" s="192">
        <v>1</v>
      </c>
      <c r="G47" s="191">
        <f t="shared" si="2"/>
        <v>300</v>
      </c>
      <c r="H47" s="191">
        <f>G47*1.13</f>
        <v>338.99999999999994</v>
      </c>
      <c r="I47" s="191"/>
      <c r="J47" s="200"/>
      <c r="K47" s="156"/>
      <c r="L47" s="160"/>
      <c r="M47" s="151"/>
      <c r="N47" s="157"/>
      <c r="O47" s="157"/>
    </row>
    <row r="48" spans="1:15" s="4" customFormat="1" x14ac:dyDescent="0.3">
      <c r="A48" s="164"/>
      <c r="B48" s="103" t="s">
        <v>485</v>
      </c>
      <c r="C48" s="103" t="s">
        <v>486</v>
      </c>
      <c r="D48" s="193" t="s">
        <v>487</v>
      </c>
      <c r="E48" s="193">
        <v>500</v>
      </c>
      <c r="F48" s="194">
        <v>1</v>
      </c>
      <c r="G48" s="193">
        <f t="shared" si="2"/>
        <v>500</v>
      </c>
      <c r="H48" s="193">
        <f>G48*1.13</f>
        <v>565</v>
      </c>
      <c r="I48" s="193"/>
      <c r="J48" s="201"/>
      <c r="K48" s="156"/>
      <c r="L48" s="160"/>
      <c r="M48" s="151"/>
      <c r="N48" s="157"/>
      <c r="O48" s="157"/>
    </row>
    <row r="49" spans="1:15" s="4" customFormat="1" x14ac:dyDescent="0.3">
      <c r="A49" s="155"/>
      <c r="B49" s="182" t="s">
        <v>488</v>
      </c>
      <c r="C49" s="182" t="s">
        <v>489</v>
      </c>
      <c r="D49" s="191" t="s">
        <v>490</v>
      </c>
      <c r="E49" s="191">
        <v>250</v>
      </c>
      <c r="F49" s="192">
        <v>2</v>
      </c>
      <c r="G49" s="191">
        <f t="shared" si="2"/>
        <v>500</v>
      </c>
      <c r="H49" s="191">
        <f>G49*1.13</f>
        <v>565</v>
      </c>
      <c r="I49" s="191">
        <v>250</v>
      </c>
      <c r="J49" s="200">
        <v>250</v>
      </c>
      <c r="K49" s="156"/>
      <c r="L49" s="151"/>
      <c r="M49" s="151"/>
      <c r="N49" s="151"/>
      <c r="O49" s="151"/>
    </row>
    <row r="50" spans="1:15" s="4" customFormat="1" x14ac:dyDescent="0.3">
      <c r="A50" s="155"/>
      <c r="B50" s="151"/>
      <c r="C50" s="103"/>
      <c r="E50" s="193"/>
      <c r="F50" s="194"/>
      <c r="G50" s="193"/>
      <c r="H50" s="193"/>
      <c r="I50" s="193"/>
      <c r="J50" s="201"/>
      <c r="K50" s="156"/>
      <c r="L50" s="151"/>
      <c r="M50" s="151"/>
      <c r="N50" s="151"/>
      <c r="O50" s="151"/>
    </row>
    <row r="51" spans="1:15" s="4" customFormat="1" x14ac:dyDescent="0.3">
      <c r="A51" s="155"/>
      <c r="B51" s="158" t="s">
        <v>491</v>
      </c>
      <c r="C51" s="36"/>
      <c r="D51" s="179"/>
      <c r="E51" s="179"/>
      <c r="F51" s="184"/>
      <c r="G51" s="179"/>
      <c r="H51" s="179">
        <f>SUM(H39:H49)</f>
        <v>4382.2</v>
      </c>
      <c r="I51" s="179">
        <f>SUM(I39:I49)</f>
        <v>424.98</v>
      </c>
      <c r="J51" s="180">
        <f>SUM(J39:J49)</f>
        <v>586.20000000000005</v>
      </c>
      <c r="K51" s="156"/>
      <c r="L51" s="160"/>
      <c r="M51" s="151"/>
      <c r="N51" s="157"/>
      <c r="O51" s="157"/>
    </row>
    <row r="52" spans="1:15" s="4" customFormat="1" x14ac:dyDescent="0.3">
      <c r="A52" s="155"/>
      <c r="B52" s="151"/>
      <c r="C52" s="103"/>
      <c r="D52" s="193"/>
      <c r="E52" s="193"/>
      <c r="F52" s="194"/>
      <c r="G52" s="193"/>
      <c r="H52" s="193"/>
      <c r="I52" s="193"/>
      <c r="J52" s="201"/>
      <c r="K52" s="156"/>
      <c r="L52" s="160"/>
      <c r="M52" s="151"/>
      <c r="N52" s="157"/>
      <c r="O52" s="157"/>
    </row>
    <row r="53" spans="1:15" s="4" customFormat="1" x14ac:dyDescent="0.3">
      <c r="A53" s="150" t="s">
        <v>492</v>
      </c>
      <c r="B53" s="159"/>
      <c r="C53" s="103"/>
      <c r="D53" s="193"/>
      <c r="E53" s="193"/>
      <c r="F53" s="194"/>
      <c r="G53" s="193"/>
      <c r="H53" s="193"/>
      <c r="I53" s="193"/>
      <c r="J53" s="201"/>
      <c r="K53" s="156"/>
      <c r="L53" s="160"/>
      <c r="M53" s="151"/>
      <c r="N53" s="157"/>
      <c r="O53" s="157"/>
    </row>
    <row r="54" spans="1:15" s="4" customFormat="1" x14ac:dyDescent="0.3">
      <c r="A54" s="155"/>
      <c r="B54" s="182" t="s">
        <v>493</v>
      </c>
      <c r="C54" s="102" t="s">
        <v>494</v>
      </c>
      <c r="D54" s="191" t="s">
        <v>495</v>
      </c>
      <c r="E54" s="191">
        <v>75</v>
      </c>
      <c r="F54" s="192">
        <v>1</v>
      </c>
      <c r="G54" s="191">
        <f>F54*E54</f>
        <v>75</v>
      </c>
      <c r="H54" s="191">
        <f>G54*1.13</f>
        <v>84.749999999999986</v>
      </c>
      <c r="I54" s="191">
        <v>52.95</v>
      </c>
      <c r="J54" s="200">
        <v>52.95</v>
      </c>
      <c r="K54" s="156"/>
      <c r="L54" s="151"/>
      <c r="M54" s="151"/>
      <c r="N54" s="151"/>
      <c r="O54" s="151"/>
    </row>
    <row r="55" spans="1:15" s="151" customFormat="1" x14ac:dyDescent="0.3">
      <c r="A55" s="155"/>
      <c r="C55" s="103" t="s">
        <v>1563</v>
      </c>
      <c r="D55" s="193" t="s">
        <v>1564</v>
      </c>
      <c r="E55" s="193"/>
      <c r="F55" s="194"/>
      <c r="G55" s="193"/>
      <c r="H55" s="193"/>
      <c r="I55" s="193"/>
      <c r="J55" s="201">
        <v>1000</v>
      </c>
      <c r="K55" s="156"/>
      <c r="L55" s="160"/>
      <c r="N55" s="157"/>
      <c r="O55" s="157"/>
    </row>
    <row r="56" spans="1:15" s="4" customFormat="1" x14ac:dyDescent="0.3">
      <c r="A56" s="155"/>
      <c r="B56" s="158" t="s">
        <v>496</v>
      </c>
      <c r="C56" s="36"/>
      <c r="D56" s="179"/>
      <c r="E56" s="179"/>
      <c r="F56" s="184"/>
      <c r="G56" s="179"/>
      <c r="H56" s="179">
        <f>H54</f>
        <v>84.749999999999986</v>
      </c>
      <c r="I56" s="179">
        <f>I54</f>
        <v>52.95</v>
      </c>
      <c r="J56" s="180">
        <f>J54+J55</f>
        <v>1052.95</v>
      </c>
      <c r="K56" s="156"/>
      <c r="L56" s="160"/>
      <c r="M56" s="151"/>
      <c r="N56" s="157"/>
      <c r="O56" s="157"/>
    </row>
    <row r="57" spans="1:15" s="4" customFormat="1" x14ac:dyDescent="0.3">
      <c r="A57" s="155"/>
      <c r="B57" s="151"/>
      <c r="C57" s="104"/>
      <c r="D57" s="193"/>
      <c r="E57" s="193"/>
      <c r="F57" s="194"/>
      <c r="G57" s="193"/>
      <c r="H57" s="193"/>
      <c r="I57" s="193"/>
      <c r="J57" s="201"/>
      <c r="K57" s="156"/>
      <c r="L57" s="160"/>
      <c r="M57" s="151"/>
      <c r="N57" s="157"/>
      <c r="O57" s="157"/>
    </row>
    <row r="58" spans="1:15" s="4" customFormat="1" ht="18.75" x14ac:dyDescent="0.35">
      <c r="A58" s="165"/>
      <c r="B58" s="166"/>
      <c r="C58" s="37" t="s">
        <v>98</v>
      </c>
      <c r="D58" s="203"/>
      <c r="E58" s="203"/>
      <c r="F58" s="204"/>
      <c r="G58" s="203"/>
      <c r="H58" s="203">
        <f>H56+H36+H51+H23</f>
        <v>13353.7</v>
      </c>
      <c r="I58" s="203">
        <f>I56+I51+I36+I23</f>
        <v>2569.0099999999998</v>
      </c>
      <c r="J58" s="205">
        <f>J56+J51+J36</f>
        <v>3730.23</v>
      </c>
      <c r="K58" s="130"/>
      <c r="L58" s="131"/>
      <c r="M58" s="130"/>
      <c r="N58" s="130"/>
      <c r="O58" s="132"/>
    </row>
    <row r="59" spans="1:15" s="4" customFormat="1" ht="18.75" x14ac:dyDescent="0.35">
      <c r="A59" s="165"/>
      <c r="B59" s="166"/>
      <c r="C59" s="37"/>
      <c r="D59" s="203"/>
      <c r="E59" s="203"/>
      <c r="F59" s="204"/>
      <c r="G59" s="203"/>
      <c r="H59" s="203"/>
      <c r="I59" s="203"/>
      <c r="J59" s="205"/>
      <c r="K59" s="130"/>
      <c r="L59" s="131"/>
      <c r="M59" s="130"/>
      <c r="N59" s="130"/>
      <c r="O59" s="132"/>
    </row>
    <row r="60" spans="1:15" s="4" customFormat="1" ht="20.25" x14ac:dyDescent="0.35">
      <c r="A60" s="275" t="s">
        <v>99</v>
      </c>
      <c r="B60" s="276"/>
      <c r="C60" s="276"/>
      <c r="D60" s="167"/>
      <c r="E60" s="167"/>
      <c r="F60" s="190"/>
      <c r="G60" s="167"/>
      <c r="H60" s="167"/>
      <c r="I60" s="167"/>
      <c r="J60" s="168"/>
      <c r="K60" s="136"/>
      <c r="L60" s="136"/>
      <c r="M60" s="133"/>
      <c r="N60" s="133"/>
      <c r="O60" s="133"/>
    </row>
    <row r="61" spans="1:15" s="4" customFormat="1" ht="20.25" x14ac:dyDescent="0.35">
      <c r="A61" s="175"/>
      <c r="B61" s="169" t="s">
        <v>100</v>
      </c>
      <c r="C61" s="214"/>
      <c r="D61" s="206"/>
      <c r="E61" s="206"/>
      <c r="F61" s="206"/>
      <c r="G61" s="206"/>
      <c r="H61" s="206">
        <f>H15</f>
        <v>490</v>
      </c>
      <c r="I61" s="206">
        <f>I15</f>
        <v>0</v>
      </c>
      <c r="J61" s="118">
        <f>J15</f>
        <v>0</v>
      </c>
      <c r="K61" s="170"/>
      <c r="L61" s="170"/>
      <c r="M61" s="170"/>
      <c r="N61" s="170"/>
      <c r="O61" s="170"/>
    </row>
    <row r="62" spans="1:15" s="4" customFormat="1" ht="20.25" x14ac:dyDescent="0.35">
      <c r="A62" s="175"/>
      <c r="B62" s="170" t="s">
        <v>101</v>
      </c>
      <c r="C62" s="136"/>
      <c r="D62" s="207"/>
      <c r="E62" s="207"/>
      <c r="F62" s="207"/>
      <c r="G62" s="207"/>
      <c r="H62" s="207">
        <f>H58</f>
        <v>13353.7</v>
      </c>
      <c r="I62" s="207">
        <f>I58</f>
        <v>2569.0099999999998</v>
      </c>
      <c r="J62" s="119">
        <f>J58</f>
        <v>3730.23</v>
      </c>
      <c r="K62" s="170"/>
      <c r="L62" s="170"/>
      <c r="M62" s="170"/>
      <c r="N62" s="170"/>
      <c r="O62" s="170"/>
    </row>
    <row r="63" spans="1:15" s="4" customFormat="1" ht="20.25" x14ac:dyDescent="0.35">
      <c r="A63" s="208"/>
      <c r="B63" s="171" t="s">
        <v>102</v>
      </c>
      <c r="C63" s="215"/>
      <c r="D63" s="209"/>
      <c r="E63" s="209"/>
      <c r="F63" s="209"/>
      <c r="G63" s="209"/>
      <c r="H63" s="209">
        <f>H61-H62</f>
        <v>-12863.7</v>
      </c>
      <c r="I63" s="209">
        <f>I62-I61</f>
        <v>2569.0099999999998</v>
      </c>
      <c r="J63" s="120">
        <f>J62-J61</f>
        <v>3730.23</v>
      </c>
      <c r="K63" s="170"/>
      <c r="L63" s="170"/>
      <c r="M63" s="170"/>
      <c r="N63" s="170"/>
      <c r="O63" s="170"/>
    </row>
    <row r="64" spans="1:15" s="4" customFormat="1" x14ac:dyDescent="0.3">
      <c r="A64" s="134"/>
      <c r="B64" s="134"/>
      <c r="C64" s="42"/>
      <c r="D64" s="135"/>
      <c r="E64" s="152"/>
      <c r="F64" s="188"/>
      <c r="G64" s="152"/>
      <c r="H64" s="152"/>
      <c r="I64" s="152"/>
      <c r="J64" s="152"/>
      <c r="K64" s="151"/>
      <c r="L64" s="151"/>
      <c r="M64" s="151"/>
      <c r="N64" s="151"/>
      <c r="O64" s="151"/>
    </row>
  </sheetData>
  <mergeCells count="6">
    <mergeCell ref="A60:C60"/>
    <mergeCell ref="D1:J4"/>
    <mergeCell ref="A5:C5"/>
    <mergeCell ref="D5:E5"/>
    <mergeCell ref="A8:C8"/>
    <mergeCell ref="A17:C17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zoomScale="70" zoomScaleNormal="70" zoomScalePageLayoutView="70" workbookViewId="0">
      <pane xSplit="3" ySplit="6" topLeftCell="D37" activePane="bottomRight" state="frozen"/>
      <selection pane="topRight" activeCell="C1" sqref="C1"/>
      <selection pane="bottomLeft" activeCell="A4" sqref="A4"/>
      <selection pane="bottomRight" activeCell="E40" sqref="E40"/>
    </sheetView>
  </sheetViews>
  <sheetFormatPr defaultColWidth="8.85546875" defaultRowHeight="17.25" x14ac:dyDescent="0.3"/>
  <cols>
    <col min="1" max="2" width="13.85546875" style="83" customWidth="1"/>
    <col min="3" max="3" width="42.85546875" style="41" bestFit="1" customWidth="1"/>
    <col min="4" max="4" width="27.140625" style="84" bestFit="1" customWidth="1"/>
    <col min="5" max="5" width="12" style="77" bestFit="1" customWidth="1"/>
    <col min="6" max="6" width="10.85546875" style="86" bestFit="1" customWidth="1"/>
    <col min="7" max="7" width="11.140625" style="77" bestFit="1" customWidth="1"/>
    <col min="8" max="8" width="13.85546875" style="77" bestFit="1" customWidth="1"/>
    <col min="9" max="9" width="22.42578125" style="77" customWidth="1"/>
    <col min="10" max="10" width="23" style="77" customWidth="1"/>
    <col min="11" max="11" width="12" style="76" customWidth="1"/>
    <col min="12" max="12" width="11.28515625" style="76" customWidth="1"/>
    <col min="13" max="13" width="8.85546875" style="83"/>
    <col min="14" max="14" width="10.140625" style="83" bestFit="1" customWidth="1"/>
    <col min="15" max="15" width="14.28515625" style="83" customWidth="1"/>
    <col min="16" max="16384" width="8.85546875" style="83"/>
  </cols>
  <sheetData>
    <row r="1" spans="1:15" s="75" customFormat="1" ht="38.25" x14ac:dyDescent="0.3">
      <c r="A1" s="212"/>
      <c r="B1" s="213"/>
      <c r="C1" s="31"/>
      <c r="D1" s="262" t="s">
        <v>497</v>
      </c>
      <c r="E1" s="263"/>
      <c r="F1" s="263"/>
      <c r="G1" s="263"/>
      <c r="H1" s="263"/>
      <c r="I1" s="263"/>
      <c r="J1" s="293"/>
      <c r="K1" s="121"/>
      <c r="L1" s="121"/>
      <c r="M1" s="121"/>
      <c r="N1" s="121"/>
      <c r="O1" s="121"/>
    </row>
    <row r="2" spans="1:15" s="75" customFormat="1" ht="38.25" x14ac:dyDescent="0.3">
      <c r="A2" s="140"/>
      <c r="B2" s="141"/>
      <c r="C2" s="32"/>
      <c r="D2" s="294"/>
      <c r="E2" s="295"/>
      <c r="F2" s="295"/>
      <c r="G2" s="295"/>
      <c r="H2" s="295"/>
      <c r="I2" s="295"/>
      <c r="J2" s="296"/>
      <c r="K2" s="121"/>
      <c r="L2" s="121"/>
      <c r="M2" s="121"/>
      <c r="N2" s="121"/>
      <c r="O2" s="121"/>
    </row>
    <row r="3" spans="1:15" s="75" customFormat="1" ht="38.25" x14ac:dyDescent="0.3">
      <c r="A3" s="140"/>
      <c r="B3" s="141"/>
      <c r="C3" s="32"/>
      <c r="D3" s="294"/>
      <c r="E3" s="295"/>
      <c r="F3" s="295"/>
      <c r="G3" s="295"/>
      <c r="H3" s="295"/>
      <c r="I3" s="295"/>
      <c r="J3" s="296"/>
      <c r="K3" s="121"/>
      <c r="L3" s="121"/>
      <c r="M3" s="121"/>
      <c r="N3" s="121"/>
      <c r="O3" s="121"/>
    </row>
    <row r="4" spans="1:15" s="75" customFormat="1" ht="38.25" x14ac:dyDescent="0.3">
      <c r="A4" s="142"/>
      <c r="B4" s="143"/>
      <c r="C4" s="33"/>
      <c r="D4" s="297"/>
      <c r="E4" s="298"/>
      <c r="F4" s="298"/>
      <c r="G4" s="298"/>
      <c r="H4" s="298"/>
      <c r="I4" s="298"/>
      <c r="J4" s="299"/>
      <c r="K4" s="121"/>
      <c r="L4" s="121"/>
      <c r="M4" s="121"/>
      <c r="N4" s="121"/>
      <c r="O4" s="121"/>
    </row>
    <row r="5" spans="1:15" s="75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85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75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75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76" customFormat="1" x14ac:dyDescent="0.3">
      <c r="A9" s="150" t="s">
        <v>498</v>
      </c>
      <c r="B9" s="159"/>
      <c r="C9" s="103"/>
      <c r="D9" s="152"/>
      <c r="E9" s="152"/>
      <c r="F9" s="188"/>
      <c r="G9" s="152"/>
      <c r="H9" s="152"/>
      <c r="I9" s="152"/>
      <c r="J9" s="153"/>
      <c r="K9" s="151"/>
      <c r="L9" s="151"/>
      <c r="M9" s="151"/>
      <c r="N9" s="151"/>
      <c r="O9" s="151"/>
    </row>
    <row r="10" spans="1:15" s="76" customFormat="1" x14ac:dyDescent="0.3">
      <c r="A10" s="150"/>
      <c r="B10" s="182" t="s">
        <v>499</v>
      </c>
      <c r="C10" s="182" t="s">
        <v>500</v>
      </c>
      <c r="D10" s="191"/>
      <c r="E10" s="191">
        <v>50</v>
      </c>
      <c r="F10" s="192">
        <v>40</v>
      </c>
      <c r="G10" s="191">
        <f>E10*F10</f>
        <v>2000</v>
      </c>
      <c r="H10" s="191">
        <f>G10</f>
        <v>2000</v>
      </c>
      <c r="I10" s="191">
        <v>1900</v>
      </c>
      <c r="J10" s="200">
        <v>1900</v>
      </c>
      <c r="K10" s="151"/>
      <c r="L10" s="151"/>
      <c r="M10" s="151"/>
      <c r="N10" s="151"/>
      <c r="O10" s="151"/>
    </row>
    <row r="11" spans="1:15" s="76" customFormat="1" x14ac:dyDescent="0.3">
      <c r="A11" s="155"/>
      <c r="B11" s="103" t="s">
        <v>501</v>
      </c>
      <c r="C11" s="104" t="s">
        <v>502</v>
      </c>
      <c r="D11" s="193"/>
      <c r="E11" s="193">
        <v>80</v>
      </c>
      <c r="F11" s="194">
        <v>40</v>
      </c>
      <c r="G11" s="193">
        <f>E11*F11</f>
        <v>3200</v>
      </c>
      <c r="H11" s="193">
        <f>G11</f>
        <v>3200</v>
      </c>
      <c r="I11" s="193">
        <v>3200</v>
      </c>
      <c r="J11" s="201">
        <v>3200</v>
      </c>
      <c r="K11" s="151"/>
      <c r="L11" s="151"/>
      <c r="M11" s="151"/>
      <c r="N11" s="157"/>
      <c r="O11" s="151"/>
    </row>
    <row r="12" spans="1:15" s="76" customFormat="1" x14ac:dyDescent="0.3">
      <c r="A12" s="155"/>
      <c r="B12" s="182" t="s">
        <v>503</v>
      </c>
      <c r="C12" s="102" t="s">
        <v>504</v>
      </c>
      <c r="D12" s="191" t="s">
        <v>54</v>
      </c>
      <c r="E12" s="191">
        <v>80</v>
      </c>
      <c r="F12" s="192">
        <v>40</v>
      </c>
      <c r="G12" s="191">
        <f>E12*F12</f>
        <v>3200</v>
      </c>
      <c r="H12" s="191">
        <f>G12</f>
        <v>3200</v>
      </c>
      <c r="I12" s="191">
        <v>2145</v>
      </c>
      <c r="J12" s="200">
        <v>2145</v>
      </c>
      <c r="K12" s="151"/>
      <c r="L12" s="151"/>
      <c r="M12" s="151"/>
      <c r="N12" s="157"/>
      <c r="O12" s="151"/>
    </row>
    <row r="13" spans="1:15" s="151" customFormat="1" x14ac:dyDescent="0.3">
      <c r="A13" s="155"/>
      <c r="C13" s="104"/>
      <c r="D13" s="193"/>
      <c r="E13" s="193"/>
      <c r="F13" s="194"/>
      <c r="G13" s="193"/>
      <c r="H13" s="193"/>
      <c r="I13" s="193"/>
      <c r="J13" s="201"/>
      <c r="N13" s="157"/>
    </row>
    <row r="14" spans="1:15" s="76" customFormat="1" x14ac:dyDescent="0.3">
      <c r="A14" s="155"/>
      <c r="B14" s="158" t="s">
        <v>505</v>
      </c>
      <c r="C14" s="35"/>
      <c r="D14" s="210"/>
      <c r="E14" s="210"/>
      <c r="F14" s="211"/>
      <c r="G14" s="210"/>
      <c r="H14" s="179">
        <f>SUM(H9:H12)</f>
        <v>8400</v>
      </c>
      <c r="I14" s="179">
        <f>SUM(I9:I12)</f>
        <v>7245</v>
      </c>
      <c r="J14" s="180">
        <f>SUM(J9:J12)</f>
        <v>7245</v>
      </c>
      <c r="K14" s="151"/>
      <c r="L14" s="151"/>
      <c r="M14" s="151"/>
      <c r="N14" s="157"/>
      <c r="O14" s="151"/>
    </row>
    <row r="15" spans="1:15" s="78" customFormat="1" x14ac:dyDescent="0.3">
      <c r="A15" s="150"/>
      <c r="B15" s="159"/>
      <c r="C15" s="129"/>
      <c r="D15" s="196"/>
      <c r="E15" s="196"/>
      <c r="F15" s="202"/>
      <c r="G15" s="196"/>
      <c r="H15" s="196"/>
      <c r="I15" s="196"/>
      <c r="J15" s="197"/>
      <c r="K15" s="156"/>
      <c r="L15" s="124"/>
      <c r="M15" s="159"/>
      <c r="N15" s="125"/>
      <c r="O15" s="125"/>
    </row>
    <row r="16" spans="1:15" s="78" customFormat="1" x14ac:dyDescent="0.3">
      <c r="A16" s="150" t="s">
        <v>506</v>
      </c>
      <c r="B16" s="159"/>
      <c r="C16" s="103"/>
      <c r="D16" s="193"/>
      <c r="E16" s="193"/>
      <c r="F16" s="194"/>
      <c r="G16" s="193"/>
      <c r="H16" s="193"/>
      <c r="I16" s="193"/>
      <c r="J16" s="201"/>
      <c r="K16" s="156"/>
      <c r="L16" s="124"/>
      <c r="M16" s="159"/>
      <c r="N16" s="125"/>
      <c r="O16" s="125"/>
    </row>
    <row r="17" spans="1:15" s="76" customFormat="1" x14ac:dyDescent="0.3">
      <c r="A17" s="155"/>
      <c r="B17" s="182" t="s">
        <v>507</v>
      </c>
      <c r="C17" s="102" t="s">
        <v>508</v>
      </c>
      <c r="D17" s="191" t="s">
        <v>509</v>
      </c>
      <c r="E17" s="191">
        <v>500</v>
      </c>
      <c r="F17" s="192">
        <v>1</v>
      </c>
      <c r="G17" s="191">
        <f>E17*F17</f>
        <v>500</v>
      </c>
      <c r="H17" s="191">
        <f>G17</f>
        <v>500</v>
      </c>
      <c r="I17" s="191"/>
      <c r="J17" s="200"/>
      <c r="K17" s="151"/>
      <c r="L17" s="151"/>
      <c r="M17" s="151"/>
      <c r="N17" s="157"/>
      <c r="O17" s="151"/>
    </row>
    <row r="18" spans="1:15" s="151" customFormat="1" x14ac:dyDescent="0.3">
      <c r="A18" s="155"/>
      <c r="B18" s="103"/>
      <c r="C18" s="104"/>
      <c r="D18" s="193"/>
      <c r="E18" s="193"/>
      <c r="F18" s="194"/>
      <c r="G18" s="193"/>
      <c r="H18" s="193"/>
      <c r="I18" s="193"/>
      <c r="J18" s="201"/>
      <c r="N18" s="157"/>
    </row>
    <row r="19" spans="1:15" s="76" customFormat="1" x14ac:dyDescent="0.3">
      <c r="A19" s="150"/>
      <c r="B19" s="158" t="s">
        <v>510</v>
      </c>
      <c r="C19" s="36"/>
      <c r="D19" s="179"/>
      <c r="E19" s="179"/>
      <c r="F19" s="184"/>
      <c r="G19" s="179"/>
      <c r="H19" s="179">
        <f>SUM(H17:H18)</f>
        <v>500</v>
      </c>
      <c r="I19" s="179">
        <f>SUM(I17:I18)</f>
        <v>0</v>
      </c>
      <c r="J19" s="180">
        <f>SUM(J17:J18)</f>
        <v>0</v>
      </c>
      <c r="K19" s="156"/>
      <c r="L19" s="160"/>
      <c r="M19" s="156"/>
      <c r="N19" s="156"/>
      <c r="O19" s="157"/>
    </row>
    <row r="20" spans="1:15" s="76" customFormat="1" x14ac:dyDescent="0.3">
      <c r="A20" s="150"/>
      <c r="B20" s="159"/>
      <c r="C20" s="129"/>
      <c r="D20" s="196"/>
      <c r="E20" s="196"/>
      <c r="F20" s="202"/>
      <c r="G20" s="196"/>
      <c r="H20" s="196"/>
      <c r="I20" s="196"/>
      <c r="J20" s="197"/>
      <c r="K20" s="156"/>
      <c r="L20" s="160"/>
      <c r="M20" s="156"/>
      <c r="N20" s="156"/>
      <c r="O20" s="157"/>
    </row>
    <row r="21" spans="1:15" s="79" customFormat="1" ht="18.75" x14ac:dyDescent="0.35">
      <c r="A21" s="161"/>
      <c r="B21" s="162"/>
      <c r="C21" s="37" t="s">
        <v>58</v>
      </c>
      <c r="D21" s="203"/>
      <c r="E21" s="203"/>
      <c r="F21" s="204"/>
      <c r="G21" s="203"/>
      <c r="H21" s="203">
        <f>H19+H14</f>
        <v>8900</v>
      </c>
      <c r="I21" s="203">
        <f>I19+I14</f>
        <v>7245</v>
      </c>
      <c r="J21" s="205">
        <f>J19+J14</f>
        <v>7245</v>
      </c>
      <c r="K21" s="126"/>
      <c r="L21" s="127"/>
      <c r="M21" s="126"/>
      <c r="N21" s="126"/>
      <c r="O21" s="128"/>
    </row>
    <row r="22" spans="1:15" s="79" customFormat="1" ht="18.75" x14ac:dyDescent="0.35">
      <c r="A22" s="161"/>
      <c r="B22" s="162"/>
      <c r="C22" s="37"/>
      <c r="D22" s="196"/>
      <c r="E22" s="196"/>
      <c r="F22" s="202"/>
      <c r="G22" s="196"/>
      <c r="H22" s="196"/>
      <c r="I22" s="196"/>
      <c r="J22" s="197"/>
      <c r="K22" s="126"/>
      <c r="L22" s="127"/>
      <c r="M22" s="126"/>
      <c r="N22" s="126"/>
      <c r="O22" s="128"/>
    </row>
    <row r="23" spans="1:15" s="76" customFormat="1" x14ac:dyDescent="0.3">
      <c r="A23" s="273" t="s">
        <v>59</v>
      </c>
      <c r="B23" s="274"/>
      <c r="C23" s="274"/>
      <c r="D23" s="148"/>
      <c r="E23" s="163"/>
      <c r="F23" s="189"/>
      <c r="G23" s="163"/>
      <c r="H23" s="163"/>
      <c r="I23" s="163"/>
      <c r="J23" s="149"/>
      <c r="K23" s="129"/>
      <c r="L23" s="129"/>
      <c r="M23" s="151"/>
      <c r="N23" s="151"/>
      <c r="O23" s="151"/>
    </row>
    <row r="24" spans="1:15" s="76" customFormat="1" x14ac:dyDescent="0.3">
      <c r="A24" s="150" t="s">
        <v>511</v>
      </c>
      <c r="B24" s="159"/>
      <c r="C24" s="103"/>
      <c r="D24" s="193"/>
      <c r="E24" s="193"/>
      <c r="F24" s="194"/>
      <c r="G24" s="193"/>
      <c r="H24" s="193"/>
      <c r="I24" s="193"/>
      <c r="J24" s="201"/>
      <c r="K24" s="156"/>
      <c r="L24" s="160"/>
      <c r="M24" s="151"/>
      <c r="N24" s="157"/>
      <c r="O24" s="157"/>
    </row>
    <row r="25" spans="1:15" s="76" customFormat="1" x14ac:dyDescent="0.3">
      <c r="A25" s="164"/>
      <c r="B25" s="182" t="s">
        <v>512</v>
      </c>
      <c r="C25" s="102" t="s">
        <v>513</v>
      </c>
      <c r="D25" s="191"/>
      <c r="E25" s="191">
        <v>500</v>
      </c>
      <c r="F25" s="192">
        <v>1</v>
      </c>
      <c r="G25" s="191">
        <f>E25*F25</f>
        <v>500</v>
      </c>
      <c r="H25" s="191">
        <f>G25</f>
        <v>500</v>
      </c>
      <c r="I25" s="191"/>
      <c r="J25" s="200"/>
      <c r="K25" s="156"/>
      <c r="L25" s="160"/>
      <c r="M25" s="151"/>
      <c r="N25" s="157"/>
      <c r="O25" s="157"/>
    </row>
    <row r="26" spans="1:15" s="76" customFormat="1" x14ac:dyDescent="0.3">
      <c r="A26" s="164"/>
      <c r="B26" s="103" t="s">
        <v>514</v>
      </c>
      <c r="C26" s="104" t="s">
        <v>515</v>
      </c>
      <c r="D26" s="193" t="s">
        <v>516</v>
      </c>
      <c r="E26" s="193">
        <v>0</v>
      </c>
      <c r="F26" s="194">
        <v>1</v>
      </c>
      <c r="G26" s="193">
        <f>E26*F26</f>
        <v>0</v>
      </c>
      <c r="H26" s="193">
        <f>G26*1.13</f>
        <v>0</v>
      </c>
      <c r="I26" s="193"/>
      <c r="J26" s="201"/>
      <c r="K26" s="156"/>
      <c r="L26" s="160"/>
      <c r="M26" s="151"/>
      <c r="N26" s="157"/>
      <c r="O26" s="157"/>
    </row>
    <row r="27" spans="1:15" s="76" customFormat="1" x14ac:dyDescent="0.3">
      <c r="A27" s="155"/>
      <c r="B27" s="154"/>
      <c r="C27" s="182"/>
      <c r="D27" s="191"/>
      <c r="E27" s="191"/>
      <c r="F27" s="192"/>
      <c r="G27" s="191"/>
      <c r="H27" s="191"/>
      <c r="I27" s="191"/>
      <c r="J27" s="200"/>
      <c r="K27" s="156"/>
      <c r="L27" s="151"/>
      <c r="M27" s="151"/>
      <c r="N27" s="151"/>
      <c r="O27" s="151"/>
    </row>
    <row r="28" spans="1:15" s="76" customFormat="1" x14ac:dyDescent="0.3">
      <c r="A28" s="155"/>
      <c r="B28" s="158" t="s">
        <v>517</v>
      </c>
      <c r="C28" s="36"/>
      <c r="D28" s="179"/>
      <c r="E28" s="179"/>
      <c r="F28" s="184"/>
      <c r="G28" s="179"/>
      <c r="H28" s="179">
        <f>SUM(H25:H27)</f>
        <v>500</v>
      </c>
      <c r="I28" s="179">
        <f>SUM(I25:I27)</f>
        <v>0</v>
      </c>
      <c r="J28" s="180">
        <f>SUM(J25:J27)</f>
        <v>0</v>
      </c>
      <c r="K28" s="156"/>
      <c r="L28" s="151"/>
      <c r="M28" s="151"/>
      <c r="N28" s="151"/>
      <c r="O28" s="151"/>
    </row>
    <row r="29" spans="1:15" s="76" customFormat="1" x14ac:dyDescent="0.3">
      <c r="A29" s="155"/>
      <c r="B29" s="151"/>
      <c r="C29" s="103"/>
      <c r="D29" s="193"/>
      <c r="E29" s="193"/>
      <c r="F29" s="194"/>
      <c r="G29" s="193"/>
      <c r="H29" s="193"/>
      <c r="I29" s="193"/>
      <c r="J29" s="201"/>
      <c r="K29" s="156"/>
      <c r="L29" s="160"/>
      <c r="M29" s="151"/>
      <c r="N29" s="157"/>
      <c r="O29" s="157"/>
    </row>
    <row r="30" spans="1:15" s="76" customFormat="1" x14ac:dyDescent="0.3">
      <c r="A30" s="150" t="s">
        <v>518</v>
      </c>
      <c r="B30" s="159"/>
      <c r="C30" s="103"/>
      <c r="D30" s="193"/>
      <c r="E30" s="193"/>
      <c r="F30" s="194"/>
      <c r="G30" s="193"/>
      <c r="H30" s="193"/>
      <c r="I30" s="193"/>
      <c r="J30" s="201"/>
      <c r="K30" s="156"/>
      <c r="L30" s="160"/>
      <c r="M30" s="151"/>
      <c r="N30" s="157"/>
      <c r="O30" s="157"/>
    </row>
    <row r="31" spans="1:15" s="76" customFormat="1" x14ac:dyDescent="0.3">
      <c r="A31" s="155"/>
      <c r="B31" s="182" t="s">
        <v>519</v>
      </c>
      <c r="C31" s="102" t="s">
        <v>520</v>
      </c>
      <c r="D31" s="191"/>
      <c r="E31" s="191">
        <v>40</v>
      </c>
      <c r="F31" s="192">
        <v>3</v>
      </c>
      <c r="G31" s="191">
        <f>E31*F31</f>
        <v>120</v>
      </c>
      <c r="H31" s="191">
        <f>G31*1.13</f>
        <v>135.6</v>
      </c>
      <c r="I31" s="191">
        <v>73.87</v>
      </c>
      <c r="J31" s="200">
        <v>73.87</v>
      </c>
      <c r="K31" s="156"/>
      <c r="L31" s="160"/>
      <c r="M31" s="151"/>
      <c r="N31" s="157"/>
      <c r="O31" s="157"/>
    </row>
    <row r="32" spans="1:15" s="151" customFormat="1" x14ac:dyDescent="0.3">
      <c r="A32" s="155"/>
      <c r="C32" s="103"/>
      <c r="D32" s="193"/>
      <c r="E32" s="193"/>
      <c r="F32" s="194"/>
      <c r="G32" s="193"/>
      <c r="H32" s="193"/>
      <c r="I32" s="193"/>
      <c r="J32" s="201"/>
      <c r="K32" s="156"/>
    </row>
    <row r="33" spans="1:15" s="76" customFormat="1" x14ac:dyDescent="0.3">
      <c r="A33" s="155"/>
      <c r="B33" s="158" t="s">
        <v>521</v>
      </c>
      <c r="C33" s="36"/>
      <c r="D33" s="179"/>
      <c r="E33" s="179"/>
      <c r="F33" s="184"/>
      <c r="G33" s="179"/>
      <c r="H33" s="179">
        <f>SUM(H31:H32)</f>
        <v>135.6</v>
      </c>
      <c r="I33" s="179">
        <f>SUM(I31:I32)</f>
        <v>73.87</v>
      </c>
      <c r="J33" s="180">
        <f>SUM(J31:J32)</f>
        <v>73.87</v>
      </c>
      <c r="K33" s="156"/>
      <c r="L33" s="160"/>
      <c r="M33" s="151"/>
      <c r="N33" s="157"/>
      <c r="O33" s="157"/>
    </row>
    <row r="34" spans="1:15" s="76" customFormat="1" x14ac:dyDescent="0.3">
      <c r="A34" s="155"/>
      <c r="B34" s="151"/>
      <c r="C34" s="103"/>
      <c r="D34" s="193"/>
      <c r="E34" s="193"/>
      <c r="F34" s="194"/>
      <c r="G34" s="193"/>
      <c r="H34" s="193"/>
      <c r="I34" s="193"/>
      <c r="J34" s="201"/>
      <c r="K34" s="156"/>
      <c r="L34" s="160"/>
      <c r="M34" s="151"/>
      <c r="N34" s="157"/>
      <c r="O34" s="157"/>
    </row>
    <row r="35" spans="1:15" s="76" customFormat="1" x14ac:dyDescent="0.3">
      <c r="A35" s="150" t="s">
        <v>522</v>
      </c>
      <c r="B35" s="159"/>
      <c r="C35" s="103"/>
      <c r="D35" s="193"/>
      <c r="E35" s="193"/>
      <c r="F35" s="194"/>
      <c r="G35" s="193"/>
      <c r="H35" s="193"/>
      <c r="I35" s="193"/>
      <c r="J35" s="201"/>
      <c r="K35" s="156"/>
      <c r="L35" s="160"/>
      <c r="M35" s="151"/>
      <c r="N35" s="157"/>
      <c r="O35" s="157"/>
    </row>
    <row r="36" spans="1:15" s="76" customFormat="1" x14ac:dyDescent="0.3">
      <c r="A36" s="155"/>
      <c r="B36" s="182" t="s">
        <v>523</v>
      </c>
      <c r="C36" s="102" t="s">
        <v>524</v>
      </c>
      <c r="D36" s="191" t="s">
        <v>525</v>
      </c>
      <c r="E36" s="191">
        <v>75</v>
      </c>
      <c r="F36" s="192">
        <v>1</v>
      </c>
      <c r="G36" s="191">
        <f>E36*F36</f>
        <v>75</v>
      </c>
      <c r="H36" s="191">
        <f>G36*1.13</f>
        <v>84.749999999999986</v>
      </c>
      <c r="I36" s="191">
        <v>86.75</v>
      </c>
      <c r="J36" s="200">
        <v>86.75</v>
      </c>
      <c r="K36" s="156"/>
      <c r="L36" s="151"/>
      <c r="M36" s="151"/>
      <c r="N36" s="151"/>
      <c r="O36" s="151"/>
    </row>
    <row r="37" spans="1:15" s="76" customFormat="1" x14ac:dyDescent="0.3">
      <c r="A37" s="155" t="s">
        <v>54</v>
      </c>
      <c r="B37" s="103" t="s">
        <v>526</v>
      </c>
      <c r="C37" s="103" t="s">
        <v>527</v>
      </c>
      <c r="D37" s="193" t="s">
        <v>525</v>
      </c>
      <c r="E37" s="193">
        <v>75</v>
      </c>
      <c r="F37" s="194">
        <v>1</v>
      </c>
      <c r="G37" s="193">
        <f>E37*F37</f>
        <v>75</v>
      </c>
      <c r="H37" s="193">
        <f>G37*1.13</f>
        <v>84.749999999999986</v>
      </c>
      <c r="I37" s="193"/>
      <c r="J37" s="201"/>
      <c r="K37" s="156"/>
      <c r="L37" s="160"/>
      <c r="M37" s="151"/>
      <c r="N37" s="157"/>
      <c r="O37" s="157"/>
    </row>
    <row r="38" spans="1:15" s="76" customFormat="1" x14ac:dyDescent="0.3">
      <c r="A38" s="155"/>
      <c r="B38" s="154"/>
      <c r="C38" s="182"/>
      <c r="D38" s="191"/>
      <c r="E38" s="191"/>
      <c r="F38" s="192"/>
      <c r="G38" s="191"/>
      <c r="H38" s="191"/>
      <c r="I38" s="191"/>
      <c r="J38" s="200"/>
      <c r="K38" s="156"/>
      <c r="L38" s="160"/>
      <c r="M38" s="151"/>
      <c r="N38" s="157"/>
      <c r="O38" s="157"/>
    </row>
    <row r="39" spans="1:15" s="76" customFormat="1" x14ac:dyDescent="0.3">
      <c r="A39" s="155"/>
      <c r="B39" s="158" t="s">
        <v>528</v>
      </c>
      <c r="C39" s="36"/>
      <c r="D39" s="179"/>
      <c r="E39" s="179"/>
      <c r="F39" s="184"/>
      <c r="G39" s="179"/>
      <c r="H39" s="179">
        <f>SUM(H36:H38)</f>
        <v>169.49999999999997</v>
      </c>
      <c r="I39" s="179">
        <f>SUM(I36:I38)</f>
        <v>86.75</v>
      </c>
      <c r="J39" s="180">
        <f>SUM(J36:J38)</f>
        <v>86.75</v>
      </c>
      <c r="K39" s="156"/>
      <c r="L39" s="160"/>
      <c r="M39" s="151"/>
      <c r="N39" s="157"/>
      <c r="O39" s="157"/>
    </row>
    <row r="40" spans="1:15" s="76" customFormat="1" x14ac:dyDescent="0.3">
      <c r="A40" s="155"/>
      <c r="B40" s="151"/>
      <c r="C40" s="129"/>
      <c r="D40" s="196"/>
      <c r="E40" s="196"/>
      <c r="F40" s="202"/>
      <c r="G40" s="196"/>
      <c r="H40" s="196"/>
      <c r="I40" s="196"/>
      <c r="J40" s="197"/>
      <c r="K40" s="156"/>
      <c r="L40" s="160"/>
      <c r="M40" s="151"/>
      <c r="N40" s="157"/>
      <c r="O40" s="157"/>
    </row>
    <row r="41" spans="1:15" s="76" customFormat="1" x14ac:dyDescent="0.3">
      <c r="A41" s="150" t="s">
        <v>529</v>
      </c>
      <c r="B41" s="159"/>
      <c r="C41" s="103"/>
      <c r="D41" s="193"/>
      <c r="E41" s="193"/>
      <c r="F41" s="194"/>
      <c r="G41" s="193"/>
      <c r="H41" s="193"/>
      <c r="I41" s="193"/>
      <c r="J41" s="201"/>
      <c r="K41" s="156"/>
      <c r="L41" s="151"/>
      <c r="M41" s="151"/>
      <c r="N41" s="151"/>
      <c r="O41" s="151"/>
    </row>
    <row r="42" spans="1:15" s="76" customFormat="1" x14ac:dyDescent="0.3">
      <c r="A42" s="150"/>
      <c r="B42" s="182" t="s">
        <v>530</v>
      </c>
      <c r="C42" s="182" t="s">
        <v>531</v>
      </c>
      <c r="D42" s="191"/>
      <c r="E42" s="191">
        <v>45</v>
      </c>
      <c r="F42" s="192">
        <v>40</v>
      </c>
      <c r="G42" s="191">
        <f t="shared" ref="G42:G50" si="0">E42*F42</f>
        <v>1800</v>
      </c>
      <c r="H42" s="191">
        <f>G42</f>
        <v>1800</v>
      </c>
      <c r="I42" s="191">
        <v>2621.6</v>
      </c>
      <c r="J42" s="200">
        <v>2621.6</v>
      </c>
      <c r="K42" s="156"/>
      <c r="L42" s="151"/>
      <c r="M42" s="151"/>
      <c r="N42" s="151"/>
      <c r="O42" s="151"/>
    </row>
    <row r="43" spans="1:15" s="76" customFormat="1" x14ac:dyDescent="0.3">
      <c r="A43" s="150"/>
      <c r="B43" s="103" t="s">
        <v>532</v>
      </c>
      <c r="C43" s="103" t="s">
        <v>533</v>
      </c>
      <c r="D43" s="193"/>
      <c r="E43" s="193">
        <v>520</v>
      </c>
      <c r="F43" s="194">
        <v>1</v>
      </c>
      <c r="G43" s="193">
        <f t="shared" si="0"/>
        <v>520</v>
      </c>
      <c r="H43" s="193">
        <f t="shared" ref="H43:H50" si="1">G43*1.13</f>
        <v>587.59999999999991</v>
      </c>
      <c r="I43" s="193"/>
      <c r="J43" s="201"/>
      <c r="K43" s="156"/>
      <c r="L43" s="151"/>
      <c r="M43" s="151"/>
      <c r="N43" s="151"/>
      <c r="O43" s="151"/>
    </row>
    <row r="44" spans="1:15" s="76" customFormat="1" x14ac:dyDescent="0.3">
      <c r="A44" s="150"/>
      <c r="B44" s="182" t="s">
        <v>534</v>
      </c>
      <c r="C44" s="182" t="s">
        <v>535</v>
      </c>
      <c r="D44" s="191"/>
      <c r="E44" s="191">
        <v>40</v>
      </c>
      <c r="F44" s="192">
        <v>1</v>
      </c>
      <c r="G44" s="191">
        <f t="shared" si="0"/>
        <v>40</v>
      </c>
      <c r="H44" s="191">
        <f t="shared" si="1"/>
        <v>45.199999999999996</v>
      </c>
      <c r="I44" s="191">
        <v>45.2</v>
      </c>
      <c r="J44" s="200">
        <v>45.2</v>
      </c>
      <c r="K44" s="156"/>
      <c r="L44" s="151"/>
      <c r="M44" s="151"/>
      <c r="N44" s="151"/>
      <c r="O44" s="151"/>
    </row>
    <row r="45" spans="1:15" s="76" customFormat="1" x14ac:dyDescent="0.3">
      <c r="A45" s="150"/>
      <c r="B45" s="103" t="s">
        <v>536</v>
      </c>
      <c r="C45" s="103" t="s">
        <v>537</v>
      </c>
      <c r="D45" s="193"/>
      <c r="E45" s="193">
        <v>45</v>
      </c>
      <c r="F45" s="194">
        <v>40</v>
      </c>
      <c r="G45" s="193">
        <f t="shared" si="0"/>
        <v>1800</v>
      </c>
      <c r="H45" s="193">
        <f>G45</f>
        <v>1800</v>
      </c>
      <c r="I45" s="193">
        <v>2705</v>
      </c>
      <c r="J45" s="201">
        <v>2705</v>
      </c>
      <c r="K45" s="156"/>
      <c r="L45" s="151"/>
      <c r="M45" s="151"/>
      <c r="N45" s="151"/>
      <c r="O45" s="151"/>
    </row>
    <row r="46" spans="1:15" s="76" customFormat="1" x14ac:dyDescent="0.3">
      <c r="A46" s="150"/>
      <c r="B46" s="182" t="s">
        <v>538</v>
      </c>
      <c r="C46" s="182" t="s">
        <v>539</v>
      </c>
      <c r="D46" s="191"/>
      <c r="E46" s="191">
        <v>520</v>
      </c>
      <c r="F46" s="192">
        <v>2</v>
      </c>
      <c r="G46" s="191">
        <f t="shared" si="0"/>
        <v>1040</v>
      </c>
      <c r="H46" s="191">
        <f t="shared" si="1"/>
        <v>1175.1999999999998</v>
      </c>
      <c r="I46" s="191"/>
      <c r="J46" s="200"/>
      <c r="K46" s="156"/>
      <c r="L46" s="151"/>
      <c r="M46" s="151"/>
      <c r="N46" s="151"/>
      <c r="O46" s="151"/>
    </row>
    <row r="47" spans="1:15" s="76" customFormat="1" x14ac:dyDescent="0.3">
      <c r="A47" s="150"/>
      <c r="B47" s="103" t="s">
        <v>540</v>
      </c>
      <c r="C47" s="103" t="s">
        <v>541</v>
      </c>
      <c r="D47" s="193"/>
      <c r="E47" s="193">
        <v>40</v>
      </c>
      <c r="F47" s="194">
        <v>2</v>
      </c>
      <c r="G47" s="193">
        <f t="shared" si="0"/>
        <v>80</v>
      </c>
      <c r="H47" s="193">
        <f t="shared" si="1"/>
        <v>90.399999999999991</v>
      </c>
      <c r="I47" s="193">
        <v>90.4</v>
      </c>
      <c r="J47" s="201">
        <v>90.4</v>
      </c>
      <c r="K47" s="156"/>
      <c r="L47" s="151"/>
      <c r="M47" s="151"/>
      <c r="N47" s="151"/>
      <c r="O47" s="151"/>
    </row>
    <row r="48" spans="1:15" s="76" customFormat="1" x14ac:dyDescent="0.3">
      <c r="A48" s="150"/>
      <c r="B48" s="182" t="s">
        <v>542</v>
      </c>
      <c r="C48" s="182" t="s">
        <v>543</v>
      </c>
      <c r="D48" s="191"/>
      <c r="E48" s="191">
        <v>45</v>
      </c>
      <c r="F48" s="192">
        <v>40</v>
      </c>
      <c r="G48" s="191">
        <f t="shared" si="0"/>
        <v>1800</v>
      </c>
      <c r="H48" s="191">
        <f>G48</f>
        <v>1800</v>
      </c>
      <c r="I48" s="191">
        <v>2005</v>
      </c>
      <c r="J48" s="200">
        <v>2005</v>
      </c>
      <c r="K48" s="156"/>
      <c r="L48" s="151"/>
      <c r="M48" s="151"/>
      <c r="N48" s="151"/>
      <c r="O48" s="151"/>
    </row>
    <row r="49" spans="1:15" s="76" customFormat="1" x14ac:dyDescent="0.3">
      <c r="A49" s="150" t="s">
        <v>54</v>
      </c>
      <c r="B49" s="103" t="s">
        <v>544</v>
      </c>
      <c r="C49" s="103" t="s">
        <v>545</v>
      </c>
      <c r="D49" s="193"/>
      <c r="E49" s="193">
        <v>520</v>
      </c>
      <c r="F49" s="194">
        <v>2</v>
      </c>
      <c r="G49" s="193">
        <f t="shared" si="0"/>
        <v>1040</v>
      </c>
      <c r="H49" s="193">
        <f t="shared" si="1"/>
        <v>1175.1999999999998</v>
      </c>
      <c r="I49" s="193"/>
      <c r="J49" s="201"/>
      <c r="K49" s="156"/>
      <c r="L49" s="151"/>
      <c r="M49" s="151"/>
      <c r="N49" s="151"/>
      <c r="O49" s="151"/>
    </row>
    <row r="50" spans="1:15" s="76" customFormat="1" x14ac:dyDescent="0.3">
      <c r="A50" s="150"/>
      <c r="B50" s="182" t="s">
        <v>546</v>
      </c>
      <c r="C50" s="182" t="s">
        <v>547</v>
      </c>
      <c r="D50" s="191"/>
      <c r="E50" s="191">
        <v>40</v>
      </c>
      <c r="F50" s="192">
        <v>2</v>
      </c>
      <c r="G50" s="191">
        <f t="shared" si="0"/>
        <v>80</v>
      </c>
      <c r="H50" s="191">
        <f t="shared" si="1"/>
        <v>90.399999999999991</v>
      </c>
      <c r="I50" s="191"/>
      <c r="J50" s="200">
        <v>45.2</v>
      </c>
      <c r="K50" s="156"/>
      <c r="L50" s="151"/>
      <c r="M50" s="151"/>
      <c r="N50" s="151"/>
      <c r="O50" s="151"/>
    </row>
    <row r="51" spans="1:15" s="76" customFormat="1" x14ac:dyDescent="0.3">
      <c r="A51" s="150" t="s">
        <v>1551</v>
      </c>
      <c r="B51" s="159"/>
      <c r="C51" s="103" t="s">
        <v>1552</v>
      </c>
      <c r="D51" s="193"/>
      <c r="E51" s="193"/>
      <c r="F51" s="194"/>
      <c r="G51" s="193"/>
      <c r="H51" s="193"/>
      <c r="I51" s="193"/>
      <c r="J51" s="201">
        <v>153.63999999999999</v>
      </c>
      <c r="K51" s="156"/>
      <c r="L51" s="151"/>
      <c r="M51" s="151"/>
      <c r="N51" s="151"/>
      <c r="O51" s="151"/>
    </row>
    <row r="52" spans="1:15" s="76" customFormat="1" x14ac:dyDescent="0.3">
      <c r="A52" s="155"/>
      <c r="B52" s="158" t="s">
        <v>548</v>
      </c>
      <c r="C52" s="36"/>
      <c r="D52" s="179"/>
      <c r="E52" s="179"/>
      <c r="F52" s="184"/>
      <c r="G52" s="179"/>
      <c r="H52" s="179">
        <f>SUM(H42:H51)</f>
        <v>8563.9999999999982</v>
      </c>
      <c r="I52" s="179">
        <f>SUM(I42:I51)</f>
        <v>7467.1999999999989</v>
      </c>
      <c r="J52" s="180">
        <f>SUM(J42:J51)</f>
        <v>7666.0399999999991</v>
      </c>
      <c r="K52" s="156"/>
      <c r="L52" s="160"/>
      <c r="M52" s="151"/>
      <c r="N52" s="157"/>
      <c r="O52" s="157"/>
    </row>
    <row r="53" spans="1:15" s="76" customFormat="1" x14ac:dyDescent="0.3">
      <c r="A53" s="155"/>
      <c r="B53" s="159"/>
      <c r="C53" s="129"/>
      <c r="D53" s="196"/>
      <c r="E53" s="196"/>
      <c r="F53" s="202"/>
      <c r="G53" s="196"/>
      <c r="H53" s="196"/>
      <c r="I53" s="196"/>
      <c r="J53" s="197"/>
      <c r="K53" s="156"/>
      <c r="L53" s="160"/>
      <c r="M53" s="151"/>
      <c r="N53" s="157"/>
      <c r="O53" s="157"/>
    </row>
    <row r="54" spans="1:15" s="76" customFormat="1" x14ac:dyDescent="0.3">
      <c r="A54" s="150" t="s">
        <v>549</v>
      </c>
      <c r="B54" s="159"/>
      <c r="C54" s="103"/>
      <c r="D54" s="193"/>
      <c r="E54" s="193"/>
      <c r="F54" s="194"/>
      <c r="G54" s="193"/>
      <c r="H54" s="193"/>
      <c r="I54" s="193"/>
      <c r="J54" s="201"/>
      <c r="K54" s="156"/>
      <c r="L54" s="151"/>
      <c r="M54" s="151"/>
      <c r="N54" s="151"/>
      <c r="O54" s="151"/>
    </row>
    <row r="55" spans="1:15" s="76" customFormat="1" x14ac:dyDescent="0.3">
      <c r="A55" s="150"/>
      <c r="B55" s="182" t="s">
        <v>550</v>
      </c>
      <c r="C55" s="182" t="s">
        <v>551</v>
      </c>
      <c r="D55" s="191" t="s">
        <v>552</v>
      </c>
      <c r="E55" s="191">
        <v>0</v>
      </c>
      <c r="F55" s="192">
        <v>1</v>
      </c>
      <c r="G55" s="191">
        <f>E55*F55</f>
        <v>0</v>
      </c>
      <c r="H55" s="191">
        <f>G55*1.13</f>
        <v>0</v>
      </c>
      <c r="I55" s="191"/>
      <c r="J55" s="200"/>
      <c r="K55" s="156"/>
      <c r="L55" s="151"/>
      <c r="M55" s="151"/>
      <c r="N55" s="151"/>
      <c r="O55" s="151"/>
    </row>
    <row r="56" spans="1:15" s="76" customFormat="1" x14ac:dyDescent="0.3">
      <c r="A56" s="150"/>
      <c r="B56" s="103" t="s">
        <v>553</v>
      </c>
      <c r="C56" s="103" t="s">
        <v>554</v>
      </c>
      <c r="D56" s="193" t="s">
        <v>555</v>
      </c>
      <c r="E56" s="193">
        <v>0</v>
      </c>
      <c r="F56" s="194">
        <v>1</v>
      </c>
      <c r="G56" s="193">
        <f>E56*F56</f>
        <v>0</v>
      </c>
      <c r="H56" s="193">
        <f>G56*1.13</f>
        <v>0</v>
      </c>
      <c r="I56" s="193"/>
      <c r="J56" s="201"/>
      <c r="K56" s="156"/>
      <c r="L56" s="151"/>
      <c r="M56" s="151"/>
      <c r="N56" s="151"/>
      <c r="O56" s="151"/>
    </row>
    <row r="57" spans="1:15" s="76" customFormat="1" x14ac:dyDescent="0.3">
      <c r="A57" s="150"/>
      <c r="B57" s="182" t="s">
        <v>556</v>
      </c>
      <c r="C57" s="182" t="s">
        <v>557</v>
      </c>
      <c r="D57" s="191" t="s">
        <v>552</v>
      </c>
      <c r="E57" s="191">
        <v>0</v>
      </c>
      <c r="F57" s="192">
        <v>1</v>
      </c>
      <c r="G57" s="191">
        <f>E57*F57</f>
        <v>0</v>
      </c>
      <c r="H57" s="191">
        <f>G57*1.13</f>
        <v>0</v>
      </c>
      <c r="I57" s="191"/>
      <c r="J57" s="200"/>
      <c r="K57" s="156"/>
      <c r="L57" s="151"/>
      <c r="M57" s="151"/>
      <c r="N57" s="151"/>
      <c r="O57" s="151"/>
    </row>
    <row r="58" spans="1:15" s="151" customFormat="1" x14ac:dyDescent="0.3">
      <c r="A58" s="150"/>
      <c r="B58" s="103" t="s">
        <v>558</v>
      </c>
      <c r="C58" s="103" t="s">
        <v>559</v>
      </c>
      <c r="D58" s="193" t="s">
        <v>560</v>
      </c>
      <c r="E58" s="193">
        <v>50</v>
      </c>
      <c r="F58" s="194">
        <v>4</v>
      </c>
      <c r="G58" s="193">
        <f>E58*F58</f>
        <v>200</v>
      </c>
      <c r="H58" s="193">
        <f>G58*1.13</f>
        <v>225.99999999999997</v>
      </c>
      <c r="I58" s="193"/>
      <c r="J58" s="201"/>
      <c r="K58" s="156"/>
    </row>
    <row r="59" spans="1:15" s="76" customFormat="1" x14ac:dyDescent="0.3">
      <c r="A59" s="150"/>
      <c r="B59" s="178"/>
      <c r="C59" s="182" t="s">
        <v>561</v>
      </c>
      <c r="D59" s="191"/>
      <c r="E59" s="191"/>
      <c r="F59" s="192"/>
      <c r="G59" s="191"/>
      <c r="H59" s="191"/>
      <c r="I59" s="191">
        <v>153.63999999999999</v>
      </c>
      <c r="J59" s="200"/>
      <c r="K59" s="156"/>
      <c r="L59" s="151"/>
      <c r="M59" s="151"/>
      <c r="N59" s="151"/>
      <c r="O59" s="151"/>
    </row>
    <row r="60" spans="1:15" s="76" customFormat="1" x14ac:dyDescent="0.3">
      <c r="A60" s="155"/>
      <c r="B60" s="158" t="s">
        <v>562</v>
      </c>
      <c r="C60" s="36"/>
      <c r="D60" s="179"/>
      <c r="E60" s="179"/>
      <c r="F60" s="184"/>
      <c r="G60" s="179"/>
      <c r="H60" s="179">
        <f>SUM(H55:H59)</f>
        <v>225.99999999999997</v>
      </c>
      <c r="I60" s="179">
        <f>SUM(I55:I59)</f>
        <v>153.63999999999999</v>
      </c>
      <c r="J60" s="180">
        <f>SUM(J55:J59)</f>
        <v>0</v>
      </c>
      <c r="K60" s="156"/>
      <c r="L60" s="160"/>
      <c r="M60" s="151"/>
      <c r="N60" s="157"/>
      <c r="O60" s="157"/>
    </row>
    <row r="61" spans="1:15" s="151" customFormat="1" x14ac:dyDescent="0.3">
      <c r="A61" s="155"/>
      <c r="B61" s="159"/>
      <c r="C61" s="129"/>
      <c r="D61" s="196"/>
      <c r="E61" s="196"/>
      <c r="F61" s="202"/>
      <c r="G61" s="196"/>
      <c r="H61" s="196"/>
      <c r="I61" s="196"/>
      <c r="J61" s="195"/>
      <c r="K61" s="156"/>
      <c r="L61" s="160"/>
      <c r="N61" s="157"/>
      <c r="O61" s="157"/>
    </row>
    <row r="62" spans="1:15" s="80" customFormat="1" ht="18.75" x14ac:dyDescent="0.35">
      <c r="A62" s="165"/>
      <c r="B62" s="166"/>
      <c r="C62" s="37" t="s">
        <v>98</v>
      </c>
      <c r="D62" s="203"/>
      <c r="E62" s="203"/>
      <c r="F62" s="204"/>
      <c r="G62" s="203"/>
      <c r="H62" s="203">
        <f>H60+H52+H39+H33+H28</f>
        <v>9595.0999999999985</v>
      </c>
      <c r="I62" s="203">
        <f>I60+I52+I39+I33+I28</f>
        <v>7781.4599999999991</v>
      </c>
      <c r="J62" s="205">
        <f>J60+J52+J39+J33+J28</f>
        <v>7826.6599999999989</v>
      </c>
      <c r="K62" s="130"/>
      <c r="L62" s="131"/>
      <c r="M62" s="130"/>
      <c r="N62" s="130"/>
      <c r="O62" s="132"/>
    </row>
    <row r="63" spans="1:15" s="80" customFormat="1" ht="18.75" x14ac:dyDescent="0.35">
      <c r="A63" s="165"/>
      <c r="B63" s="166"/>
      <c r="C63" s="37"/>
      <c r="D63" s="203"/>
      <c r="E63" s="203"/>
      <c r="F63" s="204"/>
      <c r="G63" s="203"/>
      <c r="H63" s="203"/>
      <c r="I63" s="203"/>
      <c r="J63" s="205"/>
      <c r="K63" s="130"/>
      <c r="L63" s="131"/>
      <c r="M63" s="130"/>
      <c r="N63" s="130"/>
      <c r="O63" s="132"/>
    </row>
    <row r="64" spans="1:15" s="81" customFormat="1" ht="20.25" x14ac:dyDescent="0.35">
      <c r="A64" s="275" t="s">
        <v>99</v>
      </c>
      <c r="B64" s="276"/>
      <c r="C64" s="276"/>
      <c r="D64" s="167"/>
      <c r="E64" s="167"/>
      <c r="F64" s="190"/>
      <c r="G64" s="167"/>
      <c r="H64" s="167"/>
      <c r="I64" s="167"/>
      <c r="J64" s="168"/>
      <c r="K64" s="136"/>
      <c r="L64" s="136"/>
      <c r="M64" s="133"/>
      <c r="N64" s="133"/>
      <c r="O64" s="133"/>
    </row>
    <row r="65" spans="1:10" s="82" customFormat="1" ht="20.25" x14ac:dyDescent="0.35">
      <c r="A65" s="175"/>
      <c r="B65" s="169" t="s">
        <v>100</v>
      </c>
      <c r="C65" s="214"/>
      <c r="D65" s="206"/>
      <c r="E65" s="206"/>
      <c r="F65" s="206"/>
      <c r="G65" s="206"/>
      <c r="H65" s="206">
        <f>H21</f>
        <v>8900</v>
      </c>
      <c r="I65" s="206">
        <f>I21</f>
        <v>7245</v>
      </c>
      <c r="J65" s="118">
        <f>J21</f>
        <v>7245</v>
      </c>
    </row>
    <row r="66" spans="1:10" s="82" customFormat="1" ht="20.25" x14ac:dyDescent="0.35">
      <c r="A66" s="175"/>
      <c r="B66" s="170" t="s">
        <v>101</v>
      </c>
      <c r="C66" s="136"/>
      <c r="D66" s="207"/>
      <c r="E66" s="207"/>
      <c r="F66" s="207"/>
      <c r="G66" s="207"/>
      <c r="H66" s="207">
        <f>H62</f>
        <v>9595.0999999999985</v>
      </c>
      <c r="I66" s="207">
        <f>I62</f>
        <v>7781.4599999999991</v>
      </c>
      <c r="J66" s="119">
        <f>J62</f>
        <v>7826.6599999999989</v>
      </c>
    </row>
    <row r="67" spans="1:10" s="82" customFormat="1" ht="20.25" x14ac:dyDescent="0.35">
      <c r="A67" s="208"/>
      <c r="B67" s="171" t="s">
        <v>102</v>
      </c>
      <c r="C67" s="215"/>
      <c r="D67" s="209"/>
      <c r="E67" s="209"/>
      <c r="F67" s="209"/>
      <c r="G67" s="209"/>
      <c r="H67" s="209">
        <f>H65-H66</f>
        <v>-695.09999999999854</v>
      </c>
      <c r="I67" s="209">
        <f>I65-I66</f>
        <v>-536.45999999999913</v>
      </c>
      <c r="J67" s="120">
        <f>J65-J66</f>
        <v>-581.65999999999894</v>
      </c>
    </row>
    <row r="68" spans="1:10" s="76" customFormat="1" x14ac:dyDescent="0.3">
      <c r="A68" s="134"/>
      <c r="B68" s="134"/>
      <c r="C68" s="42"/>
      <c r="D68" s="135"/>
      <c r="E68" s="152"/>
      <c r="F68" s="188"/>
      <c r="G68" s="152"/>
      <c r="H68" s="152"/>
      <c r="I68" s="152"/>
      <c r="J68" s="152"/>
    </row>
  </sheetData>
  <mergeCells count="6">
    <mergeCell ref="A64:C64"/>
    <mergeCell ref="D1:J4"/>
    <mergeCell ref="A5:C5"/>
    <mergeCell ref="D5:E5"/>
    <mergeCell ref="A8:C8"/>
    <mergeCell ref="A23:C23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zoomScale="70" zoomScaleNormal="70" zoomScalePageLayoutView="70" workbookViewId="0">
      <pane xSplit="3" ySplit="6" topLeftCell="D7" activePane="bottomRight" state="frozen"/>
      <selection pane="topRight" activeCell="C1" sqref="C1"/>
      <selection pane="bottomLeft" activeCell="A4" sqref="A4"/>
      <selection pane="bottomRight" activeCell="C18" sqref="C18"/>
    </sheetView>
  </sheetViews>
  <sheetFormatPr defaultColWidth="8.85546875" defaultRowHeight="17.25" x14ac:dyDescent="0.3"/>
  <cols>
    <col min="1" max="2" width="13.85546875" style="83" customWidth="1"/>
    <col min="3" max="3" width="53.140625" style="41" customWidth="1"/>
    <col min="4" max="4" width="70.7109375" style="87" bestFit="1" customWidth="1"/>
    <col min="5" max="5" width="12" style="77" bestFit="1" customWidth="1"/>
    <col min="6" max="6" width="10.85546875" style="86" bestFit="1" customWidth="1"/>
    <col min="7" max="7" width="11.140625" style="77" bestFit="1" customWidth="1"/>
    <col min="8" max="8" width="16.5703125" style="77" bestFit="1" customWidth="1"/>
    <col min="9" max="9" width="22.42578125" style="77" customWidth="1"/>
    <col min="10" max="10" width="23" style="77" customWidth="1"/>
    <col min="11" max="11" width="12" style="76" customWidth="1"/>
    <col min="12" max="12" width="11.28515625" style="76" customWidth="1"/>
    <col min="13" max="13" width="8.85546875" style="83"/>
    <col min="14" max="14" width="10.140625" style="83" bestFit="1" customWidth="1"/>
    <col min="15" max="15" width="14.28515625" style="83" customWidth="1"/>
    <col min="16" max="16384" width="8.85546875" style="83"/>
  </cols>
  <sheetData>
    <row r="1" spans="1:15" s="75" customFormat="1" ht="38.25" x14ac:dyDescent="0.3">
      <c r="A1" s="212"/>
      <c r="B1" s="213"/>
      <c r="C1" s="31"/>
      <c r="D1" s="300" t="s">
        <v>563</v>
      </c>
      <c r="E1" s="301"/>
      <c r="F1" s="301"/>
      <c r="G1" s="301"/>
      <c r="H1" s="301"/>
      <c r="I1" s="301"/>
      <c r="J1" s="302"/>
      <c r="K1" s="121"/>
      <c r="L1" s="121"/>
      <c r="M1" s="121"/>
      <c r="N1" s="121"/>
      <c r="O1" s="121"/>
    </row>
    <row r="2" spans="1:15" s="75" customFormat="1" ht="38.25" x14ac:dyDescent="0.3">
      <c r="A2" s="140"/>
      <c r="B2" s="141"/>
      <c r="C2" s="32"/>
      <c r="D2" s="303"/>
      <c r="E2" s="304"/>
      <c r="F2" s="304"/>
      <c r="G2" s="304"/>
      <c r="H2" s="304"/>
      <c r="I2" s="304"/>
      <c r="J2" s="305"/>
      <c r="K2" s="121"/>
      <c r="L2" s="121"/>
      <c r="M2" s="121"/>
      <c r="N2" s="121"/>
      <c r="O2" s="121"/>
    </row>
    <row r="3" spans="1:15" s="75" customFormat="1" ht="38.25" x14ac:dyDescent="0.3">
      <c r="A3" s="140"/>
      <c r="B3" s="141"/>
      <c r="C3" s="32"/>
      <c r="D3" s="303"/>
      <c r="E3" s="304"/>
      <c r="F3" s="304"/>
      <c r="G3" s="304"/>
      <c r="H3" s="304"/>
      <c r="I3" s="304"/>
      <c r="J3" s="305"/>
      <c r="K3" s="121"/>
      <c r="L3" s="121"/>
      <c r="M3" s="121"/>
      <c r="N3" s="121"/>
      <c r="O3" s="121"/>
    </row>
    <row r="4" spans="1:15" s="75" customFormat="1" ht="38.25" x14ac:dyDescent="0.3">
      <c r="A4" s="142"/>
      <c r="B4" s="143"/>
      <c r="C4" s="33"/>
      <c r="D4" s="306"/>
      <c r="E4" s="307"/>
      <c r="F4" s="307"/>
      <c r="G4" s="307"/>
      <c r="H4" s="307"/>
      <c r="I4" s="307"/>
      <c r="J4" s="308"/>
      <c r="K4" s="121"/>
      <c r="L4" s="121"/>
      <c r="M4" s="121"/>
      <c r="N4" s="121"/>
      <c r="O4" s="121"/>
    </row>
    <row r="5" spans="1:15" s="75" customFormat="1" x14ac:dyDescent="0.3">
      <c r="A5" s="277"/>
      <c r="B5" s="281"/>
      <c r="C5" s="278"/>
      <c r="D5" s="282"/>
      <c r="E5" s="283"/>
      <c r="F5" s="184"/>
      <c r="G5" s="179"/>
      <c r="H5" s="179"/>
      <c r="I5" s="179"/>
      <c r="J5" s="180"/>
      <c r="K5" s="122"/>
      <c r="L5" s="122"/>
      <c r="M5" s="121"/>
      <c r="N5" s="121"/>
      <c r="O5" s="121"/>
    </row>
    <row r="6" spans="1:15" s="85" customFormat="1" x14ac:dyDescent="0.3">
      <c r="A6" s="172"/>
      <c r="B6" s="183" t="s">
        <v>104</v>
      </c>
      <c r="C6" s="181" t="s">
        <v>105</v>
      </c>
      <c r="D6" s="173" t="s">
        <v>106</v>
      </c>
      <c r="E6" s="174" t="s">
        <v>107</v>
      </c>
      <c r="F6" s="185" t="s">
        <v>108</v>
      </c>
      <c r="G6" s="198" t="s">
        <v>109</v>
      </c>
      <c r="H6" s="198" t="s">
        <v>110</v>
      </c>
      <c r="I6" s="198" t="s">
        <v>111</v>
      </c>
      <c r="J6" s="199" t="s">
        <v>112</v>
      </c>
      <c r="K6" s="137"/>
      <c r="L6" s="137"/>
      <c r="M6" s="138"/>
      <c r="N6" s="138"/>
      <c r="O6" s="138"/>
    </row>
    <row r="7" spans="1:15" s="75" customFormat="1" x14ac:dyDescent="0.3">
      <c r="A7" s="144"/>
      <c r="B7" s="176"/>
      <c r="C7" s="145"/>
      <c r="D7" s="146"/>
      <c r="E7" s="147"/>
      <c r="F7" s="186"/>
      <c r="G7" s="147"/>
      <c r="H7" s="147"/>
      <c r="I7" s="147"/>
      <c r="J7" s="195"/>
      <c r="K7" s="122"/>
      <c r="L7" s="122"/>
      <c r="M7" s="121"/>
      <c r="N7" s="121"/>
      <c r="O7" s="121"/>
    </row>
    <row r="8" spans="1:15" s="75" customFormat="1" x14ac:dyDescent="0.3">
      <c r="A8" s="273" t="s">
        <v>5</v>
      </c>
      <c r="B8" s="274"/>
      <c r="C8" s="274"/>
      <c r="D8" s="148"/>
      <c r="E8" s="148"/>
      <c r="F8" s="187"/>
      <c r="G8" s="148"/>
      <c r="H8" s="148"/>
      <c r="I8" s="148"/>
      <c r="J8" s="149"/>
      <c r="K8" s="122"/>
      <c r="L8" s="122"/>
      <c r="M8" s="121"/>
      <c r="N8" s="121"/>
      <c r="O8" s="121"/>
    </row>
    <row r="9" spans="1:15" s="76" customFormat="1" x14ac:dyDescent="0.3">
      <c r="A9" s="150" t="s">
        <v>564</v>
      </c>
      <c r="B9" s="159"/>
      <c r="C9" s="103"/>
      <c r="D9" s="88"/>
      <c r="E9" s="152"/>
      <c r="F9" s="188"/>
      <c r="G9" s="152"/>
      <c r="H9" s="152"/>
      <c r="I9" s="152"/>
      <c r="J9" s="153"/>
      <c r="K9" s="151"/>
      <c r="L9" s="151"/>
      <c r="M9" s="151"/>
      <c r="N9" s="151"/>
      <c r="O9" s="151"/>
    </row>
    <row r="10" spans="1:15" s="76" customFormat="1" x14ac:dyDescent="0.3">
      <c r="A10" s="150"/>
      <c r="B10" s="182" t="s">
        <v>565</v>
      </c>
      <c r="C10" s="182" t="s">
        <v>566</v>
      </c>
      <c r="D10" s="191" t="s">
        <v>567</v>
      </c>
      <c r="E10" s="191">
        <v>25</v>
      </c>
      <c r="F10" s="192">
        <v>5</v>
      </c>
      <c r="G10" s="191">
        <f>E10*F10</f>
        <v>125</v>
      </c>
      <c r="H10" s="191">
        <f>G10</f>
        <v>125</v>
      </c>
      <c r="I10" s="191"/>
      <c r="J10" s="200"/>
      <c r="K10" s="151"/>
      <c r="L10" s="151"/>
      <c r="M10" s="151"/>
      <c r="N10" s="151"/>
      <c r="O10" s="151"/>
    </row>
    <row r="11" spans="1:15" s="76" customFormat="1" x14ac:dyDescent="0.3">
      <c r="A11" s="155"/>
      <c r="B11" s="103" t="s">
        <v>568</v>
      </c>
      <c r="C11" s="104" t="s">
        <v>566</v>
      </c>
      <c r="D11" s="193" t="s">
        <v>569</v>
      </c>
      <c r="E11" s="193">
        <v>25</v>
      </c>
      <c r="F11" s="194">
        <v>5</v>
      </c>
      <c r="G11" s="193">
        <f>E11*F11</f>
        <v>125</v>
      </c>
      <c r="H11" s="193">
        <f>G11</f>
        <v>125</v>
      </c>
      <c r="I11" s="193"/>
      <c r="J11" s="201"/>
      <c r="K11" s="151"/>
      <c r="L11" s="151"/>
      <c r="M11" s="151"/>
      <c r="N11" s="157"/>
      <c r="O11" s="151"/>
    </row>
    <row r="12" spans="1:15" s="76" customFormat="1" x14ac:dyDescent="0.3">
      <c r="A12" s="155"/>
      <c r="B12" s="182" t="s">
        <v>570</v>
      </c>
      <c r="C12" s="182" t="s">
        <v>571</v>
      </c>
      <c r="D12" s="102" t="s">
        <v>572</v>
      </c>
      <c r="E12" s="191">
        <v>25</v>
      </c>
      <c r="F12" s="192">
        <v>2</v>
      </c>
      <c r="G12" s="191">
        <f>E12*F12</f>
        <v>50</v>
      </c>
      <c r="H12" s="191">
        <f>G12</f>
        <v>50</v>
      </c>
      <c r="I12" s="191"/>
      <c r="J12" s="200"/>
      <c r="K12" s="151"/>
      <c r="L12" s="151"/>
      <c r="M12" s="151"/>
      <c r="N12" s="157"/>
      <c r="O12" s="151"/>
    </row>
    <row r="13" spans="1:15" s="76" customFormat="1" x14ac:dyDescent="0.3">
      <c r="A13" s="155"/>
      <c r="B13" s="151"/>
      <c r="C13" s="104" t="s">
        <v>453</v>
      </c>
      <c r="D13" s="193" t="s">
        <v>573</v>
      </c>
      <c r="E13" s="193"/>
      <c r="F13" s="194"/>
      <c r="G13" s="193"/>
      <c r="H13" s="193"/>
      <c r="I13" s="193">
        <v>640.52</v>
      </c>
      <c r="J13" s="201">
        <v>640.52</v>
      </c>
      <c r="K13" s="151"/>
      <c r="L13" s="151"/>
      <c r="M13" s="151"/>
      <c r="N13" s="157"/>
      <c r="O13" s="151"/>
    </row>
    <row r="14" spans="1:15" s="76" customFormat="1" x14ac:dyDescent="0.3">
      <c r="A14" s="155"/>
      <c r="B14" s="158" t="s">
        <v>574</v>
      </c>
      <c r="C14" s="35"/>
      <c r="D14" s="210"/>
      <c r="E14" s="210"/>
      <c r="F14" s="211"/>
      <c r="G14" s="210"/>
      <c r="H14" s="179">
        <f>SUM(H9:H12)</f>
        <v>300</v>
      </c>
      <c r="I14" s="179">
        <f>SUM(I9:I13)</f>
        <v>640.52</v>
      </c>
      <c r="J14" s="180">
        <f>SUM(J9:J12)</f>
        <v>0</v>
      </c>
      <c r="K14" s="151"/>
      <c r="L14" s="151"/>
      <c r="M14" s="151"/>
      <c r="N14" s="157"/>
      <c r="O14" s="151"/>
    </row>
    <row r="15" spans="1:15" s="78" customFormat="1" x14ac:dyDescent="0.3">
      <c r="A15" s="150"/>
      <c r="B15" s="159"/>
      <c r="C15" s="129"/>
      <c r="D15" s="196"/>
      <c r="E15" s="196"/>
      <c r="F15" s="202"/>
      <c r="G15" s="196"/>
      <c r="H15" s="196"/>
      <c r="I15" s="196"/>
      <c r="J15" s="197"/>
      <c r="K15" s="156"/>
      <c r="L15" s="124"/>
      <c r="M15" s="159"/>
      <c r="N15" s="125"/>
      <c r="O15" s="125"/>
    </row>
    <row r="16" spans="1:15" s="78" customFormat="1" x14ac:dyDescent="0.3">
      <c r="A16" s="150" t="s">
        <v>575</v>
      </c>
      <c r="B16" s="159"/>
      <c r="C16" s="103"/>
      <c r="D16" s="193"/>
      <c r="E16" s="193"/>
      <c r="F16" s="194"/>
      <c r="G16" s="193"/>
      <c r="H16" s="193"/>
      <c r="I16" s="193"/>
      <c r="J16" s="201"/>
      <c r="K16" s="156"/>
      <c r="L16" s="124"/>
      <c r="M16" s="159"/>
      <c r="N16" s="125"/>
      <c r="O16" s="125"/>
    </row>
    <row r="17" spans="1:15" s="76" customFormat="1" x14ac:dyDescent="0.3">
      <c r="A17" s="155"/>
      <c r="B17" s="182" t="s">
        <v>576</v>
      </c>
      <c r="C17" s="102" t="s">
        <v>577</v>
      </c>
      <c r="D17" s="50" t="s">
        <v>578</v>
      </c>
      <c r="E17" s="191">
        <v>10</v>
      </c>
      <c r="F17" s="192">
        <v>60</v>
      </c>
      <c r="G17" s="191">
        <f>E17*F17</f>
        <v>600</v>
      </c>
      <c r="H17" s="191">
        <f>G17</f>
        <v>600</v>
      </c>
      <c r="I17" s="191"/>
      <c r="J17" s="200"/>
      <c r="K17" s="151"/>
      <c r="L17" s="151"/>
      <c r="M17" s="151"/>
      <c r="N17" s="157"/>
      <c r="O17" s="151"/>
    </row>
    <row r="18" spans="1:15" s="76" customFormat="1" x14ac:dyDescent="0.3">
      <c r="A18" s="155"/>
      <c r="B18" s="103"/>
      <c r="C18" s="104"/>
      <c r="D18" s="193"/>
      <c r="E18" s="193"/>
      <c r="F18" s="194"/>
      <c r="G18" s="193"/>
      <c r="H18" s="193"/>
      <c r="I18" s="193"/>
      <c r="J18" s="201"/>
      <c r="K18" s="151"/>
      <c r="L18" s="151"/>
      <c r="M18" s="151"/>
      <c r="N18" s="157"/>
      <c r="O18" s="151"/>
    </row>
    <row r="19" spans="1:15" s="76" customFormat="1" x14ac:dyDescent="0.3">
      <c r="A19" s="150"/>
      <c r="B19" s="158" t="s">
        <v>579</v>
      </c>
      <c r="C19" s="36"/>
      <c r="D19" s="179"/>
      <c r="E19" s="179"/>
      <c r="F19" s="184"/>
      <c r="G19" s="179"/>
      <c r="H19" s="179">
        <f>SUM(H17:H18)</f>
        <v>600</v>
      </c>
      <c r="I19" s="179">
        <f>SUM(I17:I18)</f>
        <v>0</v>
      </c>
      <c r="J19" s="180">
        <f>SUM(J17:J18)</f>
        <v>0</v>
      </c>
      <c r="K19" s="156"/>
      <c r="L19" s="160"/>
      <c r="M19" s="156"/>
      <c r="N19" s="156"/>
      <c r="O19" s="157"/>
    </row>
    <row r="20" spans="1:15" s="76" customFormat="1" x14ac:dyDescent="0.3">
      <c r="A20" s="150"/>
      <c r="B20" s="159"/>
      <c r="C20" s="129"/>
      <c r="D20" s="196"/>
      <c r="E20" s="196"/>
      <c r="F20" s="202"/>
      <c r="G20" s="196"/>
      <c r="H20" s="196"/>
      <c r="I20" s="196"/>
      <c r="J20" s="197"/>
      <c r="K20" s="156"/>
      <c r="L20" s="160"/>
      <c r="M20" s="156"/>
      <c r="N20" s="156"/>
      <c r="O20" s="157"/>
    </row>
    <row r="21" spans="1:15" s="79" customFormat="1" ht="18.75" x14ac:dyDescent="0.35">
      <c r="A21" s="161"/>
      <c r="B21" s="162"/>
      <c r="C21" s="37" t="s">
        <v>58</v>
      </c>
      <c r="D21" s="203"/>
      <c r="E21" s="203"/>
      <c r="F21" s="204"/>
      <c r="G21" s="203"/>
      <c r="H21" s="203">
        <f>H19+H14</f>
        <v>900</v>
      </c>
      <c r="I21" s="203">
        <f>I19+I14</f>
        <v>640.52</v>
      </c>
      <c r="J21" s="205">
        <f>J19+J14</f>
        <v>0</v>
      </c>
      <c r="K21" s="126"/>
      <c r="L21" s="127"/>
      <c r="M21" s="126"/>
      <c r="N21" s="126"/>
      <c r="O21" s="128"/>
    </row>
    <row r="22" spans="1:15" s="79" customFormat="1" ht="18.75" x14ac:dyDescent="0.35">
      <c r="A22" s="161"/>
      <c r="B22" s="162"/>
      <c r="C22" s="37"/>
      <c r="D22" s="196"/>
      <c r="E22" s="196"/>
      <c r="F22" s="202"/>
      <c r="G22" s="196"/>
      <c r="H22" s="196"/>
      <c r="I22" s="196"/>
      <c r="J22" s="197"/>
      <c r="K22" s="126"/>
      <c r="L22" s="127"/>
      <c r="M22" s="126"/>
      <c r="N22" s="126"/>
      <c r="O22" s="128"/>
    </row>
    <row r="23" spans="1:15" s="76" customFormat="1" x14ac:dyDescent="0.3">
      <c r="A23" s="273" t="s">
        <v>59</v>
      </c>
      <c r="B23" s="274"/>
      <c r="C23" s="274"/>
      <c r="D23" s="148"/>
      <c r="E23" s="163"/>
      <c r="F23" s="189"/>
      <c r="G23" s="163"/>
      <c r="H23" s="163"/>
      <c r="I23" s="163"/>
      <c r="J23" s="149"/>
      <c r="K23" s="129"/>
      <c r="L23" s="129"/>
      <c r="M23" s="151"/>
      <c r="N23" s="151"/>
      <c r="O23" s="151"/>
    </row>
    <row r="24" spans="1:15" s="78" customFormat="1" x14ac:dyDescent="0.3">
      <c r="A24" s="150" t="s">
        <v>580</v>
      </c>
      <c r="B24" s="159"/>
      <c r="C24" s="103"/>
      <c r="D24" s="193"/>
      <c r="E24" s="193"/>
      <c r="F24" s="194"/>
      <c r="G24" s="193"/>
      <c r="H24" s="193"/>
      <c r="I24" s="193"/>
      <c r="J24" s="201"/>
      <c r="K24" s="156"/>
      <c r="L24" s="124"/>
      <c r="M24" s="159"/>
      <c r="N24" s="123"/>
      <c r="O24" s="125"/>
    </row>
    <row r="25" spans="1:15" s="76" customFormat="1" x14ac:dyDescent="0.3">
      <c r="A25" s="155"/>
      <c r="B25" s="182" t="s">
        <v>581</v>
      </c>
      <c r="C25" s="102" t="s">
        <v>449</v>
      </c>
      <c r="D25" s="191" t="s">
        <v>582</v>
      </c>
      <c r="E25" s="191">
        <v>125</v>
      </c>
      <c r="F25" s="192">
        <v>4</v>
      </c>
      <c r="G25" s="191">
        <f>E25*F25</f>
        <v>500</v>
      </c>
      <c r="H25" s="191">
        <f>G25*1.13</f>
        <v>565</v>
      </c>
      <c r="I25" s="191"/>
      <c r="J25" s="200"/>
      <c r="K25" s="151"/>
      <c r="L25" s="160"/>
      <c r="M25" s="151"/>
      <c r="N25" s="157"/>
      <c r="O25" s="151"/>
    </row>
    <row r="26" spans="1:15" s="76" customFormat="1" x14ac:dyDescent="0.3">
      <c r="A26" s="155"/>
      <c r="B26" s="103" t="s">
        <v>583</v>
      </c>
      <c r="C26" s="104" t="s">
        <v>584</v>
      </c>
      <c r="D26" s="193" t="s">
        <v>585</v>
      </c>
      <c r="E26" s="193">
        <v>60</v>
      </c>
      <c r="F26" s="194">
        <v>3</v>
      </c>
      <c r="G26" s="193">
        <f>E26*F26</f>
        <v>180</v>
      </c>
      <c r="H26" s="193">
        <f>G26*1.13</f>
        <v>203.39999999999998</v>
      </c>
      <c r="I26" s="193"/>
      <c r="J26" s="201"/>
      <c r="K26" s="151"/>
      <c r="L26" s="160"/>
      <c r="M26" s="151"/>
      <c r="N26" s="157"/>
      <c r="O26" s="151"/>
    </row>
    <row r="27" spans="1:15" s="91" customFormat="1" x14ac:dyDescent="0.3">
      <c r="A27" s="155"/>
      <c r="B27" s="154"/>
      <c r="C27" s="102"/>
      <c r="D27" s="191"/>
      <c r="E27" s="191"/>
      <c r="F27" s="192"/>
      <c r="G27" s="191"/>
      <c r="H27" s="191"/>
      <c r="I27" s="191"/>
      <c r="J27" s="200"/>
      <c r="K27" s="151"/>
      <c r="L27" s="160"/>
      <c r="M27" s="151"/>
      <c r="N27" s="157"/>
      <c r="O27" s="151"/>
    </row>
    <row r="28" spans="1:15" s="76" customFormat="1" x14ac:dyDescent="0.3">
      <c r="A28" s="155"/>
      <c r="B28" s="158" t="s">
        <v>586</v>
      </c>
      <c r="C28" s="38"/>
      <c r="D28" s="179"/>
      <c r="E28" s="179"/>
      <c r="F28" s="184"/>
      <c r="G28" s="179"/>
      <c r="H28" s="179">
        <f>SUM(H24:H26)</f>
        <v>768.4</v>
      </c>
      <c r="I28" s="179">
        <f>SUM(I24:I26)</f>
        <v>0</v>
      </c>
      <c r="J28" s="180">
        <f>SUM(J24:J26)</f>
        <v>0</v>
      </c>
      <c r="K28" s="151"/>
      <c r="L28" s="160"/>
      <c r="M28" s="151"/>
      <c r="N28" s="157"/>
      <c r="O28" s="151"/>
    </row>
    <row r="29" spans="1:15" s="76" customFormat="1" x14ac:dyDescent="0.3">
      <c r="A29" s="150"/>
      <c r="B29" s="159"/>
      <c r="C29" s="129"/>
      <c r="D29" s="196"/>
      <c r="E29" s="196"/>
      <c r="F29" s="202"/>
      <c r="G29" s="196"/>
      <c r="H29" s="196"/>
      <c r="I29" s="196"/>
      <c r="J29" s="197"/>
      <c r="K29" s="156"/>
      <c r="L29" s="160"/>
      <c r="M29" s="151"/>
      <c r="N29" s="157"/>
      <c r="O29" s="157"/>
    </row>
    <row r="30" spans="1:15" s="76" customFormat="1" x14ac:dyDescent="0.3">
      <c r="A30" s="150" t="s">
        <v>587</v>
      </c>
      <c r="B30" s="159"/>
      <c r="C30" s="103"/>
      <c r="D30" s="221"/>
      <c r="E30" s="193"/>
      <c r="F30" s="194"/>
      <c r="G30" s="193"/>
      <c r="H30" s="193"/>
      <c r="I30" s="193"/>
      <c r="J30" s="201"/>
      <c r="K30" s="156"/>
      <c r="L30" s="160"/>
      <c r="M30" s="151"/>
      <c r="N30" s="157"/>
      <c r="O30" s="157"/>
    </row>
    <row r="31" spans="1:15" s="76" customFormat="1" x14ac:dyDescent="0.3">
      <c r="A31" s="164"/>
      <c r="B31" s="182" t="s">
        <v>588</v>
      </c>
      <c r="C31" s="102" t="s">
        <v>449</v>
      </c>
      <c r="D31" s="191" t="s">
        <v>589</v>
      </c>
      <c r="E31" s="191">
        <v>125</v>
      </c>
      <c r="F31" s="192">
        <v>5</v>
      </c>
      <c r="G31" s="191">
        <f>E31*F31</f>
        <v>625</v>
      </c>
      <c r="H31" s="191">
        <f>G31*1.13</f>
        <v>706.24999999999989</v>
      </c>
      <c r="I31" s="191">
        <v>625</v>
      </c>
      <c r="J31" s="200">
        <v>625</v>
      </c>
      <c r="K31" s="220"/>
      <c r="L31" s="160"/>
      <c r="M31" s="151"/>
      <c r="N31" s="157"/>
      <c r="O31" s="157"/>
    </row>
    <row r="32" spans="1:15" s="76" customFormat="1" x14ac:dyDescent="0.3">
      <c r="A32" s="164"/>
      <c r="B32" s="103" t="s">
        <v>590</v>
      </c>
      <c r="C32" s="104" t="s">
        <v>591</v>
      </c>
      <c r="D32" s="193" t="s">
        <v>592</v>
      </c>
      <c r="E32" s="193">
        <v>150</v>
      </c>
      <c r="F32" s="194">
        <v>1</v>
      </c>
      <c r="G32" s="193">
        <f>E32*F32</f>
        <v>150</v>
      </c>
      <c r="H32" s="193">
        <f>G32*1.13</f>
        <v>169.49999999999997</v>
      </c>
      <c r="I32" s="193">
        <v>197.64</v>
      </c>
      <c r="J32" s="201">
        <v>197.64</v>
      </c>
      <c r="K32" s="220"/>
      <c r="L32" s="160"/>
      <c r="M32" s="151"/>
      <c r="N32" s="157"/>
      <c r="O32" s="157"/>
    </row>
    <row r="33" spans="1:15" s="76" customFormat="1" x14ac:dyDescent="0.3">
      <c r="A33" s="164"/>
      <c r="B33" s="182" t="s">
        <v>593</v>
      </c>
      <c r="C33" s="102" t="s">
        <v>594</v>
      </c>
      <c r="D33" s="191" t="s">
        <v>349</v>
      </c>
      <c r="E33" s="191">
        <v>300</v>
      </c>
      <c r="F33" s="192">
        <v>1</v>
      </c>
      <c r="G33" s="191">
        <f>E33*F33</f>
        <v>300</v>
      </c>
      <c r="H33" s="191">
        <f>G33*1.13</f>
        <v>338.99999999999994</v>
      </c>
      <c r="I33" s="191">
        <f>76+82.7</f>
        <v>158.69999999999999</v>
      </c>
      <c r="J33" s="200">
        <v>158.69999999999999</v>
      </c>
      <c r="K33" s="220"/>
      <c r="L33" s="151"/>
      <c r="M33" s="151"/>
      <c r="N33" s="151"/>
      <c r="O33" s="151"/>
    </row>
    <row r="34" spans="1:15" s="91" customFormat="1" x14ac:dyDescent="0.3">
      <c r="A34" s="164"/>
      <c r="B34" s="177"/>
      <c r="C34" s="104"/>
      <c r="D34" s="193"/>
      <c r="E34" s="193"/>
      <c r="F34" s="194"/>
      <c r="G34" s="193"/>
      <c r="H34" s="193"/>
      <c r="I34" s="193"/>
      <c r="J34" s="201"/>
      <c r="K34" s="156"/>
      <c r="L34" s="151"/>
      <c r="M34" s="151"/>
      <c r="N34" s="151"/>
      <c r="O34" s="151"/>
    </row>
    <row r="35" spans="1:15" s="76" customFormat="1" x14ac:dyDescent="0.3">
      <c r="A35" s="155"/>
      <c r="B35" s="158" t="s">
        <v>595</v>
      </c>
      <c r="C35" s="36"/>
      <c r="D35" s="179"/>
      <c r="E35" s="179"/>
      <c r="F35" s="184"/>
      <c r="G35" s="179"/>
      <c r="H35" s="179">
        <f>SUM(H31:H33)</f>
        <v>1214.7499999999998</v>
      </c>
      <c r="I35" s="179">
        <f>SUM(I31:I33)</f>
        <v>981.33999999999992</v>
      </c>
      <c r="J35" s="180">
        <f>SUM(J31:J33)</f>
        <v>981.33999999999992</v>
      </c>
      <c r="K35" s="156"/>
      <c r="L35" s="160"/>
      <c r="M35" s="151"/>
      <c r="N35" s="157"/>
      <c r="O35" s="157"/>
    </row>
    <row r="36" spans="1:15" s="76" customFormat="1" x14ac:dyDescent="0.3">
      <c r="A36" s="155"/>
      <c r="B36" s="151"/>
      <c r="C36" s="103"/>
      <c r="D36" s="193"/>
      <c r="E36" s="193"/>
      <c r="F36" s="194"/>
      <c r="G36" s="193"/>
      <c r="H36" s="193"/>
      <c r="I36" s="193"/>
      <c r="J36" s="201"/>
      <c r="K36" s="156"/>
      <c r="L36" s="160"/>
      <c r="M36" s="151"/>
      <c r="N36" s="157"/>
      <c r="O36" s="157"/>
    </row>
    <row r="37" spans="1:15" s="76" customFormat="1" x14ac:dyDescent="0.3">
      <c r="A37" s="150" t="s">
        <v>596</v>
      </c>
      <c r="B37" s="159"/>
      <c r="C37" s="103"/>
      <c r="D37" s="193"/>
      <c r="E37" s="193"/>
      <c r="F37" s="194"/>
      <c r="G37" s="193"/>
      <c r="H37" s="193"/>
      <c r="I37" s="193"/>
      <c r="J37" s="201"/>
      <c r="K37" s="156"/>
      <c r="L37" s="160"/>
      <c r="M37" s="151"/>
      <c r="N37" s="157"/>
      <c r="O37" s="157"/>
    </row>
    <row r="38" spans="1:15" s="76" customFormat="1" x14ac:dyDescent="0.3">
      <c r="A38" s="155"/>
      <c r="B38" s="182" t="s">
        <v>597</v>
      </c>
      <c r="C38" s="102" t="s">
        <v>598</v>
      </c>
      <c r="D38" s="191" t="s">
        <v>599</v>
      </c>
      <c r="E38" s="191">
        <v>150</v>
      </c>
      <c r="F38" s="192">
        <v>1</v>
      </c>
      <c r="G38" s="191">
        <f>E38*F38</f>
        <v>150</v>
      </c>
      <c r="H38" s="191">
        <f>G38*1.13</f>
        <v>169.49999999999997</v>
      </c>
      <c r="I38" s="191"/>
      <c r="J38" s="200">
        <v>197.64</v>
      </c>
      <c r="K38" s="156"/>
      <c r="L38" s="160"/>
      <c r="M38" s="151"/>
      <c r="N38" s="157"/>
      <c r="O38" s="157"/>
    </row>
    <row r="39" spans="1:15" s="76" customFormat="1" x14ac:dyDescent="0.3">
      <c r="A39" s="155"/>
      <c r="B39" s="103" t="s">
        <v>600</v>
      </c>
      <c r="C39" s="103" t="s">
        <v>601</v>
      </c>
      <c r="D39" s="193" t="s">
        <v>349</v>
      </c>
      <c r="E39" s="193">
        <v>100</v>
      </c>
      <c r="F39" s="194">
        <v>1</v>
      </c>
      <c r="G39" s="193">
        <f>E39*F39</f>
        <v>100</v>
      </c>
      <c r="H39" s="193">
        <f>G39*1.13</f>
        <v>112.99999999999999</v>
      </c>
      <c r="I39" s="193">
        <f>110.54</f>
        <v>110.54</v>
      </c>
      <c r="J39" s="201">
        <v>110.54</v>
      </c>
      <c r="K39" s="156"/>
      <c r="L39" s="160"/>
      <c r="M39" s="151"/>
      <c r="N39" s="157"/>
      <c r="O39" s="157"/>
    </row>
    <row r="40" spans="1:15" s="76" customFormat="1" x14ac:dyDescent="0.3">
      <c r="A40" s="155"/>
      <c r="B40" s="182" t="s">
        <v>602</v>
      </c>
      <c r="C40" s="182" t="s">
        <v>603</v>
      </c>
      <c r="D40" s="191" t="s">
        <v>604</v>
      </c>
      <c r="E40" s="191">
        <v>130</v>
      </c>
      <c r="F40" s="192">
        <v>5</v>
      </c>
      <c r="G40" s="191">
        <f>E40*F40</f>
        <v>650</v>
      </c>
      <c r="H40" s="191">
        <f>G40*1.13</f>
        <v>734.49999999999989</v>
      </c>
      <c r="I40" s="191">
        <v>675</v>
      </c>
      <c r="J40" s="200">
        <v>675</v>
      </c>
      <c r="K40" s="156"/>
      <c r="L40" s="160"/>
      <c r="M40" s="151"/>
      <c r="N40" s="157"/>
      <c r="O40" s="157"/>
    </row>
    <row r="41" spans="1:15" s="91" customFormat="1" x14ac:dyDescent="0.3">
      <c r="A41" s="155"/>
      <c r="B41" s="151"/>
      <c r="C41" s="103"/>
      <c r="D41" s="193"/>
      <c r="E41" s="193"/>
      <c r="F41" s="194"/>
      <c r="G41" s="193"/>
      <c r="H41" s="193"/>
      <c r="I41" s="193"/>
      <c r="J41" s="201"/>
      <c r="K41" s="156"/>
      <c r="L41" s="160"/>
      <c r="M41" s="151"/>
      <c r="N41" s="157"/>
      <c r="O41" s="157"/>
    </row>
    <row r="42" spans="1:15" s="76" customFormat="1" x14ac:dyDescent="0.3">
      <c r="A42" s="155"/>
      <c r="B42" s="158" t="s">
        <v>605</v>
      </c>
      <c r="C42" s="36"/>
      <c r="D42" s="179"/>
      <c r="E42" s="179"/>
      <c r="F42" s="184"/>
      <c r="G42" s="179"/>
      <c r="H42" s="179">
        <f>SUM(H38:H40)</f>
        <v>1016.9999999999998</v>
      </c>
      <c r="I42" s="179">
        <f>SUM(I38:I40)</f>
        <v>785.54</v>
      </c>
      <c r="J42" s="180">
        <f>SUM(J38:J40)</f>
        <v>983.18000000000006</v>
      </c>
      <c r="K42" s="156"/>
      <c r="L42" s="160"/>
      <c r="M42" s="151"/>
      <c r="N42" s="157"/>
      <c r="O42" s="157"/>
    </row>
    <row r="43" spans="1:15" s="76" customFormat="1" x14ac:dyDescent="0.3">
      <c r="A43" s="155"/>
      <c r="B43" s="151"/>
      <c r="C43" s="103"/>
      <c r="D43" s="193"/>
      <c r="E43" s="193"/>
      <c r="F43" s="194"/>
      <c r="G43" s="193"/>
      <c r="H43" s="193"/>
      <c r="I43" s="193"/>
      <c r="J43" s="201"/>
      <c r="K43" s="156"/>
      <c r="L43" s="160"/>
      <c r="M43" s="151"/>
      <c r="N43" s="157"/>
      <c r="O43" s="157"/>
    </row>
    <row r="44" spans="1:15" s="76" customFormat="1" x14ac:dyDescent="0.3">
      <c r="A44" s="150" t="s">
        <v>606</v>
      </c>
      <c r="B44" s="159"/>
      <c r="C44" s="103"/>
      <c r="D44" s="193"/>
      <c r="E44" s="193"/>
      <c r="F44" s="194"/>
      <c r="G44" s="193"/>
      <c r="H44" s="193"/>
      <c r="I44" s="193"/>
      <c r="J44" s="201"/>
      <c r="K44" s="156"/>
      <c r="L44" s="151"/>
      <c r="M44" s="151"/>
      <c r="N44" s="151"/>
      <c r="O44" s="151"/>
    </row>
    <row r="45" spans="1:15" s="76" customFormat="1" x14ac:dyDescent="0.3">
      <c r="A45" s="155"/>
      <c r="B45" s="182" t="s">
        <v>607</v>
      </c>
      <c r="C45" s="102" t="s">
        <v>608</v>
      </c>
      <c r="D45" s="191" t="s">
        <v>589</v>
      </c>
      <c r="E45" s="191">
        <v>130</v>
      </c>
      <c r="F45" s="192">
        <v>5</v>
      </c>
      <c r="G45" s="191">
        <f>E45*F45</f>
        <v>650</v>
      </c>
      <c r="H45" s="191">
        <f>G45*1.13</f>
        <v>734.49999999999989</v>
      </c>
      <c r="I45" s="191">
        <v>500</v>
      </c>
      <c r="J45" s="200">
        <v>500</v>
      </c>
      <c r="K45" s="156"/>
      <c r="L45" s="160"/>
      <c r="M45" s="151"/>
      <c r="N45" s="157"/>
      <c r="O45" s="157"/>
    </row>
    <row r="46" spans="1:15" s="76" customFormat="1" x14ac:dyDescent="0.3">
      <c r="A46" s="155" t="s">
        <v>54</v>
      </c>
      <c r="B46" s="103" t="s">
        <v>609</v>
      </c>
      <c r="C46" s="103" t="s">
        <v>598</v>
      </c>
      <c r="D46" s="193" t="s">
        <v>599</v>
      </c>
      <c r="E46" s="193">
        <v>150</v>
      </c>
      <c r="F46" s="194">
        <v>1</v>
      </c>
      <c r="G46" s="193">
        <f>E46*F46</f>
        <v>150</v>
      </c>
      <c r="H46" s="193">
        <f>G46*1.13</f>
        <v>169.49999999999997</v>
      </c>
      <c r="I46" s="193">
        <f>17.45</f>
        <v>17.45</v>
      </c>
      <c r="J46" s="201">
        <f>88.14+17.45</f>
        <v>105.59</v>
      </c>
      <c r="K46" s="156"/>
      <c r="L46" s="160"/>
      <c r="M46" s="151"/>
      <c r="N46" s="157"/>
      <c r="O46" s="157"/>
    </row>
    <row r="47" spans="1:15" s="76" customFormat="1" x14ac:dyDescent="0.3">
      <c r="A47" s="155"/>
      <c r="B47" s="182" t="s">
        <v>610</v>
      </c>
      <c r="C47" s="182" t="s">
        <v>611</v>
      </c>
      <c r="D47" s="191" t="s">
        <v>349</v>
      </c>
      <c r="E47" s="191">
        <v>100</v>
      </c>
      <c r="F47" s="192">
        <v>1</v>
      </c>
      <c r="G47" s="191">
        <f>E47*F47</f>
        <v>100</v>
      </c>
      <c r="H47" s="191">
        <f>G47*1.13</f>
        <v>112.99999999999999</v>
      </c>
      <c r="I47" s="191">
        <f>88.14*2</f>
        <v>176.28</v>
      </c>
      <c r="J47" s="200">
        <v>88.14</v>
      </c>
      <c r="K47" s="156"/>
      <c r="L47" s="160"/>
      <c r="M47" s="151"/>
      <c r="N47" s="157"/>
      <c r="O47" s="157"/>
    </row>
    <row r="48" spans="1:15" s="91" customFormat="1" x14ac:dyDescent="0.3">
      <c r="A48" s="155"/>
      <c r="B48" s="151"/>
      <c r="C48" s="103"/>
      <c r="D48" s="193"/>
      <c r="E48" s="193"/>
      <c r="F48" s="194"/>
      <c r="G48" s="193"/>
      <c r="H48" s="193"/>
      <c r="I48" s="193"/>
      <c r="J48" s="201"/>
      <c r="K48" s="156"/>
      <c r="L48" s="160"/>
      <c r="M48" s="151"/>
      <c r="N48" s="157"/>
      <c r="O48" s="157"/>
    </row>
    <row r="49" spans="1:15" s="76" customFormat="1" x14ac:dyDescent="0.3">
      <c r="A49" s="155"/>
      <c r="B49" s="158" t="s">
        <v>612</v>
      </c>
      <c r="C49" s="36"/>
      <c r="D49" s="179"/>
      <c r="E49" s="179"/>
      <c r="F49" s="184"/>
      <c r="G49" s="179"/>
      <c r="H49" s="179">
        <f>SUM(H45:H47)</f>
        <v>1016.9999999999999</v>
      </c>
      <c r="I49" s="179">
        <f>SUM(I45:I47)</f>
        <v>693.73</v>
      </c>
      <c r="J49" s="180">
        <f>SUM(J45:J47)</f>
        <v>693.73</v>
      </c>
      <c r="K49" s="156"/>
      <c r="L49" s="160"/>
      <c r="M49" s="151"/>
      <c r="N49" s="157"/>
      <c r="O49" s="157"/>
    </row>
    <row r="50" spans="1:15" s="76" customFormat="1" x14ac:dyDescent="0.3">
      <c r="A50" s="151"/>
      <c r="B50" s="151"/>
      <c r="C50" s="129"/>
      <c r="D50" s="196"/>
      <c r="E50" s="196"/>
      <c r="F50" s="202"/>
      <c r="G50" s="196"/>
      <c r="H50" s="196"/>
      <c r="I50" s="196"/>
      <c r="J50" s="197"/>
      <c r="K50" s="156"/>
      <c r="L50" s="151"/>
      <c r="M50" s="151"/>
      <c r="N50" s="151"/>
      <c r="O50" s="151"/>
    </row>
    <row r="51" spans="1:15" s="76" customFormat="1" x14ac:dyDescent="0.3">
      <c r="A51" s="150" t="s">
        <v>1561</v>
      </c>
      <c r="B51" s="159"/>
      <c r="C51" s="103"/>
      <c r="D51" s="193"/>
      <c r="E51" s="193"/>
      <c r="F51" s="194"/>
      <c r="G51" s="193"/>
      <c r="H51" s="193"/>
      <c r="I51" s="193"/>
      <c r="J51" s="201"/>
      <c r="K51" s="156"/>
      <c r="L51" s="151"/>
      <c r="M51" s="151"/>
      <c r="N51" s="151"/>
      <c r="O51" s="151"/>
    </row>
    <row r="52" spans="1:15" s="76" customFormat="1" x14ac:dyDescent="0.3">
      <c r="A52" s="150"/>
      <c r="B52" s="182" t="s">
        <v>613</v>
      </c>
      <c r="C52" s="182" t="s">
        <v>608</v>
      </c>
      <c r="D52" s="191" t="s">
        <v>614</v>
      </c>
      <c r="E52" s="191">
        <v>130</v>
      </c>
      <c r="F52" s="192">
        <v>1</v>
      </c>
      <c r="G52" s="191">
        <f>E52*F52</f>
        <v>130</v>
      </c>
      <c r="H52" s="191">
        <f>G52*1.13</f>
        <v>146.89999999999998</v>
      </c>
      <c r="I52" s="191">
        <v>20</v>
      </c>
      <c r="J52" s="200">
        <v>20</v>
      </c>
      <c r="K52" s="156"/>
      <c r="L52" s="151"/>
      <c r="M52" s="151"/>
      <c r="N52" s="151"/>
      <c r="O52" s="151"/>
    </row>
    <row r="53" spans="1:15" s="76" customFormat="1" x14ac:dyDescent="0.3">
      <c r="A53" s="150"/>
      <c r="B53" s="103" t="s">
        <v>615</v>
      </c>
      <c r="C53" s="103" t="s">
        <v>584</v>
      </c>
      <c r="D53" s="193" t="s">
        <v>616</v>
      </c>
      <c r="E53" s="193">
        <v>80</v>
      </c>
      <c r="F53" s="194">
        <v>1</v>
      </c>
      <c r="G53" s="193">
        <f>E53*F53</f>
        <v>80</v>
      </c>
      <c r="H53" s="193">
        <f>G53*1.13</f>
        <v>90.399999999999991</v>
      </c>
      <c r="I53" s="193">
        <v>83.62</v>
      </c>
      <c r="J53" s="201">
        <v>83.62</v>
      </c>
      <c r="K53" s="156"/>
      <c r="L53" s="151"/>
      <c r="M53" s="151"/>
      <c r="N53" s="151"/>
      <c r="O53" s="151"/>
    </row>
    <row r="54" spans="1:15" s="91" customFormat="1" x14ac:dyDescent="0.3">
      <c r="A54" s="150"/>
      <c r="B54" s="178"/>
      <c r="C54" s="182"/>
      <c r="D54" s="191"/>
      <c r="E54" s="191"/>
      <c r="F54" s="192"/>
      <c r="G54" s="191"/>
      <c r="H54" s="191"/>
      <c r="I54" s="191"/>
      <c r="J54" s="200"/>
      <c r="K54" s="156"/>
      <c r="L54" s="160"/>
      <c r="M54" s="151"/>
      <c r="N54" s="157"/>
      <c r="O54" s="157"/>
    </row>
    <row r="55" spans="1:15" s="76" customFormat="1" x14ac:dyDescent="0.3">
      <c r="A55" s="155"/>
      <c r="B55" s="158" t="s">
        <v>617</v>
      </c>
      <c r="C55" s="36"/>
      <c r="D55" s="179"/>
      <c r="E55" s="179"/>
      <c r="F55" s="184"/>
      <c r="G55" s="179"/>
      <c r="H55" s="179">
        <f>SUM(H52:H53)</f>
        <v>237.29999999999995</v>
      </c>
      <c r="I55" s="179">
        <f>SUM(I52:I53)</f>
        <v>103.62</v>
      </c>
      <c r="J55" s="180">
        <f>SUM(J52:J53)</f>
        <v>103.62</v>
      </c>
      <c r="K55" s="156"/>
      <c r="L55" s="160"/>
      <c r="M55" s="151"/>
      <c r="N55" s="157"/>
      <c r="O55" s="157"/>
    </row>
    <row r="56" spans="1:15" s="76" customFormat="1" x14ac:dyDescent="0.3">
      <c r="A56" s="155"/>
      <c r="B56" s="159"/>
      <c r="C56" s="129"/>
      <c r="D56" s="196"/>
      <c r="E56" s="196"/>
      <c r="F56" s="202"/>
      <c r="G56" s="196"/>
      <c r="H56" s="196"/>
      <c r="I56" s="196"/>
      <c r="J56" s="197"/>
      <c r="K56" s="156"/>
      <c r="L56" s="151"/>
      <c r="M56" s="151"/>
      <c r="N56" s="151"/>
      <c r="O56" s="151"/>
    </row>
    <row r="57" spans="1:15" s="76" customFormat="1" x14ac:dyDescent="0.3">
      <c r="A57" s="150" t="s">
        <v>618</v>
      </c>
      <c r="B57" s="159"/>
      <c r="C57" s="103"/>
      <c r="D57" s="193"/>
      <c r="E57" s="193"/>
      <c r="F57" s="194"/>
      <c r="G57" s="193"/>
      <c r="H57" s="193"/>
      <c r="I57" s="193"/>
      <c r="J57" s="201"/>
      <c r="K57" s="156"/>
      <c r="L57" s="151"/>
      <c r="M57" s="151"/>
      <c r="N57" s="151"/>
      <c r="O57" s="151"/>
    </row>
    <row r="58" spans="1:15" s="76" customFormat="1" x14ac:dyDescent="0.3">
      <c r="A58" s="150"/>
      <c r="B58" s="182" t="s">
        <v>619</v>
      </c>
      <c r="C58" s="182" t="s">
        <v>620</v>
      </c>
      <c r="D58" s="191" t="s">
        <v>621</v>
      </c>
      <c r="E58" s="191">
        <v>345</v>
      </c>
      <c r="F58" s="192">
        <v>1</v>
      </c>
      <c r="G58" s="191">
        <f>E58*F58</f>
        <v>345</v>
      </c>
      <c r="H58" s="191">
        <f>G58*1.13</f>
        <v>389.84999999999997</v>
      </c>
      <c r="I58" s="191">
        <f>3*197.64</f>
        <v>592.91999999999996</v>
      </c>
      <c r="J58" s="200">
        <v>352.56</v>
      </c>
      <c r="K58" s="156"/>
      <c r="L58" s="151"/>
      <c r="M58" s="151"/>
      <c r="N58" s="151"/>
      <c r="O58" s="151"/>
    </row>
    <row r="59" spans="1:15" s="76" customFormat="1" x14ac:dyDescent="0.3">
      <c r="A59" s="150"/>
      <c r="B59" s="103" t="s">
        <v>622</v>
      </c>
      <c r="C59" s="103" t="s">
        <v>623</v>
      </c>
      <c r="D59" s="193" t="s">
        <v>349</v>
      </c>
      <c r="E59" s="193">
        <v>250</v>
      </c>
      <c r="F59" s="194">
        <v>1</v>
      </c>
      <c r="G59" s="193">
        <f>E59*F59</f>
        <v>250</v>
      </c>
      <c r="H59" s="193">
        <f>G59*1.13</f>
        <v>282.5</v>
      </c>
      <c r="I59" s="193">
        <f>117.52+19.5+235.04</f>
        <v>372.05999999999995</v>
      </c>
      <c r="J59" s="201">
        <v>19.5</v>
      </c>
      <c r="K59" s="156"/>
      <c r="L59" s="151"/>
      <c r="M59" s="151"/>
      <c r="N59" s="151"/>
      <c r="O59" s="151"/>
    </row>
    <row r="60" spans="1:15" s="76" customFormat="1" x14ac:dyDescent="0.3">
      <c r="A60" s="150"/>
      <c r="B60" s="182" t="s">
        <v>624</v>
      </c>
      <c r="C60" s="182" t="s">
        <v>449</v>
      </c>
      <c r="D60" s="191" t="s">
        <v>625</v>
      </c>
      <c r="E60" s="191">
        <v>450</v>
      </c>
      <c r="F60" s="192">
        <v>6</v>
      </c>
      <c r="G60" s="191">
        <f>E60*F60</f>
        <v>2700</v>
      </c>
      <c r="H60" s="191">
        <f>G60*1.13</f>
        <v>3050.9999999999995</v>
      </c>
      <c r="I60" s="191"/>
      <c r="J60" s="200">
        <v>900</v>
      </c>
      <c r="K60" s="156"/>
      <c r="L60" s="160"/>
      <c r="M60" s="151"/>
      <c r="N60" s="157"/>
      <c r="O60" s="157"/>
    </row>
    <row r="61" spans="1:15" s="91" customFormat="1" x14ac:dyDescent="0.3">
      <c r="A61" s="150"/>
      <c r="B61" s="159"/>
      <c r="C61" s="103"/>
      <c r="D61" s="193"/>
      <c r="E61" s="193"/>
      <c r="F61" s="194"/>
      <c r="G61" s="193"/>
      <c r="H61" s="193"/>
      <c r="I61" s="193"/>
      <c r="J61" s="201"/>
      <c r="K61" s="156"/>
      <c r="L61" s="160"/>
      <c r="M61" s="151"/>
      <c r="N61" s="157"/>
      <c r="O61" s="157"/>
    </row>
    <row r="62" spans="1:15" s="76" customFormat="1" x14ac:dyDescent="0.3">
      <c r="A62" s="155"/>
      <c r="B62" s="158" t="s">
        <v>626</v>
      </c>
      <c r="C62" s="36"/>
      <c r="D62" s="179"/>
      <c r="E62" s="179"/>
      <c r="F62" s="184"/>
      <c r="G62" s="179"/>
      <c r="H62" s="179">
        <f>SUM(H58:H60)</f>
        <v>3723.3499999999995</v>
      </c>
      <c r="I62" s="179">
        <f>SUM(I58:I60)</f>
        <v>964.9799999999999</v>
      </c>
      <c r="J62" s="180">
        <f>SUM(J58:J60)</f>
        <v>1272.06</v>
      </c>
      <c r="K62" s="156"/>
      <c r="L62" s="160"/>
      <c r="M62" s="151"/>
      <c r="N62" s="157"/>
      <c r="O62" s="157"/>
    </row>
    <row r="63" spans="1:15" s="76" customFormat="1" x14ac:dyDescent="0.3">
      <c r="A63" s="155"/>
      <c r="B63" s="159"/>
      <c r="C63" s="129"/>
      <c r="D63" s="196"/>
      <c r="E63" s="196"/>
      <c r="F63" s="202"/>
      <c r="G63" s="196"/>
      <c r="H63" s="196"/>
      <c r="I63" s="196"/>
      <c r="J63" s="197"/>
      <c r="K63" s="156"/>
      <c r="L63" s="151"/>
      <c r="M63" s="151"/>
      <c r="N63" s="151"/>
      <c r="O63" s="151"/>
    </row>
    <row r="64" spans="1:15" s="76" customFormat="1" x14ac:dyDescent="0.3">
      <c r="A64" s="150" t="s">
        <v>627</v>
      </c>
      <c r="B64" s="159"/>
      <c r="C64" s="103"/>
      <c r="D64" s="193"/>
      <c r="E64" s="193"/>
      <c r="F64" s="194"/>
      <c r="G64" s="193"/>
      <c r="H64" s="193"/>
      <c r="I64" s="193"/>
      <c r="J64" s="201"/>
      <c r="K64" s="156"/>
      <c r="L64" s="151"/>
      <c r="M64" s="151"/>
      <c r="N64" s="151"/>
      <c r="O64" s="151"/>
    </row>
    <row r="65" spans="1:15" s="76" customFormat="1" x14ac:dyDescent="0.3">
      <c r="A65" s="150"/>
      <c r="B65" s="182" t="s">
        <v>628</v>
      </c>
      <c r="C65" s="182" t="s">
        <v>629</v>
      </c>
      <c r="D65" s="191" t="s">
        <v>630</v>
      </c>
      <c r="E65" s="191">
        <v>750</v>
      </c>
      <c r="F65" s="192">
        <v>2</v>
      </c>
      <c r="G65" s="191">
        <f>E65*F65</f>
        <v>1500</v>
      </c>
      <c r="H65" s="191">
        <f>G65*1.13</f>
        <v>1694.9999999999998</v>
      </c>
      <c r="I65" s="191">
        <f>471.96+16.95+623.57</f>
        <v>1112.48</v>
      </c>
      <c r="J65" s="200">
        <f>471.96+16.95+623.57</f>
        <v>1112.48</v>
      </c>
      <c r="K65" s="156"/>
      <c r="L65" s="151"/>
      <c r="M65" s="151"/>
      <c r="N65" s="151"/>
      <c r="O65" s="151"/>
    </row>
    <row r="66" spans="1:15" s="76" customFormat="1" x14ac:dyDescent="0.3">
      <c r="A66" s="150"/>
      <c r="B66" s="103" t="s">
        <v>631</v>
      </c>
      <c r="C66" s="103" t="s">
        <v>632</v>
      </c>
      <c r="D66" s="193" t="s">
        <v>633</v>
      </c>
      <c r="E66" s="193">
        <v>50</v>
      </c>
      <c r="F66" s="194">
        <v>2</v>
      </c>
      <c r="G66" s="193">
        <f>E66*F66</f>
        <v>100</v>
      </c>
      <c r="H66" s="193">
        <f>G66*1.13</f>
        <v>112.99999999999999</v>
      </c>
      <c r="I66" s="222"/>
      <c r="J66" s="201"/>
      <c r="K66" s="156"/>
      <c r="L66" s="151"/>
      <c r="M66" s="151"/>
      <c r="N66" s="151"/>
      <c r="O66" s="151"/>
    </row>
    <row r="67" spans="1:15" s="76" customFormat="1" x14ac:dyDescent="0.3">
      <c r="A67" s="150"/>
      <c r="B67" s="182" t="s">
        <v>634</v>
      </c>
      <c r="C67" s="182" t="s">
        <v>632</v>
      </c>
      <c r="D67" s="191" t="s">
        <v>635</v>
      </c>
      <c r="E67" s="191">
        <v>15</v>
      </c>
      <c r="F67" s="192">
        <v>4</v>
      </c>
      <c r="G67" s="191">
        <f>E67*F67</f>
        <v>60</v>
      </c>
      <c r="H67" s="191">
        <f>G67*1.13</f>
        <v>67.8</v>
      </c>
      <c r="I67" s="191">
        <v>339.57</v>
      </c>
      <c r="J67" s="200">
        <v>339.57</v>
      </c>
      <c r="K67" s="156"/>
      <c r="L67" s="151"/>
      <c r="M67" s="151"/>
      <c r="N67" s="151"/>
      <c r="O67" s="151"/>
    </row>
    <row r="68" spans="1:15" s="76" customFormat="1" x14ac:dyDescent="0.3">
      <c r="A68" s="150"/>
      <c r="B68" s="103" t="s">
        <v>636</v>
      </c>
      <c r="C68" s="103" t="s">
        <v>632</v>
      </c>
      <c r="D68" s="193" t="s">
        <v>637</v>
      </c>
      <c r="E68" s="193">
        <v>30</v>
      </c>
      <c r="F68" s="194">
        <v>2</v>
      </c>
      <c r="G68" s="193">
        <f>E68*F68</f>
        <v>60</v>
      </c>
      <c r="H68" s="193">
        <f>G68*1.13</f>
        <v>67.8</v>
      </c>
      <c r="I68" s="193"/>
      <c r="J68" s="201"/>
      <c r="K68" s="156"/>
      <c r="L68" s="160"/>
      <c r="M68" s="151"/>
      <c r="N68" s="157"/>
      <c r="O68" s="157"/>
    </row>
    <row r="69" spans="1:15" s="151" customFormat="1" x14ac:dyDescent="0.3">
      <c r="A69" s="150"/>
      <c r="B69" s="182" t="s">
        <v>638</v>
      </c>
      <c r="C69" s="182" t="s">
        <v>639</v>
      </c>
      <c r="D69" s="191"/>
      <c r="E69" s="191">
        <v>125</v>
      </c>
      <c r="F69" s="192">
        <v>2</v>
      </c>
      <c r="G69" s="191">
        <f>E69*F69</f>
        <v>250</v>
      </c>
      <c r="H69" s="191">
        <f>G69*1.13</f>
        <v>282.5</v>
      </c>
      <c r="I69" s="191"/>
      <c r="J69" s="200"/>
      <c r="K69" s="156"/>
      <c r="L69" s="160"/>
      <c r="N69" s="157"/>
      <c r="O69" s="157"/>
    </row>
    <row r="70" spans="1:15" s="91" customFormat="1" x14ac:dyDescent="0.3">
      <c r="A70" s="150"/>
      <c r="B70" s="159"/>
      <c r="C70" s="103"/>
      <c r="D70" s="193"/>
      <c r="E70" s="193"/>
      <c r="F70" s="194"/>
      <c r="G70" s="193"/>
      <c r="H70" s="193"/>
      <c r="I70" s="193"/>
      <c r="J70" s="201"/>
      <c r="K70" s="156"/>
      <c r="L70" s="160"/>
      <c r="M70" s="151"/>
      <c r="N70" s="157"/>
      <c r="O70" s="157"/>
    </row>
    <row r="71" spans="1:15" s="76" customFormat="1" x14ac:dyDescent="0.3">
      <c r="A71" s="155"/>
      <c r="B71" s="158" t="s">
        <v>640</v>
      </c>
      <c r="C71" s="36"/>
      <c r="D71" s="179"/>
      <c r="E71" s="179"/>
      <c r="F71" s="184"/>
      <c r="G71" s="179"/>
      <c r="H71" s="179">
        <f>SUM(H65:H69)</f>
        <v>2226.0999999999995</v>
      </c>
      <c r="I71" s="179">
        <f>SUM(I65:I69)</f>
        <v>1452.05</v>
      </c>
      <c r="J71" s="180">
        <f>SUM(J65:J68)</f>
        <v>1452.05</v>
      </c>
      <c r="K71" s="156"/>
      <c r="L71" s="160"/>
      <c r="M71" s="151"/>
      <c r="N71" s="157"/>
      <c r="O71" s="157"/>
    </row>
    <row r="72" spans="1:15" s="76" customFormat="1" x14ac:dyDescent="0.3">
      <c r="A72" s="155"/>
      <c r="B72" s="159"/>
      <c r="C72" s="129"/>
      <c r="D72" s="196"/>
      <c r="E72" s="196"/>
      <c r="F72" s="202"/>
      <c r="G72" s="196"/>
      <c r="H72" s="196"/>
      <c r="I72" s="196"/>
      <c r="J72" s="197"/>
      <c r="K72" s="156"/>
      <c r="L72" s="160"/>
      <c r="M72" s="151"/>
      <c r="N72" s="157"/>
      <c r="O72" s="157"/>
    </row>
    <row r="73" spans="1:15" s="80" customFormat="1" ht="18.75" x14ac:dyDescent="0.35">
      <c r="A73" s="150" t="s">
        <v>641</v>
      </c>
      <c r="B73" s="159"/>
      <c r="C73" s="103"/>
      <c r="D73" s="193"/>
      <c r="E73" s="193"/>
      <c r="F73" s="223"/>
      <c r="G73" s="193"/>
      <c r="H73" s="193"/>
      <c r="I73" s="193"/>
      <c r="J73" s="201"/>
      <c r="K73" s="130"/>
      <c r="L73" s="131"/>
      <c r="M73" s="130"/>
      <c r="N73" s="130"/>
      <c r="O73" s="132"/>
    </row>
    <row r="74" spans="1:15" s="80" customFormat="1" ht="18.75" x14ac:dyDescent="0.35">
      <c r="A74" s="150"/>
      <c r="B74" s="182" t="s">
        <v>642</v>
      </c>
      <c r="C74" s="182" t="s">
        <v>571</v>
      </c>
      <c r="D74" s="191" t="s">
        <v>643</v>
      </c>
      <c r="E74" s="191">
        <v>0.4</v>
      </c>
      <c r="F74" s="192">
        <v>2838</v>
      </c>
      <c r="G74" s="191">
        <f>E74*F74</f>
        <v>1135.2</v>
      </c>
      <c r="H74" s="191">
        <f>G74*1.13</f>
        <v>1282.7759999999998</v>
      </c>
      <c r="I74" s="191">
        <v>1074.8</v>
      </c>
      <c r="J74" s="200">
        <v>1074.8</v>
      </c>
      <c r="K74" s="130"/>
      <c r="L74" s="131"/>
      <c r="M74" s="130"/>
      <c r="N74" s="130"/>
      <c r="O74" s="132"/>
    </row>
    <row r="75" spans="1:15" x14ac:dyDescent="0.3">
      <c r="A75" s="150"/>
      <c r="B75" s="103" t="s">
        <v>644</v>
      </c>
      <c r="C75" s="103" t="s">
        <v>566</v>
      </c>
      <c r="D75" s="193" t="s">
        <v>643</v>
      </c>
      <c r="E75" s="193">
        <v>0.17</v>
      </c>
      <c r="F75" s="194">
        <v>2838</v>
      </c>
      <c r="G75" s="193">
        <f>E75*F75</f>
        <v>482.46000000000004</v>
      </c>
      <c r="H75" s="193">
        <f>G75*1.13</f>
        <v>545.1798</v>
      </c>
      <c r="I75" s="193">
        <v>456.79</v>
      </c>
      <c r="J75" s="201">
        <v>456.79</v>
      </c>
      <c r="K75" s="151"/>
      <c r="L75" s="151"/>
      <c r="M75" s="134"/>
      <c r="N75" s="134"/>
      <c r="O75" s="134"/>
    </row>
    <row r="76" spans="1:15" s="98" customFormat="1" x14ac:dyDescent="0.3">
      <c r="A76" s="150"/>
      <c r="B76" s="178"/>
      <c r="C76" s="182"/>
      <c r="D76" s="191"/>
      <c r="E76" s="191"/>
      <c r="F76" s="192"/>
      <c r="G76" s="191"/>
      <c r="H76" s="191"/>
      <c r="I76" s="191"/>
      <c r="J76" s="200"/>
      <c r="K76" s="151"/>
      <c r="L76" s="151"/>
      <c r="M76" s="134"/>
      <c r="N76" s="134"/>
      <c r="O76" s="134"/>
    </row>
    <row r="77" spans="1:15" x14ac:dyDescent="0.3">
      <c r="A77" s="155"/>
      <c r="B77" s="158" t="s">
        <v>645</v>
      </c>
      <c r="C77" s="36"/>
      <c r="D77" s="179"/>
      <c r="E77" s="179"/>
      <c r="F77" s="184"/>
      <c r="G77" s="179"/>
      <c r="H77" s="179">
        <f>SUM(H74:H75)</f>
        <v>1827.9557999999997</v>
      </c>
      <c r="I77" s="179">
        <f>SUM(I74:I75)</f>
        <v>1531.59</v>
      </c>
      <c r="J77" s="180">
        <f>SUM(J74:J75)</f>
        <v>1531.59</v>
      </c>
      <c r="K77" s="151"/>
      <c r="L77" s="151"/>
      <c r="M77" s="134"/>
      <c r="N77" s="134"/>
      <c r="O77" s="134"/>
    </row>
    <row r="78" spans="1:15" x14ac:dyDescent="0.3">
      <c r="A78" s="155"/>
      <c r="B78" s="159"/>
      <c r="C78" s="129"/>
      <c r="D78" s="196"/>
      <c r="E78" s="196"/>
      <c r="F78" s="202"/>
      <c r="G78" s="196"/>
      <c r="H78" s="196"/>
      <c r="I78" s="196"/>
      <c r="J78" s="197"/>
      <c r="K78" s="151"/>
      <c r="L78" s="151"/>
      <c r="M78" s="134"/>
      <c r="N78" s="134"/>
      <c r="O78" s="134"/>
    </row>
    <row r="79" spans="1:15" x14ac:dyDescent="0.3">
      <c r="A79" s="150" t="s">
        <v>646</v>
      </c>
      <c r="B79" s="159"/>
      <c r="C79" s="103"/>
      <c r="D79" s="193"/>
      <c r="E79" s="193"/>
      <c r="F79" s="194"/>
      <c r="G79" s="193"/>
      <c r="H79" s="193"/>
      <c r="I79" s="193"/>
      <c r="J79" s="201"/>
      <c r="K79" s="151"/>
      <c r="L79" s="151"/>
      <c r="M79" s="134"/>
      <c r="N79" s="134"/>
      <c r="O79" s="134"/>
    </row>
    <row r="80" spans="1:15" x14ac:dyDescent="0.3">
      <c r="A80" s="150"/>
      <c r="B80" s="182" t="s">
        <v>647</v>
      </c>
      <c r="C80" s="182" t="s">
        <v>648</v>
      </c>
      <c r="D80" s="191" t="s">
        <v>649</v>
      </c>
      <c r="E80" s="191">
        <v>15</v>
      </c>
      <c r="F80" s="192">
        <v>10</v>
      </c>
      <c r="G80" s="191">
        <f>E80*F80</f>
        <v>150</v>
      </c>
      <c r="H80" s="191">
        <f>G80*1.13</f>
        <v>169.49999999999997</v>
      </c>
      <c r="I80" s="191"/>
      <c r="J80" s="200">
        <v>150</v>
      </c>
      <c r="K80" s="151"/>
      <c r="L80" s="151"/>
      <c r="M80" s="134"/>
      <c r="N80" s="134"/>
      <c r="O80" s="134"/>
    </row>
    <row r="81" spans="1:12" x14ac:dyDescent="0.3">
      <c r="A81" s="150"/>
      <c r="B81" s="103" t="s">
        <v>650</v>
      </c>
      <c r="C81" s="103" t="s">
        <v>651</v>
      </c>
      <c r="D81" s="193"/>
      <c r="E81" s="193">
        <v>2</v>
      </c>
      <c r="F81" s="194">
        <v>20</v>
      </c>
      <c r="G81" s="193">
        <f>E81*F81</f>
        <v>40</v>
      </c>
      <c r="H81" s="193">
        <f>G81*1.13</f>
        <v>45.199999999999996</v>
      </c>
      <c r="I81" s="193"/>
      <c r="J81" s="201"/>
      <c r="K81" s="151"/>
      <c r="L81" s="151"/>
    </row>
    <row r="82" spans="1:12" s="98" customFormat="1" x14ac:dyDescent="0.3">
      <c r="A82" s="150"/>
      <c r="B82" s="178"/>
      <c r="C82" s="182"/>
      <c r="D82" s="191"/>
      <c r="E82" s="191"/>
      <c r="F82" s="192"/>
      <c r="G82" s="191"/>
      <c r="H82" s="191"/>
      <c r="I82" s="191"/>
      <c r="J82" s="200"/>
      <c r="K82" s="151"/>
      <c r="L82" s="151"/>
    </row>
    <row r="83" spans="1:12" x14ac:dyDescent="0.3">
      <c r="A83" s="155"/>
      <c r="B83" s="158" t="s">
        <v>652</v>
      </c>
      <c r="C83" s="36"/>
      <c r="D83" s="179"/>
      <c r="E83" s="179"/>
      <c r="F83" s="184"/>
      <c r="G83" s="179"/>
      <c r="H83" s="179">
        <f>SUM(H80:H81)</f>
        <v>214.69999999999996</v>
      </c>
      <c r="I83" s="179">
        <f>SUM(I80:I80)</f>
        <v>0</v>
      </c>
      <c r="J83" s="180">
        <f>SUM(J80:J80)</f>
        <v>150</v>
      </c>
      <c r="K83" s="151"/>
      <c r="L83" s="151"/>
    </row>
    <row r="84" spans="1:12" x14ac:dyDescent="0.3">
      <c r="A84" s="134"/>
      <c r="B84" s="134"/>
      <c r="D84" s="231"/>
      <c r="E84" s="151"/>
      <c r="F84" s="151"/>
      <c r="G84" s="151"/>
      <c r="H84" s="151"/>
      <c r="I84" s="151"/>
      <c r="J84" s="230"/>
      <c r="K84" s="151"/>
      <c r="L84" s="151"/>
    </row>
    <row r="85" spans="1:12" x14ac:dyDescent="0.3">
      <c r="A85" s="150" t="s">
        <v>653</v>
      </c>
      <c r="B85" s="159"/>
      <c r="C85" s="103"/>
      <c r="D85" s="193"/>
      <c r="E85" s="193"/>
      <c r="F85" s="194"/>
      <c r="G85" s="193"/>
      <c r="H85" s="193"/>
      <c r="I85" s="193"/>
      <c r="J85" s="201"/>
      <c r="K85" s="151"/>
      <c r="L85" s="151"/>
    </row>
    <row r="86" spans="1:12" x14ac:dyDescent="0.3">
      <c r="A86" s="150"/>
      <c r="B86" s="182" t="s">
        <v>654</v>
      </c>
      <c r="C86" s="182" t="s">
        <v>655</v>
      </c>
      <c r="D86" s="191" t="s">
        <v>656</v>
      </c>
      <c r="E86" s="191">
        <v>300</v>
      </c>
      <c r="F86" s="192">
        <v>1</v>
      </c>
      <c r="G86" s="191">
        <f>E86*F86</f>
        <v>300</v>
      </c>
      <c r="H86" s="191">
        <f>G86*1.13</f>
        <v>338.99999999999994</v>
      </c>
      <c r="I86" s="191"/>
      <c r="J86" s="200"/>
      <c r="K86" s="151"/>
      <c r="L86" s="151"/>
    </row>
    <row r="87" spans="1:12" x14ac:dyDescent="0.3">
      <c r="A87" s="150"/>
      <c r="B87" s="103" t="s">
        <v>657</v>
      </c>
      <c r="C87" s="103" t="s">
        <v>658</v>
      </c>
      <c r="D87" s="193" t="s">
        <v>659</v>
      </c>
      <c r="E87" s="193">
        <v>20</v>
      </c>
      <c r="F87" s="194">
        <v>5</v>
      </c>
      <c r="G87" s="193">
        <f>E87*F87</f>
        <v>100</v>
      </c>
      <c r="H87" s="193">
        <f>G87*1.13</f>
        <v>112.99999999999999</v>
      </c>
      <c r="I87" s="193"/>
      <c r="J87" s="201"/>
      <c r="K87" s="151"/>
      <c r="L87" s="151"/>
    </row>
    <row r="88" spans="1:12" x14ac:dyDescent="0.3">
      <c r="A88" s="150"/>
      <c r="B88" s="182" t="s">
        <v>660</v>
      </c>
      <c r="C88" s="182" t="s">
        <v>661</v>
      </c>
      <c r="D88" s="191" t="s">
        <v>662</v>
      </c>
      <c r="E88" s="191">
        <v>1</v>
      </c>
      <c r="F88" s="192">
        <v>100</v>
      </c>
      <c r="G88" s="191">
        <f>E88*F88</f>
        <v>100</v>
      </c>
      <c r="H88" s="191">
        <f>G88*1.13</f>
        <v>112.99999999999999</v>
      </c>
      <c r="I88" s="191"/>
      <c r="J88" s="200"/>
      <c r="K88" s="151"/>
      <c r="L88" s="151"/>
    </row>
    <row r="89" spans="1:12" x14ac:dyDescent="0.3">
      <c r="A89" s="150"/>
      <c r="B89" s="103" t="s">
        <v>663</v>
      </c>
      <c r="C89" s="103" t="s">
        <v>664</v>
      </c>
      <c r="D89" s="193" t="s">
        <v>665</v>
      </c>
      <c r="E89" s="193">
        <v>500</v>
      </c>
      <c r="F89" s="194">
        <v>1</v>
      </c>
      <c r="G89" s="193">
        <f>E89*F89</f>
        <v>500</v>
      </c>
      <c r="H89" s="193">
        <f>G89</f>
        <v>500</v>
      </c>
      <c r="I89" s="193"/>
      <c r="J89" s="201"/>
      <c r="K89" s="219"/>
      <c r="L89" s="151"/>
    </row>
    <row r="90" spans="1:12" x14ac:dyDescent="0.3">
      <c r="A90" s="150"/>
      <c r="B90" s="182" t="s">
        <v>666</v>
      </c>
      <c r="C90" s="182" t="s">
        <v>667</v>
      </c>
      <c r="D90" s="191" t="s">
        <v>668</v>
      </c>
      <c r="E90" s="191">
        <v>50</v>
      </c>
      <c r="F90" s="192">
        <v>4</v>
      </c>
      <c r="G90" s="191">
        <f>E90*F90</f>
        <v>200</v>
      </c>
      <c r="H90" s="191">
        <f>G90*1.13</f>
        <v>225.99999999999997</v>
      </c>
      <c r="I90" s="191"/>
      <c r="J90" s="200"/>
      <c r="K90" s="151"/>
      <c r="L90" s="151"/>
    </row>
    <row r="91" spans="1:12" s="98" customFormat="1" x14ac:dyDescent="0.3">
      <c r="A91" s="150"/>
      <c r="B91" s="159"/>
      <c r="C91" s="103"/>
      <c r="D91" s="193"/>
      <c r="E91" s="193"/>
      <c r="F91" s="194"/>
      <c r="G91" s="193"/>
      <c r="H91" s="193"/>
      <c r="I91" s="193"/>
      <c r="J91" s="201"/>
      <c r="K91" s="151"/>
      <c r="L91" s="151"/>
    </row>
    <row r="92" spans="1:12" x14ac:dyDescent="0.3">
      <c r="A92" s="155"/>
      <c r="B92" s="158" t="s">
        <v>669</v>
      </c>
      <c r="C92" s="36"/>
      <c r="D92" s="179"/>
      <c r="E92" s="179"/>
      <c r="F92" s="184"/>
      <c r="G92" s="179"/>
      <c r="H92" s="179">
        <f>SUM(H86:H90)</f>
        <v>1291</v>
      </c>
      <c r="I92" s="179">
        <f>SUM(I86:I87)</f>
        <v>0</v>
      </c>
      <c r="J92" s="180">
        <f>SUM(J86:J87)</f>
        <v>0</v>
      </c>
      <c r="K92" s="151"/>
      <c r="L92" s="151"/>
    </row>
    <row r="93" spans="1:12" x14ac:dyDescent="0.3">
      <c r="A93" s="155"/>
      <c r="B93" s="159"/>
      <c r="C93" s="129"/>
      <c r="D93" s="196"/>
      <c r="E93" s="196"/>
      <c r="F93" s="202"/>
      <c r="G93" s="196"/>
      <c r="H93" s="196"/>
      <c r="I93" s="196"/>
      <c r="J93" s="197"/>
      <c r="K93" s="151"/>
      <c r="L93" s="151"/>
    </row>
    <row r="94" spans="1:12" ht="18.75" x14ac:dyDescent="0.35">
      <c r="A94" s="165"/>
      <c r="B94" s="166"/>
      <c r="C94" s="37" t="s">
        <v>98</v>
      </c>
      <c r="D94" s="203"/>
      <c r="E94" s="203"/>
      <c r="F94" s="204"/>
      <c r="G94" s="203"/>
      <c r="H94" s="203">
        <f>H71+H55+H49+H42+H35+H28+H62+H77+H83+H92</f>
        <v>13537.555799999998</v>
      </c>
      <c r="I94" s="203">
        <f>I71+I55+I49+I42+I35+I28+I62+I77+I83+I92</f>
        <v>6512.8499999999995</v>
      </c>
      <c r="J94" s="205">
        <f>J71+J55+J49+J42+J35+J28+J62+J77+J83+J92</f>
        <v>7167.57</v>
      </c>
      <c r="K94" s="151"/>
      <c r="L94" s="151"/>
    </row>
    <row r="95" spans="1:12" ht="18.75" x14ac:dyDescent="0.35">
      <c r="A95" s="165"/>
      <c r="B95" s="166"/>
      <c r="C95" s="37"/>
      <c r="D95" s="203"/>
      <c r="E95" s="203"/>
      <c r="F95" s="204"/>
      <c r="G95" s="203"/>
      <c r="H95" s="203"/>
      <c r="I95" s="203"/>
      <c r="J95" s="205"/>
      <c r="K95" s="151"/>
      <c r="L95" s="151"/>
    </row>
    <row r="96" spans="1:12" ht="20.25" x14ac:dyDescent="0.35">
      <c r="A96" s="275" t="s">
        <v>99</v>
      </c>
      <c r="B96" s="276"/>
      <c r="C96" s="276"/>
      <c r="D96" s="167"/>
      <c r="E96" s="167"/>
      <c r="F96" s="190"/>
      <c r="G96" s="167"/>
      <c r="H96" s="167"/>
      <c r="I96" s="167"/>
      <c r="J96" s="168"/>
      <c r="K96" s="151"/>
      <c r="L96" s="151"/>
    </row>
    <row r="97" spans="1:10" ht="20.25" x14ac:dyDescent="0.35">
      <c r="A97" s="175"/>
      <c r="B97" s="169" t="s">
        <v>100</v>
      </c>
      <c r="C97" s="214"/>
      <c r="D97" s="206"/>
      <c r="E97" s="206"/>
      <c r="F97" s="206"/>
      <c r="G97" s="206"/>
      <c r="H97" s="206">
        <f>H21</f>
        <v>900</v>
      </c>
      <c r="I97" s="206">
        <f>I21</f>
        <v>640.52</v>
      </c>
      <c r="J97" s="118">
        <f>J21</f>
        <v>0</v>
      </c>
    </row>
    <row r="98" spans="1:10" ht="20.25" x14ac:dyDescent="0.35">
      <c r="A98" s="175"/>
      <c r="B98" s="170" t="s">
        <v>101</v>
      </c>
      <c r="C98" s="136"/>
      <c r="D98" s="207"/>
      <c r="E98" s="207"/>
      <c r="F98" s="207"/>
      <c r="G98" s="207"/>
      <c r="H98" s="207">
        <f>H94</f>
        <v>13537.555799999998</v>
      </c>
      <c r="I98" s="207">
        <f>I94</f>
        <v>6512.8499999999995</v>
      </c>
      <c r="J98" s="119">
        <f>J94</f>
        <v>7167.57</v>
      </c>
    </row>
    <row r="99" spans="1:10" ht="20.25" x14ac:dyDescent="0.35">
      <c r="A99" s="208"/>
      <c r="B99" s="171" t="s">
        <v>102</v>
      </c>
      <c r="C99" s="215"/>
      <c r="D99" s="209"/>
      <c r="E99" s="209"/>
      <c r="F99" s="209"/>
      <c r="G99" s="209"/>
      <c r="H99" s="209">
        <f>H97-H98</f>
        <v>-12637.555799999998</v>
      </c>
      <c r="I99" s="209">
        <f>I97-I98</f>
        <v>-5872.33</v>
      </c>
      <c r="J99" s="120">
        <f>J97-J98</f>
        <v>-7167.57</v>
      </c>
    </row>
    <row r="100" spans="1:10" x14ac:dyDescent="0.3">
      <c r="A100" s="134"/>
      <c r="B100" s="134"/>
      <c r="C100" s="42"/>
      <c r="E100" s="152"/>
      <c r="F100" s="188"/>
      <c r="G100" s="152"/>
      <c r="H100" s="152"/>
      <c r="I100" s="152"/>
      <c r="J100" s="152"/>
    </row>
  </sheetData>
  <mergeCells count="6">
    <mergeCell ref="A96:C96"/>
    <mergeCell ref="D1:J4"/>
    <mergeCell ref="A5:C5"/>
    <mergeCell ref="D5:E5"/>
    <mergeCell ref="A8:C8"/>
    <mergeCell ref="A23:C23"/>
  </mergeCells>
  <pageMargins left="0" right="0" top="0" bottom="0" header="0" footer="0"/>
  <pageSetup scale="49" fitToHeight="0" orientation="landscape" horizontalDpi="4294967292" verticalDpi="4294967292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7301085B07F9459249C2DF7740ED3D" ma:contentTypeVersion="1" ma:contentTypeDescription="Create a new document." ma:contentTypeScope="" ma:versionID="52b2148349da07ae4e5b8209fcdb8a6f">
  <xsd:schema xmlns:xsd="http://www.w3.org/2001/XMLSchema" xmlns:xs="http://www.w3.org/2001/XMLSchema" xmlns:p="http://schemas.microsoft.com/office/2006/metadata/properties" xmlns:ns3="6c60dad5-d3c9-4315-8ff8-42df4b79729a" targetNamespace="http://schemas.microsoft.com/office/2006/metadata/properties" ma:root="true" ma:fieldsID="b361c9524c5eb2a22762104eca6c328a" ns3:_="">
    <xsd:import namespace="6c60dad5-d3c9-4315-8ff8-42df4b79729a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0dad5-d3c9-4315-8ff8-42df4b7972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EB0C84-F257-4F9E-8931-2CC9C7E92A95}">
  <ds:schemaRefs>
    <ds:schemaRef ds:uri="http://purl.org/dc/terms/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6c60dad5-d3c9-4315-8ff8-42df4b79729a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452C36C-B9CD-471B-A07F-6F470E5D10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AFA260-AE9E-4F2D-82C1-9DC4F5F35F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0dad5-d3c9-4315-8ff8-42df4b7972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SUMMARY</vt:lpstr>
      <vt:lpstr>General</vt:lpstr>
      <vt:lpstr>11-PRES</vt:lpstr>
      <vt:lpstr>12-VPOPS</vt:lpstr>
      <vt:lpstr>13-VPSA</vt:lpstr>
      <vt:lpstr>14-VPA</vt:lpstr>
      <vt:lpstr>15-VPSD</vt:lpstr>
      <vt:lpstr>16-PD</vt:lpstr>
      <vt:lpstr>17-EXCOM</vt:lpstr>
      <vt:lpstr>18-FY</vt:lpstr>
      <vt:lpstr>19-FINANCE</vt:lpstr>
      <vt:lpstr>20-SERVICES</vt:lpstr>
      <vt:lpstr>21-IT</vt:lpstr>
      <vt:lpstr>22-EVENTS</vt:lpstr>
      <vt:lpstr>23-COMM</vt:lpstr>
      <vt:lpstr>24-IA</vt:lpstr>
      <vt:lpstr>25-EVPOS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Samantha Creme</dc:creator>
  <cp:keywords/>
  <dc:description/>
  <cp:lastModifiedBy>Andrew Crawford</cp:lastModifiedBy>
  <cp:revision/>
  <dcterms:created xsi:type="dcterms:W3CDTF">2013-07-10T15:35:24Z</dcterms:created>
  <dcterms:modified xsi:type="dcterms:W3CDTF">2015-07-06T13:23:28Z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0x0101009A7301085B07F9459249C2DF7740ED3D</vt:lpwstr>
  </property>
</Properties>
</file>