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ngsoc_vpops\Desktop\Fuck OneDrive\Finance\Budgets\"/>
    </mc:Choice>
  </mc:AlternateContent>
  <bookViews>
    <workbookView xWindow="675" yWindow="180" windowWidth="19440" windowHeight="12015" tabRatio="664" activeTab="6"/>
  </bookViews>
  <sheets>
    <sheet name="Summary" sheetId="14" r:id="rId1"/>
    <sheet name="10 - Revenue" sheetId="18" r:id="rId2"/>
    <sheet name="11 - Pres" sheetId="17" r:id="rId3"/>
    <sheet name="12 - VPA" sheetId="22" r:id="rId4"/>
    <sheet name="13 - VPOps" sheetId="16" r:id="rId5"/>
    <sheet name="14 - VPSA" sheetId="9" r:id="rId6"/>
    <sheet name="15- VPSD" sheetId="3" r:id="rId7"/>
    <sheet name="16 - DoFY" sheetId="15" r:id="rId8"/>
    <sheet name="17- DoX" sheetId="4" r:id="rId9"/>
    <sheet name="18 - DoS" sheetId="25" r:id="rId10"/>
    <sheet name="19 - DoF" sheetId="7" r:id="rId11"/>
    <sheet name="20 - DoIT" sheetId="6" r:id="rId12"/>
    <sheet name="21 - DoIA" sheetId="8" r:id="rId13"/>
    <sheet name="22 - DoE" sheetId="13" r:id="rId14"/>
    <sheet name="23 - DoPD" sheetId="11" r:id="rId15"/>
    <sheet name="Summer" sheetId="21" r:id="rId16"/>
  </sheets>
  <externalReferences>
    <externalReference r:id="rId17"/>
  </externalReferences>
  <definedNames>
    <definedName name="Preweek">[1]Preweek!$E$65</definedName>
  </definedNames>
  <calcPr calcId="152511"/>
</workbook>
</file>

<file path=xl/calcChain.xml><?xml version="1.0" encoding="utf-8"?>
<calcChain xmlns="http://schemas.openxmlformats.org/spreadsheetml/2006/main">
  <c r="J18" i="16" l="1"/>
  <c r="J16" i="16" l="1"/>
  <c r="J29" i="16"/>
  <c r="H16" i="18"/>
  <c r="H22" i="18"/>
  <c r="H8" i="18"/>
  <c r="Q67" i="21"/>
  <c r="Q28" i="21"/>
  <c r="H266" i="13"/>
  <c r="H265" i="13"/>
  <c r="H210" i="13"/>
  <c r="H237" i="13"/>
  <c r="H163" i="13"/>
  <c r="H157" i="13"/>
  <c r="H143" i="13"/>
  <c r="H142" i="13" s="1"/>
  <c r="H80" i="13"/>
  <c r="H100" i="13"/>
  <c r="H8" i="6"/>
  <c r="H21" i="7"/>
  <c r="H13" i="7"/>
  <c r="H12" i="7" s="1"/>
  <c r="H42" i="25"/>
  <c r="H32" i="25"/>
  <c r="H20" i="25"/>
  <c r="H9" i="25"/>
  <c r="H37" i="3"/>
  <c r="H9" i="9"/>
  <c r="H21" i="9"/>
  <c r="H35" i="17"/>
  <c r="H55" i="15"/>
  <c r="J35" i="16"/>
  <c r="J29" i="8"/>
  <c r="H24" i="8" s="1"/>
  <c r="J21" i="16"/>
  <c r="J17" i="16"/>
  <c r="J24" i="18"/>
  <c r="Q18" i="21" l="1"/>
  <c r="J75" i="16"/>
  <c r="N14" i="21"/>
  <c r="N15" i="21"/>
  <c r="N16" i="21"/>
  <c r="M13" i="21"/>
  <c r="N13" i="21"/>
  <c r="O118" i="21" l="1"/>
  <c r="P118" i="21"/>
  <c r="O103" i="21"/>
  <c r="P103" i="21"/>
  <c r="N103" i="21"/>
  <c r="O98" i="21"/>
  <c r="P98" i="21"/>
  <c r="N98" i="21"/>
  <c r="O89" i="21"/>
  <c r="O117" i="21" s="1"/>
  <c r="P89" i="21"/>
  <c r="Q89" i="21"/>
  <c r="N89" i="21"/>
  <c r="O81" i="21"/>
  <c r="P81" i="21"/>
  <c r="Q81" i="21"/>
  <c r="N81" i="21"/>
  <c r="O67" i="21"/>
  <c r="P67" i="21"/>
  <c r="N45" i="21"/>
  <c r="N67" i="21" s="1"/>
  <c r="O20" i="21"/>
  <c r="P20" i="21"/>
  <c r="P117" i="21" s="1"/>
  <c r="Q20" i="21"/>
  <c r="N20" i="21"/>
  <c r="N8" i="21"/>
  <c r="N118" i="21" s="1"/>
  <c r="Q8" i="21"/>
  <c r="Q118" i="21" s="1"/>
  <c r="P8" i="21"/>
  <c r="J200" i="13"/>
  <c r="J25" i="22"/>
  <c r="H23" i="22" s="1"/>
  <c r="H13" i="18"/>
  <c r="H243" i="13"/>
  <c r="J35" i="18"/>
  <c r="H31" i="18"/>
  <c r="H62" i="13"/>
  <c r="H302" i="13"/>
  <c r="H262" i="13"/>
  <c r="H255" i="13"/>
  <c r="H251" i="13"/>
  <c r="H242" i="13" s="1"/>
  <c r="H118" i="13"/>
  <c r="J15" i="8"/>
  <c r="H9" i="8" s="1"/>
  <c r="H34" i="17"/>
  <c r="J32" i="16"/>
  <c r="H48" i="15"/>
  <c r="H9" i="15"/>
  <c r="J34" i="15"/>
  <c r="H25" i="15" s="1"/>
  <c r="J14" i="22"/>
  <c r="J13" i="22"/>
  <c r="J12" i="22"/>
  <c r="J11" i="22"/>
  <c r="J13" i="11"/>
  <c r="J22" i="11"/>
  <c r="J11" i="11"/>
  <c r="J17" i="11"/>
  <c r="H15" i="11" s="1"/>
  <c r="J22" i="17"/>
  <c r="H16" i="17" s="1"/>
  <c r="H15" i="17" s="1"/>
  <c r="J55" i="17"/>
  <c r="H53" i="17" s="1"/>
  <c r="J50" i="17"/>
  <c r="H48" i="17" s="1"/>
  <c r="H47" i="17" s="1"/>
  <c r="J32" i="17"/>
  <c r="J29" i="17"/>
  <c r="H26" i="17" s="1"/>
  <c r="J315" i="13"/>
  <c r="H313" i="13" s="1"/>
  <c r="H312" i="13" s="1"/>
  <c r="J317" i="13"/>
  <c r="H39" i="4"/>
  <c r="J37" i="4"/>
  <c r="J33" i="4"/>
  <c r="J23" i="4"/>
  <c r="J18" i="4"/>
  <c r="H9" i="4" s="1"/>
  <c r="H8" i="4" s="1"/>
  <c r="J28" i="4"/>
  <c r="J27" i="4"/>
  <c r="J42" i="4"/>
  <c r="H40" i="4" s="1"/>
  <c r="J50" i="4"/>
  <c r="H48" i="4" s="1"/>
  <c r="J30" i="4"/>
  <c r="N117" i="21" l="1"/>
  <c r="Q117" i="21"/>
  <c r="Q120" i="21" s="1"/>
  <c r="H25" i="4"/>
  <c r="H9" i="11"/>
  <c r="B20" i="14"/>
  <c r="P120" i="21"/>
  <c r="H19" i="25"/>
  <c r="H23" i="8"/>
  <c r="J51" i="8"/>
  <c r="H49" i="8" s="1"/>
  <c r="H48" i="8" s="1"/>
  <c r="J61" i="16"/>
  <c r="J32" i="3"/>
  <c r="J22" i="3"/>
  <c r="J23" i="3"/>
  <c r="J35" i="3"/>
  <c r="J27" i="3"/>
  <c r="J26" i="3"/>
  <c r="J32" i="6"/>
  <c r="J26" i="6"/>
  <c r="J38" i="13"/>
  <c r="H9" i="13" s="1"/>
  <c r="H8" i="13" s="1"/>
  <c r="H79" i="13"/>
  <c r="J64" i="16"/>
  <c r="J51" i="16"/>
  <c r="H9" i="3" l="1"/>
  <c r="H8" i="3" s="1"/>
  <c r="H1" i="3" s="1"/>
  <c r="C11" i="14" s="1"/>
  <c r="C20" i="14"/>
  <c r="H24" i="6"/>
  <c r="J26" i="16"/>
  <c r="H9" i="16" s="1"/>
  <c r="J20" i="22" l="1"/>
  <c r="H9" i="22" s="1"/>
  <c r="H8" i="22" s="1"/>
  <c r="H1" i="22" s="1"/>
  <c r="H25" i="17"/>
  <c r="J45" i="17"/>
  <c r="H42" i="17" s="1"/>
  <c r="H41" i="17" s="1"/>
  <c r="J11" i="17"/>
  <c r="H9" i="17" s="1"/>
  <c r="H8" i="17" s="1"/>
  <c r="F39" i="18" l="1"/>
  <c r="G38" i="18" s="1"/>
  <c r="H38" i="18"/>
  <c r="F56" i="17"/>
  <c r="G56" i="17" s="1"/>
  <c r="G53" i="17" s="1"/>
  <c r="F55" i="17"/>
  <c r="G55" i="17" s="1"/>
  <c r="H52" i="17"/>
  <c r="G52" i="17" l="1"/>
  <c r="H1" i="17"/>
  <c r="C7" i="14" s="1"/>
  <c r="J20" i="15"/>
  <c r="J19" i="15"/>
  <c r="J18" i="15"/>
  <c r="J16" i="15"/>
  <c r="H14" i="15" l="1"/>
  <c r="F69" i="13"/>
  <c r="G69" i="13" s="1"/>
  <c r="G55" i="13"/>
  <c r="F23" i="4"/>
  <c r="G23" i="4" s="1"/>
  <c r="F34" i="25"/>
  <c r="G34" i="25" s="1"/>
  <c r="F17" i="7"/>
  <c r="G17" i="7"/>
  <c r="F38" i="25"/>
  <c r="G38" i="25" s="1"/>
  <c r="G28" i="4"/>
  <c r="F32" i="4"/>
  <c r="G32" i="4"/>
  <c r="F58" i="15"/>
  <c r="G58" i="15" s="1"/>
  <c r="F60" i="15"/>
  <c r="G60" i="15"/>
  <c r="F61" i="15"/>
  <c r="G61" i="15" s="1"/>
  <c r="F57" i="15"/>
  <c r="G57" i="15" s="1"/>
  <c r="F25" i="18"/>
  <c r="G25" i="18"/>
  <c r="D301" i="13"/>
  <c r="F301" i="13" s="1"/>
  <c r="G301" i="13" s="1"/>
  <c r="F12" i="13"/>
  <c r="G12" i="13"/>
  <c r="F45" i="17"/>
  <c r="G45" i="17" s="1"/>
  <c r="F44" i="17"/>
  <c r="F50" i="17"/>
  <c r="G50" i="17" s="1"/>
  <c r="G48" i="17" s="1"/>
  <c r="G47" i="17" s="1"/>
  <c r="F28" i="25"/>
  <c r="G28" i="25" s="1"/>
  <c r="F24" i="18"/>
  <c r="G24" i="18" s="1"/>
  <c r="F26" i="18"/>
  <c r="G26" i="18" s="1"/>
  <c r="G27" i="18" s="1"/>
  <c r="H8" i="25"/>
  <c r="H1" i="25" s="1"/>
  <c r="C14" i="14" s="1"/>
  <c r="F11" i="25"/>
  <c r="G11" i="25" s="1"/>
  <c r="F12" i="25"/>
  <c r="G12" i="25" s="1"/>
  <c r="F13" i="25"/>
  <c r="G13" i="25"/>
  <c r="F15" i="25"/>
  <c r="G15" i="25" s="1"/>
  <c r="F16" i="25"/>
  <c r="G16" i="25" s="1"/>
  <c r="F17" i="25"/>
  <c r="G17" i="25" s="1"/>
  <c r="F22" i="25"/>
  <c r="G22" i="25" s="1"/>
  <c r="F23" i="25"/>
  <c r="G23" i="25" s="1"/>
  <c r="F24" i="25"/>
  <c r="G24" i="25" s="1"/>
  <c r="F25" i="25"/>
  <c r="G25" i="25"/>
  <c r="F26" i="25"/>
  <c r="G26" i="25" s="1"/>
  <c r="F29" i="25"/>
  <c r="G29" i="25" s="1"/>
  <c r="F33" i="25"/>
  <c r="F35" i="25"/>
  <c r="G35" i="25" s="1"/>
  <c r="F36" i="25"/>
  <c r="G36" i="25" s="1"/>
  <c r="F37" i="25"/>
  <c r="G37" i="25"/>
  <c r="F39" i="25"/>
  <c r="G39" i="25" s="1"/>
  <c r="H41" i="25"/>
  <c r="F43" i="25"/>
  <c r="G43" i="25" s="1"/>
  <c r="F44" i="25"/>
  <c r="G44" i="25" s="1"/>
  <c r="G42" i="25" s="1"/>
  <c r="G41" i="25" s="1"/>
  <c r="F10" i="11"/>
  <c r="G10" i="11" s="1"/>
  <c r="F11" i="11"/>
  <c r="G11" i="11" s="1"/>
  <c r="F12" i="11"/>
  <c r="G12" i="11" s="1"/>
  <c r="F13" i="11"/>
  <c r="G13" i="11"/>
  <c r="F66" i="8"/>
  <c r="G66" i="8" s="1"/>
  <c r="F67" i="8"/>
  <c r="G67" i="8"/>
  <c r="F11" i="4"/>
  <c r="G11" i="4" s="1"/>
  <c r="F13" i="4"/>
  <c r="G13" i="4"/>
  <c r="F14" i="4"/>
  <c r="G14" i="4" s="1"/>
  <c r="F16" i="4"/>
  <c r="G16" i="4" s="1"/>
  <c r="F17" i="4"/>
  <c r="G17" i="4" s="1"/>
  <c r="F18" i="4"/>
  <c r="G18" i="4" s="1"/>
  <c r="F20" i="4"/>
  <c r="G20" i="4" s="1"/>
  <c r="F21" i="4"/>
  <c r="G21" i="4" s="1"/>
  <c r="G9" i="4" s="1"/>
  <c r="G8" i="4" s="1"/>
  <c r="F22" i="4"/>
  <c r="G22" i="4" s="1"/>
  <c r="F22" i="9"/>
  <c r="G22" i="9"/>
  <c r="F23" i="9"/>
  <c r="G23" i="9" s="1"/>
  <c r="F24" i="9"/>
  <c r="G24" i="9" s="1"/>
  <c r="F25" i="9"/>
  <c r="G25" i="9" s="1"/>
  <c r="F26" i="9"/>
  <c r="G26" i="9" s="1"/>
  <c r="F27" i="9"/>
  <c r="G27" i="9" s="1"/>
  <c r="F28" i="9"/>
  <c r="G28" i="9"/>
  <c r="F18" i="17"/>
  <c r="G18" i="17" s="1"/>
  <c r="G16" i="17" s="1"/>
  <c r="G15" i="17" s="1"/>
  <c r="F19" i="17"/>
  <c r="G19" i="17" s="1"/>
  <c r="F20" i="17"/>
  <c r="G20" i="17" s="1"/>
  <c r="F22" i="17"/>
  <c r="G22" i="17" s="1"/>
  <c r="F11" i="18"/>
  <c r="G11" i="18" s="1"/>
  <c r="F11" i="22"/>
  <c r="G11" i="22"/>
  <c r="F12" i="22"/>
  <c r="G12" i="22" s="1"/>
  <c r="F13" i="22"/>
  <c r="G13" i="22" s="1"/>
  <c r="F14" i="22"/>
  <c r="G14" i="22" s="1"/>
  <c r="F16" i="22"/>
  <c r="G16" i="22"/>
  <c r="F17" i="22"/>
  <c r="G17" i="22" s="1"/>
  <c r="F18" i="22"/>
  <c r="G18" i="22" s="1"/>
  <c r="F24" i="22"/>
  <c r="G24" i="22" s="1"/>
  <c r="F25" i="22"/>
  <c r="G25" i="22" s="1"/>
  <c r="F26" i="22"/>
  <c r="G26" i="22" s="1"/>
  <c r="F27" i="22"/>
  <c r="G27" i="22" s="1"/>
  <c r="F28" i="22"/>
  <c r="G28" i="22" s="1"/>
  <c r="C8" i="14"/>
  <c r="D55" i="16"/>
  <c r="F55" i="16" s="1"/>
  <c r="G55" i="16" s="1"/>
  <c r="D54" i="16"/>
  <c r="F54" i="16" s="1"/>
  <c r="G54" i="16" s="1"/>
  <c r="F72" i="16"/>
  <c r="G72" i="16"/>
  <c r="G75" i="16" s="1"/>
  <c r="F73" i="16"/>
  <c r="G73" i="16" s="1"/>
  <c r="F74" i="16"/>
  <c r="G74" i="16"/>
  <c r="H34" i="18"/>
  <c r="J1" i="18" s="1"/>
  <c r="C3" i="14" s="1"/>
  <c r="F66" i="16"/>
  <c r="G66" i="16" s="1"/>
  <c r="F36" i="18"/>
  <c r="G36" i="18" s="1"/>
  <c r="F35" i="18"/>
  <c r="G35" i="18"/>
  <c r="F32" i="18"/>
  <c r="G32" i="18" s="1"/>
  <c r="G31" i="18" s="1"/>
  <c r="F29" i="18"/>
  <c r="G29" i="18"/>
  <c r="F28" i="18"/>
  <c r="F27" i="18"/>
  <c r="F23" i="18"/>
  <c r="G23" i="18"/>
  <c r="F20" i="18"/>
  <c r="G20" i="18" s="1"/>
  <c r="F19" i="18"/>
  <c r="G19" i="18"/>
  <c r="F18" i="18"/>
  <c r="G18" i="18" s="1"/>
  <c r="F17" i="18"/>
  <c r="G17" i="18"/>
  <c r="F14" i="18"/>
  <c r="G14" i="18" s="1"/>
  <c r="G13" i="18" s="1"/>
  <c r="F10" i="18"/>
  <c r="G10" i="18"/>
  <c r="F9" i="18"/>
  <c r="G9" i="18" s="1"/>
  <c r="G8" i="18" s="1"/>
  <c r="F30" i="11"/>
  <c r="G30" i="11"/>
  <c r="G29" i="11" s="1"/>
  <c r="G28" i="11"/>
  <c r="F232" i="13"/>
  <c r="G232" i="13" s="1"/>
  <c r="F249" i="13"/>
  <c r="G249" i="13"/>
  <c r="F54" i="8"/>
  <c r="G54" i="8" s="1"/>
  <c r="F11" i="17"/>
  <c r="G11" i="17"/>
  <c r="F12" i="17"/>
  <c r="G12" i="17" s="1"/>
  <c r="F13" i="17"/>
  <c r="G13" i="17"/>
  <c r="F23" i="17"/>
  <c r="G23" i="17" s="1"/>
  <c r="F28" i="17"/>
  <c r="G28" i="17"/>
  <c r="G26" i="17" s="1"/>
  <c r="G25" i="17" s="1"/>
  <c r="F29" i="17"/>
  <c r="G29" i="17" s="1"/>
  <c r="F30" i="17"/>
  <c r="G30" i="17"/>
  <c r="F31" i="17"/>
  <c r="G31" i="17" s="1"/>
  <c r="F32" i="17"/>
  <c r="G32" i="17"/>
  <c r="F37" i="17"/>
  <c r="G37" i="17" s="1"/>
  <c r="F38" i="17"/>
  <c r="G38" i="17"/>
  <c r="F39" i="17"/>
  <c r="G39" i="17" s="1"/>
  <c r="H8" i="16"/>
  <c r="F11" i="16"/>
  <c r="G11" i="16" s="1"/>
  <c r="F12" i="16"/>
  <c r="G12" i="16" s="1"/>
  <c r="F14" i="16"/>
  <c r="G14" i="16"/>
  <c r="F15" i="16"/>
  <c r="G15" i="16" s="1"/>
  <c r="F16" i="16"/>
  <c r="G16" i="16" s="1"/>
  <c r="F17" i="16"/>
  <c r="G17" i="16" s="1"/>
  <c r="F18" i="16"/>
  <c r="G18" i="16" s="1"/>
  <c r="F19" i="16"/>
  <c r="G19" i="16" s="1"/>
  <c r="F20" i="16"/>
  <c r="G20" i="16" s="1"/>
  <c r="F21" i="16"/>
  <c r="G21" i="16" s="1"/>
  <c r="F22" i="16"/>
  <c r="G22" i="16" s="1"/>
  <c r="G23" i="16"/>
  <c r="F26" i="16"/>
  <c r="G26" i="16"/>
  <c r="F27" i="16"/>
  <c r="G27" i="16" s="1"/>
  <c r="F28" i="16"/>
  <c r="G28" i="16" s="1"/>
  <c r="F29" i="16"/>
  <c r="G29" i="16" s="1"/>
  <c r="F30" i="16"/>
  <c r="G30" i="16"/>
  <c r="F32" i="16"/>
  <c r="G32" i="16" s="1"/>
  <c r="F33" i="16"/>
  <c r="G33" i="16"/>
  <c r="F34" i="16"/>
  <c r="G34" i="16" s="1"/>
  <c r="F35" i="16"/>
  <c r="G35" i="16"/>
  <c r="F37" i="16"/>
  <c r="G37" i="16" s="1"/>
  <c r="F38" i="16"/>
  <c r="G38" i="16" s="1"/>
  <c r="F39" i="16"/>
  <c r="G39" i="16" s="1"/>
  <c r="F40" i="16"/>
  <c r="G40" i="16"/>
  <c r="F41" i="16"/>
  <c r="G41" i="16" s="1"/>
  <c r="F42" i="16"/>
  <c r="G42" i="16"/>
  <c r="F43" i="16"/>
  <c r="G43" i="16" s="1"/>
  <c r="E44" i="16"/>
  <c r="F44" i="16"/>
  <c r="G44" i="16" s="1"/>
  <c r="F45" i="16"/>
  <c r="G45" i="16" s="1"/>
  <c r="F46" i="16"/>
  <c r="G46" i="16" s="1"/>
  <c r="F47" i="16"/>
  <c r="G47" i="16" s="1"/>
  <c r="F48" i="16"/>
  <c r="G48" i="16" s="1"/>
  <c r="F49" i="16"/>
  <c r="G49" i="16" s="1"/>
  <c r="F51" i="16"/>
  <c r="G51" i="16" s="1"/>
  <c r="F52" i="16"/>
  <c r="G52" i="16" s="1"/>
  <c r="F56" i="16"/>
  <c r="G56" i="16" s="1"/>
  <c r="F59" i="16"/>
  <c r="G59" i="16" s="1"/>
  <c r="F61" i="16"/>
  <c r="G61" i="16"/>
  <c r="F62" i="16"/>
  <c r="G62" i="16" s="1"/>
  <c r="F64" i="16"/>
  <c r="G64" i="16" s="1"/>
  <c r="F67" i="16"/>
  <c r="G67" i="16" s="1"/>
  <c r="F68" i="16"/>
  <c r="G68" i="16" s="1"/>
  <c r="F69" i="16"/>
  <c r="G69" i="16" s="1"/>
  <c r="F70" i="16"/>
  <c r="G70" i="16" s="1"/>
  <c r="F75" i="16"/>
  <c r="H8" i="15"/>
  <c r="F11" i="15"/>
  <c r="G11" i="15" s="1"/>
  <c r="G9" i="15" s="1"/>
  <c r="G8" i="15" s="1"/>
  <c r="H21" i="15"/>
  <c r="F16" i="15"/>
  <c r="G16" i="15"/>
  <c r="F18" i="15"/>
  <c r="G18" i="15" s="1"/>
  <c r="F19" i="15"/>
  <c r="G19" i="15" s="1"/>
  <c r="F20" i="15"/>
  <c r="G20" i="15" s="1"/>
  <c r="F22" i="15"/>
  <c r="G22" i="15" s="1"/>
  <c r="G21" i="15" s="1"/>
  <c r="H36" i="15"/>
  <c r="H24" i="15" s="1"/>
  <c r="F27" i="15"/>
  <c r="G27" i="15" s="1"/>
  <c r="F28" i="15"/>
  <c r="G28" i="15"/>
  <c r="F31" i="15"/>
  <c r="G31" i="15" s="1"/>
  <c r="F32" i="15"/>
  <c r="G32" i="15"/>
  <c r="F34" i="15"/>
  <c r="G34" i="15" s="1"/>
  <c r="F35" i="15"/>
  <c r="G35" i="15" s="1"/>
  <c r="F37" i="15"/>
  <c r="G37" i="15" s="1"/>
  <c r="G36" i="15" s="1"/>
  <c r="H40" i="15"/>
  <c r="H44" i="15"/>
  <c r="F42" i="15"/>
  <c r="G42" i="15"/>
  <c r="F43" i="15"/>
  <c r="G43" i="15" s="1"/>
  <c r="F45" i="15"/>
  <c r="G45" i="15" s="1"/>
  <c r="G44" i="15" s="1"/>
  <c r="H51" i="15"/>
  <c r="F50" i="15"/>
  <c r="G50" i="15"/>
  <c r="G48" i="15" s="1"/>
  <c r="F52" i="15"/>
  <c r="G52" i="15" s="1"/>
  <c r="G51" i="15" s="1"/>
  <c r="H62" i="15"/>
  <c r="H54" i="15" s="1"/>
  <c r="F63" i="15"/>
  <c r="G63" i="15" s="1"/>
  <c r="G62" i="15" s="1"/>
  <c r="F248" i="13"/>
  <c r="G248" i="13" s="1"/>
  <c r="F11" i="13"/>
  <c r="G11" i="13" s="1"/>
  <c r="F14" i="13"/>
  <c r="G14" i="13" s="1"/>
  <c r="F15" i="13"/>
  <c r="G15" i="13" s="1"/>
  <c r="F16" i="13"/>
  <c r="G16" i="13" s="1"/>
  <c r="F17" i="13"/>
  <c r="G17" i="13" s="1"/>
  <c r="F18" i="13"/>
  <c r="G18" i="13" s="1"/>
  <c r="F19" i="13"/>
  <c r="G19" i="13" s="1"/>
  <c r="F20" i="13"/>
  <c r="G20" i="13" s="1"/>
  <c r="F21" i="13"/>
  <c r="G21" i="13" s="1"/>
  <c r="F23" i="13"/>
  <c r="G23" i="13" s="1"/>
  <c r="F24" i="13"/>
  <c r="G24" i="13"/>
  <c r="F26" i="13"/>
  <c r="F28" i="13"/>
  <c r="G28" i="13" s="1"/>
  <c r="F30" i="13"/>
  <c r="G30" i="13" s="1"/>
  <c r="F31" i="13"/>
  <c r="F33" i="13"/>
  <c r="G33" i="13" s="1"/>
  <c r="F34" i="13"/>
  <c r="G34" i="13"/>
  <c r="F35" i="13"/>
  <c r="G35" i="13" s="1"/>
  <c r="F36" i="13"/>
  <c r="F38" i="13"/>
  <c r="G38" i="13" s="1"/>
  <c r="F45" i="13"/>
  <c r="F47" i="13"/>
  <c r="G47" i="13" s="1"/>
  <c r="F48" i="13"/>
  <c r="F51" i="13"/>
  <c r="G51" i="13" s="1"/>
  <c r="F52" i="13"/>
  <c r="G52" i="13" s="1"/>
  <c r="F53" i="13"/>
  <c r="G53" i="13" s="1"/>
  <c r="F57" i="13"/>
  <c r="G57" i="13" s="1"/>
  <c r="F58" i="13"/>
  <c r="G58" i="13"/>
  <c r="F60" i="13"/>
  <c r="G60" i="13" s="1"/>
  <c r="F61" i="13"/>
  <c r="G61" i="13" s="1"/>
  <c r="F63" i="13"/>
  <c r="G63" i="13"/>
  <c r="F64" i="13"/>
  <c r="G64" i="13"/>
  <c r="F65" i="13"/>
  <c r="G65" i="13"/>
  <c r="F66" i="13"/>
  <c r="G66" i="13"/>
  <c r="F67" i="13"/>
  <c r="G67" i="13"/>
  <c r="F68" i="13"/>
  <c r="G68" i="13"/>
  <c r="F70" i="13"/>
  <c r="G70" i="13"/>
  <c r="H73" i="13"/>
  <c r="H72" i="13"/>
  <c r="F75" i="13"/>
  <c r="G75" i="13"/>
  <c r="F77" i="13"/>
  <c r="G77" i="13"/>
  <c r="F81" i="13"/>
  <c r="G81" i="13"/>
  <c r="F82" i="13"/>
  <c r="G82" i="13"/>
  <c r="F83" i="13"/>
  <c r="G83" i="13"/>
  <c r="F84" i="13"/>
  <c r="G84" i="13"/>
  <c r="F85" i="13"/>
  <c r="G85" i="13"/>
  <c r="F86" i="13"/>
  <c r="G86" i="13"/>
  <c r="F87" i="13"/>
  <c r="G87" i="13"/>
  <c r="F88" i="13"/>
  <c r="G88" i="13"/>
  <c r="F89" i="13"/>
  <c r="G89" i="13"/>
  <c r="F90" i="13"/>
  <c r="G90" i="13"/>
  <c r="F91" i="13"/>
  <c r="G91" i="13"/>
  <c r="F92" i="13"/>
  <c r="G92" i="13"/>
  <c r="F93" i="13"/>
  <c r="G93" i="13"/>
  <c r="F94" i="13"/>
  <c r="G94" i="13"/>
  <c r="F95" i="13"/>
  <c r="G95" i="13"/>
  <c r="F96" i="13"/>
  <c r="G96" i="13"/>
  <c r="F97" i="13"/>
  <c r="G97" i="13"/>
  <c r="F102" i="13"/>
  <c r="G102" i="13" s="1"/>
  <c r="F103" i="13"/>
  <c r="G103" i="13" s="1"/>
  <c r="F104" i="13"/>
  <c r="G104" i="13" s="1"/>
  <c r="F105" i="13"/>
  <c r="G105" i="13" s="1"/>
  <c r="F106" i="13"/>
  <c r="G106" i="13"/>
  <c r="F108" i="13"/>
  <c r="G108" i="13" s="1"/>
  <c r="F109" i="13"/>
  <c r="G109" i="13" s="1"/>
  <c r="F111" i="13"/>
  <c r="G111" i="13" s="1"/>
  <c r="F112" i="13"/>
  <c r="G112" i="13" s="1"/>
  <c r="D113" i="13"/>
  <c r="F113" i="13" s="1"/>
  <c r="G113" i="13" s="1"/>
  <c r="G114" i="13"/>
  <c r="H114" i="13"/>
  <c r="H99" i="13" s="1"/>
  <c r="F115" i="13"/>
  <c r="H117" i="13"/>
  <c r="F120" i="13"/>
  <c r="G120" i="13" s="1"/>
  <c r="F121" i="13"/>
  <c r="G121" i="13" s="1"/>
  <c r="F122" i="13"/>
  <c r="G122" i="13" s="1"/>
  <c r="F123" i="13"/>
  <c r="G123" i="13" s="1"/>
  <c r="F124" i="13"/>
  <c r="G124" i="13" s="1"/>
  <c r="F126" i="13"/>
  <c r="G126" i="13" s="1"/>
  <c r="F127" i="13"/>
  <c r="G127" i="13" s="1"/>
  <c r="F128" i="13"/>
  <c r="G128" i="13" s="1"/>
  <c r="F129" i="13"/>
  <c r="G129" i="13" s="1"/>
  <c r="F130" i="13"/>
  <c r="G130" i="13" s="1"/>
  <c r="F131" i="13"/>
  <c r="G131" i="13" s="1"/>
  <c r="H132" i="13"/>
  <c r="F133" i="13"/>
  <c r="G133" i="13" s="1"/>
  <c r="F134" i="13"/>
  <c r="G134" i="13"/>
  <c r="F135" i="13"/>
  <c r="G135" i="13" s="1"/>
  <c r="F136" i="13"/>
  <c r="G136" i="13"/>
  <c r="F137" i="13"/>
  <c r="G137" i="13" s="1"/>
  <c r="F138" i="13"/>
  <c r="G138" i="13"/>
  <c r="F139" i="13"/>
  <c r="G139" i="13" s="1"/>
  <c r="F140" i="13"/>
  <c r="G140" i="13"/>
  <c r="F145" i="13"/>
  <c r="F148" i="13"/>
  <c r="G148" i="13" s="1"/>
  <c r="F149" i="13"/>
  <c r="G149" i="13" s="1"/>
  <c r="F150" i="13"/>
  <c r="G150" i="13" s="1"/>
  <c r="F151" i="13"/>
  <c r="G151" i="13" s="1"/>
  <c r="F153" i="13"/>
  <c r="G153" i="13" s="1"/>
  <c r="F154" i="13"/>
  <c r="G154" i="13" s="1"/>
  <c r="F155" i="13"/>
  <c r="G155" i="13" s="1"/>
  <c r="F156" i="13"/>
  <c r="G156" i="13" s="1"/>
  <c r="F158" i="13"/>
  <c r="G158" i="13" s="1"/>
  <c r="F159" i="13"/>
  <c r="G159" i="13" s="1"/>
  <c r="F160" i="13"/>
  <c r="G160" i="13" s="1"/>
  <c r="G157" i="13" s="1"/>
  <c r="F165" i="13"/>
  <c r="G165" i="13" s="1"/>
  <c r="F166" i="13"/>
  <c r="G166" i="13"/>
  <c r="F167" i="13"/>
  <c r="G167" i="13" s="1"/>
  <c r="F168" i="13"/>
  <c r="G168" i="13" s="1"/>
  <c r="F169" i="13"/>
  <c r="F170" i="13"/>
  <c r="G170" i="13" s="1"/>
  <c r="F171" i="13"/>
  <c r="G171" i="13" s="1"/>
  <c r="F172" i="13"/>
  <c r="G172" i="13" s="1"/>
  <c r="F173" i="13"/>
  <c r="G173" i="13"/>
  <c r="F174" i="13"/>
  <c r="G174" i="13" s="1"/>
  <c r="F175" i="13"/>
  <c r="G175" i="13" s="1"/>
  <c r="F176" i="13"/>
  <c r="G176" i="13" s="1"/>
  <c r="F177" i="13"/>
  <c r="G177" i="13" s="1"/>
  <c r="F178" i="13"/>
  <c r="G178" i="13" s="1"/>
  <c r="F179" i="13"/>
  <c r="G179" i="13"/>
  <c r="F180" i="13"/>
  <c r="G180" i="13" s="1"/>
  <c r="F181" i="13"/>
  <c r="G181" i="13" s="1"/>
  <c r="F182" i="13"/>
  <c r="G182" i="13" s="1"/>
  <c r="F183" i="13"/>
  <c r="G183" i="13" s="1"/>
  <c r="F184" i="13"/>
  <c r="G184" i="13" s="1"/>
  <c r="F185" i="13"/>
  <c r="G185" i="13" s="1"/>
  <c r="F186" i="13"/>
  <c r="G186" i="13" s="1"/>
  <c r="F187" i="13"/>
  <c r="G187" i="13" s="1"/>
  <c r="F188" i="13"/>
  <c r="G188" i="13" s="1"/>
  <c r="F189" i="13"/>
  <c r="G189" i="13"/>
  <c r="F190" i="13"/>
  <c r="G190" i="13" s="1"/>
  <c r="F191" i="13"/>
  <c r="G191" i="13" s="1"/>
  <c r="F192" i="13"/>
  <c r="G192" i="13" s="1"/>
  <c r="F193" i="13"/>
  <c r="G193" i="13" s="1"/>
  <c r="F194" i="13"/>
  <c r="G194" i="13" s="1"/>
  <c r="F195" i="13"/>
  <c r="G195" i="13" s="1"/>
  <c r="F196" i="13"/>
  <c r="G196" i="13" s="1"/>
  <c r="F197" i="13"/>
  <c r="G197" i="13"/>
  <c r="F198" i="13"/>
  <c r="G198" i="13" s="1"/>
  <c r="H199" i="13"/>
  <c r="H162" i="13" s="1"/>
  <c r="F200" i="13"/>
  <c r="G200" i="13"/>
  <c r="G199" i="13" s="1"/>
  <c r="F201" i="13"/>
  <c r="G201" i="13"/>
  <c r="F202" i="13"/>
  <c r="G202" i="13"/>
  <c r="F203" i="13"/>
  <c r="G203" i="13"/>
  <c r="F204" i="13"/>
  <c r="G204" i="13"/>
  <c r="F205" i="13"/>
  <c r="G205" i="13"/>
  <c r="F206" i="13"/>
  <c r="G206" i="13"/>
  <c r="F207" i="13"/>
  <c r="G207" i="13"/>
  <c r="F211" i="13"/>
  <c r="G211" i="13" s="1"/>
  <c r="F212" i="13"/>
  <c r="G212" i="13" s="1"/>
  <c r="F214" i="13"/>
  <c r="G214" i="13" s="1"/>
  <c r="F215" i="13"/>
  <c r="G215" i="13" s="1"/>
  <c r="F216" i="13"/>
  <c r="G216" i="13" s="1"/>
  <c r="F217" i="13"/>
  <c r="G217" i="13"/>
  <c r="F218" i="13"/>
  <c r="G218" i="13" s="1"/>
  <c r="F219" i="13"/>
  <c r="G219" i="13" s="1"/>
  <c r="F220" i="13"/>
  <c r="G220" i="13" s="1"/>
  <c r="F221" i="13"/>
  <c r="G221" i="13" s="1"/>
  <c r="F222" i="13"/>
  <c r="G222" i="13" s="1"/>
  <c r="F223" i="13"/>
  <c r="F225" i="13"/>
  <c r="G225" i="13" s="1"/>
  <c r="F226" i="13"/>
  <c r="G226" i="13" s="1"/>
  <c r="F227" i="13"/>
  <c r="G227" i="13" s="1"/>
  <c r="F228" i="13"/>
  <c r="G228" i="13" s="1"/>
  <c r="F229" i="13"/>
  <c r="G229" i="13" s="1"/>
  <c r="F230" i="13"/>
  <c r="G230" i="13" s="1"/>
  <c r="F233" i="13"/>
  <c r="G233" i="13"/>
  <c r="F234" i="13"/>
  <c r="G234" i="13" s="1"/>
  <c r="F235" i="13"/>
  <c r="G235" i="13"/>
  <c r="F236" i="13"/>
  <c r="G236" i="13" s="1"/>
  <c r="F238" i="13"/>
  <c r="G238" i="13" s="1"/>
  <c r="F239" i="13"/>
  <c r="G239" i="13" s="1"/>
  <c r="F240" i="13"/>
  <c r="G240" i="13" s="1"/>
  <c r="F244" i="13"/>
  <c r="G244" i="13" s="1"/>
  <c r="F245" i="13"/>
  <c r="G245" i="13"/>
  <c r="F246" i="13"/>
  <c r="G246" i="13" s="1"/>
  <c r="F247" i="13"/>
  <c r="G247" i="13" s="1"/>
  <c r="F250" i="13"/>
  <c r="G250" i="13" s="1"/>
  <c r="G251" i="13"/>
  <c r="F256" i="13"/>
  <c r="G256" i="13" s="1"/>
  <c r="F257" i="13"/>
  <c r="G257" i="13" s="1"/>
  <c r="F258" i="13"/>
  <c r="G258" i="13" s="1"/>
  <c r="F259" i="13"/>
  <c r="G259" i="13" s="1"/>
  <c r="F260" i="13"/>
  <c r="G260" i="13" s="1"/>
  <c r="F261" i="13"/>
  <c r="G261" i="13" s="1"/>
  <c r="F263" i="13"/>
  <c r="G263" i="13"/>
  <c r="G262" i="13" s="1"/>
  <c r="F267" i="13"/>
  <c r="G267" i="13" s="1"/>
  <c r="F268" i="13"/>
  <c r="G268" i="13"/>
  <c r="F269" i="13"/>
  <c r="G269" i="13" s="1"/>
  <c r="F270" i="13"/>
  <c r="G270" i="13"/>
  <c r="F271" i="13"/>
  <c r="G271" i="13" s="1"/>
  <c r="F272" i="13"/>
  <c r="G272" i="13" s="1"/>
  <c r="F273" i="13"/>
  <c r="G273" i="13" s="1"/>
  <c r="F274" i="13"/>
  <c r="G274" i="13"/>
  <c r="F275" i="13"/>
  <c r="G275" i="13" s="1"/>
  <c r="F276" i="13"/>
  <c r="G276" i="13"/>
  <c r="F277" i="13"/>
  <c r="G277" i="13" s="1"/>
  <c r="F278" i="13"/>
  <c r="G278" i="13"/>
  <c r="F279" i="13"/>
  <c r="G279" i="13" s="1"/>
  <c r="F280" i="13"/>
  <c r="G280" i="13" s="1"/>
  <c r="F281" i="13"/>
  <c r="G281" i="13" s="1"/>
  <c r="F282" i="13"/>
  <c r="G282" i="13"/>
  <c r="F283" i="13"/>
  <c r="G283" i="13" s="1"/>
  <c r="F284" i="13"/>
  <c r="G284" i="13"/>
  <c r="F285" i="13"/>
  <c r="G285" i="13" s="1"/>
  <c r="F286" i="13"/>
  <c r="G286" i="13"/>
  <c r="F287" i="13"/>
  <c r="G287" i="13" s="1"/>
  <c r="F288" i="13"/>
  <c r="G288" i="13" s="1"/>
  <c r="F289" i="13"/>
  <c r="G289" i="13" s="1"/>
  <c r="F290" i="13"/>
  <c r="G290" i="13"/>
  <c r="F291" i="13"/>
  <c r="G291" i="13" s="1"/>
  <c r="F292" i="13"/>
  <c r="G292" i="13"/>
  <c r="F293" i="13"/>
  <c r="G293" i="13" s="1"/>
  <c r="F294" i="13"/>
  <c r="G294" i="13"/>
  <c r="F295" i="13"/>
  <c r="G295" i="13" s="1"/>
  <c r="F296" i="13"/>
  <c r="G296" i="13" s="1"/>
  <c r="F297" i="13"/>
  <c r="G297" i="13" s="1"/>
  <c r="F298" i="13"/>
  <c r="G298" i="13"/>
  <c r="F299" i="13"/>
  <c r="G299" i="13" s="1"/>
  <c r="F300" i="13"/>
  <c r="G300" i="13"/>
  <c r="F303" i="13"/>
  <c r="G303" i="13" s="1"/>
  <c r="F304" i="13"/>
  <c r="G304" i="13" s="1"/>
  <c r="F305" i="13"/>
  <c r="G305" i="13" s="1"/>
  <c r="F306" i="13"/>
  <c r="G306" i="13"/>
  <c r="F307" i="13"/>
  <c r="G307" i="13" s="1"/>
  <c r="F308" i="13"/>
  <c r="G308" i="13"/>
  <c r="F309" i="13"/>
  <c r="G309" i="13" s="1"/>
  <c r="F310" i="13"/>
  <c r="F314" i="13"/>
  <c r="G314" i="13"/>
  <c r="G313" i="13" s="1"/>
  <c r="F315" i="13"/>
  <c r="G315" i="13" s="1"/>
  <c r="F316" i="13"/>
  <c r="G316" i="13"/>
  <c r="F317" i="13"/>
  <c r="G317" i="13" s="1"/>
  <c r="F318" i="13"/>
  <c r="G318" i="13" s="1"/>
  <c r="F319" i="13"/>
  <c r="G319" i="13" s="1"/>
  <c r="F320" i="13"/>
  <c r="G320" i="13"/>
  <c r="F322" i="13"/>
  <c r="G322" i="13" s="1"/>
  <c r="G321" i="13" s="1"/>
  <c r="F23" i="7"/>
  <c r="G23" i="7" s="1"/>
  <c r="H8" i="11"/>
  <c r="F16" i="11"/>
  <c r="G16" i="11" s="1"/>
  <c r="F17" i="11"/>
  <c r="G17" i="11" s="1"/>
  <c r="F18" i="11"/>
  <c r="G18" i="11" s="1"/>
  <c r="H21" i="11"/>
  <c r="F22" i="11"/>
  <c r="G22" i="11" s="1"/>
  <c r="G21" i="11" s="1"/>
  <c r="G20" i="11" s="1"/>
  <c r="F23" i="11"/>
  <c r="G23" i="11" s="1"/>
  <c r="G25" i="11"/>
  <c r="H25" i="11"/>
  <c r="H29" i="11"/>
  <c r="H28" i="11" s="1"/>
  <c r="F22" i="7"/>
  <c r="G22" i="7"/>
  <c r="H20" i="7"/>
  <c r="H8" i="9"/>
  <c r="F10" i="9"/>
  <c r="G10" i="9" s="1"/>
  <c r="F11" i="9"/>
  <c r="G11" i="9" s="1"/>
  <c r="F12" i="9"/>
  <c r="G12" i="9" s="1"/>
  <c r="F13" i="9"/>
  <c r="G13" i="9" s="1"/>
  <c r="H17" i="9"/>
  <c r="H16" i="9"/>
  <c r="F18" i="9"/>
  <c r="G18" i="9" s="1"/>
  <c r="G17" i="9" s="1"/>
  <c r="G16" i="9" s="1"/>
  <c r="H20" i="9"/>
  <c r="H8" i="8"/>
  <c r="H1" i="8" s="1"/>
  <c r="C17" i="14" s="1"/>
  <c r="F10" i="8"/>
  <c r="G10" i="8" s="1"/>
  <c r="F11" i="8"/>
  <c r="G11" i="8" s="1"/>
  <c r="F12" i="8"/>
  <c r="G12" i="8"/>
  <c r="F13" i="8"/>
  <c r="G13" i="8" s="1"/>
  <c r="F14" i="8"/>
  <c r="G14" i="8" s="1"/>
  <c r="F15" i="8"/>
  <c r="G15" i="8" s="1"/>
  <c r="F16" i="8"/>
  <c r="G16" i="8"/>
  <c r="F17" i="8"/>
  <c r="G17" i="8" s="1"/>
  <c r="F18" i="8"/>
  <c r="G18" i="8" s="1"/>
  <c r="F19" i="8"/>
  <c r="G19" i="8" s="1"/>
  <c r="F20" i="8"/>
  <c r="G20" i="8" s="1"/>
  <c r="F21" i="8"/>
  <c r="G21" i="8" s="1"/>
  <c r="F26" i="8"/>
  <c r="G26" i="8" s="1"/>
  <c r="F27" i="8"/>
  <c r="F28" i="8"/>
  <c r="G28" i="8" s="1"/>
  <c r="F29" i="8"/>
  <c r="G29" i="8" s="1"/>
  <c r="F31" i="8"/>
  <c r="G31" i="8" s="1"/>
  <c r="F32" i="8"/>
  <c r="G32" i="8" s="1"/>
  <c r="F34" i="8"/>
  <c r="G34" i="8" s="1"/>
  <c r="F36" i="8"/>
  <c r="G36" i="8" s="1"/>
  <c r="F37" i="8"/>
  <c r="G37" i="8" s="1"/>
  <c r="F39" i="8"/>
  <c r="G39" i="8" s="1"/>
  <c r="F40" i="8"/>
  <c r="G40" i="8" s="1"/>
  <c r="F42" i="8"/>
  <c r="G42" i="8" s="1"/>
  <c r="F43" i="8"/>
  <c r="G43" i="8"/>
  <c r="F45" i="8"/>
  <c r="G45" i="8" s="1"/>
  <c r="F46" i="8"/>
  <c r="G46" i="8"/>
  <c r="F51" i="8"/>
  <c r="G51" i="8" s="1"/>
  <c r="G52" i="8" s="1"/>
  <c r="F52" i="8"/>
  <c r="F53" i="8"/>
  <c r="G53" i="8"/>
  <c r="F55" i="8"/>
  <c r="G55" i="8" s="1"/>
  <c r="F57" i="8"/>
  <c r="G57" i="8"/>
  <c r="H60" i="8"/>
  <c r="H59" i="8" s="1"/>
  <c r="F61" i="8"/>
  <c r="G61" i="8"/>
  <c r="F62" i="8"/>
  <c r="G62" i="8" s="1"/>
  <c r="H8" i="7"/>
  <c r="H7" i="7" s="1"/>
  <c r="H1" i="7" s="1"/>
  <c r="F9" i="7"/>
  <c r="G9" i="7" s="1"/>
  <c r="F10" i="7"/>
  <c r="G10" i="7"/>
  <c r="F14" i="7"/>
  <c r="G14" i="7" s="1"/>
  <c r="F15" i="7"/>
  <c r="G15" i="7" s="1"/>
  <c r="F16" i="7"/>
  <c r="G16" i="7" s="1"/>
  <c r="F18" i="7"/>
  <c r="G18" i="7" s="1"/>
  <c r="F9" i="6"/>
  <c r="G9" i="6"/>
  <c r="F10" i="6"/>
  <c r="G10" i="6" s="1"/>
  <c r="F11" i="6"/>
  <c r="G11" i="6" s="1"/>
  <c r="F12" i="6"/>
  <c r="G12" i="6" s="1"/>
  <c r="F13" i="6"/>
  <c r="G13" i="6"/>
  <c r="F14" i="6"/>
  <c r="G14" i="6" s="1"/>
  <c r="F16" i="6"/>
  <c r="G16" i="6"/>
  <c r="F17" i="6"/>
  <c r="G17" i="6" s="1"/>
  <c r="G18" i="6" s="1"/>
  <c r="F19" i="6"/>
  <c r="G19" i="6"/>
  <c r="H20" i="6"/>
  <c r="F21" i="6"/>
  <c r="G21" i="6" s="1"/>
  <c r="G20" i="6" s="1"/>
  <c r="F26" i="6"/>
  <c r="G26" i="6" s="1"/>
  <c r="F28" i="6"/>
  <c r="G28" i="6" s="1"/>
  <c r="G29" i="6"/>
  <c r="F30" i="6"/>
  <c r="G30" i="6" s="1"/>
  <c r="G31" i="6" s="1"/>
  <c r="F32" i="6"/>
  <c r="G32" i="6"/>
  <c r="G33" i="6"/>
  <c r="F35" i="6"/>
  <c r="G35" i="6" s="1"/>
  <c r="F36" i="6"/>
  <c r="G36" i="6"/>
  <c r="F38" i="6"/>
  <c r="G38" i="6" s="1"/>
  <c r="F39" i="6"/>
  <c r="G39" i="6" s="1"/>
  <c r="H40" i="6"/>
  <c r="H23" i="6" s="1"/>
  <c r="F41" i="6"/>
  <c r="G41" i="6"/>
  <c r="G40" i="6" s="1"/>
  <c r="H44" i="6"/>
  <c r="H43" i="6" s="1"/>
  <c r="F46" i="6"/>
  <c r="G46" i="6" s="1"/>
  <c r="G44" i="6" s="1"/>
  <c r="G43" i="6" s="1"/>
  <c r="F48" i="6"/>
  <c r="G48" i="6" s="1"/>
  <c r="G27" i="4"/>
  <c r="F29" i="4"/>
  <c r="G29" i="4" s="1"/>
  <c r="F30" i="4"/>
  <c r="G30" i="4" s="1"/>
  <c r="F33" i="4"/>
  <c r="G33" i="4" s="1"/>
  <c r="F35" i="4"/>
  <c r="G35" i="4" s="1"/>
  <c r="F36" i="4"/>
  <c r="G36" i="4" s="1"/>
  <c r="F37" i="4"/>
  <c r="G37" i="4" s="1"/>
  <c r="F42" i="4"/>
  <c r="G42" i="4" s="1"/>
  <c r="F45" i="4"/>
  <c r="G45" i="4" s="1"/>
  <c r="H47" i="4"/>
  <c r="F50" i="4"/>
  <c r="G50" i="4"/>
  <c r="F51" i="4"/>
  <c r="G51" i="4" s="1"/>
  <c r="F39" i="3"/>
  <c r="G39" i="3" s="1"/>
  <c r="F38" i="3"/>
  <c r="G38" i="3" s="1"/>
  <c r="G37" i="3" s="1"/>
  <c r="F36" i="3"/>
  <c r="G36" i="3" s="1"/>
  <c r="F35" i="3"/>
  <c r="G35" i="3" s="1"/>
  <c r="F33" i="3"/>
  <c r="G33" i="3" s="1"/>
  <c r="F32" i="3"/>
  <c r="G32" i="3" s="1"/>
  <c r="F31" i="3"/>
  <c r="G31" i="3" s="1"/>
  <c r="F30" i="3"/>
  <c r="G30" i="3" s="1"/>
  <c r="F28" i="3"/>
  <c r="G28" i="3" s="1"/>
  <c r="F27" i="3"/>
  <c r="G27" i="3" s="1"/>
  <c r="F26" i="3"/>
  <c r="G26" i="3" s="1"/>
  <c r="F25" i="3"/>
  <c r="G25" i="3" s="1"/>
  <c r="F23" i="3"/>
  <c r="G23" i="3"/>
  <c r="F22" i="3"/>
  <c r="G22" i="3" s="1"/>
  <c r="F21" i="3"/>
  <c r="G21" i="3"/>
  <c r="F20" i="3"/>
  <c r="G20" i="3" s="1"/>
  <c r="F19" i="3"/>
  <c r="G19" i="3" s="1"/>
  <c r="F18" i="3"/>
  <c r="G18" i="3" s="1"/>
  <c r="F17" i="3"/>
  <c r="G17" i="3"/>
  <c r="F16" i="3"/>
  <c r="G16" i="3" s="1"/>
  <c r="F14" i="3"/>
  <c r="G14" i="3"/>
  <c r="F13" i="3"/>
  <c r="G13" i="3" s="1"/>
  <c r="F12" i="3"/>
  <c r="G12" i="3" s="1"/>
  <c r="F11" i="3"/>
  <c r="G11" i="3" s="1"/>
  <c r="G231" i="13"/>
  <c r="G223" i="13"/>
  <c r="G224" i="13" s="1"/>
  <c r="G48" i="13"/>
  <c r="G49" i="13" s="1"/>
  <c r="G36" i="13"/>
  <c r="G37" i="13"/>
  <c r="G237" i="13"/>
  <c r="G44" i="17"/>
  <c r="G35" i="17"/>
  <c r="G34" i="17" s="1"/>
  <c r="G27" i="6"/>
  <c r="G21" i="7"/>
  <c r="G20" i="7" s="1"/>
  <c r="G42" i="17"/>
  <c r="G41" i="17" s="1"/>
  <c r="G132" i="13" l="1"/>
  <c r="G49" i="8"/>
  <c r="G48" i="8" s="1"/>
  <c r="G302" i="13"/>
  <c r="G145" i="13"/>
  <c r="G146" i="13"/>
  <c r="G143" i="13" s="1"/>
  <c r="G142" i="13" s="1"/>
  <c r="G25" i="15"/>
  <c r="G24" i="15" s="1"/>
  <c r="G9" i="11"/>
  <c r="G24" i="6"/>
  <c r="G23" i="6" s="1"/>
  <c r="G8" i="6"/>
  <c r="G7" i="6" s="1"/>
  <c r="F1" i="6" s="1"/>
  <c r="B16" i="14" s="1"/>
  <c r="H20" i="11"/>
  <c r="H1" i="11" s="1"/>
  <c r="C19" i="14" s="1"/>
  <c r="G80" i="13"/>
  <c r="G79" i="13" s="1"/>
  <c r="G47" i="15"/>
  <c r="G34" i="18"/>
  <c r="G21" i="9"/>
  <c r="G20" i="9" s="1"/>
  <c r="G8" i="7"/>
  <c r="G7" i="7" s="1"/>
  <c r="G243" i="13"/>
  <c r="G242" i="13" s="1"/>
  <c r="G9" i="17"/>
  <c r="G8" i="17" s="1"/>
  <c r="F1" i="17" s="1"/>
  <c r="B7" i="14" s="1"/>
  <c r="G16" i="18"/>
  <c r="G22" i="18"/>
  <c r="F1" i="18" s="1"/>
  <c r="B3" i="14" s="1"/>
  <c r="G60" i="8"/>
  <c r="G59" i="8" s="1"/>
  <c r="G255" i="13"/>
  <c r="G254" i="13" s="1"/>
  <c r="G26" i="13"/>
  <c r="G27" i="13" s="1"/>
  <c r="G118" i="13"/>
  <c r="G117" i="13" s="1"/>
  <c r="H1" i="13"/>
  <c r="C18" i="14" s="1"/>
  <c r="G73" i="13"/>
  <c r="G72" i="13" s="1"/>
  <c r="G62" i="13"/>
  <c r="G13" i="7"/>
  <c r="G12" i="7" s="1"/>
  <c r="G14" i="15"/>
  <c r="G13" i="15" s="1"/>
  <c r="F1" i="15" s="1"/>
  <c r="B12" i="14" s="1"/>
  <c r="H13" i="15"/>
  <c r="H1" i="16"/>
  <c r="C9" i="14" s="1"/>
  <c r="H1" i="9"/>
  <c r="C10" i="14" s="1"/>
  <c r="H24" i="4"/>
  <c r="H1" i="4" s="1"/>
  <c r="C13" i="14" s="1"/>
  <c r="G32" i="25"/>
  <c r="G31" i="25" s="1"/>
  <c r="G9" i="25"/>
  <c r="G8" i="25" s="1"/>
  <c r="G20" i="25"/>
  <c r="G19" i="25" s="1"/>
  <c r="F1" i="25" s="1"/>
  <c r="B14" i="14" s="1"/>
  <c r="H31" i="25"/>
  <c r="G9" i="3"/>
  <c r="G8" i="3" s="1"/>
  <c r="F1" i="3" s="1"/>
  <c r="B11" i="14" s="1"/>
  <c r="G9" i="16"/>
  <c r="F1" i="7"/>
  <c r="B15" i="14" s="1"/>
  <c r="G312" i="13"/>
  <c r="G27" i="8"/>
  <c r="G24" i="8" s="1"/>
  <c r="G23" i="8" s="1"/>
  <c r="H39" i="15"/>
  <c r="G45" i="13"/>
  <c r="G46" i="13" s="1"/>
  <c r="G213" i="13"/>
  <c r="G210" i="13" s="1"/>
  <c r="G209" i="13" s="1"/>
  <c r="G266" i="13"/>
  <c r="G100" i="13"/>
  <c r="G99" i="13" s="1"/>
  <c r="H47" i="15"/>
  <c r="H1" i="15" s="1"/>
  <c r="C12" i="14" s="1"/>
  <c r="G40" i="15"/>
  <c r="G39" i="15" s="1"/>
  <c r="G65" i="8"/>
  <c r="G64" i="8" s="1"/>
  <c r="G48" i="4"/>
  <c r="G47" i="4" s="1"/>
  <c r="G25" i="4"/>
  <c r="G24" i="4" s="1"/>
  <c r="G9" i="9"/>
  <c r="G8" i="9" s="1"/>
  <c r="F1" i="9" s="1"/>
  <c r="B10" i="14" s="1"/>
  <c r="C15" i="14"/>
  <c r="G31" i="13"/>
  <c r="G32" i="13" s="1"/>
  <c r="G40" i="4"/>
  <c r="G9" i="8"/>
  <c r="G8" i="8" s="1"/>
  <c r="G15" i="11"/>
  <c r="G8" i="11" s="1"/>
  <c r="F1" i="11" s="1"/>
  <c r="B19" i="14" s="1"/>
  <c r="G163" i="13"/>
  <c r="G162" i="13" s="1"/>
  <c r="G23" i="22"/>
  <c r="G9" i="22" s="1"/>
  <c r="G8" i="22" s="1"/>
  <c r="F1" i="22" s="1"/>
  <c r="B8" i="14" s="1"/>
  <c r="G55" i="15"/>
  <c r="G54" i="15" s="1"/>
  <c r="H7" i="6"/>
  <c r="H1" i="6" s="1"/>
  <c r="C16" i="14" s="1"/>
  <c r="G8" i="16" l="1"/>
  <c r="F1" i="16" s="1"/>
  <c r="B9" i="14" s="1"/>
  <c r="G265" i="13"/>
  <c r="C21" i="14"/>
  <c r="C23" i="14" s="1"/>
  <c r="C25" i="14" s="1"/>
  <c r="G9" i="13"/>
  <c r="G8" i="13" s="1"/>
  <c r="F1" i="8"/>
  <c r="B17" i="14" s="1"/>
  <c r="G39" i="4"/>
  <c r="F1" i="4" s="1"/>
  <c r="B13" i="14" s="1"/>
  <c r="F1" i="13" l="1"/>
  <c r="B18" i="14" s="1"/>
  <c r="B21" i="14" s="1"/>
  <c r="B22" i="14" l="1"/>
  <c r="B23" i="14" s="1"/>
  <c r="B25" i="14" s="1"/>
</calcChain>
</file>

<file path=xl/sharedStrings.xml><?xml version="1.0" encoding="utf-8"?>
<sst xmlns="http://schemas.openxmlformats.org/spreadsheetml/2006/main" count="1961" uniqueCount="1480">
  <si>
    <t>Line #</t>
  </si>
  <si>
    <t>Item</t>
  </si>
  <si>
    <t>Subtotal</t>
  </si>
  <si>
    <t>Pre-actual</t>
  </si>
  <si>
    <t>E/D Member</t>
  </si>
  <si>
    <t>Specifics</t>
  </si>
  <si>
    <t>POSITION PRELIM. TOTAL</t>
  </si>
  <si>
    <t>POSITION ACTUAL TOTAL</t>
  </si>
  <si>
    <r>
      <rPr>
        <b/>
        <sz val="8"/>
        <rFont val="Calibri"/>
        <family val="2"/>
        <scheme val="minor"/>
      </rPr>
      <t>(if applicable)</t>
    </r>
    <r>
      <rPr>
        <b/>
        <sz val="11"/>
        <rFont val="Calibri"/>
        <family val="2"/>
        <scheme val="minor"/>
      </rPr>
      <t xml:space="preserve">
Unit Price</t>
    </r>
  </si>
  <si>
    <r>
      <t xml:space="preserve">Prelim. Total
</t>
    </r>
    <r>
      <rPr>
        <b/>
        <sz val="8"/>
        <rFont val="Calibri"/>
        <family val="2"/>
        <scheme val="minor"/>
      </rPr>
      <t>2012/2013</t>
    </r>
  </si>
  <si>
    <r>
      <t xml:space="preserve">Actual Total
</t>
    </r>
    <r>
      <rPr>
        <b/>
        <sz val="8"/>
        <rFont val="Calibri"/>
        <family val="2"/>
        <scheme val="minor"/>
      </rPr>
      <t>2012/2013</t>
    </r>
  </si>
  <si>
    <t>Expenses</t>
  </si>
  <si>
    <t>Revenue</t>
  </si>
  <si>
    <t>Qty.</t>
  </si>
  <si>
    <t>Subcategory</t>
  </si>
  <si>
    <t>Appreciation</t>
  </si>
  <si>
    <t>Pop</t>
  </si>
  <si>
    <t>TAB Night</t>
  </si>
  <si>
    <t>Tea</t>
  </si>
  <si>
    <t>Cookies</t>
  </si>
  <si>
    <t>Coffee</t>
  </si>
  <si>
    <t>1 dozen cookies</t>
  </si>
  <si>
    <t>Food/Drinks</t>
  </si>
  <si>
    <t>Location</t>
  </si>
  <si>
    <t>Tea Room Renting Fee</t>
  </si>
  <si>
    <t>Covers Staffing for the event (cost is per hour)</t>
  </si>
  <si>
    <t>Charged by unit price</t>
  </si>
  <si>
    <t>Tickets</t>
  </si>
  <si>
    <t>Cost to Attend</t>
  </si>
  <si>
    <t>Pizza Pizza</t>
  </si>
  <si>
    <t>Food and Drinks</t>
  </si>
  <si>
    <t>Morning Coffee</t>
  </si>
  <si>
    <t>Lunch</t>
  </si>
  <si>
    <t>Photos for Admitted Students Day Booth</t>
  </si>
  <si>
    <t>Marketing</t>
  </si>
  <si>
    <t>Thank you Gifts</t>
  </si>
  <si>
    <t>Small gifts for Speakers</t>
  </si>
  <si>
    <t>16010</t>
  </si>
  <si>
    <t>16030</t>
  </si>
  <si>
    <t>16040</t>
  </si>
  <si>
    <t>16050</t>
  </si>
  <si>
    <t>16060</t>
  </si>
  <si>
    <t>16061</t>
  </si>
  <si>
    <t>16070</t>
  </si>
  <si>
    <t>16080</t>
  </si>
  <si>
    <t>16090</t>
  </si>
  <si>
    <t>16100</t>
  </si>
  <si>
    <t>16000</t>
  </si>
  <si>
    <t>ED Meet and Greet - budgeting for 100 students</t>
  </si>
  <si>
    <t>First Year Conference - budgeting for 100 students</t>
  </si>
  <si>
    <t>CATEGORY</t>
  </si>
  <si>
    <t>Training</t>
  </si>
  <si>
    <t>15101</t>
  </si>
  <si>
    <t>Safety Training</t>
  </si>
  <si>
    <t>For Team Safety Officers</t>
  </si>
  <si>
    <t>15102</t>
  </si>
  <si>
    <t>Web Training</t>
  </si>
  <si>
    <t>15103</t>
  </si>
  <si>
    <t>15104</t>
  </si>
  <si>
    <t>Management</t>
  </si>
  <si>
    <t>Conferences</t>
  </si>
  <si>
    <t>15201</t>
  </si>
  <si>
    <t>CEEC Tickets</t>
  </si>
  <si>
    <t>15202</t>
  </si>
  <si>
    <t>CIRQUE Tickets</t>
  </si>
  <si>
    <t>15203</t>
  </si>
  <si>
    <t>WISE</t>
  </si>
  <si>
    <t>Dinner with Industry</t>
  </si>
  <si>
    <t>15204</t>
  </si>
  <si>
    <t>QSEC</t>
  </si>
  <si>
    <t>15205</t>
  </si>
  <si>
    <t>QGIC</t>
  </si>
  <si>
    <t>FYPCO</t>
  </si>
  <si>
    <t>15206</t>
  </si>
  <si>
    <t>OEC</t>
  </si>
  <si>
    <t>Delegate Fees</t>
  </si>
  <si>
    <t>15207</t>
  </si>
  <si>
    <t>Transport Subsidy</t>
  </si>
  <si>
    <t>15208</t>
  </si>
  <si>
    <t>Sponsorship</t>
  </si>
  <si>
    <t>For each Conference</t>
  </si>
  <si>
    <t>Design Teams</t>
  </si>
  <si>
    <t>15301</t>
  </si>
  <si>
    <t>Polo Subsidy</t>
  </si>
  <si>
    <t>15302</t>
  </si>
  <si>
    <t>Incentives</t>
  </si>
  <si>
    <t>For Performance/Innovation</t>
  </si>
  <si>
    <t>15303</t>
  </si>
  <si>
    <t>New Teams</t>
  </si>
  <si>
    <t>Start-up Incentive</t>
  </si>
  <si>
    <t>15304</t>
  </si>
  <si>
    <t>Design Team Showcase</t>
  </si>
  <si>
    <t>Team Space</t>
  </si>
  <si>
    <t>15401</t>
  </si>
  <si>
    <t>Garbage Bags</t>
  </si>
  <si>
    <t>For large cleanout of space</t>
  </si>
  <si>
    <t>15402</t>
  </si>
  <si>
    <t>Dumpster</t>
  </si>
  <si>
    <t>15403</t>
  </si>
  <si>
    <t>Upkeep</t>
  </si>
  <si>
    <t>Supplies, etc.</t>
  </si>
  <si>
    <t>15404</t>
  </si>
  <si>
    <t>Safety Boots</t>
  </si>
  <si>
    <t>For work with heavy material</t>
  </si>
  <si>
    <t>Miscellaneous</t>
  </si>
  <si>
    <t>15801</t>
  </si>
  <si>
    <t>for DTRT</t>
  </si>
  <si>
    <t>15803</t>
  </si>
  <si>
    <t>USBs</t>
  </si>
  <si>
    <t>For New Initiatives Package</t>
  </si>
  <si>
    <t>15901</t>
  </si>
  <si>
    <t>Safety Subsidy</t>
  </si>
  <si>
    <t>PPE Subsidy from PEO</t>
  </si>
  <si>
    <t>15902</t>
  </si>
  <si>
    <t>Civil Subsidy</t>
  </si>
  <si>
    <t>PPE Subsidy from Civil</t>
  </si>
  <si>
    <t>Queen's Stickers, pens</t>
  </si>
  <si>
    <t>Swag</t>
  </si>
  <si>
    <t>17024</t>
  </si>
  <si>
    <t>We exchange them at conferences</t>
  </si>
  <si>
    <t>EngSoc Patch</t>
  </si>
  <si>
    <t>17023</t>
  </si>
  <si>
    <t>Merchandise to hand out at Conferences</t>
  </si>
  <si>
    <t>Annual Fee</t>
  </si>
  <si>
    <t>17022</t>
  </si>
  <si>
    <t>ESSCO</t>
  </si>
  <si>
    <t>17021</t>
  </si>
  <si>
    <t>CFES</t>
  </si>
  <si>
    <t>Membership Fees</t>
  </si>
  <si>
    <t>Gasoline, possible train</t>
  </si>
  <si>
    <t>Travel Costs</t>
  </si>
  <si>
    <t>17020</t>
  </si>
  <si>
    <t>Enterprise - Full Size</t>
  </si>
  <si>
    <t>Car Rental</t>
  </si>
  <si>
    <t>17019</t>
  </si>
  <si>
    <t>17018</t>
  </si>
  <si>
    <t>National Conference on Women in Engineering (Concordia)</t>
  </si>
  <si>
    <t>17017</t>
  </si>
  <si>
    <t>Week long Conference</t>
  </si>
  <si>
    <t>17016</t>
  </si>
  <si>
    <t>Congress (Waterloo)</t>
  </si>
  <si>
    <t>Taxi to and from Airport</t>
  </si>
  <si>
    <t>17015</t>
  </si>
  <si>
    <t>17014</t>
  </si>
  <si>
    <t>To and from Halifax</t>
  </si>
  <si>
    <t>Flights</t>
  </si>
  <si>
    <t>Presidents Meeting ( Dalhousie)</t>
  </si>
  <si>
    <t>CFES Conferences</t>
  </si>
  <si>
    <t>Taxi from Airport</t>
  </si>
  <si>
    <t>17012</t>
  </si>
  <si>
    <t>To and from Thunder Bay</t>
  </si>
  <si>
    <t>17011</t>
  </si>
  <si>
    <t>17010</t>
  </si>
  <si>
    <t>First Year Integration (Lakehead)</t>
  </si>
  <si>
    <t>Gasoline</t>
  </si>
  <si>
    <t>17009</t>
  </si>
  <si>
    <t>Rental Car</t>
  </si>
  <si>
    <t>17008</t>
  </si>
  <si>
    <t>17007</t>
  </si>
  <si>
    <t>PEO - SC (Ottawa)</t>
  </si>
  <si>
    <t>17006</t>
  </si>
  <si>
    <t>3 people</t>
  </si>
  <si>
    <t>17005</t>
  </si>
  <si>
    <t>Presidents Meeting (Ryerson)</t>
  </si>
  <si>
    <t>17002</t>
  </si>
  <si>
    <t>Annual General Meeting (Queen's)</t>
  </si>
  <si>
    <t>ESSCO Conferences</t>
  </si>
  <si>
    <t>Pizza</t>
  </si>
  <si>
    <t>MANAGER TRAINING</t>
  </si>
  <si>
    <t>6 per page, colour, P&amp;CC</t>
  </si>
  <si>
    <t>Name Tags</t>
  </si>
  <si>
    <t>Services Information Brochure</t>
  </si>
  <si>
    <t>Buttons</t>
  </si>
  <si>
    <t>Quarter page, card, colour, P&amp;CC</t>
  </si>
  <si>
    <t>Invitations</t>
  </si>
  <si>
    <t>SERVICE NIGHT</t>
  </si>
  <si>
    <t>No tax</t>
  </si>
  <si>
    <t>Dinner</t>
  </si>
  <si>
    <t xml:space="preserve">Fall Semester </t>
  </si>
  <si>
    <t>Buns</t>
  </si>
  <si>
    <t>Chips</t>
  </si>
  <si>
    <t>Hamburgers</t>
  </si>
  <si>
    <t>Winter Semester</t>
  </si>
  <si>
    <t>APPRECIATION</t>
  </si>
  <si>
    <t>Half page</t>
  </si>
  <si>
    <t>Journal Ad</t>
  </si>
  <si>
    <t>11x17 colour, P&amp;CC</t>
  </si>
  <si>
    <t>Posters</t>
  </si>
  <si>
    <t>Quarter page ad</t>
  </si>
  <si>
    <t>GW Ad</t>
  </si>
  <si>
    <t>Staff Hiring</t>
  </si>
  <si>
    <t>Manager/Director Hiring</t>
  </si>
  <si>
    <t>ADVERTISING</t>
  </si>
  <si>
    <t>20211</t>
  </si>
  <si>
    <t>No Tax</t>
  </si>
  <si>
    <t>For IT Team / Managers</t>
  </si>
  <si>
    <t>Jacket Bars</t>
  </si>
  <si>
    <t>20201</t>
  </si>
  <si>
    <t>People</t>
  </si>
  <si>
    <t>Various - Service, clubs, groups</t>
  </si>
  <si>
    <t>Domains</t>
  </si>
  <si>
    <t>20151</t>
  </si>
  <si>
    <t>Domain Management</t>
  </si>
  <si>
    <t>20122</t>
  </si>
  <si>
    <t>whereintheworldisyourgpa.com</t>
  </si>
  <si>
    <t>Domain</t>
  </si>
  <si>
    <t>20121</t>
  </si>
  <si>
    <t>New Listserve System (cloud)</t>
  </si>
  <si>
    <t>ListServe</t>
  </si>
  <si>
    <t>20112</t>
  </si>
  <si>
    <t>New main web server (Rackspace)</t>
  </si>
  <si>
    <t>Cloud Server</t>
  </si>
  <si>
    <t>20111</t>
  </si>
  <si>
    <t>Cloud and Web Services</t>
  </si>
  <si>
    <t>CISCO SmartNet</t>
  </si>
  <si>
    <t>20104</t>
  </si>
  <si>
    <t>For main site</t>
  </si>
  <si>
    <t>SSL Certificates</t>
  </si>
  <si>
    <t>20103</t>
  </si>
  <si>
    <t>ILC and Clark Hall</t>
  </si>
  <si>
    <t>Firewalls</t>
  </si>
  <si>
    <t>20102</t>
  </si>
  <si>
    <t>ITS Microsoft User Licensing</t>
  </si>
  <si>
    <t>AMS/ITS IT</t>
  </si>
  <si>
    <t>20101</t>
  </si>
  <si>
    <t>AMS/ITS</t>
  </si>
  <si>
    <t>Software</t>
  </si>
  <si>
    <t>Sell Server(s)</t>
  </si>
  <si>
    <t>Server</t>
  </si>
  <si>
    <t>20051</t>
  </si>
  <si>
    <t>For Wireless mouse/keyboard</t>
  </si>
  <si>
    <t>Batteries</t>
  </si>
  <si>
    <t>20013</t>
  </si>
  <si>
    <t>ITS to Connect jack in atrium</t>
  </si>
  <si>
    <t>Ethernet Jack</t>
  </si>
  <si>
    <t>20012</t>
  </si>
  <si>
    <t>For Lounge TV</t>
  </si>
  <si>
    <t>Computer</t>
  </si>
  <si>
    <t>20011</t>
  </si>
  <si>
    <t>ILC TV System</t>
  </si>
  <si>
    <t>Replacment Computer (office)</t>
  </si>
  <si>
    <t>20006</t>
  </si>
  <si>
    <t>Upkeep for lounge and office</t>
  </si>
  <si>
    <t>Keyboard &amp; Mice</t>
  </si>
  <si>
    <t>20005</t>
  </si>
  <si>
    <t>Replacment for Hard drive</t>
  </si>
  <si>
    <t>Power Adapter</t>
  </si>
  <si>
    <t>20004</t>
  </si>
  <si>
    <t>For utility and securing information</t>
  </si>
  <si>
    <t>4GB USB Drive</t>
  </si>
  <si>
    <t>20003</t>
  </si>
  <si>
    <t>16 GB USB Drive</t>
  </si>
  <si>
    <t>20002</t>
  </si>
  <si>
    <t>Examine and access old harddrives</t>
  </si>
  <si>
    <t>Hard drive Dock</t>
  </si>
  <si>
    <t>20001</t>
  </si>
  <si>
    <t>Hardware</t>
  </si>
  <si>
    <t>20 - Information Technology - Mark Godin</t>
  </si>
  <si>
    <t>http://printingservicestorontonow.com/services/carbonless-ncr-form-printing/</t>
  </si>
  <si>
    <t>http://canadacopy.com/oscommerce/product_info.php/55-85-multi-part-form-booklets-p-397</t>
  </si>
  <si>
    <t>Carbonless Copy Paper</t>
  </si>
  <si>
    <t>Deposit Forms</t>
  </si>
  <si>
    <t>http://www.carbonlessondemand.com/cgi-bin/shop/pid_101.htm</t>
  </si>
  <si>
    <t>Cheque Reqs</t>
  </si>
  <si>
    <t>To divide papers</t>
  </si>
  <si>
    <t>Dividers</t>
  </si>
  <si>
    <t>To Hold paper and dividers</t>
  </si>
  <si>
    <t>Binders</t>
  </si>
  <si>
    <t>PILOT PROJECT FOR FORMS</t>
  </si>
  <si>
    <t>Per Person</t>
  </si>
  <si>
    <t>FINANCIAL TRAINING (TWO SESSIONS)</t>
  </si>
  <si>
    <t>Keep hard copy of policy</t>
  </si>
  <si>
    <t xml:space="preserve">Binders </t>
  </si>
  <si>
    <t>21400</t>
  </si>
  <si>
    <t xml:space="preserve"> $                                             -  </t>
  </si>
  <si>
    <t>GURU</t>
  </si>
  <si>
    <t>Binders, printing, etc.</t>
  </si>
  <si>
    <t>Archiving</t>
  </si>
  <si>
    <t>21301</t>
  </si>
  <si>
    <t>To display in campus locations</t>
  </si>
  <si>
    <t>Poster Supplies</t>
  </si>
  <si>
    <t>21300</t>
  </si>
  <si>
    <t>INTERNAL RECORDS</t>
  </si>
  <si>
    <t>Posters for Elections</t>
  </si>
  <si>
    <t>Advertising</t>
  </si>
  <si>
    <t>21205</t>
  </si>
  <si>
    <t>Year Elections</t>
  </si>
  <si>
    <t>For debates</t>
  </si>
  <si>
    <t>21203</t>
  </si>
  <si>
    <t>Poster for debates, voting, nominations</t>
  </si>
  <si>
    <t xml:space="preserve">Advertising </t>
  </si>
  <si>
    <t>21202</t>
  </si>
  <si>
    <t>Tax Deduction</t>
  </si>
  <si>
    <t>21201</t>
  </si>
  <si>
    <t>$80 for Prez, $50 for VP/senators (3 prez, 10 others)</t>
  </si>
  <si>
    <t>Candidate Refunds</t>
  </si>
  <si>
    <t>21200</t>
  </si>
  <si>
    <t>Exec Elections</t>
  </si>
  <si>
    <t>CRO/ELECTIONS</t>
  </si>
  <si>
    <t>Food</t>
  </si>
  <si>
    <t>Drinks</t>
  </si>
  <si>
    <t>21119</t>
  </si>
  <si>
    <t>21118</t>
  </si>
  <si>
    <t>First Council</t>
  </si>
  <si>
    <t>21116</t>
  </si>
  <si>
    <t>21115</t>
  </si>
  <si>
    <t>Holiday Council</t>
  </si>
  <si>
    <t>21113</t>
  </si>
  <si>
    <t>21112</t>
  </si>
  <si>
    <t>Halloween</t>
  </si>
  <si>
    <t>21110</t>
  </si>
  <si>
    <t>21109</t>
  </si>
  <si>
    <t>AGM</t>
  </si>
  <si>
    <t>To eat</t>
  </si>
  <si>
    <t xml:space="preserve">Plates &amp; Cutlery </t>
  </si>
  <si>
    <t>21107</t>
  </si>
  <si>
    <t>Potluck Councils</t>
  </si>
  <si>
    <t>21105</t>
  </si>
  <si>
    <t>21104</t>
  </si>
  <si>
    <t>BAF Council</t>
  </si>
  <si>
    <t>For jacket bursary</t>
  </si>
  <si>
    <t>Council Candy</t>
  </si>
  <si>
    <t>21103</t>
  </si>
  <si>
    <t xml:space="preserve">For new council members </t>
  </si>
  <si>
    <t>Placcards</t>
  </si>
  <si>
    <t>21102</t>
  </si>
  <si>
    <t>Tax deduction</t>
  </si>
  <si>
    <t>Writes minutes</t>
  </si>
  <si>
    <t>Secretary</t>
  </si>
  <si>
    <t>21100</t>
  </si>
  <si>
    <t>General</t>
  </si>
  <si>
    <t>COUNCIL</t>
  </si>
  <si>
    <t>To clark after awards</t>
  </si>
  <si>
    <t xml:space="preserve">Bussing </t>
  </si>
  <si>
    <t>21012</t>
  </si>
  <si>
    <t>Award committee</t>
  </si>
  <si>
    <t>21011</t>
  </si>
  <si>
    <t xml:space="preserve">Award committee </t>
  </si>
  <si>
    <t>21010</t>
  </si>
  <si>
    <t>Gift/Prize</t>
  </si>
  <si>
    <t>Teacher awards</t>
  </si>
  <si>
    <t>21009</t>
  </si>
  <si>
    <t>Printing</t>
  </si>
  <si>
    <t>21008</t>
  </si>
  <si>
    <t>For appreciation</t>
  </si>
  <si>
    <t>Mugs</t>
  </si>
  <si>
    <t>21007</t>
  </si>
  <si>
    <t>Engraving</t>
  </si>
  <si>
    <t>21006</t>
  </si>
  <si>
    <t>Sword</t>
  </si>
  <si>
    <t>21005</t>
  </si>
  <si>
    <t>Gratuities</t>
  </si>
  <si>
    <t>21004</t>
  </si>
  <si>
    <t>Wine</t>
  </si>
  <si>
    <t>21003</t>
  </si>
  <si>
    <t xml:space="preserve">Dinner </t>
  </si>
  <si>
    <t>21002</t>
  </si>
  <si>
    <t>Room rental</t>
  </si>
  <si>
    <t>21001</t>
  </si>
  <si>
    <t>BANQUET/AWARDS</t>
  </si>
  <si>
    <t>21 - Internal Affairs - Lowell Rose</t>
  </si>
  <si>
    <t>Annual Fee</t>
    <phoneticPr fontId="11" type="noConversion"/>
  </si>
  <si>
    <t>Flickr Pro Account</t>
    <phoneticPr fontId="11" type="noConversion"/>
  </si>
  <si>
    <t>14026</t>
    <phoneticPr fontId="11" type="noConversion"/>
  </si>
  <si>
    <t>Colour from P&amp;CC</t>
    <phoneticPr fontId="11" type="noConversion"/>
  </si>
  <si>
    <t>Advertisement Posters</t>
    <phoneticPr fontId="11" type="noConversion"/>
  </si>
  <si>
    <t>14025</t>
    <phoneticPr fontId="11" type="noConversion"/>
  </si>
  <si>
    <t>1 Full Page B&amp;W Ad</t>
    <phoneticPr fontId="11" type="noConversion"/>
  </si>
  <si>
    <t>GW Advertising</t>
    <phoneticPr fontId="11" type="noConversion"/>
  </si>
  <si>
    <t>14024</t>
    <phoneticPr fontId="11" type="noConversion"/>
  </si>
  <si>
    <t>Staples</t>
    <phoneticPr fontId="11" type="noConversion"/>
  </si>
  <si>
    <t>Glue</t>
    <phoneticPr fontId="11" type="noConversion"/>
  </si>
  <si>
    <t>14023</t>
    <phoneticPr fontId="11" type="noConversion"/>
  </si>
  <si>
    <t>Coloured Copy Paper</t>
    <phoneticPr fontId="11" type="noConversion"/>
  </si>
  <si>
    <t>14022</t>
    <phoneticPr fontId="11" type="noConversion"/>
  </si>
  <si>
    <t>Dollarama</t>
    <phoneticPr fontId="11" type="noConversion"/>
  </si>
  <si>
    <t>Markers</t>
    <phoneticPr fontId="11" type="noConversion"/>
  </si>
  <si>
    <t>14021</t>
    <phoneticPr fontId="11" type="noConversion"/>
  </si>
  <si>
    <t>Bristol Board</t>
    <phoneticPr fontId="11" type="noConversion"/>
  </si>
  <si>
    <t>14020</t>
    <phoneticPr fontId="11" type="noConversion"/>
  </si>
  <si>
    <t xml:space="preserve">Communications </t>
    <phoneticPr fontId="11" type="noConversion"/>
  </si>
  <si>
    <t>Drinks</t>
    <phoneticPr fontId="11" type="noConversion"/>
  </si>
  <si>
    <t>14010</t>
    <phoneticPr fontId="11" type="noConversion"/>
  </si>
  <si>
    <t>Vista Printing Colour Glossy</t>
    <phoneticPr fontId="11" type="noConversion"/>
  </si>
  <si>
    <t>Hiring Fair Cards</t>
    <phoneticPr fontId="11" type="noConversion"/>
  </si>
  <si>
    <t>14004</t>
    <phoneticPr fontId="11" type="noConversion"/>
  </si>
  <si>
    <t>Hiring Fair Posters</t>
    <phoneticPr fontId="11" type="noConversion"/>
  </si>
  <si>
    <t>14003</t>
    <phoneticPr fontId="11" type="noConversion"/>
  </si>
  <si>
    <t>14002</t>
    <phoneticPr fontId="11" type="noConversion"/>
  </si>
  <si>
    <t>14001</t>
    <phoneticPr fontId="11" type="noConversion"/>
  </si>
  <si>
    <t>Fall &amp; Spring Hiring Fairs, Interview Workshop</t>
    <phoneticPr fontId="11" type="noConversion"/>
  </si>
  <si>
    <t>Grand Prize</t>
  </si>
  <si>
    <t>Tablet</t>
  </si>
  <si>
    <t>Brodie</t>
  </si>
  <si>
    <t>Icon BBQ</t>
  </si>
  <si>
    <t>19001</t>
  </si>
  <si>
    <t>19002</t>
  </si>
  <si>
    <t>19111</t>
  </si>
  <si>
    <t>19112</t>
  </si>
  <si>
    <t>19113</t>
  </si>
  <si>
    <t>19114</t>
  </si>
  <si>
    <t>19121</t>
  </si>
  <si>
    <t>Calculator</t>
  </si>
  <si>
    <t>Big one for deposits</t>
  </si>
  <si>
    <t>Room Booking</t>
  </si>
  <si>
    <t>23200</t>
  </si>
  <si>
    <t>Room Booking for Recruitment/Informational Presentations</t>
  </si>
  <si>
    <t>23103</t>
  </si>
  <si>
    <t xml:space="preserve">Food </t>
  </si>
  <si>
    <t>23102</t>
  </si>
  <si>
    <t>23101</t>
  </si>
  <si>
    <t>Mock Interviews</t>
  </si>
  <si>
    <t>EngSoc Sponsorship</t>
  </si>
  <si>
    <t>23012</t>
  </si>
  <si>
    <t>Participant Fees</t>
  </si>
  <si>
    <t>23011</t>
  </si>
  <si>
    <t>Paid by the Faculty Office</t>
  </si>
  <si>
    <t>Annual Maintence Fee Coverage</t>
  </si>
  <si>
    <t>23010</t>
  </si>
  <si>
    <t>23005</t>
  </si>
  <si>
    <t>Coffee/Tea</t>
  </si>
  <si>
    <t>23004</t>
  </si>
  <si>
    <t>23003</t>
  </si>
  <si>
    <t>Includes Software Bundle</t>
  </si>
  <si>
    <t>Participant Cost</t>
  </si>
  <si>
    <t>23002</t>
  </si>
  <si>
    <t>Annual Maintenance Fee</t>
  </si>
  <si>
    <t>23001</t>
  </si>
  <si>
    <t>AutoCAD</t>
  </si>
  <si>
    <t>23 - Professional Development - Steve Hawthorne</t>
  </si>
  <si>
    <t>11007</t>
  </si>
  <si>
    <t>11006</t>
  </si>
  <si>
    <t>11004</t>
  </si>
  <si>
    <t>Posters, General Adverts</t>
  </si>
  <si>
    <t>11003</t>
  </si>
  <si>
    <t>Tutor Appreciation</t>
  </si>
  <si>
    <t>11002</t>
  </si>
  <si>
    <t>Englinks</t>
  </si>
  <si>
    <t>based on last year</t>
  </si>
  <si>
    <t>Deans contribution</t>
  </si>
  <si>
    <t>22510</t>
  </si>
  <si>
    <t>Food and Snacks</t>
  </si>
  <si>
    <t>22506</t>
  </si>
  <si>
    <t>22505</t>
  </si>
  <si>
    <t>For punch and drinks</t>
  </si>
  <si>
    <t>Ice</t>
  </si>
  <si>
    <t>22504</t>
  </si>
  <si>
    <t>Decorations</t>
  </si>
  <si>
    <t>22503</t>
  </si>
  <si>
    <t>Juice</t>
  </si>
  <si>
    <t>22502</t>
  </si>
  <si>
    <t>Live music entertainment</t>
  </si>
  <si>
    <t>22501</t>
  </si>
  <si>
    <t>By Colio Winery</t>
  </si>
  <si>
    <t>22500</t>
  </si>
  <si>
    <t>12 - WINE AND CHEESE</t>
  </si>
  <si>
    <t>1</t>
  </si>
  <si>
    <t>Rough estimation</t>
  </si>
  <si>
    <t>Donated money</t>
  </si>
  <si>
    <t>22465</t>
  </si>
  <si>
    <t>Gala Parte</t>
  </si>
  <si>
    <t>22464</t>
  </si>
  <si>
    <t>baked goods</t>
  </si>
  <si>
    <t>22463</t>
  </si>
  <si>
    <t>NO HST</t>
  </si>
  <si>
    <t>Pie in the Stache</t>
  </si>
  <si>
    <t>22462</t>
  </si>
  <si>
    <t>BBQ</t>
  </si>
  <si>
    <t>22460</t>
  </si>
  <si>
    <t>Raffle Tickets (no HST)</t>
  </si>
  <si>
    <t>Prizes</t>
  </si>
  <si>
    <t>22458</t>
  </si>
  <si>
    <t>bracelets (no HST)</t>
  </si>
  <si>
    <t>22456</t>
  </si>
  <si>
    <t>tshirts (no HST)</t>
  </si>
  <si>
    <t>Merchandise</t>
  </si>
  <si>
    <t>22454</t>
  </si>
  <si>
    <t>any extra money made to be donated</t>
  </si>
  <si>
    <t>Donations</t>
  </si>
  <si>
    <t>22452</t>
  </si>
  <si>
    <t>Donating all profits</t>
  </si>
  <si>
    <t>free if we sell enough in drinks</t>
  </si>
  <si>
    <t>clark rental</t>
  </si>
  <si>
    <t>End of Movember Gala</t>
  </si>
  <si>
    <t>committee makes baked goods</t>
  </si>
  <si>
    <t>baking needs</t>
  </si>
  <si>
    <t>22450</t>
  </si>
  <si>
    <t>pies</t>
  </si>
  <si>
    <t>22449</t>
  </si>
  <si>
    <t>borrow BBQ</t>
  </si>
  <si>
    <t>bbq</t>
  </si>
  <si>
    <t>22447</t>
  </si>
  <si>
    <t>Loblaws (1200)</t>
  </si>
  <si>
    <t>napkins</t>
  </si>
  <si>
    <t>22446</t>
  </si>
  <si>
    <t>talk to tea room</t>
  </si>
  <si>
    <t>hot chocolate</t>
  </si>
  <si>
    <t>22445</t>
  </si>
  <si>
    <t>coffee</t>
  </si>
  <si>
    <t>22444</t>
  </si>
  <si>
    <t>Loblaws (35 bottles)</t>
  </si>
  <si>
    <t>water</t>
  </si>
  <si>
    <t>22443</t>
  </si>
  <si>
    <t>Loblaws (32 cans)</t>
  </si>
  <si>
    <t>pop</t>
  </si>
  <si>
    <t>22442</t>
  </si>
  <si>
    <t>Loblaws</t>
  </si>
  <si>
    <t>condiments</t>
  </si>
  <si>
    <t>22441</t>
  </si>
  <si>
    <t>Loblaws (24)</t>
  </si>
  <si>
    <t>buns</t>
  </si>
  <si>
    <t>22440</t>
  </si>
  <si>
    <t>Loblaws (150)</t>
  </si>
  <si>
    <t>hamburgers</t>
  </si>
  <si>
    <t>22439</t>
  </si>
  <si>
    <t>3</t>
  </si>
  <si>
    <t>Loblaws (36)</t>
  </si>
  <si>
    <t>hot dogs</t>
  </si>
  <si>
    <t>22438</t>
  </si>
  <si>
    <t>Run/Walk for movember/BBQ</t>
  </si>
  <si>
    <t>22436</t>
  </si>
  <si>
    <t>Kick off Movember Party</t>
  </si>
  <si>
    <t>22434</t>
  </si>
  <si>
    <t>raffle prize (only need to purchase if we can't get donations)</t>
  </si>
  <si>
    <t>Ipod Touch</t>
  </si>
  <si>
    <t>22433</t>
  </si>
  <si>
    <t>2000 in one roll</t>
  </si>
  <si>
    <t>raffle tickets</t>
  </si>
  <si>
    <t>22432</t>
  </si>
  <si>
    <t>(talk to kelly to get a couple tix)</t>
  </si>
  <si>
    <t>engweek tickets</t>
  </si>
  <si>
    <t>22431</t>
  </si>
  <si>
    <t>from last year</t>
  </si>
  <si>
    <t>left over prizes</t>
  </si>
  <si>
    <t>22430</t>
  </si>
  <si>
    <t>(our own events)</t>
  </si>
  <si>
    <t>posters</t>
  </si>
  <si>
    <t>22428</t>
  </si>
  <si>
    <t>from Movember Canada</t>
  </si>
  <si>
    <t>22427</t>
  </si>
  <si>
    <t>pamphlets</t>
  </si>
  <si>
    <t>22426</t>
  </si>
  <si>
    <t>Working on pricing, may be cut if can't get better deal</t>
  </si>
  <si>
    <t>bracelets</t>
  </si>
  <si>
    <t>22424</t>
  </si>
  <si>
    <t>stickers</t>
  </si>
  <si>
    <t>22423</t>
  </si>
  <si>
    <t>Made using button maker from engineering society</t>
  </si>
  <si>
    <t>buttons</t>
  </si>
  <si>
    <t>22422</t>
  </si>
  <si>
    <t>may do a preorder before hand as to not have too many</t>
  </si>
  <si>
    <t>T-shirts/tanks</t>
  </si>
  <si>
    <t>22421</t>
  </si>
  <si>
    <t>Expected that costs will be covered based on current sponsors</t>
  </si>
  <si>
    <t>22415</t>
  </si>
  <si>
    <t>Gas</t>
  </si>
  <si>
    <t>Transportation</t>
  </si>
  <si>
    <t>22410</t>
  </si>
  <si>
    <t>Thank you card</t>
  </si>
  <si>
    <t>Sponsor appreciaton</t>
  </si>
  <si>
    <t>22409</t>
  </si>
  <si>
    <t>T-Shirts, Lunch, Snacks</t>
  </si>
  <si>
    <t>Voulenteer Appreciation</t>
  </si>
  <si>
    <t>22408</t>
  </si>
  <si>
    <t>Tea, Coffee, TimHortons, etc</t>
  </si>
  <si>
    <t>Senior Appreciation</t>
  </si>
  <si>
    <t>22407</t>
  </si>
  <si>
    <t>brushes sponges towels spray etc</t>
  </si>
  <si>
    <t>Cleaning Supplies</t>
  </si>
  <si>
    <t>22406</t>
  </si>
  <si>
    <t>Radio, newspaper, posters,</t>
  </si>
  <si>
    <t>22405</t>
  </si>
  <si>
    <t>10 - FIX N CLEAN</t>
  </si>
  <si>
    <t>assume 4 events with chips</t>
  </si>
  <si>
    <t>Chips for various events</t>
  </si>
  <si>
    <t>22394</t>
  </si>
  <si>
    <t>borrowed from lounge/committee member</t>
  </si>
  <si>
    <t>video game console for tournament</t>
  </si>
  <si>
    <t>22393</t>
  </si>
  <si>
    <t>Assume 4 events with pop, 3 cases per</t>
  </si>
  <si>
    <t>Pop for various events</t>
  </si>
  <si>
    <t>22392</t>
  </si>
  <si>
    <t>Karoke Machine</t>
  </si>
  <si>
    <t>22391</t>
  </si>
  <si>
    <t>Asuume 4 events with pizza, 3 pizzas per event</t>
  </si>
  <si>
    <t>Pizza for various events</t>
  </si>
  <si>
    <t>22390</t>
  </si>
  <si>
    <t>22387</t>
  </si>
  <si>
    <t>Donation from PEO or EWB</t>
  </si>
  <si>
    <t>22386</t>
  </si>
  <si>
    <t>Money from Selling Hats</t>
  </si>
  <si>
    <t>22385</t>
  </si>
  <si>
    <t>General Advertising</t>
  </si>
  <si>
    <t>22380</t>
  </si>
  <si>
    <t>Spaghetti Tower materials</t>
  </si>
  <si>
    <t>22378</t>
  </si>
  <si>
    <t>Pizza/Drinks for school day</t>
  </si>
  <si>
    <t>22377</t>
  </si>
  <si>
    <t>22376</t>
  </si>
  <si>
    <t>Room bookings</t>
  </si>
  <si>
    <t>22375</t>
  </si>
  <si>
    <t>National Engineering Month</t>
  </si>
  <si>
    <t>Payed for externally</t>
  </si>
  <si>
    <t>Barrels and Pickup</t>
  </si>
  <si>
    <t>22370</t>
  </si>
  <si>
    <t>Cantraption</t>
  </si>
  <si>
    <t>Materials</t>
  </si>
  <si>
    <t>22365</t>
  </si>
  <si>
    <t>Rube Goldburg Machine</t>
  </si>
  <si>
    <t>No HST</t>
  </si>
  <si>
    <t>22363</t>
  </si>
  <si>
    <t>Scaffolding</t>
  </si>
  <si>
    <t>22362</t>
  </si>
  <si>
    <t>Drill, wood, other tools</t>
  </si>
  <si>
    <t>22361</t>
  </si>
  <si>
    <t>Basic Building Materials</t>
  </si>
  <si>
    <t>22360</t>
  </si>
  <si>
    <t>Snow Fort</t>
  </si>
  <si>
    <t>Santa/Elf Hats (~50@2.50 ea)</t>
  </si>
  <si>
    <t>22357</t>
  </si>
  <si>
    <t>22356</t>
  </si>
  <si>
    <t>Generator</t>
  </si>
  <si>
    <t>22355</t>
  </si>
  <si>
    <t>Truck &amp; Driver</t>
  </si>
  <si>
    <t>22354</t>
  </si>
  <si>
    <t>Decorations/Materials</t>
  </si>
  <si>
    <t>22353</t>
  </si>
  <si>
    <t>Trailer (or lights)</t>
  </si>
  <si>
    <t>22352</t>
  </si>
  <si>
    <t>22351</t>
  </si>
  <si>
    <t>Entry Free</t>
  </si>
  <si>
    <t>22350</t>
  </si>
  <si>
    <t>Santa Clause Parade</t>
  </si>
  <si>
    <t>8 - ERC</t>
  </si>
  <si>
    <t>tickets sold at the door</t>
  </si>
  <si>
    <t>22347</t>
  </si>
  <si>
    <t>pre-sold tickets</t>
  </si>
  <si>
    <t>tickets for all-ages</t>
  </si>
  <si>
    <t>22346</t>
  </si>
  <si>
    <t>tickets sold</t>
  </si>
  <si>
    <t>tickets for pubcrawl</t>
  </si>
  <si>
    <t>22345</t>
  </si>
  <si>
    <t>tickets for curling</t>
  </si>
  <si>
    <t>22344</t>
  </si>
  <si>
    <t>Tickets for theme night at Clark</t>
  </si>
  <si>
    <t>22343</t>
  </si>
  <si>
    <t>Tickets for karaoke</t>
  </si>
  <si>
    <t>22342</t>
  </si>
  <si>
    <t>Tickets for Thundersledz</t>
  </si>
  <si>
    <t>22341</t>
  </si>
  <si>
    <t>Tickets for BOTBZ</t>
  </si>
  <si>
    <t>22340</t>
  </si>
  <si>
    <t>Printing up tickets</t>
  </si>
  <si>
    <t>22332</t>
  </si>
  <si>
    <t>Posters, tent cards, buttons etc</t>
  </si>
  <si>
    <t>22331</t>
  </si>
  <si>
    <t>For the engweek committee members: REPRESENT!</t>
  </si>
  <si>
    <t>Sweaters</t>
  </si>
  <si>
    <t>22330</t>
  </si>
  <si>
    <t>to award the most hardcore Engweeker, most crazy Curler etc</t>
  </si>
  <si>
    <t>22328</t>
  </si>
  <si>
    <t>Food Colouring</t>
  </si>
  <si>
    <t>22327</t>
  </si>
  <si>
    <t>Decorations and other</t>
  </si>
  <si>
    <t>22326</t>
  </si>
  <si>
    <t>$375 if $750 in drink sales is not met</t>
  </si>
  <si>
    <t>Clark Hall</t>
  </si>
  <si>
    <t>22325</t>
  </si>
  <si>
    <t>Theme Night</t>
  </si>
  <si>
    <t>To specified bar</t>
  </si>
  <si>
    <t>Profit Cut</t>
  </si>
  <si>
    <t>22322</t>
  </si>
  <si>
    <t>to identify who is of age</t>
  </si>
  <si>
    <t>Bracelets</t>
  </si>
  <si>
    <t>22321</t>
  </si>
  <si>
    <t>Deposit for DJ</t>
  </si>
  <si>
    <t>22320</t>
  </si>
  <si>
    <t>All-Ages Night</t>
  </si>
  <si>
    <t>NOG MC Fee</t>
  </si>
  <si>
    <t>22316</t>
  </si>
  <si>
    <t>To help identify who's in the Pubcrawl group</t>
  </si>
  <si>
    <t>T-shirts</t>
  </si>
  <si>
    <t>22315</t>
  </si>
  <si>
    <t>Pubcrawl</t>
  </si>
  <si>
    <t>Nails and Rope</t>
  </si>
  <si>
    <t>22313</t>
  </si>
  <si>
    <t>1000kg of waste</t>
  </si>
  <si>
    <t>Disposal Rate</t>
  </si>
  <si>
    <t>22312</t>
  </si>
  <si>
    <t>Fix n' Clean</t>
  </si>
  <si>
    <t>22311</t>
  </si>
  <si>
    <t>from locker</t>
  </si>
  <si>
    <t>Duct Tape</t>
  </si>
  <si>
    <t>22310</t>
  </si>
  <si>
    <t>Thundersledz</t>
  </si>
  <si>
    <t>During Ritual</t>
  </si>
  <si>
    <t>22303</t>
  </si>
  <si>
    <t>2 Pitchers</t>
  </si>
  <si>
    <t>Prize</t>
  </si>
  <si>
    <t>22302</t>
  </si>
  <si>
    <t>Drum set rental</t>
  </si>
  <si>
    <t>22301</t>
  </si>
  <si>
    <t>22300</t>
  </si>
  <si>
    <t>Battle of the Bandz</t>
  </si>
  <si>
    <t>22291</t>
  </si>
  <si>
    <t>Deposit $10</t>
  </si>
  <si>
    <t>Karaoke Machine</t>
  </si>
  <si>
    <t>22290</t>
  </si>
  <si>
    <t>Karaoke</t>
  </si>
  <si>
    <t>from either frosh week or sci formal</t>
  </si>
  <si>
    <t>22284</t>
  </si>
  <si>
    <t>1 senior one</t>
  </si>
  <si>
    <t>StuCons</t>
  </si>
  <si>
    <t>22283</t>
  </si>
  <si>
    <t>22282</t>
  </si>
  <si>
    <t>1 large and 1 short</t>
  </si>
  <si>
    <t>Busing</t>
  </si>
  <si>
    <t>22281</t>
  </si>
  <si>
    <t>12 sheets</t>
  </si>
  <si>
    <t>Curling Club Deposit</t>
  </si>
  <si>
    <t>22280</t>
  </si>
  <si>
    <t>Curling</t>
  </si>
  <si>
    <t>7 - ENGWEEK</t>
  </si>
  <si>
    <t>burger and hotdog sales - estimate</t>
  </si>
  <si>
    <t>Ritual BBQ</t>
  </si>
  <si>
    <t>22277</t>
  </si>
  <si>
    <t>estimate</t>
  </si>
  <si>
    <t>Player Fees</t>
  </si>
  <si>
    <t>22276</t>
  </si>
  <si>
    <t>Mouthguard sales</t>
  </si>
  <si>
    <t>22275</t>
  </si>
  <si>
    <t>Referees</t>
  </si>
  <si>
    <t>22273</t>
  </si>
  <si>
    <t>Hours of rental for home games - estimate</t>
  </si>
  <si>
    <t>Field Rentals</t>
  </si>
  <si>
    <t>22272</t>
  </si>
  <si>
    <t>Buses / Gas - estimate</t>
  </si>
  <si>
    <t>22271</t>
  </si>
  <si>
    <t>22270</t>
  </si>
  <si>
    <t>Games</t>
  </si>
  <si>
    <t>First Aid Kit</t>
  </si>
  <si>
    <t>22268</t>
  </si>
  <si>
    <t>Kicking Tees</t>
  </si>
  <si>
    <t>22267</t>
  </si>
  <si>
    <t>Balls</t>
  </si>
  <si>
    <t>22266</t>
  </si>
  <si>
    <t>Mouthguards</t>
  </si>
  <si>
    <t>22265</t>
  </si>
  <si>
    <t>no tax</t>
  </si>
  <si>
    <t>22261</t>
  </si>
  <si>
    <t>Booth for the day</t>
  </si>
  <si>
    <t>Sidewalk Sale</t>
  </si>
  <si>
    <t>22260</t>
  </si>
  <si>
    <t>6 - ENG RUGBY</t>
  </si>
  <si>
    <t>Have to sell them (NO HST)</t>
  </si>
  <si>
    <t>Hoodies</t>
  </si>
  <si>
    <t>22258</t>
  </si>
  <si>
    <t>Long Sleeves</t>
  </si>
  <si>
    <t>22257</t>
  </si>
  <si>
    <t>Actual + Estimate (NO HST)</t>
  </si>
  <si>
    <t>T-Shirts</t>
  </si>
  <si>
    <t>22256</t>
  </si>
  <si>
    <t>Pledges (Actual + estimate/goal to beat last year's number)</t>
  </si>
  <si>
    <t>22255</t>
  </si>
  <si>
    <t>Spare Change (Actual + Future estimate)</t>
  </si>
  <si>
    <t>22254</t>
  </si>
  <si>
    <t>Samsung Galaxy Tablet</t>
  </si>
  <si>
    <t>Raffle</t>
  </si>
  <si>
    <t>22253</t>
  </si>
  <si>
    <t>Donations (Estimate)</t>
  </si>
  <si>
    <t>Bottle Drive</t>
  </si>
  <si>
    <t>22252</t>
  </si>
  <si>
    <t>2 4hr sessions</t>
  </si>
  <si>
    <t>Bake Sale</t>
  </si>
  <si>
    <t>22251</t>
  </si>
  <si>
    <t>Donation of profit</t>
  </si>
  <si>
    <t>22250</t>
  </si>
  <si>
    <t>Run Route Signs for volunteers</t>
  </si>
  <si>
    <t>Bristal Board</t>
  </si>
  <si>
    <t>22249</t>
  </si>
  <si>
    <t>Estimate - Dollar Store</t>
  </si>
  <si>
    <t>Chalk</t>
  </si>
  <si>
    <t>22248</t>
  </si>
  <si>
    <t>Weekend flat rate - NO HST</t>
  </si>
  <si>
    <t>BBQ Speakers</t>
  </si>
  <si>
    <t>22247</t>
  </si>
  <si>
    <t>1 bag - 50 cups? Dollar store - estimate</t>
  </si>
  <si>
    <t>Cups</t>
  </si>
  <si>
    <t>22246</t>
  </si>
  <si>
    <t>Free - Jugs + Nozzles to dispense</t>
  </si>
  <si>
    <t>Water</t>
  </si>
  <si>
    <t>22245</t>
  </si>
  <si>
    <t>Event</t>
  </si>
  <si>
    <t>Staples presentation board</t>
  </si>
  <si>
    <t>Poster Board</t>
  </si>
  <si>
    <t>22244</t>
  </si>
  <si>
    <t>1 pack of 9</t>
  </si>
  <si>
    <t>Paint brushes</t>
  </si>
  <si>
    <t>22243</t>
  </si>
  <si>
    <t>Dollar Store individual</t>
  </si>
  <si>
    <t>Donation Boxes</t>
  </si>
  <si>
    <t>22242</t>
  </si>
  <si>
    <t>Dollar Store for poster board</t>
  </si>
  <si>
    <t>Paint</t>
  </si>
  <si>
    <t>22241</t>
  </si>
  <si>
    <t>Dollar Store for donation boxes</t>
  </si>
  <si>
    <t>Acrylic Paint</t>
  </si>
  <si>
    <t>22240</t>
  </si>
  <si>
    <t>Pre Event</t>
  </si>
  <si>
    <t>will cover costs</t>
  </si>
  <si>
    <t>Dean</t>
  </si>
  <si>
    <t>22230</t>
  </si>
  <si>
    <t>platters from Metro</t>
  </si>
  <si>
    <t>22227</t>
  </si>
  <si>
    <t>Tearoom, w/ cups, cream, sugar, etc</t>
  </si>
  <si>
    <t>22226</t>
  </si>
  <si>
    <t>22225</t>
  </si>
  <si>
    <t>Refreshments</t>
  </si>
  <si>
    <t>for powerpoints</t>
  </si>
  <si>
    <t>A/V Projection</t>
  </si>
  <si>
    <t>22221</t>
  </si>
  <si>
    <t>Rental of mic setup</t>
  </si>
  <si>
    <t>Soundsystem</t>
  </si>
  <si>
    <t>22220</t>
  </si>
  <si>
    <t>Technical</t>
  </si>
  <si>
    <t>to drape over chairs</t>
  </si>
  <si>
    <t>Black Cloth</t>
  </si>
  <si>
    <t>22194</t>
  </si>
  <si>
    <t>for ribbons</t>
  </si>
  <si>
    <t>Safety Pins</t>
  </si>
  <si>
    <t>22193</t>
  </si>
  <si>
    <t>white</t>
  </si>
  <si>
    <t>Ribbon</t>
  </si>
  <si>
    <t>22192</t>
  </si>
  <si>
    <t>10'' tapers</t>
  </si>
  <si>
    <t>Candles</t>
  </si>
  <si>
    <t>22191</t>
  </si>
  <si>
    <t>Red or deep violet</t>
  </si>
  <si>
    <t>Roses</t>
  </si>
  <si>
    <t>22190</t>
  </si>
  <si>
    <t>Staging Elements</t>
  </si>
  <si>
    <t>Risers</t>
  </si>
  <si>
    <t>22176</t>
  </si>
  <si>
    <t>22175</t>
  </si>
  <si>
    <t>Screens, Microphone etc</t>
  </si>
  <si>
    <t>22174</t>
  </si>
  <si>
    <t>Projector Rental</t>
  </si>
  <si>
    <t>22173</t>
  </si>
  <si>
    <t>Postage</t>
  </si>
  <si>
    <t>22172</t>
  </si>
  <si>
    <t>Thank you Card</t>
  </si>
  <si>
    <t>22171</t>
  </si>
  <si>
    <t>22170</t>
  </si>
  <si>
    <t>22169</t>
  </si>
  <si>
    <t>Churches/Senior Progrqam</t>
  </si>
  <si>
    <t>22168</t>
  </si>
  <si>
    <t>Radio Advertisement</t>
  </si>
  <si>
    <t>22167</t>
  </si>
  <si>
    <t>Newspaper Advertisement</t>
  </si>
  <si>
    <t>22166</t>
  </si>
  <si>
    <t>May be erased with sponsorship</t>
  </si>
  <si>
    <t>Napkins</t>
  </si>
  <si>
    <t>22165</t>
  </si>
  <si>
    <t>Baked Goods</t>
  </si>
  <si>
    <t>22164</t>
  </si>
  <si>
    <t>22163</t>
  </si>
  <si>
    <t>Fruit and Vegetable Tray</t>
  </si>
  <si>
    <t>22162</t>
  </si>
  <si>
    <t>Reception Room</t>
  </si>
  <si>
    <t>22161</t>
  </si>
  <si>
    <t>Grant Hall Rental</t>
  </si>
  <si>
    <t>22160</t>
  </si>
  <si>
    <t>22151</t>
  </si>
  <si>
    <t>Fall Athletics Sign-up Day</t>
  </si>
  <si>
    <t>Promotional Flyers</t>
  </si>
  <si>
    <t>22150</t>
  </si>
  <si>
    <t>Frosh Week Banquet Booth</t>
  </si>
  <si>
    <t>Second Semester Smoker</t>
  </si>
  <si>
    <t>Year End Semi Formal</t>
  </si>
  <si>
    <t>Upper Year Bonding Time</t>
  </si>
  <si>
    <t>Fee/Capita+Bus/50Participants</t>
  </si>
  <si>
    <t>Laser Tag</t>
  </si>
  <si>
    <t>22127</t>
  </si>
  <si>
    <t>Participant fees</t>
  </si>
  <si>
    <t>Sports Event</t>
  </si>
  <si>
    <t>22126</t>
  </si>
  <si>
    <t>22125</t>
  </si>
  <si>
    <t>Boat Cruise</t>
  </si>
  <si>
    <t>22124</t>
  </si>
  <si>
    <t>22123</t>
  </si>
  <si>
    <t>Smoker</t>
  </si>
  <si>
    <t>22122</t>
  </si>
  <si>
    <t>22121</t>
  </si>
  <si>
    <t>22120</t>
  </si>
  <si>
    <t>Based on cruise</t>
  </si>
  <si>
    <t>DJ</t>
  </si>
  <si>
    <t>22112</t>
  </si>
  <si>
    <t>No HST on deposit</t>
  </si>
  <si>
    <t>Wine Cellar Deposit-Refundable if sales</t>
  </si>
  <si>
    <t>The Mansion Rental</t>
  </si>
  <si>
    <t>22110</t>
  </si>
  <si>
    <t>2011/2012</t>
  </si>
  <si>
    <t>22101</t>
  </si>
  <si>
    <t>Same cost as Smoker</t>
  </si>
  <si>
    <t>Zappas Rental</t>
  </si>
  <si>
    <t>22100</t>
  </si>
  <si>
    <t>22095</t>
  </si>
  <si>
    <t>22092</t>
  </si>
  <si>
    <t>Boxes of 40</t>
  </si>
  <si>
    <t>Timbits</t>
  </si>
  <si>
    <t>22091</t>
  </si>
  <si>
    <t>Small from Tim Hortons</t>
  </si>
  <si>
    <t>Hot chocolate</t>
  </si>
  <si>
    <t>22090</t>
  </si>
  <si>
    <t>Skating</t>
  </si>
  <si>
    <t>22084</t>
  </si>
  <si>
    <t>Refundable deposit</t>
  </si>
  <si>
    <t>22083</t>
  </si>
  <si>
    <t>Bus</t>
  </si>
  <si>
    <t>22082</t>
  </si>
  <si>
    <t>22081</t>
  </si>
  <si>
    <t>2 games + Reservation deposit of $5/person</t>
  </si>
  <si>
    <t>Room Group Rate</t>
  </si>
  <si>
    <t>22080</t>
  </si>
  <si>
    <t>Costco (box of 24 cookies)</t>
  </si>
  <si>
    <t>22073</t>
  </si>
  <si>
    <t>Costco (box of 35 bottles--use leftover from BBQ?)</t>
  </si>
  <si>
    <t>22072</t>
  </si>
  <si>
    <t>Tearoom GiftCard</t>
  </si>
  <si>
    <t>22071</t>
  </si>
  <si>
    <t>Free if City Park</t>
  </si>
  <si>
    <t>Field Rental</t>
  </si>
  <si>
    <t>22070</t>
  </si>
  <si>
    <t>Sports Event (Ultimate Frisbee)</t>
  </si>
  <si>
    <t>4 hours, 7 StuCons (if no alcohol)</t>
  </si>
  <si>
    <t>22058</t>
  </si>
  <si>
    <t>22057</t>
  </si>
  <si>
    <t>Refundable damage deposit</t>
  </si>
  <si>
    <t>summerize</t>
  </si>
  <si>
    <t>22056</t>
  </si>
  <si>
    <t>James Reid-2 Trips</t>
  </si>
  <si>
    <t>Buses</t>
  </si>
  <si>
    <t>22055</t>
  </si>
  <si>
    <t>SOCAN Fees</t>
  </si>
  <si>
    <t>22054</t>
  </si>
  <si>
    <t>22053</t>
  </si>
  <si>
    <t>22052</t>
  </si>
  <si>
    <t>Refundable</t>
  </si>
  <si>
    <t>Responsibility Deposit</t>
  </si>
  <si>
    <t>22051</t>
  </si>
  <si>
    <t>2 Cruises</t>
  </si>
  <si>
    <t>22050</t>
  </si>
  <si>
    <t>For tickets, Staples (500 sheets)</t>
  </si>
  <si>
    <t>Coloured paper</t>
  </si>
  <si>
    <t>22042</t>
  </si>
  <si>
    <t>22041</t>
  </si>
  <si>
    <t>Zapas Rental</t>
  </si>
  <si>
    <t>22040</t>
  </si>
  <si>
    <t>Buddy Smoker</t>
  </si>
  <si>
    <t>Costco (box of 35 bottles)</t>
  </si>
  <si>
    <t>22030</t>
  </si>
  <si>
    <t>Costco (boxes of 32 cans)</t>
  </si>
  <si>
    <t>Soft Drinks</t>
  </si>
  <si>
    <t>22029</t>
  </si>
  <si>
    <t>22028</t>
  </si>
  <si>
    <t>Refill after Friday Patio Ritual</t>
  </si>
  <si>
    <t>Propane Tank</t>
  </si>
  <si>
    <t>22027</t>
  </si>
  <si>
    <t>Costco (pack of 1200 napkins)</t>
  </si>
  <si>
    <t>22026</t>
  </si>
  <si>
    <t>Condiments</t>
  </si>
  <si>
    <t>22025</t>
  </si>
  <si>
    <t>Costco (packs of 24)</t>
  </si>
  <si>
    <t>22024</t>
  </si>
  <si>
    <t>Costco</t>
  </si>
  <si>
    <t>Cheese</t>
  </si>
  <si>
    <t>22023</t>
  </si>
  <si>
    <t>M&amp;M's (boxes of 36)</t>
  </si>
  <si>
    <t>Veggie Burgers</t>
  </si>
  <si>
    <t>22022</t>
  </si>
  <si>
    <t>M&amp;M's (boxes of 150)</t>
  </si>
  <si>
    <t>22021</t>
  </si>
  <si>
    <t>Hot Dogs</t>
  </si>
  <si>
    <t>22020</t>
  </si>
  <si>
    <t>Opening BBQ</t>
  </si>
  <si>
    <t>Approximate</t>
  </si>
  <si>
    <t>22001</t>
  </si>
  <si>
    <t>22000</t>
  </si>
  <si>
    <t>Frosh Week/EngDay Booth</t>
  </si>
  <si>
    <r>
      <t xml:space="preserve">Actual Total
</t>
    </r>
    <r>
      <rPr>
        <b/>
        <sz val="8"/>
        <rFont val="Calibri"/>
        <family val="2"/>
        <charset val="1"/>
      </rPr>
      <t>2012/2013</t>
    </r>
  </si>
  <si>
    <r>
      <t xml:space="preserve">Prelim. Total
</t>
    </r>
    <r>
      <rPr>
        <b/>
        <sz val="8"/>
        <rFont val="Calibri"/>
        <family val="2"/>
        <charset val="1"/>
      </rPr>
      <t>2012/2013</t>
    </r>
  </si>
  <si>
    <r>
      <t xml:space="preserve">(if applicable)
</t>
    </r>
    <r>
      <rPr>
        <b/>
        <sz val="11"/>
        <rFont val="Calibri"/>
        <family val="2"/>
        <charset val="1"/>
      </rPr>
      <t>Unit Price</t>
    </r>
  </si>
  <si>
    <t>22 - Events - Douglas McFarlane</t>
  </si>
  <si>
    <t>1 - BUDDY PROGRAM</t>
  </si>
  <si>
    <t>2 - ATHLETICS</t>
  </si>
  <si>
    <t>3 - CAROL SERVICE</t>
  </si>
  <si>
    <t>4 - DECEMBER 6TH MEMORIAL</t>
  </si>
  <si>
    <t>5 - TERRY FOX</t>
  </si>
  <si>
    <t>OFFICE SUPPLIES</t>
  </si>
  <si>
    <t>Misc.</t>
  </si>
  <si>
    <t>Safety and Equipment</t>
  </si>
  <si>
    <t>Preliminary</t>
  </si>
  <si>
    <t>Actual</t>
  </si>
  <si>
    <t>Comments</t>
  </si>
  <si>
    <t>Contact</t>
  </si>
  <si>
    <t>Final Line</t>
  </si>
  <si>
    <t>REVENUE</t>
  </si>
  <si>
    <t>EXPENSES</t>
  </si>
  <si>
    <t>Portfolio</t>
  </si>
  <si>
    <t>Total Expenses</t>
  </si>
  <si>
    <t>12 - VPA</t>
  </si>
  <si>
    <t>13 - VPOps</t>
  </si>
  <si>
    <t>14 - VPSA</t>
  </si>
  <si>
    <t>15 - VPSD</t>
  </si>
  <si>
    <t>16 - DoFY</t>
  </si>
  <si>
    <t>17 - DoX</t>
  </si>
  <si>
    <t>18 - DoS</t>
  </si>
  <si>
    <t>19 - DoF</t>
  </si>
  <si>
    <t>20 - DoIT</t>
  </si>
  <si>
    <t>21 - DoIA</t>
  </si>
  <si>
    <t>22 - DoE</t>
  </si>
  <si>
    <t>23 - DoPD</t>
  </si>
  <si>
    <t>11 - Pres</t>
  </si>
  <si>
    <t>14 - VP Society Affairs - Emily Fleck</t>
  </si>
  <si>
    <t>`</t>
  </si>
  <si>
    <t>Drink</t>
  </si>
  <si>
    <t>Food (Pizza)</t>
  </si>
  <si>
    <t xml:space="preserve">Per Person </t>
  </si>
  <si>
    <t>25 ppl</t>
  </si>
  <si>
    <t>Take-out</t>
  </si>
  <si>
    <t>No drinks</t>
  </si>
  <si>
    <t>Website Workshop</t>
  </si>
  <si>
    <t>Per Person (3 fairs)</t>
  </si>
  <si>
    <t>Pop/Water (3 fairs)</t>
  </si>
  <si>
    <t>Coke and Water</t>
  </si>
  <si>
    <t>Cheese and Pepperoni</t>
  </si>
  <si>
    <t>16130</t>
  </si>
  <si>
    <t>16121</t>
  </si>
  <si>
    <t>16120</t>
  </si>
  <si>
    <t>16110</t>
  </si>
  <si>
    <t>Cost of food per person</t>
  </si>
  <si>
    <t>16051</t>
  </si>
  <si>
    <t>Cost of P&amp;CC binding, name tags etc</t>
  </si>
  <si>
    <t>Delegate Package</t>
  </si>
  <si>
    <t>Gifts</t>
  </si>
  <si>
    <t>P&amp;CC colour posters</t>
  </si>
  <si>
    <t>16041</t>
  </si>
  <si>
    <t>For Committee and Volunteers to wear the day of the conference</t>
  </si>
  <si>
    <t>16023</t>
  </si>
  <si>
    <t>16022</t>
  </si>
  <si>
    <t>16021</t>
  </si>
  <si>
    <t>Advertisement</t>
  </si>
  <si>
    <t>Second Installment</t>
  </si>
  <si>
    <t>First Installment</t>
  </si>
  <si>
    <t>Management fees</t>
  </si>
  <si>
    <t>QUESSI</t>
  </si>
  <si>
    <t>Imaginus Poster</t>
  </si>
  <si>
    <t>Moneris</t>
  </si>
  <si>
    <t>Photocopier Revenue</t>
  </si>
  <si>
    <t>Summer BBQ Revenue</t>
  </si>
  <si>
    <t>Miscellaneous Income</t>
  </si>
  <si>
    <t>Phone</t>
  </si>
  <si>
    <t>Admin</t>
  </si>
  <si>
    <t>Insurance</t>
  </si>
  <si>
    <t>Rent</t>
  </si>
  <si>
    <t>EngServe</t>
  </si>
  <si>
    <t>Sold to Students</t>
  </si>
  <si>
    <t>Engendas</t>
  </si>
  <si>
    <t>Engenda Sales</t>
  </si>
  <si>
    <t>From CU ads and AMS</t>
  </si>
  <si>
    <t>Engenda</t>
  </si>
  <si>
    <t>From CU ads</t>
  </si>
  <si>
    <t>Yearbook</t>
  </si>
  <si>
    <t>Based on salaries</t>
  </si>
  <si>
    <t>EI</t>
  </si>
  <si>
    <t>CPP</t>
  </si>
  <si>
    <t>One Week's Pay - Council Approved</t>
  </si>
  <si>
    <t>VP Academic</t>
  </si>
  <si>
    <t>VP Operations</t>
  </si>
  <si>
    <t>President</t>
  </si>
  <si>
    <t>Summer Honoraria</t>
  </si>
  <si>
    <t>Summer Salaries</t>
  </si>
  <si>
    <t>$0.50/km driven on personal vehicle</t>
  </si>
  <si>
    <t>Travel</t>
  </si>
  <si>
    <t>Mileage</t>
  </si>
  <si>
    <t>Imaginus Poster Sale</t>
  </si>
  <si>
    <t>On Campus</t>
  </si>
  <si>
    <t>Parking</t>
  </si>
  <si>
    <t>13602</t>
  </si>
  <si>
    <t>Deductions</t>
  </si>
  <si>
    <t>13601</t>
  </si>
  <si>
    <t>Paid for by Student Fees</t>
  </si>
  <si>
    <t>Salary</t>
  </si>
  <si>
    <t>13600</t>
  </si>
  <si>
    <t>General Manager Expenses</t>
  </si>
  <si>
    <t>Hub International</t>
  </si>
  <si>
    <t>13501</t>
  </si>
  <si>
    <t>City of Kingston</t>
  </si>
  <si>
    <t>Property Taxes</t>
  </si>
  <si>
    <t>13500</t>
  </si>
  <si>
    <t>ESARCK</t>
  </si>
  <si>
    <t>$1 per student</t>
  </si>
  <si>
    <t>Civil</t>
  </si>
  <si>
    <t>13412</t>
  </si>
  <si>
    <t>Mechanical</t>
  </si>
  <si>
    <t>13411</t>
  </si>
  <si>
    <t>Mining</t>
  </si>
  <si>
    <t>13410</t>
  </si>
  <si>
    <t>Apple Math</t>
  </si>
  <si>
    <t>13409</t>
  </si>
  <si>
    <t>EngPhys</t>
  </si>
  <si>
    <t>13408</t>
  </si>
  <si>
    <t>ECE</t>
  </si>
  <si>
    <t>13407</t>
  </si>
  <si>
    <t>Eng Chem</t>
  </si>
  <si>
    <t>13406</t>
  </si>
  <si>
    <t>Chem Eng</t>
  </si>
  <si>
    <t>13405</t>
  </si>
  <si>
    <t>Geological</t>
  </si>
  <si>
    <t>13404</t>
  </si>
  <si>
    <t>Sci 13</t>
  </si>
  <si>
    <t>13403</t>
  </si>
  <si>
    <t>Sci 14</t>
  </si>
  <si>
    <t>13402</t>
  </si>
  <si>
    <t>Sci 15</t>
  </si>
  <si>
    <t>13401</t>
  </si>
  <si>
    <t>Starting Money</t>
  </si>
  <si>
    <t>Sci 16</t>
  </si>
  <si>
    <t>13400</t>
  </si>
  <si>
    <t>Discipline Clubs &amp; Year Executive Distribution</t>
  </si>
  <si>
    <t>Alumni and Faculty Gifts</t>
  </si>
  <si>
    <t>13303</t>
  </si>
  <si>
    <t>Old &amp; New</t>
  </si>
  <si>
    <t>Transition Dinner</t>
  </si>
  <si>
    <t>13302</t>
  </si>
  <si>
    <t>Alumni</t>
  </si>
  <si>
    <t>Travel Subsidies</t>
  </si>
  <si>
    <t>13301</t>
  </si>
  <si>
    <t>$8 per board member per meeting</t>
  </si>
  <si>
    <t>Meeting Food</t>
  </si>
  <si>
    <t>13300</t>
  </si>
  <si>
    <t>Board of Directors</t>
  </si>
  <si>
    <t>9 Cents Per Debit Transaction</t>
  </si>
  <si>
    <t>Moneris Transaction Fees, Debit</t>
  </si>
  <si>
    <t>13204</t>
  </si>
  <si>
    <t>1.79% Credit Cards</t>
  </si>
  <si>
    <t>Moneris Transaction Fees, Credit</t>
  </si>
  <si>
    <t>13203</t>
  </si>
  <si>
    <t>Annual Fee, 3 Corporate Cards</t>
  </si>
  <si>
    <t>Credit Card Annual Fees</t>
  </si>
  <si>
    <t>13202</t>
  </si>
  <si>
    <t>Moneris rental, Monthly Fee</t>
  </si>
  <si>
    <t>Debit/Credit Machine</t>
  </si>
  <si>
    <t>13201</t>
  </si>
  <si>
    <t>Weekly BMO Pick-Up</t>
  </si>
  <si>
    <t>G4S</t>
  </si>
  <si>
    <t>13200</t>
  </si>
  <si>
    <t>Banking</t>
  </si>
  <si>
    <t>Lounge</t>
  </si>
  <si>
    <t>13109</t>
  </si>
  <si>
    <t>Queen's Financial Services</t>
  </si>
  <si>
    <t>13108</t>
  </si>
  <si>
    <t>Office Supplies</t>
  </si>
  <si>
    <t>13107</t>
  </si>
  <si>
    <t>ITS</t>
  </si>
  <si>
    <t>Long Distance</t>
  </si>
  <si>
    <t>13106</t>
  </si>
  <si>
    <t>13105</t>
  </si>
  <si>
    <t>AMS</t>
  </si>
  <si>
    <t>13104</t>
  </si>
  <si>
    <t>Freight</t>
  </si>
  <si>
    <t>13103</t>
  </si>
  <si>
    <t>Paper</t>
  </si>
  <si>
    <t>13102</t>
  </si>
  <si>
    <t>*In 2011-2012, 84624 sheets were printed</t>
  </si>
  <si>
    <t>New Contract, 2012-2016</t>
  </si>
  <si>
    <t>Photocopier usage</t>
  </si>
  <si>
    <t>13101</t>
  </si>
  <si>
    <t>Photocopier rental</t>
  </si>
  <si>
    <t>13100</t>
  </si>
  <si>
    <t xml:space="preserve">Administration </t>
  </si>
  <si>
    <t>Financial Review</t>
  </si>
  <si>
    <t>Bookkeeping</t>
  </si>
  <si>
    <t>Accounting and Legal</t>
  </si>
  <si>
    <t>15-VP Student Development-Vikram Bhatia</t>
  </si>
  <si>
    <t>13 - VP Operations - Alanna Hedden</t>
  </si>
  <si>
    <t>Students Day Photos</t>
  </si>
  <si>
    <t>Large Cambro (serves 50 and includes cups, + addons)</t>
  </si>
  <si>
    <t xml:space="preserve">Pass Crest </t>
  </si>
  <si>
    <t>Appreciation for underage</t>
  </si>
  <si>
    <t>Winter Dinner for E/D.</t>
  </si>
  <si>
    <t>11075</t>
  </si>
  <si>
    <t xml:space="preserve">Dinner - Money moved from transition dinner. </t>
  </si>
  <si>
    <t>WINTER DINNER</t>
  </si>
  <si>
    <t>Dinner for Directors transision.</t>
  </si>
  <si>
    <t>Director Dinner</t>
  </si>
  <si>
    <t>11060</t>
  </si>
  <si>
    <t xml:space="preserve">Dinner for Exec transision. </t>
  </si>
  <si>
    <t>Exec Dinner</t>
  </si>
  <si>
    <t>11059</t>
  </si>
  <si>
    <t xml:space="preserve">TRANSITION </t>
  </si>
  <si>
    <t>11049</t>
  </si>
  <si>
    <t>11048</t>
  </si>
  <si>
    <t xml:space="preserve">Derrick Dodgeson 1 semester tuition. </t>
  </si>
  <si>
    <t>Tuition</t>
  </si>
  <si>
    <t>11047</t>
  </si>
  <si>
    <t>President Subsidy</t>
  </si>
  <si>
    <t>PRESIDENT SUBSIDY</t>
  </si>
  <si>
    <t>11035</t>
  </si>
  <si>
    <t xml:space="preserve">Tickets for John Orr. </t>
  </si>
  <si>
    <t>11034</t>
  </si>
  <si>
    <t xml:space="preserve">Parking for John Orr. </t>
  </si>
  <si>
    <t xml:space="preserve">Gas for John Orr. </t>
  </si>
  <si>
    <t xml:space="preserve">Rooms for John Orr. </t>
  </si>
  <si>
    <t>Rooms</t>
  </si>
  <si>
    <t>JOHN ORR</t>
  </si>
  <si>
    <t>11023</t>
  </si>
  <si>
    <t xml:space="preserve">Pamplets/brochures to market society. </t>
  </si>
  <si>
    <t>Pamplets</t>
  </si>
  <si>
    <t>11022</t>
  </si>
  <si>
    <t>11020</t>
  </si>
  <si>
    <t>11019</t>
  </si>
  <si>
    <t>Ruggers</t>
  </si>
  <si>
    <t>11018</t>
  </si>
  <si>
    <t>Uniform</t>
  </si>
  <si>
    <t>EXECUTIVE DIRECTOR</t>
  </si>
  <si>
    <t xml:space="preserve">Rent the Pub </t>
  </si>
  <si>
    <t>Clark Rental</t>
  </si>
  <si>
    <t xml:space="preserve">Tab Opened for Volunteers. </t>
  </si>
  <si>
    <t>Clark Tab</t>
  </si>
  <si>
    <t>Clark Tab Night</t>
  </si>
  <si>
    <t>11 - President - Taylor Wheeler</t>
  </si>
  <si>
    <t>Taylor</t>
  </si>
  <si>
    <t>Alex</t>
  </si>
  <si>
    <t>Alanna</t>
  </si>
  <si>
    <t>Emily</t>
  </si>
  <si>
    <t>Sam</t>
  </si>
  <si>
    <t>Chris</t>
  </si>
  <si>
    <t>Shawyan</t>
  </si>
  <si>
    <t>Mark</t>
  </si>
  <si>
    <t>Lowell</t>
  </si>
  <si>
    <t>Douglas</t>
  </si>
  <si>
    <t>Steven</t>
  </si>
  <si>
    <t>16 - First Year - Sam Mehltretter</t>
  </si>
  <si>
    <t>17 -External Comm. - Chris Purves</t>
  </si>
  <si>
    <t>18 - Services - Brodie Ritchie</t>
  </si>
  <si>
    <t>19 - Finance - Shawyan Khoee</t>
  </si>
  <si>
    <t>21401</t>
  </si>
  <si>
    <t>To divide</t>
  </si>
  <si>
    <t>21204</t>
  </si>
  <si>
    <t>Dodgeball Tourny</t>
  </si>
  <si>
    <t>22395</t>
  </si>
  <si>
    <t>22396</t>
  </si>
  <si>
    <t>Pizza/Drinks for Career Pres.</t>
  </si>
  <si>
    <t>9 - FUNGINEERING - COMMITTEE NOT HIRED YET</t>
  </si>
  <si>
    <t>10 - Movember - COMMITTEE NOT HIRED YET</t>
  </si>
  <si>
    <t>First sem. mock interviews</t>
  </si>
  <si>
    <t>Second sem. mock interviews</t>
  </si>
  <si>
    <t>10 - Revenue</t>
  </si>
  <si>
    <t>10000</t>
  </si>
  <si>
    <t>10001</t>
  </si>
  <si>
    <t>10010</t>
  </si>
  <si>
    <t>10020</t>
  </si>
  <si>
    <t>10030</t>
  </si>
  <si>
    <t>10031</t>
  </si>
  <si>
    <t>Based on last year</t>
  </si>
  <si>
    <t>T-Shirts for E/D for FW</t>
  </si>
  <si>
    <t>Ruggers for E/D and Senator</t>
  </si>
  <si>
    <t>Waiting on university</t>
  </si>
  <si>
    <t>Student Fees</t>
  </si>
  <si>
    <t>PARTICULARS</t>
  </si>
  <si>
    <t>Memo</t>
  </si>
  <si>
    <t>2009-2010 Budget</t>
  </si>
  <si>
    <t>2009-2010 Actuals</t>
  </si>
  <si>
    <t>2010-2011 Budget</t>
  </si>
  <si>
    <t xml:space="preserve">2010-2011 Actuals </t>
  </si>
  <si>
    <t>2011-2012  Budget</t>
  </si>
  <si>
    <t>2011-2012 Actuals</t>
  </si>
  <si>
    <t>Unit Price</t>
  </si>
  <si>
    <t>Quantity</t>
  </si>
  <si>
    <t>Tax</t>
  </si>
  <si>
    <t>INCOME</t>
  </si>
  <si>
    <t>Operations</t>
  </si>
  <si>
    <t>Total</t>
  </si>
  <si>
    <t>Summer BBQ</t>
  </si>
  <si>
    <t>Sales</t>
  </si>
  <si>
    <t>REVENUE TOTAL</t>
  </si>
  <si>
    <t>Salaries</t>
  </si>
  <si>
    <t>Summer Position</t>
  </si>
  <si>
    <t>VP Society Affairs</t>
  </si>
  <si>
    <t>Director of IT</t>
  </si>
  <si>
    <t>EHT, EI, CPP, Wrkcop</t>
  </si>
  <si>
    <t>Accounting Class</t>
  </si>
  <si>
    <t>Course Fee</t>
  </si>
  <si>
    <t>Alumni Travel</t>
  </si>
  <si>
    <t>Lounge Cleaning</t>
  </si>
  <si>
    <t>Fax Ink Cartridge</t>
  </si>
  <si>
    <t>Regular Legal Envelopes</t>
  </si>
  <si>
    <t>.</t>
  </si>
  <si>
    <t>Scotch Tape</t>
  </si>
  <si>
    <t>Toner Cartridges</t>
  </si>
  <si>
    <t>Whiteboard Markers</t>
  </si>
  <si>
    <t>Photocopier Expense</t>
  </si>
  <si>
    <t>Cash Boxes</t>
  </si>
  <si>
    <t>File Folders - 100</t>
  </si>
  <si>
    <t>Muffy &amp; Kettle Batteries</t>
  </si>
  <si>
    <t>Labels for Mailboxes</t>
  </si>
  <si>
    <t>Lounge Improvements</t>
  </si>
  <si>
    <t>New Blinds</t>
  </si>
  <si>
    <t>Office Organizers</t>
  </si>
  <si>
    <t>Manager Appreciation</t>
  </si>
  <si>
    <t xml:space="preserve">End of summer BBQ </t>
  </si>
  <si>
    <t>Mailboxes</t>
  </si>
  <si>
    <t>Unexpected Expenses</t>
  </si>
  <si>
    <t>ILC Key FOBs for E/D</t>
  </si>
  <si>
    <t>Freight for mail</t>
  </si>
  <si>
    <t>Taxi Fares</t>
  </si>
  <si>
    <t>Deposit Safe</t>
  </si>
  <si>
    <t>Fooseballs</t>
  </si>
  <si>
    <t>Document Storage Boxes</t>
  </si>
  <si>
    <t>hangers for awards plaques</t>
  </si>
  <si>
    <t>QUESSI &amp; Accessibility</t>
  </si>
  <si>
    <t>Food &amp; Drink - Costco</t>
  </si>
  <si>
    <t>Business Cards</t>
  </si>
  <si>
    <t>EngSoc Member Cards</t>
  </si>
  <si>
    <t>Meetings</t>
  </si>
  <si>
    <t>University Council</t>
  </si>
  <si>
    <t>Paper Shredding</t>
  </si>
  <si>
    <t>Confidentiality</t>
  </si>
  <si>
    <t>Advertisement TV</t>
  </si>
  <si>
    <t>Summer Retreat</t>
  </si>
  <si>
    <t>VPSA Communications Purchase</t>
  </si>
  <si>
    <t>Nikon D7000 DSLR with AFS18-105VR zoom</t>
  </si>
  <si>
    <t>Nikon AF50f1.8 prime lens</t>
  </si>
  <si>
    <t>Nikon EN-EL15 spare battery</t>
  </si>
  <si>
    <t>Lexar SDHC 100X Class 10 16GB memory card</t>
  </si>
  <si>
    <t>ProMaster 7500EDF electronic flash</t>
  </si>
  <si>
    <t>ProMaster Deluxe Microfibre cleaning cloth w/case</t>
  </si>
  <si>
    <t>Lowepro Nova 190AW deluxe carry case</t>
  </si>
  <si>
    <t>ProMaster MC UV 67mm filter</t>
  </si>
  <si>
    <t>Contingency does not include Salary Expenses</t>
  </si>
  <si>
    <t>Summer 2012</t>
  </si>
  <si>
    <r>
      <t>R</t>
    </r>
    <r>
      <rPr>
        <sz val="11"/>
        <rFont val="Calibri"/>
        <family val="2"/>
        <scheme val="minor"/>
      </rPr>
      <t>at traps</t>
    </r>
  </si>
  <si>
    <t>Security Cameras</t>
  </si>
  <si>
    <t>CPP And EI</t>
  </si>
  <si>
    <t xml:space="preserve">Two Bed Meetings </t>
  </si>
  <si>
    <t>11008</t>
  </si>
  <si>
    <t>Plaques</t>
  </si>
  <si>
    <t>For Documenting Equipment</t>
  </si>
  <si>
    <t>11011</t>
  </si>
  <si>
    <t>11012</t>
  </si>
  <si>
    <t>11013</t>
  </si>
  <si>
    <t>11014</t>
  </si>
  <si>
    <t>11015</t>
  </si>
  <si>
    <t>12 - Academics - Alex Wilson</t>
  </si>
  <si>
    <t>Pizza / Pop</t>
  </si>
  <si>
    <t>10002</t>
  </si>
  <si>
    <t>Extra</t>
  </si>
  <si>
    <t>Operational Budget - Engineering Society of Queen's University 2012-2013</t>
  </si>
  <si>
    <t>11001</t>
  </si>
  <si>
    <t xml:space="preserve"> </t>
  </si>
  <si>
    <t>Red Room in Kingston Hall</t>
  </si>
  <si>
    <t>0.50 per person</t>
  </si>
  <si>
    <t>2.00 per person</t>
  </si>
  <si>
    <t>Appreciation Dinner</t>
  </si>
  <si>
    <t>Costco 24 pack</t>
  </si>
  <si>
    <t>Costco 17 pack</t>
  </si>
  <si>
    <t>Garden burger</t>
  </si>
  <si>
    <t>Costco 16 pack</t>
  </si>
  <si>
    <t>MANAGER APPRECIATION</t>
  </si>
  <si>
    <t>Vikram</t>
  </si>
  <si>
    <t>3 junior ones</t>
  </si>
  <si>
    <t>Money Counter</t>
  </si>
  <si>
    <t>Located on summer budget</t>
  </si>
  <si>
    <t>Council Candy to Jacket Bursury</t>
  </si>
  <si>
    <t>In Summer budget</t>
  </si>
  <si>
    <t>10040</t>
  </si>
  <si>
    <t>10021</t>
  </si>
  <si>
    <t>10022</t>
  </si>
  <si>
    <t>10023</t>
  </si>
  <si>
    <t>10032</t>
  </si>
  <si>
    <t>10033</t>
  </si>
  <si>
    <t>10034</t>
  </si>
  <si>
    <t>10035</t>
  </si>
  <si>
    <t>10050</t>
  </si>
  <si>
    <t>10051</t>
  </si>
  <si>
    <t>10036</t>
  </si>
  <si>
    <t>Button Revenue</t>
  </si>
  <si>
    <t>16081</t>
  </si>
  <si>
    <t>ALL-DISCIPLINES NIGHT - budgeting for 200 students</t>
  </si>
  <si>
    <t>Veggies</t>
  </si>
  <si>
    <t>Fruit</t>
  </si>
  <si>
    <t>Box of 312 from COSTCO for orignal Lipton Tea Bags</t>
  </si>
  <si>
    <t>Exam Stress Sessions - 4 sessions/year, 100 students/session</t>
  </si>
  <si>
    <t>16131</t>
  </si>
  <si>
    <t>16140</t>
  </si>
  <si>
    <t>Cost per veggie platter - feeds approximately 25 (From Price Choppers)</t>
  </si>
  <si>
    <t>Cost per fruit platter - feeds approximately 25 (From Price Choppers)</t>
  </si>
  <si>
    <t>17025</t>
  </si>
  <si>
    <t xml:space="preserve">Gasoline </t>
  </si>
  <si>
    <t>To and from Toronto</t>
  </si>
  <si>
    <t>Name Tag Holders</t>
  </si>
  <si>
    <t>Plastic, pack of 10</t>
  </si>
  <si>
    <t>Raffle Tickets</t>
  </si>
  <si>
    <t>Roll of 1000</t>
  </si>
  <si>
    <t>19125</t>
  </si>
  <si>
    <t xml:space="preserve">New Chairs, Application Rack,Mini-Fridge </t>
  </si>
  <si>
    <t>19115</t>
  </si>
  <si>
    <t>Credit Card</t>
  </si>
  <si>
    <t>10% contingency</t>
  </si>
  <si>
    <t>Not including static fees of salary (summer salries + gm + Engserve rent, etc)</t>
  </si>
  <si>
    <t>Tips for Clark</t>
  </si>
  <si>
    <t>For 4 people</t>
  </si>
  <si>
    <t>Assuming 6 people</t>
  </si>
  <si>
    <t>To Kingston and Back</t>
  </si>
  <si>
    <t>17026</t>
  </si>
  <si>
    <t>Trophies &amp; Plaques</t>
  </si>
  <si>
    <t>Manuals</t>
  </si>
  <si>
    <t>CAPITAL EXPENSES</t>
  </si>
  <si>
    <t>11080</t>
  </si>
  <si>
    <t>11081</t>
  </si>
  <si>
    <t>TV</t>
  </si>
  <si>
    <t>For lounge</t>
  </si>
  <si>
    <t>Partial Transfer from 2011-2012 Fiscal year</t>
  </si>
  <si>
    <t>10060</t>
  </si>
  <si>
    <t>Money</t>
  </si>
  <si>
    <t xml:space="preserve">Added </t>
  </si>
  <si>
    <t xml:space="preserve">Hiring Dinner </t>
  </si>
  <si>
    <t xml:space="preserve">Car </t>
  </si>
  <si>
    <t xml:space="preserve">Chem Notes - Added </t>
  </si>
  <si>
    <t xml:space="preserve">Shredding </t>
  </si>
  <si>
    <t xml:space="preserve">REVENUE </t>
  </si>
  <si>
    <t xml:space="preserve">ESSCO Sponsorship </t>
  </si>
  <si>
    <t xml:space="preserve">Tent </t>
  </si>
  <si>
    <t xml:space="preserve">Bridge Building Club </t>
  </si>
  <si>
    <t xml:space="preserve">*two years </t>
  </si>
  <si>
    <t xml:space="preserve">External Hardrive </t>
  </si>
  <si>
    <t xml:space="preserve">Orientation Cooler </t>
  </si>
  <si>
    <t xml:space="preserve">Watermark Software </t>
  </si>
  <si>
    <t xml:space="preserve">Fall Notes </t>
  </si>
  <si>
    <t xml:space="preserve">Winter Notes </t>
  </si>
  <si>
    <t xml:space="preserve">Dean Donation </t>
  </si>
  <si>
    <t xml:space="preserve">BED Fund </t>
  </si>
  <si>
    <t xml:space="preserve">Room Booking </t>
  </si>
  <si>
    <t>Donation to QPID</t>
  </si>
  <si>
    <t xml:space="preserve">Chem notes </t>
  </si>
  <si>
    <t xml:space="preserve">RECORDS                                                                                                                                                                                         </t>
  </si>
  <si>
    <t>SUMMER BUDGET 2012 - 2013</t>
  </si>
  <si>
    <t>2012-2013 Summer Budget</t>
  </si>
  <si>
    <t>2012-2013 Summer Actuals</t>
  </si>
  <si>
    <t>Shelving Units</t>
  </si>
  <si>
    <t>Sharpies</t>
  </si>
  <si>
    <t>Stapler</t>
  </si>
  <si>
    <t xml:space="preserve">Full Couches </t>
  </si>
  <si>
    <t xml:space="preserve">Love Seats </t>
  </si>
  <si>
    <t>Chair</t>
  </si>
  <si>
    <t xml:space="preserve">Speakers </t>
  </si>
  <si>
    <r>
      <t>B</t>
    </r>
    <r>
      <rPr>
        <sz val="11"/>
        <rFont val="Calibri"/>
        <family val="2"/>
        <scheme val="minor"/>
      </rPr>
      <t>rushes t</t>
    </r>
    <r>
      <rPr>
        <sz val="11"/>
        <rFont val="Calibri"/>
        <family val="2"/>
      </rPr>
      <t>o P</t>
    </r>
    <r>
      <rPr>
        <sz val="11"/>
        <rFont val="Calibri"/>
        <family val="2"/>
        <scheme val="minor"/>
      </rPr>
      <t xml:space="preserve">aint </t>
    </r>
    <r>
      <rPr>
        <sz val="11"/>
        <rFont val="Calibri"/>
        <family val="2"/>
      </rPr>
      <t>C</t>
    </r>
    <r>
      <rPr>
        <sz val="11"/>
        <rFont val="Calibri"/>
        <family val="2"/>
        <scheme val="minor"/>
      </rPr>
      <t>rests</t>
    </r>
  </si>
  <si>
    <t>Notebook</t>
  </si>
  <si>
    <t>Customizable for Cheques</t>
  </si>
  <si>
    <t>Online Banking Fees</t>
  </si>
  <si>
    <t>New BBQ</t>
  </si>
  <si>
    <t>Including installation</t>
  </si>
  <si>
    <t>Incorporation Meetings</t>
  </si>
  <si>
    <t xml:space="preserve">Consultation with lawyer </t>
  </si>
  <si>
    <t>External Communication</t>
  </si>
  <si>
    <t>ESSCO AGM</t>
  </si>
  <si>
    <t xml:space="preserve">Frosh Week Give Away </t>
  </si>
  <si>
    <t xml:space="preserve">Button Supplies </t>
  </si>
  <si>
    <t xml:space="preserve">Slap Bracelets </t>
  </si>
  <si>
    <t xml:space="preserve">Tattoos </t>
  </si>
  <si>
    <t>Misc</t>
  </si>
  <si>
    <t>ED Merchandise</t>
  </si>
  <si>
    <t>Baseball Hats</t>
  </si>
  <si>
    <t>ProMaster MC UV 52mmmm filter</t>
  </si>
  <si>
    <t>EXPENSES TOTAL</t>
  </si>
  <si>
    <t>Contingency (10%)</t>
  </si>
  <si>
    <t>TOTAL WITH CONTINGENCY</t>
  </si>
  <si>
    <t>Dean Donation</t>
  </si>
  <si>
    <t>rode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</si>
</sst>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\(&quot;$&quot;#,##0.00\)"/>
    <numFmt numFmtId="165" formatCode="_(&quot;$&quot;* #,##0.00_);_(&quot;$&quot;* \(#,##0.00\);_(&quot;$&quot;* &quot;-&quot;??_);_(@_)"/>
    <numFmt numFmtId="166" formatCode="&quot;$&quot;#,##0.00"/>
    <numFmt numFmtId="167" formatCode="_-[$$-C09]* #,##0.00_-;\-[$$-C09]* #,##0.00_-;_-[$$-C09]* &quot;-&quot;??_-;_-@_-"/>
    <numFmt numFmtId="168" formatCode="_(\$* #,##0.00_);_(\$* \(#,##0.00\);_(\$* \-??_);_(@_)"/>
    <numFmt numFmtId="169" formatCode="\$#,##0.00"/>
    <numFmt numFmtId="170" formatCode="[$$-1009]#,##0.00;[Red]\-[$$-1009]#,##0.00"/>
    <numFmt numFmtId="171" formatCode="[$$-1009]#,##0.00;\-[$$-1009]#,##0.00"/>
    <numFmt numFmtId="172" formatCode="\$#,##0.00_);&quot;($&quot;#,##0.00\)"/>
    <numFmt numFmtId="173" formatCode="_-[$$-1009]* #,##0.00_-;\-[$$-1009]* #,##0.00_-;_-[$$-1009]* &quot;-&quot;??_-;_-@_-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color indexed="0"/>
      <name val="Lucida Grande"/>
    </font>
    <font>
      <sz val="10"/>
      <name val="Verdana"/>
      <family val="2"/>
    </font>
    <font>
      <b/>
      <sz val="1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indexed="9"/>
      <name val="Calibri"/>
      <family val="2"/>
    </font>
    <font>
      <sz val="11"/>
      <color rgb="FF000000"/>
      <name val="Calibri"/>
      <family val="2"/>
      <charset val="1"/>
    </font>
    <font>
      <b/>
      <sz val="8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name val="Arial"/>
      <family val="2"/>
    </font>
    <font>
      <b/>
      <sz val="2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Times New Roman"/>
      <family val="1"/>
    </font>
    <font>
      <sz val="11"/>
      <color indexed="8"/>
      <name val="Calibri"/>
      <family val="2"/>
    </font>
    <font>
      <b/>
      <sz val="15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BFBFBF"/>
        <bgColor rgb="FFC3D69B"/>
      </patternFill>
    </fill>
    <fill>
      <patternFill patternType="solid">
        <fgColor rgb="FFFFFFFF"/>
        <bgColor rgb="FFF2F2F2"/>
      </patternFill>
    </fill>
    <fill>
      <patternFill patternType="solid">
        <fgColor rgb="FF808080"/>
        <bgColor rgb="FF969696"/>
      </patternFill>
    </fill>
    <fill>
      <patternFill patternType="solid">
        <fgColor rgb="FFF2F2F2"/>
        <bgColor rgb="FFFFFFFF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NumberFormat="0" applyFill="0" applyBorder="0" applyProtection="0"/>
    <xf numFmtId="44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" fillId="0" borderId="0"/>
    <xf numFmtId="43" fontId="23" fillId="0" borderId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/>
    <xf numFmtId="44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23" fillId="0" borderId="0"/>
    <xf numFmtId="0" fontId="33" fillId="0" borderId="0"/>
    <xf numFmtId="0" fontId="33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23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9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right"/>
    </xf>
    <xf numFmtId="165" fontId="0" fillId="0" borderId="1" xfId="0" applyNumberFormat="1" applyBorder="1"/>
    <xf numFmtId="0" fontId="0" fillId="0" borderId="0" xfId="0"/>
    <xf numFmtId="166" fontId="5" fillId="2" borderId="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165" fontId="0" fillId="3" borderId="1" xfId="0" applyNumberFormat="1" applyFill="1" applyBorder="1"/>
    <xf numFmtId="165" fontId="10" fillId="4" borderId="1" xfId="0" applyNumberFormat="1" applyFont="1" applyFill="1" applyBorder="1"/>
    <xf numFmtId="49" fontId="0" fillId="0" borderId="2" xfId="0" applyNumberFormat="1" applyBorder="1" applyAlignment="1">
      <alignment horizontal="right"/>
    </xf>
    <xf numFmtId="0" fontId="0" fillId="0" borderId="3" xfId="0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2" xfId="0" applyNumberFormat="1" applyBorder="1"/>
    <xf numFmtId="165" fontId="10" fillId="4" borderId="2" xfId="0" applyNumberFormat="1" applyFont="1" applyFill="1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6" borderId="1" xfId="0" applyFill="1" applyBorder="1"/>
    <xf numFmtId="165" fontId="0" fillId="6" borderId="1" xfId="0" applyNumberFormat="1" applyFill="1" applyBorder="1"/>
    <xf numFmtId="0" fontId="0" fillId="0" borderId="1" xfId="0" applyFill="1" applyBorder="1"/>
    <xf numFmtId="165" fontId="0" fillId="0" borderId="1" xfId="0" applyNumberFormat="1" applyFill="1" applyBorder="1"/>
    <xf numFmtId="0" fontId="0" fillId="0" borderId="1" xfId="0" applyNumberFormat="1" applyBorder="1" applyAlignment="1">
      <alignment horizontal="right"/>
    </xf>
    <xf numFmtId="0" fontId="0" fillId="0" borderId="0" xfId="0" applyBorder="1"/>
    <xf numFmtId="165" fontId="0" fillId="2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/>
    <xf numFmtId="49" fontId="0" fillId="0" borderId="0" xfId="0" applyNumberFormat="1" applyFill="1" applyBorder="1" applyAlignment="1">
      <alignment horizontal="right"/>
    </xf>
    <xf numFmtId="165" fontId="13" fillId="0" borderId="7" xfId="0" applyNumberFormat="1" applyFont="1" applyBorder="1"/>
    <xf numFmtId="0" fontId="13" fillId="0" borderId="7" xfId="0" applyFont="1" applyBorder="1"/>
    <xf numFmtId="49" fontId="13" fillId="0" borderId="8" xfId="0" applyNumberFormat="1" applyFont="1" applyBorder="1" applyAlignment="1">
      <alignment horizontal="right"/>
    </xf>
    <xf numFmtId="165" fontId="13" fillId="7" borderId="7" xfId="0" applyNumberFormat="1" applyFont="1" applyFill="1" applyBorder="1"/>
    <xf numFmtId="165" fontId="14" fillId="8" borderId="4" xfId="0" applyNumberFormat="1" applyFont="1" applyFill="1" applyBorder="1"/>
    <xf numFmtId="0" fontId="13" fillId="2" borderId="7" xfId="0" applyFont="1" applyFill="1" applyBorder="1"/>
    <xf numFmtId="0" fontId="13" fillId="10" borderId="7" xfId="0" applyFont="1" applyFill="1" applyBorder="1"/>
    <xf numFmtId="0" fontId="0" fillId="2" borderId="1" xfId="0" applyFill="1" applyBorder="1"/>
    <xf numFmtId="0" fontId="0" fillId="0" borderId="0" xfId="0" applyAlignment="1"/>
    <xf numFmtId="167" fontId="0" fillId="0" borderId="1" xfId="0" applyNumberFormat="1" applyBorder="1"/>
    <xf numFmtId="167" fontId="0" fillId="0" borderId="1" xfId="0" applyNumberFormat="1" applyFill="1" applyBorder="1"/>
    <xf numFmtId="0" fontId="16" fillId="0" borderId="0" xfId="49"/>
    <xf numFmtId="169" fontId="20" fillId="12" borderId="11" xfId="49" applyNumberFormat="1" applyFont="1" applyFill="1" applyBorder="1" applyAlignment="1">
      <alignment horizontal="center" wrapText="1"/>
    </xf>
    <xf numFmtId="0" fontId="20" fillId="12" borderId="11" xfId="49" applyFont="1" applyFill="1" applyBorder="1" applyAlignment="1">
      <alignment horizontal="center" wrapText="1"/>
    </xf>
    <xf numFmtId="0" fontId="20" fillId="12" borderId="11" xfId="49" applyFont="1" applyFill="1" applyBorder="1" applyAlignment="1">
      <alignment horizontal="center"/>
    </xf>
    <xf numFmtId="169" fontId="17" fillId="12" borderId="11" xfId="49" applyNumberFormat="1" applyFont="1" applyFill="1" applyBorder="1" applyAlignment="1">
      <alignment horizontal="center" wrapText="1"/>
    </xf>
    <xf numFmtId="49" fontId="16" fillId="0" borderId="0" xfId="49" applyNumberFormat="1" applyFont="1" applyBorder="1" applyAlignment="1">
      <alignment horizontal="right"/>
    </xf>
    <xf numFmtId="0" fontId="16" fillId="0" borderId="0" xfId="49" applyFont="1" applyBorder="1"/>
    <xf numFmtId="168" fontId="16" fillId="0" borderId="0" xfId="49" applyNumberFormat="1" applyBorder="1"/>
    <xf numFmtId="0" fontId="16" fillId="0" borderId="1" xfId="49" applyFont="1" applyBorder="1"/>
    <xf numFmtId="168" fontId="18" fillId="13" borderId="1" xfId="49" applyNumberFormat="1" applyFont="1" applyFill="1" applyBorder="1"/>
    <xf numFmtId="168" fontId="19" fillId="11" borderId="1" xfId="49" applyNumberFormat="1" applyFont="1" applyFill="1" applyBorder="1"/>
    <xf numFmtId="49" fontId="19" fillId="0" borderId="1" xfId="49" applyNumberFormat="1" applyFont="1" applyBorder="1" applyAlignment="1">
      <alignment horizontal="right"/>
    </xf>
    <xf numFmtId="0" fontId="19" fillId="0" borderId="1" xfId="49" applyFont="1" applyBorder="1"/>
    <xf numFmtId="168" fontId="19" fillId="0" borderId="1" xfId="49" applyNumberFormat="1" applyFont="1" applyBorder="1"/>
    <xf numFmtId="49" fontId="16" fillId="0" borderId="1" xfId="49" applyNumberFormat="1" applyFont="1" applyBorder="1" applyAlignment="1">
      <alignment horizontal="right"/>
    </xf>
    <xf numFmtId="168" fontId="16" fillId="0" borderId="1" xfId="49" applyNumberFormat="1" applyBorder="1"/>
    <xf numFmtId="168" fontId="16" fillId="11" borderId="1" xfId="49" applyNumberFormat="1" applyFill="1" applyBorder="1"/>
    <xf numFmtId="49" fontId="16" fillId="0" borderId="1" xfId="49" applyNumberFormat="1" applyFont="1" applyFill="1" applyBorder="1" applyAlignment="1">
      <alignment horizontal="right"/>
    </xf>
    <xf numFmtId="0" fontId="16" fillId="0" borderId="1" xfId="49" applyFont="1" applyFill="1" applyBorder="1"/>
    <xf numFmtId="49" fontId="16" fillId="0" borderId="1" xfId="49" applyNumberFormat="1" applyBorder="1" applyAlignment="1">
      <alignment horizontal="right"/>
    </xf>
    <xf numFmtId="0" fontId="16" fillId="0" borderId="1" xfId="49" applyBorder="1"/>
    <xf numFmtId="169" fontId="16" fillId="0" borderId="1" xfId="49" applyNumberFormat="1" applyBorder="1"/>
    <xf numFmtId="170" fontId="16" fillId="0" borderId="1" xfId="49" applyNumberFormat="1" applyFont="1" applyBorder="1"/>
    <xf numFmtId="171" fontId="16" fillId="0" borderId="1" xfId="49" applyNumberFormat="1" applyFont="1" applyBorder="1"/>
    <xf numFmtId="166" fontId="4" fillId="0" borderId="1" xfId="1" applyNumberFormat="1" applyFont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170" fontId="16" fillId="0" borderId="1" xfId="49" applyNumberFormat="1" applyFont="1" applyFill="1" applyBorder="1"/>
    <xf numFmtId="171" fontId="16" fillId="0" borderId="1" xfId="49" applyNumberFormat="1" applyFont="1" applyFill="1" applyBorder="1"/>
    <xf numFmtId="166" fontId="16" fillId="0" borderId="1" xfId="49" applyNumberFormat="1" applyFill="1" applyBorder="1" applyAlignment="1">
      <alignment horizontal="right" vertical="center"/>
    </xf>
    <xf numFmtId="1" fontId="16" fillId="0" borderId="1" xfId="49" applyNumberFormat="1" applyFont="1" applyFill="1" applyBorder="1"/>
    <xf numFmtId="165" fontId="16" fillId="0" borderId="1" xfId="49" applyNumberFormat="1" applyFill="1" applyBorder="1"/>
    <xf numFmtId="1" fontId="16" fillId="0" borderId="1" xfId="49" applyNumberFormat="1" applyFill="1" applyBorder="1"/>
    <xf numFmtId="4" fontId="16" fillId="0" borderId="1" xfId="49" applyNumberFormat="1" applyFill="1" applyBorder="1" applyAlignment="1">
      <alignment horizontal="right" vertical="center"/>
    </xf>
    <xf numFmtId="4" fontId="16" fillId="0" borderId="1" xfId="49" applyNumberFormat="1" applyFont="1" applyFill="1" applyBorder="1" applyAlignment="1">
      <alignment horizontal="right"/>
    </xf>
    <xf numFmtId="49" fontId="16" fillId="0" borderId="1" xfId="49" applyNumberFormat="1" applyFill="1" applyBorder="1" applyAlignment="1">
      <alignment horizontal="center"/>
    </xf>
    <xf numFmtId="4" fontId="16" fillId="0" borderId="1" xfId="49" applyNumberFormat="1" applyFont="1" applyBorder="1" applyAlignment="1">
      <alignment horizontal="right"/>
    </xf>
    <xf numFmtId="1" fontId="16" fillId="0" borderId="1" xfId="49" applyNumberFormat="1" applyFont="1" applyBorder="1" applyAlignment="1">
      <alignment horizontal="right"/>
    </xf>
    <xf numFmtId="4" fontId="16" fillId="0" borderId="1" xfId="49" applyNumberFormat="1" applyFill="1" applyBorder="1" applyAlignment="1">
      <alignment horizontal="right"/>
    </xf>
    <xf numFmtId="1" fontId="16" fillId="0" borderId="1" xfId="49" applyNumberFormat="1" applyFont="1" applyFill="1" applyBorder="1" applyAlignment="1"/>
    <xf numFmtId="165" fontId="16" fillId="0" borderId="1" xfId="49" applyNumberFormat="1" applyFill="1" applyBorder="1" applyAlignment="1"/>
    <xf numFmtId="1" fontId="16" fillId="0" borderId="1" xfId="49" applyNumberFormat="1" applyFont="1" applyFill="1" applyBorder="1" applyAlignment="1">
      <alignment horizontal="center"/>
    </xf>
    <xf numFmtId="1" fontId="16" fillId="0" borderId="1" xfId="49" applyNumberFormat="1" applyFont="1" applyFill="1" applyBorder="1" applyAlignment="1">
      <alignment horizontal="right"/>
    </xf>
    <xf numFmtId="0" fontId="16" fillId="0" borderId="6" xfId="49" applyFont="1" applyBorder="1"/>
    <xf numFmtId="168" fontId="16" fillId="0" borderId="6" xfId="49" applyNumberFormat="1" applyBorder="1"/>
    <xf numFmtId="0" fontId="16" fillId="0" borderId="0" xfId="49" applyBorder="1"/>
    <xf numFmtId="168" fontId="16" fillId="0" borderId="0" xfId="49" applyNumberFormat="1" applyFill="1" applyBorder="1"/>
    <xf numFmtId="0" fontId="16" fillId="0" borderId="0" xfId="49" applyFill="1" applyBorder="1"/>
    <xf numFmtId="49" fontId="16" fillId="0" borderId="0" xfId="49" applyNumberFormat="1" applyFill="1" applyBorder="1" applyAlignment="1">
      <alignment horizontal="right"/>
    </xf>
    <xf numFmtId="0" fontId="16" fillId="0" borderId="0" xfId="49" applyFont="1" applyFill="1" applyBorder="1"/>
    <xf numFmtId="49" fontId="16" fillId="0" borderId="6" xfId="49" applyNumberFormat="1" applyBorder="1" applyAlignment="1">
      <alignment horizontal="right"/>
    </xf>
    <xf numFmtId="168" fontId="18" fillId="13" borderId="8" xfId="49" applyNumberFormat="1" applyFont="1" applyFill="1" applyBorder="1"/>
    <xf numFmtId="49" fontId="16" fillId="0" borderId="3" xfId="49" applyNumberFormat="1" applyFill="1" applyBorder="1" applyAlignment="1">
      <alignment horizontal="right"/>
    </xf>
    <xf numFmtId="0" fontId="16" fillId="0" borderId="3" xfId="49" applyFont="1" applyFill="1" applyBorder="1"/>
    <xf numFmtId="168" fontId="16" fillId="0" borderId="3" xfId="49" applyNumberFormat="1" applyFill="1" applyBorder="1"/>
    <xf numFmtId="0" fontId="28" fillId="0" borderId="0" xfId="0" applyFont="1"/>
    <xf numFmtId="173" fontId="0" fillId="0" borderId="0" xfId="0" applyNumberFormat="1"/>
    <xf numFmtId="0" fontId="25" fillId="15" borderId="0" xfId="0" applyFont="1" applyFill="1"/>
    <xf numFmtId="0" fontId="0" fillId="15" borderId="0" xfId="0" applyFill="1"/>
    <xf numFmtId="0" fontId="2" fillId="16" borderId="0" xfId="0" applyFont="1" applyFill="1"/>
    <xf numFmtId="173" fontId="2" fillId="16" borderId="0" xfId="0" applyNumberFormat="1" applyFont="1" applyFill="1"/>
    <xf numFmtId="0" fontId="0" fillId="0" borderId="0" xfId="0" applyFill="1"/>
    <xf numFmtId="173" fontId="0" fillId="0" borderId="0" xfId="0" applyNumberFormat="1" applyFont="1" applyFill="1"/>
    <xf numFmtId="0" fontId="2" fillId="0" borderId="0" xfId="0" applyFont="1" applyFill="1"/>
    <xf numFmtId="0" fontId="29" fillId="0" borderId="0" xfId="51" applyFill="1" applyAlignment="1" applyProtection="1"/>
    <xf numFmtId="173" fontId="27" fillId="15" borderId="0" xfId="0" applyNumberFormat="1" applyFont="1" applyFill="1"/>
    <xf numFmtId="0" fontId="0" fillId="0" borderId="0" xfId="0" applyFont="1" applyFill="1"/>
    <xf numFmtId="0" fontId="29" fillId="0" borderId="0" xfId="51" applyAlignment="1" applyProtection="1"/>
    <xf numFmtId="173" fontId="0" fillId="0" borderId="0" xfId="0" applyNumberFormat="1" applyFill="1"/>
    <xf numFmtId="0" fontId="2" fillId="0" borderId="0" xfId="0" applyFont="1"/>
    <xf numFmtId="0" fontId="25" fillId="15" borderId="0" xfId="0" applyFont="1" applyFill="1" applyAlignment="1">
      <alignment horizontal="right"/>
    </xf>
    <xf numFmtId="0" fontId="31" fillId="15" borderId="0" xfId="51" applyFont="1" applyFill="1" applyAlignment="1" applyProtection="1"/>
    <xf numFmtId="173" fontId="2" fillId="0" borderId="0" xfId="0" applyNumberFormat="1" applyFont="1" applyFill="1"/>
    <xf numFmtId="0" fontId="25" fillId="0" borderId="0" xfId="0" applyFont="1" applyFill="1"/>
    <xf numFmtId="49" fontId="0" fillId="6" borderId="1" xfId="0" applyNumberFormat="1" applyFill="1" applyBorder="1" applyAlignment="1">
      <alignment horizontal="right"/>
    </xf>
    <xf numFmtId="9" fontId="0" fillId="0" borderId="1" xfId="0" applyNumberFormat="1" applyBorder="1" applyAlignment="1">
      <alignment horizontal="left"/>
    </xf>
    <xf numFmtId="165" fontId="0" fillId="2" borderId="1" xfId="0" applyNumberFormat="1" applyFill="1" applyBorder="1"/>
    <xf numFmtId="0" fontId="26" fillId="0" borderId="0" xfId="0" applyFont="1"/>
    <xf numFmtId="0" fontId="0" fillId="17" borderId="1" xfId="0" applyFill="1" applyBorder="1"/>
    <xf numFmtId="0" fontId="32" fillId="0" borderId="0" xfId="0" applyFont="1" applyAlignment="1">
      <alignment wrapText="1"/>
    </xf>
    <xf numFmtId="49" fontId="0" fillId="2" borderId="1" xfId="0" applyNumberFormat="1" applyFill="1" applyBorder="1" applyAlignment="1">
      <alignment horizontal="right"/>
    </xf>
    <xf numFmtId="0" fontId="0" fillId="6" borderId="1" xfId="0" applyNumberFormat="1" applyFill="1" applyBorder="1" applyAlignment="1">
      <alignment horizontal="right"/>
    </xf>
    <xf numFmtId="0" fontId="10" fillId="0" borderId="0" xfId="0" applyFont="1" applyFill="1" applyBorder="1" applyAlignment="1"/>
    <xf numFmtId="0" fontId="0" fillId="0" borderId="0" xfId="0" applyFill="1" applyBorder="1" applyAlignment="1"/>
    <xf numFmtId="0" fontId="30" fillId="6" borderId="1" xfId="0" applyFont="1" applyFill="1" applyBorder="1"/>
    <xf numFmtId="165" fontId="30" fillId="6" borderId="1" xfId="0" applyNumberFormat="1" applyFont="1" applyFill="1" applyBorder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44" fontId="10" fillId="4" borderId="3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36" fillId="0" borderId="0" xfId="0" applyFont="1" applyFill="1" applyBorder="1" applyAlignment="1">
      <alignment wrapText="1"/>
    </xf>
    <xf numFmtId="0" fontId="36" fillId="0" borderId="25" xfId="0" applyFont="1" applyFill="1" applyBorder="1" applyAlignment="1">
      <alignment vertical="center" wrapText="1"/>
    </xf>
    <xf numFmtId="0" fontId="30" fillId="0" borderId="24" xfId="0" applyFont="1" applyFill="1" applyBorder="1" applyAlignment="1">
      <alignment wrapText="1"/>
    </xf>
    <xf numFmtId="0" fontId="30" fillId="0" borderId="22" xfId="0" applyFont="1" applyFill="1" applyBorder="1" applyAlignment="1">
      <alignment wrapText="1"/>
    </xf>
    <xf numFmtId="0" fontId="30" fillId="0" borderId="23" xfId="0" applyFont="1" applyFill="1" applyBorder="1" applyAlignment="1">
      <alignment wrapText="1"/>
    </xf>
    <xf numFmtId="0" fontId="30" fillId="18" borderId="0" xfId="0" applyFont="1" applyFill="1" applyBorder="1" applyAlignment="1">
      <alignment wrapText="1"/>
    </xf>
    <xf numFmtId="0" fontId="36" fillId="0" borderId="3" xfId="0" applyFont="1" applyFill="1" applyBorder="1" applyAlignment="1">
      <alignment wrapText="1"/>
    </xf>
    <xf numFmtId="0" fontId="36" fillId="0" borderId="0" xfId="0" applyFont="1" applyFill="1" applyBorder="1" applyAlignment="1">
      <alignment vertical="center" wrapText="1"/>
    </xf>
    <xf numFmtId="4" fontId="4" fillId="0" borderId="1" xfId="52" applyNumberFormat="1" applyFont="1" applyBorder="1" applyAlignment="1">
      <alignment horizontal="right"/>
    </xf>
    <xf numFmtId="0" fontId="37" fillId="4" borderId="2" xfId="51" applyFont="1" applyFill="1" applyBorder="1" applyAlignment="1" applyProtection="1"/>
    <xf numFmtId="0" fontId="33" fillId="0" borderId="0" xfId="62"/>
    <xf numFmtId="49" fontId="0" fillId="0" borderId="1" xfId="0" applyNumberFormat="1" applyFill="1" applyBorder="1" applyAlignment="1">
      <alignment horizontal="right"/>
    </xf>
    <xf numFmtId="44" fontId="16" fillId="0" borderId="1" xfId="49" applyNumberFormat="1" applyFont="1" applyFill="1" applyBorder="1"/>
    <xf numFmtId="44" fontId="16" fillId="0" borderId="1" xfId="49" applyNumberFormat="1" applyFont="1" applyBorder="1"/>
    <xf numFmtId="165" fontId="0" fillId="0" borderId="0" xfId="0" applyNumberFormat="1"/>
    <xf numFmtId="0" fontId="0" fillId="0" borderId="29" xfId="0" applyFill="1" applyBorder="1"/>
    <xf numFmtId="165" fontId="0" fillId="0" borderId="29" xfId="0" applyNumberFormat="1" applyFill="1" applyBorder="1"/>
    <xf numFmtId="44" fontId="0" fillId="0" borderId="0" xfId="0" applyNumberFormat="1"/>
    <xf numFmtId="8" fontId="0" fillId="0" borderId="0" xfId="0" applyNumberFormat="1"/>
    <xf numFmtId="49" fontId="0" fillId="6" borderId="2" xfId="0" applyNumberFormat="1" applyFill="1" applyBorder="1" applyAlignment="1">
      <alignment horizontal="right"/>
    </xf>
    <xf numFmtId="0" fontId="0" fillId="6" borderId="3" xfId="0" applyFill="1" applyBorder="1"/>
    <xf numFmtId="165" fontId="0" fillId="6" borderId="3" xfId="0" applyNumberFormat="1" applyFill="1" applyBorder="1"/>
    <xf numFmtId="165" fontId="0" fillId="2" borderId="3" xfId="0" applyNumberFormat="1" applyFill="1" applyBorder="1"/>
    <xf numFmtId="0" fontId="0" fillId="2" borderId="3" xfId="0" applyFill="1" applyBorder="1"/>
    <xf numFmtId="0" fontId="38" fillId="0" borderId="0" xfId="0" applyFont="1" applyFill="1" applyBorder="1" applyAlignment="1"/>
    <xf numFmtId="0" fontId="30" fillId="0" borderId="0" xfId="0" applyFont="1" applyFill="1" applyBorder="1" applyAlignment="1"/>
    <xf numFmtId="0" fontId="0" fillId="0" borderId="0" xfId="0"/>
    <xf numFmtId="0" fontId="30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23" xfId="0" applyFont="1" applyFill="1" applyBorder="1" applyAlignment="1">
      <alignment wrapText="1"/>
    </xf>
    <xf numFmtId="0" fontId="5" fillId="0" borderId="24" xfId="0" applyFont="1" applyFill="1" applyBorder="1" applyAlignment="1">
      <alignment wrapText="1"/>
    </xf>
    <xf numFmtId="166" fontId="5" fillId="0" borderId="2" xfId="0" applyNumberFormat="1" applyFont="1" applyFill="1" applyBorder="1" applyAlignment="1">
      <alignment wrapText="1"/>
    </xf>
    <xf numFmtId="166" fontId="5" fillId="0" borderId="3" xfId="0" applyNumberFormat="1" applyFont="1" applyFill="1" applyBorder="1" applyAlignment="1">
      <alignment wrapText="1"/>
    </xf>
    <xf numFmtId="166" fontId="5" fillId="0" borderId="4" xfId="0" applyNumberFormat="1" applyFont="1" applyFill="1" applyBorder="1" applyAlignment="1">
      <alignment wrapText="1"/>
    </xf>
    <xf numFmtId="166" fontId="30" fillId="0" borderId="23" xfId="0" applyNumberFormat="1" applyFont="1" applyFill="1" applyBorder="1" applyAlignment="1">
      <alignment wrapText="1"/>
    </xf>
    <xf numFmtId="166" fontId="30" fillId="0" borderId="0" xfId="0" applyNumberFormat="1" applyFont="1" applyFill="1" applyBorder="1" applyAlignment="1">
      <alignment wrapText="1"/>
    </xf>
    <xf numFmtId="166" fontId="30" fillId="0" borderId="24" xfId="0" applyNumberFormat="1" applyFont="1" applyFill="1" applyBorder="1" applyAlignment="1">
      <alignment wrapText="1"/>
    </xf>
    <xf numFmtId="166" fontId="5" fillId="0" borderId="23" xfId="0" applyNumberFormat="1" applyFont="1" applyFill="1" applyBorder="1" applyAlignment="1">
      <alignment wrapText="1"/>
    </xf>
    <xf numFmtId="166" fontId="5" fillId="0" borderId="0" xfId="0" applyNumberFormat="1" applyFont="1" applyFill="1" applyBorder="1" applyAlignment="1">
      <alignment wrapText="1"/>
    </xf>
    <xf numFmtId="166" fontId="5" fillId="0" borderId="24" xfId="0" applyNumberFormat="1" applyFont="1" applyFill="1" applyBorder="1" applyAlignment="1">
      <alignment wrapText="1"/>
    </xf>
    <xf numFmtId="0" fontId="30" fillId="0" borderId="24" xfId="0" applyFont="1" applyFill="1" applyBorder="1" applyAlignment="1">
      <alignment wrapText="1"/>
    </xf>
    <xf numFmtId="166" fontId="30" fillId="0" borderId="18" xfId="0" applyNumberFormat="1" applyFont="1" applyFill="1" applyBorder="1" applyAlignment="1">
      <alignment wrapText="1"/>
    </xf>
    <xf numFmtId="166" fontId="30" fillId="0" borderId="19" xfId="0" applyNumberFormat="1" applyFont="1" applyFill="1" applyBorder="1" applyAlignment="1">
      <alignment wrapText="1"/>
    </xf>
    <xf numFmtId="166" fontId="30" fillId="0" borderId="20" xfId="0" applyNumberFormat="1" applyFont="1" applyFill="1" applyBorder="1" applyAlignment="1">
      <alignment wrapText="1"/>
    </xf>
    <xf numFmtId="166" fontId="5" fillId="0" borderId="21" xfId="0" applyNumberFormat="1" applyFont="1" applyFill="1" applyBorder="1" applyAlignment="1">
      <alignment wrapText="1"/>
    </xf>
    <xf numFmtId="166" fontId="5" fillId="0" borderId="22" xfId="0" applyNumberFormat="1" applyFont="1" applyFill="1" applyBorder="1" applyAlignment="1">
      <alignment wrapText="1"/>
    </xf>
    <xf numFmtId="166" fontId="5" fillId="0" borderId="7" xfId="0" applyNumberFormat="1" applyFont="1" applyFill="1" applyBorder="1" applyAlignment="1">
      <alignment wrapText="1"/>
    </xf>
    <xf numFmtId="0" fontId="30" fillId="0" borderId="23" xfId="0" applyFont="1" applyFill="1" applyBorder="1" applyAlignment="1">
      <alignment wrapText="1"/>
    </xf>
    <xf numFmtId="0" fontId="34" fillId="18" borderId="0" xfId="0" applyFont="1" applyFill="1" applyBorder="1" applyAlignment="1">
      <alignment wrapText="1"/>
    </xf>
    <xf numFmtId="1" fontId="34" fillId="18" borderId="0" xfId="0" applyNumberFormat="1" applyFont="1" applyFill="1" applyBorder="1" applyAlignment="1">
      <alignment wrapText="1"/>
    </xf>
    <xf numFmtId="0" fontId="5" fillId="18" borderId="0" xfId="0" applyFont="1" applyFill="1" applyBorder="1" applyAlignment="1">
      <alignment wrapText="1"/>
    </xf>
    <xf numFmtId="1" fontId="5" fillId="18" borderId="0" xfId="0" applyNumberFormat="1" applyFont="1" applyFill="1" applyBorder="1" applyAlignment="1">
      <alignment wrapText="1"/>
    </xf>
    <xf numFmtId="166" fontId="5" fillId="18" borderId="3" xfId="0" applyNumberFormat="1" applyFont="1" applyFill="1" applyBorder="1" applyAlignment="1">
      <alignment wrapText="1"/>
    </xf>
    <xf numFmtId="1" fontId="5" fillId="18" borderId="3" xfId="0" applyNumberFormat="1" applyFont="1" applyFill="1" applyBorder="1" applyAlignment="1">
      <alignment wrapText="1"/>
    </xf>
    <xf numFmtId="166" fontId="30" fillId="18" borderId="0" xfId="0" applyNumberFormat="1" applyFont="1" applyFill="1" applyBorder="1" applyAlignment="1">
      <alignment wrapText="1"/>
    </xf>
    <xf numFmtId="1" fontId="30" fillId="18" borderId="0" xfId="0" applyNumberFormat="1" applyFont="1" applyFill="1" applyBorder="1" applyAlignment="1">
      <alignment wrapText="1"/>
    </xf>
    <xf numFmtId="166" fontId="5" fillId="18" borderId="0" xfId="0" applyNumberFormat="1" applyFont="1" applyFill="1" applyBorder="1" applyAlignment="1">
      <alignment wrapText="1"/>
    </xf>
    <xf numFmtId="0" fontId="30" fillId="18" borderId="0" xfId="0" applyFont="1" applyFill="1" applyBorder="1" applyAlignment="1">
      <alignment wrapText="1"/>
    </xf>
    <xf numFmtId="166" fontId="30" fillId="18" borderId="18" xfId="0" applyNumberFormat="1" applyFont="1" applyFill="1" applyBorder="1" applyAlignment="1">
      <alignment wrapText="1"/>
    </xf>
    <xf numFmtId="1" fontId="30" fillId="18" borderId="19" xfId="0" applyNumberFormat="1" applyFont="1" applyFill="1" applyBorder="1" applyAlignment="1">
      <alignment wrapText="1"/>
    </xf>
    <xf numFmtId="166" fontId="30" fillId="18" borderId="19" xfId="0" applyNumberFormat="1" applyFont="1" applyFill="1" applyBorder="1" applyAlignment="1">
      <alignment wrapText="1"/>
    </xf>
    <xf numFmtId="166" fontId="5" fillId="18" borderId="22" xfId="0" applyNumberFormat="1" applyFont="1" applyFill="1" applyBorder="1" applyAlignment="1">
      <alignment wrapText="1"/>
    </xf>
    <xf numFmtId="1" fontId="5" fillId="18" borderId="22" xfId="0" applyNumberFormat="1" applyFont="1" applyFill="1" applyBorder="1" applyAlignment="1">
      <alignment wrapText="1"/>
    </xf>
    <xf numFmtId="166" fontId="5" fillId="0" borderId="19" xfId="0" applyNumberFormat="1" applyFont="1" applyFill="1" applyBorder="1" applyAlignment="1">
      <alignment wrapText="1"/>
    </xf>
    <xf numFmtId="166" fontId="5" fillId="0" borderId="20" xfId="0" applyNumberFormat="1" applyFont="1" applyFill="1" applyBorder="1" applyAlignment="1">
      <alignment wrapText="1"/>
    </xf>
    <xf numFmtId="0" fontId="30" fillId="0" borderId="22" xfId="0" applyFont="1" applyFill="1" applyBorder="1" applyAlignment="1">
      <alignment wrapText="1"/>
    </xf>
    <xf numFmtId="0" fontId="30" fillId="19" borderId="22" xfId="0" applyFont="1" applyFill="1" applyBorder="1" applyAlignment="1">
      <alignment wrapText="1"/>
    </xf>
    <xf numFmtId="0" fontId="30" fillId="0" borderId="21" xfId="0" applyFont="1" applyFill="1" applyBorder="1" applyAlignment="1">
      <alignment wrapText="1"/>
    </xf>
    <xf numFmtId="0" fontId="36" fillId="0" borderId="0" xfId="0" applyFont="1" applyFill="1" applyBorder="1" applyAlignment="1">
      <alignment wrapText="1"/>
    </xf>
    <xf numFmtId="0" fontId="36" fillId="0" borderId="3" xfId="0" applyFont="1" applyFill="1" applyBorder="1" applyAlignment="1">
      <alignment wrapText="1"/>
    </xf>
    <xf numFmtId="0" fontId="30" fillId="0" borderId="7" xfId="0" applyFont="1" applyFill="1" applyBorder="1" applyAlignment="1">
      <alignment wrapText="1"/>
    </xf>
    <xf numFmtId="166" fontId="36" fillId="0" borderId="26" xfId="0" applyNumberFormat="1" applyFont="1" applyFill="1" applyBorder="1" applyAlignment="1">
      <alignment vertical="center" wrapText="1"/>
    </xf>
    <xf numFmtId="166" fontId="36" fillId="0" borderId="25" xfId="0" applyNumberFormat="1" applyFont="1" applyFill="1" applyBorder="1" applyAlignment="1">
      <alignment vertical="center" wrapText="1"/>
    </xf>
    <xf numFmtId="166" fontId="36" fillId="0" borderId="27" xfId="0" applyNumberFormat="1" applyFont="1" applyFill="1" applyBorder="1" applyAlignment="1">
      <alignment vertical="center" wrapText="1"/>
    </xf>
    <xf numFmtId="166" fontId="36" fillId="19" borderId="25" xfId="0" applyNumberFormat="1" applyFont="1" applyFill="1" applyBorder="1" applyAlignment="1">
      <alignment vertical="center" wrapText="1"/>
    </xf>
    <xf numFmtId="0" fontId="36" fillId="0" borderId="2" xfId="0" applyFont="1" applyFill="1" applyBorder="1" applyAlignment="1">
      <alignment wrapText="1"/>
    </xf>
    <xf numFmtId="0" fontId="36" fillId="0" borderId="4" xfId="0" applyFont="1" applyFill="1" applyBorder="1" applyAlignment="1">
      <alignment wrapText="1"/>
    </xf>
    <xf numFmtId="0" fontId="36" fillId="19" borderId="3" xfId="0" applyFont="1" applyFill="1" applyBorder="1" applyAlignment="1">
      <alignment wrapText="1"/>
    </xf>
    <xf numFmtId="166" fontId="36" fillId="0" borderId="2" xfId="0" applyNumberFormat="1" applyFont="1" applyFill="1" applyBorder="1" applyAlignment="1">
      <alignment wrapText="1"/>
    </xf>
    <xf numFmtId="166" fontId="36" fillId="0" borderId="3" xfId="0" applyNumberFormat="1" applyFont="1" applyFill="1" applyBorder="1" applyAlignment="1">
      <alignment wrapText="1"/>
    </xf>
    <xf numFmtId="166" fontId="36" fillId="0" borderId="4" xfId="0" applyNumberFormat="1" applyFont="1" applyFill="1" applyBorder="1" applyAlignment="1">
      <alignment wrapText="1"/>
    </xf>
    <xf numFmtId="166" fontId="36" fillId="19" borderId="3" xfId="0" applyNumberFormat="1" applyFont="1" applyFill="1" applyBorder="1" applyAlignment="1">
      <alignment wrapText="1"/>
    </xf>
    <xf numFmtId="0" fontId="36" fillId="0" borderId="0" xfId="0" applyFont="1" applyFill="1" applyBorder="1" applyAlignment="1">
      <alignment vertical="center" wrapText="1"/>
    </xf>
    <xf numFmtId="0" fontId="36" fillId="18" borderId="0" xfId="0" applyFont="1" applyFill="1" applyBorder="1" applyAlignment="1">
      <alignment vertical="center" wrapText="1"/>
    </xf>
    <xf numFmtId="1" fontId="36" fillId="18" borderId="0" xfId="0" applyNumberFormat="1" applyFont="1" applyFill="1" applyBorder="1" applyAlignment="1">
      <alignment vertical="center" wrapText="1"/>
    </xf>
    <xf numFmtId="166" fontId="36" fillId="0" borderId="23" xfId="0" applyNumberFormat="1" applyFont="1" applyFill="1" applyBorder="1" applyAlignment="1">
      <alignment vertical="center" wrapText="1"/>
    </xf>
    <xf numFmtId="166" fontId="36" fillId="0" borderId="0" xfId="0" applyNumberFormat="1" applyFont="1" applyFill="1" applyBorder="1" applyAlignment="1">
      <alignment vertical="center" wrapText="1"/>
    </xf>
    <xf numFmtId="166" fontId="36" fillId="0" borderId="24" xfId="0" applyNumberFormat="1" applyFont="1" applyFill="1" applyBorder="1" applyAlignment="1">
      <alignment vertical="center" wrapText="1"/>
    </xf>
    <xf numFmtId="166" fontId="36" fillId="18" borderId="0" xfId="0" applyNumberFormat="1" applyFont="1" applyFill="1" applyBorder="1" applyAlignment="1">
      <alignment vertical="center" wrapText="1"/>
    </xf>
    <xf numFmtId="0" fontId="36" fillId="0" borderId="23" xfId="0" applyFont="1" applyFill="1" applyBorder="1" applyAlignment="1">
      <alignment wrapText="1"/>
    </xf>
    <xf numFmtId="0" fontId="36" fillId="0" borderId="24" xfId="0" applyFont="1" applyFill="1" applyBorder="1" applyAlignment="1">
      <alignment wrapText="1"/>
    </xf>
    <xf numFmtId="166" fontId="36" fillId="0" borderId="0" xfId="0" applyNumberFormat="1" applyFont="1" applyFill="1" applyBorder="1" applyAlignment="1">
      <alignment wrapText="1"/>
    </xf>
    <xf numFmtId="0" fontId="36" fillId="19" borderId="0" xfId="0" applyFont="1" applyFill="1" applyBorder="1" applyAlignment="1">
      <alignment wrapText="1"/>
    </xf>
    <xf numFmtId="0" fontId="30" fillId="19" borderId="0" xfId="0" applyFont="1" applyFill="1" applyBorder="1" applyAlignment="1">
      <alignment wrapText="1"/>
    </xf>
    <xf numFmtId="0" fontId="30" fillId="17" borderId="0" xfId="0" applyFont="1" applyFill="1" applyBorder="1" applyAlignment="1">
      <alignment wrapText="1"/>
    </xf>
    <xf numFmtId="166" fontId="30" fillId="17" borderId="23" xfId="0" applyNumberFormat="1" applyFont="1" applyFill="1" applyBorder="1" applyAlignment="1">
      <alignment wrapText="1"/>
    </xf>
    <xf numFmtId="166" fontId="30" fillId="17" borderId="0" xfId="0" applyNumberFormat="1" applyFont="1" applyFill="1" applyBorder="1" applyAlignment="1">
      <alignment wrapText="1"/>
    </xf>
    <xf numFmtId="166" fontId="30" fillId="17" borderId="24" xfId="0" applyNumberFormat="1" applyFont="1" applyFill="1" applyBorder="1" applyAlignment="1">
      <alignment wrapText="1"/>
    </xf>
    <xf numFmtId="0" fontId="30" fillId="17" borderId="24" xfId="0" applyFont="1" applyFill="1" applyBorder="1" applyAlignment="1">
      <alignment wrapText="1"/>
    </xf>
    <xf numFmtId="166" fontId="5" fillId="17" borderId="23" xfId="0" applyNumberFormat="1" applyFont="1" applyFill="1" applyBorder="1" applyAlignment="1">
      <alignment wrapText="1"/>
    </xf>
    <xf numFmtId="166" fontId="5" fillId="17" borderId="0" xfId="0" applyNumberFormat="1" applyFont="1" applyFill="1" applyBorder="1" applyAlignment="1">
      <alignment wrapText="1"/>
    </xf>
    <xf numFmtId="166" fontId="5" fillId="17" borderId="24" xfId="0" applyNumberFormat="1" applyFont="1" applyFill="1" applyBorder="1" applyAlignment="1">
      <alignment wrapText="1"/>
    </xf>
    <xf numFmtId="0" fontId="30" fillId="20" borderId="0" xfId="0" applyFont="1" applyFill="1" applyBorder="1" applyAlignment="1">
      <alignment wrapText="1"/>
    </xf>
    <xf numFmtId="0" fontId="5" fillId="20" borderId="0" xfId="0" applyFont="1" applyFill="1" applyBorder="1" applyAlignment="1">
      <alignment wrapText="1"/>
    </xf>
    <xf numFmtId="166" fontId="36" fillId="18" borderId="3" xfId="0" applyNumberFormat="1" applyFont="1" applyFill="1" applyBorder="1" applyAlignment="1">
      <alignment wrapText="1"/>
    </xf>
    <xf numFmtId="0" fontId="30" fillId="18" borderId="22" xfId="0" applyFont="1" applyFill="1" applyBorder="1" applyAlignment="1">
      <alignment wrapText="1"/>
    </xf>
    <xf numFmtId="1" fontId="30" fillId="18" borderId="22" xfId="0" applyNumberFormat="1" applyFont="1" applyFill="1" applyBorder="1" applyAlignment="1">
      <alignment wrapText="1"/>
    </xf>
    <xf numFmtId="0" fontId="36" fillId="18" borderId="3" xfId="0" applyFont="1" applyFill="1" applyBorder="1" applyAlignment="1">
      <alignment wrapText="1"/>
    </xf>
    <xf numFmtId="1" fontId="36" fillId="18" borderId="3" xfId="0" applyNumberFormat="1" applyFont="1" applyFill="1" applyBorder="1" applyAlignment="1">
      <alignment wrapText="1"/>
    </xf>
    <xf numFmtId="0" fontId="36" fillId="18" borderId="0" xfId="0" applyFont="1" applyFill="1" applyBorder="1" applyAlignment="1">
      <alignment wrapText="1"/>
    </xf>
    <xf numFmtId="1" fontId="36" fillId="18" borderId="0" xfId="0" applyNumberFormat="1" applyFont="1" applyFill="1" applyBorder="1" applyAlignment="1">
      <alignment wrapText="1"/>
    </xf>
    <xf numFmtId="166" fontId="36" fillId="18" borderId="0" xfId="0" applyNumberFormat="1" applyFont="1" applyFill="1" applyBorder="1" applyAlignment="1">
      <alignment wrapText="1"/>
    </xf>
    <xf numFmtId="169" fontId="23" fillId="18" borderId="0" xfId="68" applyNumberFormat="1" applyFill="1"/>
    <xf numFmtId="1" fontId="23" fillId="18" borderId="0" xfId="68" applyNumberFormat="1" applyFill="1" applyAlignment="1">
      <alignment horizontal="center"/>
    </xf>
    <xf numFmtId="2" fontId="30" fillId="18" borderId="0" xfId="0" applyNumberFormat="1" applyFont="1" applyFill="1" applyBorder="1" applyAlignment="1">
      <alignment wrapText="1"/>
    </xf>
    <xf numFmtId="0" fontId="23" fillId="18" borderId="0" xfId="68" applyFill="1" applyAlignment="1">
      <alignment horizontal="center"/>
    </xf>
    <xf numFmtId="166" fontId="36" fillId="18" borderId="25" xfId="0" applyNumberFormat="1" applyFont="1" applyFill="1" applyBorder="1" applyAlignment="1">
      <alignment vertical="center" wrapText="1"/>
    </xf>
    <xf numFmtId="0" fontId="36" fillId="18" borderId="25" xfId="0" applyFont="1" applyFill="1" applyBorder="1" applyAlignment="1">
      <alignment vertical="center" wrapText="1"/>
    </xf>
    <xf numFmtId="1" fontId="36" fillId="18" borderId="25" xfId="0" applyNumberFormat="1" applyFont="1" applyFill="1" applyBorder="1" applyAlignment="1">
      <alignment vertical="center" wrapText="1"/>
    </xf>
    <xf numFmtId="0" fontId="34" fillId="0" borderId="23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0" fontId="34" fillId="0" borderId="24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wrapText="1"/>
    </xf>
    <xf numFmtId="1" fontId="5" fillId="0" borderId="3" xfId="0" applyNumberFormat="1" applyFont="1" applyFill="1" applyBorder="1" applyAlignment="1">
      <alignment wrapText="1"/>
    </xf>
    <xf numFmtId="1" fontId="30" fillId="0" borderId="0" xfId="0" applyNumberFormat="1" applyFont="1" applyFill="1" applyBorder="1" applyAlignment="1">
      <alignment wrapText="1"/>
    </xf>
    <xf numFmtId="1" fontId="36" fillId="0" borderId="0" xfId="0" applyNumberFormat="1" applyFont="1" applyFill="1" applyBorder="1" applyAlignment="1">
      <alignment wrapText="1"/>
    </xf>
    <xf numFmtId="1" fontId="36" fillId="0" borderId="25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right" wrapText="1"/>
    </xf>
    <xf numFmtId="1" fontId="30" fillId="0" borderId="0" xfId="0" applyNumberFormat="1" applyFont="1" applyFill="1" applyBorder="1" applyAlignment="1">
      <alignment horizontal="right" wrapText="1"/>
    </xf>
    <xf numFmtId="1" fontId="30" fillId="17" borderId="0" xfId="0" applyNumberFormat="1" applyFont="1" applyFill="1" applyBorder="1" applyAlignment="1">
      <alignment horizontal="right" wrapText="1"/>
    </xf>
    <xf numFmtId="1" fontId="36" fillId="0" borderId="0" xfId="0" applyNumberFormat="1" applyFont="1" applyFill="1" applyBorder="1" applyAlignment="1">
      <alignment horizontal="right" wrapText="1"/>
    </xf>
    <xf numFmtId="1" fontId="36" fillId="0" borderId="28" xfId="0" applyNumberFormat="1" applyFont="1" applyFill="1" applyBorder="1" applyAlignment="1">
      <alignment vertical="center" wrapText="1"/>
    </xf>
    <xf numFmtId="0" fontId="34" fillId="20" borderId="0" xfId="0" applyFont="1" applyFill="1" applyBorder="1" applyAlignment="1">
      <alignment wrapText="1"/>
    </xf>
    <xf numFmtId="0" fontId="34" fillId="20" borderId="0" xfId="0" applyFont="1" applyFill="1" applyBorder="1" applyAlignment="1">
      <alignment horizontal="right" vertical="center" wrapText="1"/>
    </xf>
    <xf numFmtId="0" fontId="5" fillId="20" borderId="3" xfId="0" applyFont="1" applyFill="1" applyBorder="1" applyAlignment="1">
      <alignment wrapText="1"/>
    </xf>
    <xf numFmtId="0" fontId="0" fillId="20" borderId="0" xfId="0" applyFill="1"/>
    <xf numFmtId="0" fontId="5" fillId="20" borderId="22" xfId="0" applyFont="1" applyFill="1" applyBorder="1" applyAlignment="1">
      <alignment wrapText="1"/>
    </xf>
    <xf numFmtId="0" fontId="35" fillId="20" borderId="0" xfId="0" applyFont="1" applyFill="1" applyBorder="1" applyAlignment="1">
      <alignment wrapText="1"/>
    </xf>
    <xf numFmtId="0" fontId="36" fillId="20" borderId="25" xfId="0" applyFont="1" applyFill="1" applyBorder="1" applyAlignment="1">
      <alignment vertical="center" wrapText="1"/>
    </xf>
    <xf numFmtId="0" fontId="5" fillId="20" borderId="3" xfId="0" applyFont="1" applyFill="1" applyBorder="1" applyAlignment="1">
      <alignment horizontal="left" wrapText="1"/>
    </xf>
    <xf numFmtId="0" fontId="30" fillId="20" borderId="0" xfId="0" applyFont="1" applyFill="1" applyBorder="1" applyAlignment="1">
      <alignment horizontal="left" wrapText="1"/>
    </xf>
    <xf numFmtId="0" fontId="5" fillId="20" borderId="0" xfId="0" applyFont="1" applyFill="1" applyBorder="1" applyAlignment="1">
      <alignment horizontal="left" wrapText="1"/>
    </xf>
    <xf numFmtId="0" fontId="30" fillId="20" borderId="0" xfId="0" quotePrefix="1" applyFont="1" applyFill="1" applyBorder="1" applyAlignment="1">
      <alignment wrapText="1"/>
    </xf>
    <xf numFmtId="0" fontId="5" fillId="20" borderId="3" xfId="0" applyFont="1" applyFill="1" applyBorder="1" applyAlignment="1">
      <alignment horizontal="center" wrapText="1"/>
    </xf>
    <xf numFmtId="0" fontId="30" fillId="20" borderId="19" xfId="0" applyFont="1" applyFill="1" applyBorder="1" applyAlignment="1">
      <alignment wrapText="1"/>
    </xf>
    <xf numFmtId="0" fontId="30" fillId="20" borderId="20" xfId="0" applyFont="1" applyFill="1" applyBorder="1" applyAlignment="1">
      <alignment wrapText="1"/>
    </xf>
    <xf numFmtId="0" fontId="36" fillId="20" borderId="22" xfId="0" applyFont="1" applyFill="1" applyBorder="1" applyAlignment="1">
      <alignment wrapText="1"/>
    </xf>
    <xf numFmtId="0" fontId="30" fillId="20" borderId="22" xfId="0" applyFont="1" applyFill="1" applyBorder="1" applyAlignment="1">
      <alignment wrapText="1"/>
    </xf>
    <xf numFmtId="0" fontId="30" fillId="20" borderId="7" xfId="0" applyFont="1" applyFill="1" applyBorder="1" applyAlignment="1">
      <alignment wrapText="1"/>
    </xf>
    <xf numFmtId="0" fontId="36" fillId="20" borderId="0" xfId="0" applyFont="1" applyFill="1" applyBorder="1" applyAlignment="1">
      <alignment wrapText="1"/>
    </xf>
    <xf numFmtId="0" fontId="36" fillId="20" borderId="3" xfId="0" applyFont="1" applyFill="1" applyBorder="1" applyAlignment="1">
      <alignment wrapText="1"/>
    </xf>
    <xf numFmtId="0" fontId="36" fillId="20" borderId="3" xfId="0" applyFont="1" applyFill="1" applyBorder="1" applyAlignment="1">
      <alignment horizontal="center" wrapText="1"/>
    </xf>
    <xf numFmtId="0" fontId="36" fillId="20" borderId="0" xfId="0" applyFont="1" applyFill="1" applyBorder="1" applyAlignment="1">
      <alignment horizontal="center" wrapText="1"/>
    </xf>
    <xf numFmtId="166" fontId="36" fillId="20" borderId="3" xfId="0" applyNumberFormat="1" applyFont="1" applyFill="1" applyBorder="1" applyAlignment="1">
      <alignment wrapText="1"/>
    </xf>
    <xf numFmtId="166" fontId="36" fillId="20" borderId="3" xfId="0" applyNumberFormat="1" applyFont="1" applyFill="1" applyBorder="1" applyAlignment="1">
      <alignment horizontal="center" wrapText="1"/>
    </xf>
    <xf numFmtId="0" fontId="23" fillId="20" borderId="0" xfId="68" applyFill="1"/>
    <xf numFmtId="0" fontId="36" fillId="20" borderId="27" xfId="0" applyFont="1" applyFill="1" applyBorder="1" applyAlignment="1">
      <alignment vertical="center" wrapText="1"/>
    </xf>
    <xf numFmtId="0" fontId="36" fillId="20" borderId="0" xfId="0" applyFont="1" applyFill="1" applyBorder="1" applyAlignment="1">
      <alignment vertical="center" wrapText="1"/>
    </xf>
    <xf numFmtId="0" fontId="0" fillId="18" borderId="0" xfId="0" applyFill="1"/>
    <xf numFmtId="165" fontId="8" fillId="0" borderId="2" xfId="0" applyNumberFormat="1" applyFont="1" applyBorder="1" applyAlignment="1"/>
    <xf numFmtId="165" fontId="8" fillId="0" borderId="3" xfId="0" applyNumberFormat="1" applyFont="1" applyBorder="1" applyAlignment="1"/>
    <xf numFmtId="166" fontId="10" fillId="4" borderId="3" xfId="0" applyNumberFormat="1" applyFont="1" applyFill="1" applyBorder="1" applyAlignment="1"/>
    <xf numFmtId="166" fontId="36" fillId="19" borderId="0" xfId="0" applyNumberFormat="1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165" fontId="0" fillId="3" borderId="2" xfId="0" applyNumberFormat="1" applyFont="1" applyFill="1" applyBorder="1" applyAlignment="1">
      <alignment horizontal="right"/>
    </xf>
    <xf numFmtId="165" fontId="0" fillId="3" borderId="3" xfId="0" applyNumberFormat="1" applyFont="1" applyFill="1" applyBorder="1" applyAlignment="1">
      <alignment horizontal="right"/>
    </xf>
    <xf numFmtId="165" fontId="0" fillId="3" borderId="4" xfId="0" applyNumberFormat="1" applyFont="1" applyFill="1" applyBorder="1" applyAlignment="1">
      <alignment horizontal="right"/>
    </xf>
    <xf numFmtId="0" fontId="24" fillId="0" borderId="1" xfId="51" applyFont="1" applyBorder="1" applyAlignment="1" applyProtection="1">
      <alignment horizontal="left"/>
    </xf>
    <xf numFmtId="165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5" fontId="10" fillId="4" borderId="2" xfId="0" applyNumberFormat="1" applyFont="1" applyFill="1" applyBorder="1" applyAlignment="1">
      <alignment horizontal="right"/>
    </xf>
    <xf numFmtId="165" fontId="10" fillId="4" borderId="3" xfId="0" applyNumberFormat="1" applyFont="1" applyFill="1" applyBorder="1" applyAlignment="1">
      <alignment horizontal="right"/>
    </xf>
    <xf numFmtId="165" fontId="10" fillId="4" borderId="4" xfId="0" applyNumberFormat="1" applyFont="1" applyFill="1" applyBorder="1" applyAlignment="1">
      <alignment horizontal="right"/>
    </xf>
    <xf numFmtId="164" fontId="0" fillId="3" borderId="2" xfId="0" applyNumberFormat="1" applyFont="1" applyFill="1" applyBorder="1" applyAlignment="1">
      <alignment horizontal="right"/>
    </xf>
    <xf numFmtId="164" fontId="0" fillId="3" borderId="3" xfId="0" applyNumberFormat="1" applyFont="1" applyFill="1" applyBorder="1" applyAlignment="1">
      <alignment horizontal="right"/>
    </xf>
    <xf numFmtId="164" fontId="0" fillId="3" borderId="4" xfId="0" applyNumberFormat="1" applyFont="1" applyFill="1" applyBorder="1" applyAlignment="1">
      <alignment horizontal="right"/>
    </xf>
    <xf numFmtId="49" fontId="0" fillId="5" borderId="2" xfId="0" applyNumberFormat="1" applyFill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165" fontId="8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164" fontId="8" fillId="0" borderId="2" xfId="0" applyNumberFormat="1" applyFont="1" applyBorder="1" applyAlignment="1">
      <alignment horizontal="right"/>
    </xf>
    <xf numFmtId="0" fontId="15" fillId="4" borderId="2" xfId="0" applyFont="1" applyFill="1" applyBorder="1" applyAlignment="1">
      <alignment horizontal="left"/>
    </xf>
    <xf numFmtId="164" fontId="10" fillId="4" borderId="2" xfId="0" applyNumberFormat="1" applyFont="1" applyFill="1" applyBorder="1" applyAlignment="1">
      <alignment horizontal="right"/>
    </xf>
    <xf numFmtId="0" fontId="10" fillId="4" borderId="3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49" fontId="0" fillId="0" borderId="2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49" fontId="0" fillId="0" borderId="4" xfId="0" applyNumberFormat="1" applyFill="1" applyBorder="1" applyAlignment="1">
      <alignment horizontal="center"/>
    </xf>
    <xf numFmtId="0" fontId="24" fillId="0" borderId="18" xfId="51" applyFont="1" applyBorder="1" applyAlignment="1" applyProtection="1">
      <alignment horizontal="left"/>
    </xf>
    <xf numFmtId="0" fontId="24" fillId="0" borderId="19" xfId="51" applyFont="1" applyBorder="1" applyAlignment="1" applyProtection="1">
      <alignment horizontal="left"/>
    </xf>
    <xf numFmtId="0" fontId="24" fillId="0" borderId="20" xfId="51" applyFont="1" applyBorder="1" applyAlignment="1" applyProtection="1">
      <alignment horizontal="left"/>
    </xf>
    <xf numFmtId="0" fontId="24" fillId="0" borderId="21" xfId="51" applyFont="1" applyBorder="1" applyAlignment="1" applyProtection="1">
      <alignment horizontal="left"/>
    </xf>
    <xf numFmtId="0" fontId="24" fillId="0" borderId="22" xfId="51" applyFont="1" applyBorder="1" applyAlignment="1" applyProtection="1">
      <alignment horizontal="left"/>
    </xf>
    <xf numFmtId="0" fontId="24" fillId="0" borderId="7" xfId="51" applyFont="1" applyBorder="1" applyAlignment="1" applyProtection="1">
      <alignment horizontal="left"/>
    </xf>
    <xf numFmtId="49" fontId="2" fillId="5" borderId="2" xfId="0" applyNumberFormat="1" applyFont="1" applyFill="1" applyBorder="1" applyAlignment="1">
      <alignment horizontal="left" vertical="center"/>
    </xf>
    <xf numFmtId="49" fontId="2" fillId="5" borderId="3" xfId="0" applyNumberFormat="1" applyFont="1" applyFill="1" applyBorder="1" applyAlignment="1">
      <alignment horizontal="left" vertical="center"/>
    </xf>
    <xf numFmtId="49" fontId="2" fillId="5" borderId="4" xfId="0" applyNumberFormat="1" applyFont="1" applyFill="1" applyBorder="1" applyAlignment="1">
      <alignment horizontal="left" vertical="center"/>
    </xf>
    <xf numFmtId="49" fontId="0" fillId="5" borderId="2" xfId="0" applyNumberFormat="1" applyFont="1" applyFill="1" applyBorder="1" applyAlignment="1">
      <alignment horizontal="center" vertical="center"/>
    </xf>
    <xf numFmtId="49" fontId="0" fillId="5" borderId="3" xfId="0" applyNumberFormat="1" applyFont="1" applyFill="1" applyBorder="1" applyAlignment="1">
      <alignment horizontal="center" vertical="center"/>
    </xf>
    <xf numFmtId="49" fontId="0" fillId="5" borderId="4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right"/>
    </xf>
    <xf numFmtId="0" fontId="14" fillId="8" borderId="2" xfId="0" applyFont="1" applyFill="1" applyBorder="1" applyAlignment="1">
      <alignment horizontal="left"/>
    </xf>
    <xf numFmtId="0" fontId="14" fillId="8" borderId="3" xfId="0" applyFont="1" applyFill="1" applyBorder="1" applyAlignment="1">
      <alignment horizontal="left"/>
    </xf>
    <xf numFmtId="0" fontId="14" fillId="8" borderId="9" xfId="0" applyFont="1" applyFill="1" applyBorder="1" applyAlignment="1">
      <alignment horizontal="left"/>
    </xf>
    <xf numFmtId="165" fontId="14" fillId="8" borderId="2" xfId="0" applyNumberFormat="1" applyFont="1" applyFill="1" applyBorder="1" applyAlignment="1">
      <alignment horizontal="right"/>
    </xf>
    <xf numFmtId="165" fontId="14" fillId="8" borderId="3" xfId="0" applyNumberFormat="1" applyFont="1" applyFill="1" applyBorder="1" applyAlignment="1">
      <alignment horizontal="right"/>
    </xf>
    <xf numFmtId="165" fontId="14" fillId="8" borderId="9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0" fontId="13" fillId="7" borderId="3" xfId="0" applyFont="1" applyFill="1" applyBorder="1" applyAlignment="1">
      <alignment horizontal="left"/>
    </xf>
    <xf numFmtId="0" fontId="13" fillId="7" borderId="9" xfId="0" applyFont="1" applyFill="1" applyBorder="1" applyAlignment="1">
      <alignment horizontal="left"/>
    </xf>
    <xf numFmtId="164" fontId="13" fillId="7" borderId="2" xfId="0" applyNumberFormat="1" applyFont="1" applyFill="1" applyBorder="1" applyAlignment="1">
      <alignment horizontal="right"/>
    </xf>
    <xf numFmtId="164" fontId="13" fillId="7" borderId="3" xfId="0" applyNumberFormat="1" applyFont="1" applyFill="1" applyBorder="1" applyAlignment="1">
      <alignment horizontal="right"/>
    </xf>
    <xf numFmtId="164" fontId="13" fillId="7" borderId="9" xfId="0" applyNumberFormat="1" applyFont="1" applyFill="1" applyBorder="1" applyAlignment="1">
      <alignment horizontal="right"/>
    </xf>
    <xf numFmtId="49" fontId="13" fillId="9" borderId="2" xfId="0" applyNumberFormat="1" applyFont="1" applyFill="1" applyBorder="1" applyAlignment="1">
      <alignment horizontal="center" vertical="center"/>
    </xf>
    <xf numFmtId="49" fontId="13" fillId="9" borderId="3" xfId="0" applyNumberFormat="1" applyFont="1" applyFill="1" applyBorder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0" fontId="16" fillId="11" borderId="1" xfId="49" applyFill="1" applyBorder="1" applyAlignment="1">
      <alignment horizontal="left"/>
    </xf>
    <xf numFmtId="169" fontId="17" fillId="12" borderId="1" xfId="49" applyNumberFormat="1" applyFont="1" applyFill="1" applyBorder="1" applyAlignment="1">
      <alignment horizontal="center" wrapText="1"/>
    </xf>
    <xf numFmtId="168" fontId="16" fillId="11" borderId="1" xfId="49" applyNumberFormat="1" applyFont="1" applyFill="1" applyBorder="1" applyAlignment="1">
      <alignment horizontal="right"/>
    </xf>
    <xf numFmtId="0" fontId="18" fillId="13" borderId="1" xfId="49" applyFont="1" applyFill="1" applyBorder="1" applyAlignment="1">
      <alignment horizontal="left"/>
    </xf>
    <xf numFmtId="168" fontId="18" fillId="13" borderId="1" xfId="49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49" fontId="16" fillId="14" borderId="1" xfId="49" applyNumberFormat="1" applyFill="1" applyBorder="1" applyAlignment="1">
      <alignment horizontal="center" vertical="center"/>
    </xf>
    <xf numFmtId="49" fontId="16" fillId="14" borderId="1" xfId="49" applyNumberFormat="1" applyFont="1" applyFill="1" applyBorder="1" applyAlignment="1">
      <alignment horizontal="center" vertical="center"/>
    </xf>
    <xf numFmtId="49" fontId="19" fillId="14" borderId="1" xfId="49" applyNumberFormat="1" applyFont="1" applyFill="1" applyBorder="1" applyAlignment="1">
      <alignment horizontal="center" vertical="center"/>
    </xf>
    <xf numFmtId="0" fontId="19" fillId="0" borderId="1" xfId="49" applyFont="1" applyBorder="1" applyAlignment="1">
      <alignment vertical="center"/>
    </xf>
    <xf numFmtId="172" fontId="16" fillId="11" borderId="1" xfId="49" applyNumberFormat="1" applyFont="1" applyFill="1" applyBorder="1" applyAlignment="1">
      <alignment horizontal="right"/>
    </xf>
    <xf numFmtId="0" fontId="18" fillId="13" borderId="8" xfId="49" applyFont="1" applyFill="1" applyBorder="1" applyAlignment="1">
      <alignment horizontal="left"/>
    </xf>
    <xf numFmtId="49" fontId="24" fillId="0" borderId="12" xfId="51" applyNumberFormat="1" applyFont="1" applyFill="1" applyBorder="1" applyAlignment="1" applyProtection="1">
      <alignment horizontal="left"/>
    </xf>
    <xf numFmtId="49" fontId="24" fillId="0" borderId="13" xfId="51" applyNumberFormat="1" applyFont="1" applyFill="1" applyBorder="1" applyAlignment="1" applyProtection="1">
      <alignment horizontal="left"/>
    </xf>
    <xf numFmtId="49" fontId="24" fillId="0" borderId="14" xfId="51" applyNumberFormat="1" applyFont="1" applyFill="1" applyBorder="1" applyAlignment="1" applyProtection="1">
      <alignment horizontal="left"/>
    </xf>
    <xf numFmtId="49" fontId="24" fillId="0" borderId="15" xfId="51" applyNumberFormat="1" applyFont="1" applyFill="1" applyBorder="1" applyAlignment="1" applyProtection="1">
      <alignment horizontal="left"/>
    </xf>
    <xf numFmtId="49" fontId="24" fillId="0" borderId="16" xfId="51" applyNumberFormat="1" applyFont="1" applyFill="1" applyBorder="1" applyAlignment="1" applyProtection="1">
      <alignment horizontal="left"/>
    </xf>
    <xf numFmtId="49" fontId="24" fillId="0" borderId="17" xfId="51" applyNumberFormat="1" applyFont="1" applyFill="1" applyBorder="1" applyAlignment="1" applyProtection="1">
      <alignment horizontal="left"/>
    </xf>
    <xf numFmtId="168" fontId="22" fillId="0" borderId="10" xfId="49" applyNumberFormat="1" applyFont="1" applyBorder="1" applyAlignment="1">
      <alignment horizontal="right"/>
    </xf>
    <xf numFmtId="0" fontId="21" fillId="0" borderId="10" xfId="49" applyFont="1" applyBorder="1" applyAlignment="1">
      <alignment horizontal="right"/>
    </xf>
    <xf numFmtId="0" fontId="19" fillId="11" borderId="1" xfId="49" applyFont="1" applyFill="1" applyBorder="1" applyAlignment="1">
      <alignment horizontal="left"/>
    </xf>
    <xf numFmtId="172" fontId="19" fillId="11" borderId="1" xfId="49" applyNumberFormat="1" applyFont="1" applyFill="1" applyBorder="1" applyAlignment="1">
      <alignment horizontal="right"/>
    </xf>
    <xf numFmtId="0" fontId="19" fillId="14" borderId="1" xfId="49" applyFont="1" applyFill="1" applyBorder="1" applyAlignment="1">
      <alignment horizontal="center"/>
    </xf>
    <xf numFmtId="168" fontId="18" fillId="13" borderId="8" xfId="49" applyNumberFormat="1" applyFont="1" applyFill="1" applyBorder="1" applyAlignment="1">
      <alignment horizontal="right"/>
    </xf>
    <xf numFmtId="0" fontId="16" fillId="0" borderId="0" xfId="49" applyFill="1" applyBorder="1" applyAlignment="1">
      <alignment horizontal="left"/>
    </xf>
    <xf numFmtId="169" fontId="17" fillId="0" borderId="0" xfId="49" applyNumberFormat="1" applyFont="1" applyFill="1" applyBorder="1" applyAlignment="1">
      <alignment horizontal="center" wrapText="1"/>
    </xf>
    <xf numFmtId="168" fontId="16" fillId="0" borderId="0" xfId="49" applyNumberFormat="1" applyFont="1" applyFill="1" applyBorder="1" applyAlignment="1">
      <alignment horizontal="right"/>
    </xf>
    <xf numFmtId="0" fontId="34" fillId="18" borderId="0" xfId="0" applyFont="1" applyFill="1" applyBorder="1" applyAlignment="1">
      <alignment horizontal="center" vertical="center" wrapText="1"/>
    </xf>
    <xf numFmtId="0" fontId="36" fillId="20" borderId="22" xfId="0" applyFont="1" applyFill="1" applyBorder="1" applyAlignment="1">
      <alignment horizontal="left" wrapText="1"/>
    </xf>
    <xf numFmtId="0" fontId="36" fillId="20" borderId="22" xfId="0" applyFont="1" applyFill="1" applyBorder="1" applyAlignment="1">
      <alignment horizontal="left"/>
    </xf>
    <xf numFmtId="0" fontId="0" fillId="0" borderId="0" xfId="0" applyNumberFormat="1" applyFont="1" applyFill="1" applyBorder="1" applyAlignment="1" applyProtection="1">
      <alignment vertical="center"/>
      <protection locked="0"/>
    </xf>
  </cellXfs>
  <cellStyles count="127">
    <cellStyle name="Currency 2" xfId="9"/>
    <cellStyle name="Currency 2 2" xfId="53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51" builtinId="8"/>
    <cellStyle name="Hyperlink 10" xfId="84" hidden="1"/>
    <cellStyle name="Hyperlink 10" xfId="101" hidden="1"/>
    <cellStyle name="Hyperlink 10" xfId="118" hidden="1"/>
    <cellStyle name="Hyperlink 11" xfId="85" hidden="1"/>
    <cellStyle name="Hyperlink 11" xfId="102" hidden="1"/>
    <cellStyle name="Hyperlink 11" xfId="119" hidden="1"/>
    <cellStyle name="Hyperlink 12" xfId="86" hidden="1"/>
    <cellStyle name="Hyperlink 12" xfId="103" hidden="1"/>
    <cellStyle name="Hyperlink 12" xfId="120" hidden="1"/>
    <cellStyle name="Hyperlink 13" xfId="87" hidden="1"/>
    <cellStyle name="Hyperlink 13" xfId="104" hidden="1"/>
    <cellStyle name="Hyperlink 13" xfId="121" hidden="1"/>
    <cellStyle name="Hyperlink 14" xfId="88" hidden="1"/>
    <cellStyle name="Hyperlink 14" xfId="105" hidden="1"/>
    <cellStyle name="Hyperlink 14" xfId="122" hidden="1"/>
    <cellStyle name="Hyperlink 15" xfId="89" hidden="1"/>
    <cellStyle name="Hyperlink 15" xfId="106" hidden="1"/>
    <cellStyle name="Hyperlink 15" xfId="123" hidden="1"/>
    <cellStyle name="Hyperlink 16" xfId="90" hidden="1"/>
    <cellStyle name="Hyperlink 16" xfId="107" hidden="1"/>
    <cellStyle name="Hyperlink 16" xfId="124" hidden="1"/>
    <cellStyle name="Hyperlink 17" xfId="91" hidden="1"/>
    <cellStyle name="Hyperlink 17" xfId="108" hidden="1"/>
    <cellStyle name="Hyperlink 17" xfId="125" hidden="1"/>
    <cellStyle name="Hyperlink 18" xfId="92" hidden="1"/>
    <cellStyle name="Hyperlink 18" xfId="109" hidden="1"/>
    <cellStyle name="Hyperlink 18" xfId="126" hidden="1"/>
    <cellStyle name="Hyperlink 2" xfId="76" hidden="1"/>
    <cellStyle name="Hyperlink 2" xfId="93" hidden="1"/>
    <cellStyle name="Hyperlink 2" xfId="110" hidden="1"/>
    <cellStyle name="Hyperlink 3" xfId="77" hidden="1"/>
    <cellStyle name="Hyperlink 3" xfId="94" hidden="1"/>
    <cellStyle name="Hyperlink 3" xfId="111" hidden="1"/>
    <cellStyle name="Hyperlink 4" xfId="78" hidden="1"/>
    <cellStyle name="Hyperlink 4" xfId="95" hidden="1"/>
    <cellStyle name="Hyperlink 4" xfId="112" hidden="1"/>
    <cellStyle name="Hyperlink 5" xfId="79" hidden="1"/>
    <cellStyle name="Hyperlink 5" xfId="96" hidden="1"/>
    <cellStyle name="Hyperlink 5" xfId="113" hidden="1"/>
    <cellStyle name="Hyperlink 6" xfId="80" hidden="1"/>
    <cellStyle name="Hyperlink 6" xfId="97" hidden="1"/>
    <cellStyle name="Hyperlink 6" xfId="114" hidden="1"/>
    <cellStyle name="Hyperlink 7" xfId="81" hidden="1"/>
    <cellStyle name="Hyperlink 7" xfId="98" hidden="1"/>
    <cellStyle name="Hyperlink 7" xfId="115" hidden="1"/>
    <cellStyle name="Hyperlink 8" xfId="82" hidden="1"/>
    <cellStyle name="Hyperlink 8" xfId="99" hidden="1"/>
    <cellStyle name="Hyperlink 8" xfId="116" hidden="1"/>
    <cellStyle name="Hyperlink 9" xfId="83" hidden="1"/>
    <cellStyle name="Hyperlink 9" xfId="100" hidden="1"/>
    <cellStyle name="Hyperlink 9" xfId="117" hidden="1"/>
    <cellStyle name="Normal" xfId="0" builtinId="0"/>
    <cellStyle name="Normal 2" xfId="1"/>
    <cellStyle name="Normal 2 2" xfId="2"/>
    <cellStyle name="Normal 2 2 2" xfId="3"/>
    <cellStyle name="Normal 2 2 2 2" xfId="12"/>
    <cellStyle name="Normal 2 2 2 2 2" xfId="71"/>
    <cellStyle name="Normal 2 2 2 3" xfId="52"/>
    <cellStyle name="Normal 2 2 3" xfId="11"/>
    <cellStyle name="Normal 2 2 3 2" xfId="70"/>
    <cellStyle name="Normal 2 2 4" xfId="54"/>
    <cellStyle name="Normal 2 2_President" xfId="4"/>
    <cellStyle name="Normal 2 3" xfId="10"/>
    <cellStyle name="Normal 2 3 2" xfId="69"/>
    <cellStyle name="Normal 2 4" xfId="55"/>
    <cellStyle name="Normal 2 5" xfId="60"/>
    <cellStyle name="Normal 2 6" xfId="67"/>
    <cellStyle name="Normal 2 7" xfId="66"/>
    <cellStyle name="Normal 2 8" xfId="75"/>
    <cellStyle name="Normal 2 9" xfId="68"/>
    <cellStyle name="Normal 3" xfId="5"/>
    <cellStyle name="Normal 3 2" xfId="6"/>
    <cellStyle name="Normal 3 2 2" xfId="14"/>
    <cellStyle name="Normal 3 2 2 2" xfId="73"/>
    <cellStyle name="Normal 3 2 3" xfId="56"/>
    <cellStyle name="Normal 3 3" xfId="13"/>
    <cellStyle name="Normal 3 3 2" xfId="72"/>
    <cellStyle name="Normal 3 4" xfId="57"/>
    <cellStyle name="Normal 3_President" xfId="7"/>
    <cellStyle name="Normal 4" xfId="8"/>
    <cellStyle name="Normal 5" xfId="49"/>
    <cellStyle name="Normal 5 2" xfId="74"/>
    <cellStyle name="Normal 6" xfId="58"/>
    <cellStyle name="Normal 7" xfId="59"/>
    <cellStyle name="Normal 8" xfId="61"/>
    <cellStyle name="Normal 9" xfId="62"/>
    <cellStyle name="TableStyleLight1" xfId="50"/>
  </cellStyles>
  <dxfs count="0"/>
  <tableStyles count="0" defaultTableStyle="TableStyleMedium2" defaultPivotStyle="PivotStyleMedium4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queensu.ca/Users/SK/AppData/Local/Microsoft/Windows/Temporary%20Internet%20Files/Content.Outlook/85CVXU0Y/Beer%20Budge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reweek"/>
      <sheetName val="AT Kegger"/>
    </sheetNames>
    <sheetDataSet>
      <sheetData sheetId="0">
        <row r="5">
          <cell r="B5">
            <v>4350</v>
          </cell>
        </row>
      </sheetData>
      <sheetData sheetId="1">
        <row r="65">
          <cell r="E65">
            <v>3413.9275999999995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120" zoomScaleNormal="120" zoomScalePageLayoutView="120" workbookViewId="0">
      <selection activeCell="E27" sqref="E27"/>
    </sheetView>
  </sheetViews>
  <sheetFormatPr defaultColWidth="8.85546875" defaultRowHeight="15"/>
  <cols>
    <col min="1" max="1" width="25" style="4" customWidth="1"/>
    <col min="2" max="2" width="14.42578125" style="4" bestFit="1" customWidth="1"/>
    <col min="3" max="3" width="17.28515625" style="4" customWidth="1"/>
    <col min="4" max="4" width="8.85546875" style="4"/>
    <col min="5" max="5" width="35.42578125" style="4" bestFit="1" customWidth="1"/>
    <col min="6" max="7" width="8.85546875" style="4"/>
    <col min="8" max="8" width="14.42578125" style="4" bestFit="1" customWidth="1"/>
    <col min="9" max="16384" width="8.85546875" style="4"/>
  </cols>
  <sheetData>
    <row r="1" spans="1:8" ht="19.5">
      <c r="A1" s="92" t="s">
        <v>1358</v>
      </c>
      <c r="B1" s="93"/>
      <c r="C1" s="93"/>
      <c r="D1" s="93"/>
      <c r="E1" s="140"/>
    </row>
    <row r="2" spans="1:8">
      <c r="B2" s="93"/>
      <c r="C2" s="93"/>
      <c r="D2" s="93"/>
      <c r="E2" s="140"/>
    </row>
    <row r="3" spans="1:8" ht="15.75">
      <c r="A3" s="139" t="s">
        <v>1006</v>
      </c>
      <c r="B3" s="125">
        <f>'10 - Revenue'!F1</f>
        <v>305619.36</v>
      </c>
      <c r="C3" s="291">
        <f>-'10 - Revenue'!J1</f>
        <v>298783.84999999998</v>
      </c>
      <c r="D3" s="123"/>
      <c r="E3" s="123"/>
      <c r="F3" s="124"/>
      <c r="H3" s="110"/>
    </row>
    <row r="4" spans="1:8">
      <c r="A4" s="103"/>
      <c r="B4" s="99"/>
      <c r="C4" s="99"/>
      <c r="D4" s="99"/>
      <c r="E4" s="103"/>
      <c r="H4" s="98"/>
    </row>
    <row r="5" spans="1:8" ht="15.75">
      <c r="A5" s="293" t="s">
        <v>1007</v>
      </c>
      <c r="B5" s="294"/>
      <c r="C5" s="294"/>
      <c r="D5" s="294"/>
      <c r="E5" s="294"/>
      <c r="F5" s="295"/>
      <c r="H5" s="98"/>
    </row>
    <row r="6" spans="1:8">
      <c r="A6" s="96" t="s">
        <v>1008</v>
      </c>
      <c r="B6" s="97" t="s">
        <v>1001</v>
      </c>
      <c r="C6" s="97" t="s">
        <v>1002</v>
      </c>
      <c r="D6" s="97"/>
      <c r="E6" s="96" t="s">
        <v>1003</v>
      </c>
      <c r="F6" s="96" t="s">
        <v>1004</v>
      </c>
      <c r="H6" s="98"/>
    </row>
    <row r="7" spans="1:8" s="98" customFormat="1">
      <c r="A7" s="101" t="s">
        <v>1022</v>
      </c>
      <c r="B7" s="99">
        <f>'11 - Pres'!F1</f>
        <v>19289.919999999998</v>
      </c>
      <c r="C7" s="99">
        <f>'11 - Pres'!H1</f>
        <v>15398.27</v>
      </c>
      <c r="D7" s="109"/>
      <c r="E7" s="100"/>
      <c r="F7" s="103" t="s">
        <v>1232</v>
      </c>
    </row>
    <row r="8" spans="1:8">
      <c r="A8" s="104" t="s">
        <v>1010</v>
      </c>
      <c r="B8" s="93">
        <f>'12 - VPA'!F1</f>
        <v>488.72499999999991</v>
      </c>
      <c r="C8" s="93">
        <f>'12 - VPA'!H1</f>
        <v>792.51000000000022</v>
      </c>
      <c r="D8" s="93"/>
      <c r="F8" s="4" t="s">
        <v>1233</v>
      </c>
      <c r="H8" s="98"/>
    </row>
    <row r="9" spans="1:8">
      <c r="A9" s="104" t="s">
        <v>1011</v>
      </c>
      <c r="B9" s="93">
        <f>'13 - VPOps'!F1</f>
        <v>165576.23442499997</v>
      </c>
      <c r="C9" s="93">
        <f>'13 - VPOps'!H1</f>
        <v>187734.79999999996</v>
      </c>
      <c r="D9" s="93"/>
      <c r="F9" s="4" t="s">
        <v>1234</v>
      </c>
      <c r="H9" s="98"/>
    </row>
    <row r="10" spans="1:8">
      <c r="A10" s="104" t="s">
        <v>1012</v>
      </c>
      <c r="B10" s="105">
        <f>'14 - VPSA'!F1</f>
        <v>2029.7851000000001</v>
      </c>
      <c r="C10" s="105">
        <f>'14 - VPSA'!H1</f>
        <v>1630.19</v>
      </c>
      <c r="D10" s="105"/>
      <c r="F10" s="4" t="s">
        <v>1235</v>
      </c>
      <c r="H10" s="98"/>
    </row>
    <row r="11" spans="1:8">
      <c r="A11" s="104" t="s">
        <v>1013</v>
      </c>
      <c r="B11" s="105">
        <f>'15- VPSD'!F1</f>
        <v>10326.1</v>
      </c>
      <c r="C11" s="105">
        <f>'15- VPSD'!H1</f>
        <v>8415.23</v>
      </c>
      <c r="D11" s="93"/>
      <c r="F11" s="4" t="s">
        <v>1370</v>
      </c>
      <c r="H11" s="98"/>
    </row>
    <row r="12" spans="1:8">
      <c r="A12" s="104" t="s">
        <v>1014</v>
      </c>
      <c r="B12" s="105">
        <f>'16 - DoFY'!F1</f>
        <v>3022.4044999999996</v>
      </c>
      <c r="C12" s="105">
        <f>'16 - DoFY'!H1</f>
        <v>1902.0214999999998</v>
      </c>
      <c r="D12" s="105"/>
      <c r="F12" s="4" t="s">
        <v>1236</v>
      </c>
      <c r="H12" s="98"/>
    </row>
    <row r="13" spans="1:8">
      <c r="A13" s="104" t="s">
        <v>1015</v>
      </c>
      <c r="B13" s="105">
        <f>'17- DoX'!F1</f>
        <v>12362.019999999997</v>
      </c>
      <c r="C13" s="105">
        <f>'17- DoX'!H1</f>
        <v>14884.689999999999</v>
      </c>
      <c r="D13" s="93"/>
      <c r="F13" s="4" t="s">
        <v>1237</v>
      </c>
    </row>
    <row r="14" spans="1:8">
      <c r="A14" s="104" t="s">
        <v>1016</v>
      </c>
      <c r="B14" s="105">
        <f>'18 - DoS'!F1</f>
        <v>2854.5861</v>
      </c>
      <c r="C14" s="105">
        <f>'18 - DoS'!H1</f>
        <v>1652.3400000000001</v>
      </c>
      <c r="D14" s="93"/>
      <c r="F14" s="4" t="s">
        <v>393</v>
      </c>
      <c r="H14" s="106"/>
    </row>
    <row r="15" spans="1:8">
      <c r="A15" s="104" t="s">
        <v>1017</v>
      </c>
      <c r="B15" s="105">
        <f>'19 - DoF'!F1</f>
        <v>1045.2274</v>
      </c>
      <c r="C15" s="105">
        <f>'19 - DoF'!H1</f>
        <v>367.68</v>
      </c>
      <c r="D15" s="93"/>
      <c r="F15" s="4" t="s">
        <v>1238</v>
      </c>
    </row>
    <row r="16" spans="1:8">
      <c r="A16" s="104" t="s">
        <v>1018</v>
      </c>
      <c r="B16" s="105">
        <f>'20 - DoIT'!F1</f>
        <v>4947.2299999999996</v>
      </c>
      <c r="C16" s="105">
        <f>'20 - DoIT'!H1</f>
        <v>2400.81</v>
      </c>
      <c r="D16" s="105"/>
      <c r="F16" s="4" t="s">
        <v>1239</v>
      </c>
    </row>
    <row r="17" spans="1:6">
      <c r="A17" s="104" t="s">
        <v>1019</v>
      </c>
      <c r="B17" s="105">
        <f>'21 - DoIA'!F1</f>
        <v>14116.344999999998</v>
      </c>
      <c r="C17" s="105">
        <f>'21 - DoIA'!H1</f>
        <v>11340.25</v>
      </c>
      <c r="D17" s="93"/>
      <c r="F17" s="4" t="s">
        <v>1240</v>
      </c>
    </row>
    <row r="18" spans="1:6">
      <c r="A18" s="104" t="s">
        <v>1020</v>
      </c>
      <c r="B18" s="105">
        <f>'22 - DoE'!F1</f>
        <v>7279.5923999999977</v>
      </c>
      <c r="C18" s="105">
        <f>'22 - DoE'!H1</f>
        <v>5051.6200000000008</v>
      </c>
      <c r="D18" s="93"/>
      <c r="F18" s="4" t="s">
        <v>1241</v>
      </c>
    </row>
    <row r="19" spans="1:6">
      <c r="A19" s="104" t="s">
        <v>1021</v>
      </c>
      <c r="B19" s="105">
        <f>'23 - DoPD'!F1</f>
        <v>694.44119999999748</v>
      </c>
      <c r="C19" s="105">
        <f>'23 - DoPD'!H1</f>
        <v>583.62999999999954</v>
      </c>
      <c r="D19" s="93"/>
      <c r="F19" s="4" t="s">
        <v>1242</v>
      </c>
    </row>
    <row r="20" spans="1:6">
      <c r="A20" s="104" t="s">
        <v>1341</v>
      </c>
      <c r="B20" s="105">
        <f>Summer!P117</f>
        <v>47185.294338999993</v>
      </c>
      <c r="C20" s="105">
        <f>Summer!Q117</f>
        <v>31926.57</v>
      </c>
      <c r="D20" s="93"/>
    </row>
    <row r="21" spans="1:6">
      <c r="A21" s="94" t="s">
        <v>2</v>
      </c>
      <c r="B21" s="102">
        <f>SUM(B7:B20)</f>
        <v>291217.90546399995</v>
      </c>
      <c r="C21" s="102">
        <f>SUM(C7:C20)</f>
        <v>284080.61149999994</v>
      </c>
      <c r="D21" s="102"/>
      <c r="E21" s="107"/>
      <c r="F21" s="102"/>
    </row>
    <row r="22" spans="1:6">
      <c r="A22" s="98" t="s">
        <v>1409</v>
      </c>
      <c r="B22" s="93">
        <f>(B21-'13 - VPOps'!G54-'13 - VPOps'!G55-Summer!P20-'13 - VPOps'!G22-'13 - VPOps'!G14-'13 - VPOps'!G18-'13 - VPOps'!G55-'13 - VPOps'!G72-'13 - VPOps'!G73-'13 - VPOps'!G74-'13 - VPOps'!G75)*0.1</f>
        <v>15422.608989999993</v>
      </c>
      <c r="C22" s="93"/>
      <c r="D22" s="93"/>
      <c r="E22" s="4" t="s">
        <v>1410</v>
      </c>
    </row>
    <row r="23" spans="1:6">
      <c r="A23" s="94" t="s">
        <v>1009</v>
      </c>
      <c r="B23" s="102">
        <f>SUM(B21:B22)</f>
        <v>306640.51445399993</v>
      </c>
      <c r="C23" s="102">
        <f>C21</f>
        <v>284080.61149999994</v>
      </c>
      <c r="D23" s="102"/>
      <c r="E23" s="107"/>
      <c r="F23" s="102"/>
    </row>
    <row r="25" spans="1:6">
      <c r="A25" s="108" t="s">
        <v>1005</v>
      </c>
      <c r="B25" s="102">
        <f>B3-B23</f>
        <v>-1021.154453999945</v>
      </c>
      <c r="C25" s="102">
        <f>C3-C23</f>
        <v>14703.238500000036</v>
      </c>
      <c r="D25" s="102"/>
      <c r="E25" s="95"/>
      <c r="F25" s="95"/>
    </row>
  </sheetData>
  <mergeCells count="1">
    <mergeCell ref="A5:F5"/>
  </mergeCells>
  <hyperlinks>
    <hyperlink ref="A8" location="'12 - VPA'!A1" display="12 - VPA"/>
    <hyperlink ref="A10" location="'14 - VPSA'!A1" display="14 - VPSA"/>
    <hyperlink ref="A11" location="'15- VPSD'!A1" display="15 - VPSD"/>
    <hyperlink ref="A12" location="'16 - DoFY'!A1" display="16 - DoFY"/>
    <hyperlink ref="A13" location="'17- DoX'!A1" display="17 - DoX"/>
    <hyperlink ref="A14" location="'18 - DoS'!A1" display="18 - DoS"/>
    <hyperlink ref="A15" location="'19 - DoF'!A1" display="19 - DoF"/>
    <hyperlink ref="A16" location="'20 - DoIT'!A1" display="20 - DoIT"/>
    <hyperlink ref="A17" location="'21 - DoIA'!A1" display="21 - DoIA"/>
    <hyperlink ref="A18" location="'22 - DoE'!A1" display="22 - DoE"/>
    <hyperlink ref="A19" location="'23 - DoPD'!A1" display="23 - DoPD"/>
    <hyperlink ref="A7" location="'11 - Pres'!A1" display="11 - Pres"/>
    <hyperlink ref="A9" location="'13 - VPOps'!A1" display="13 - VPOps"/>
    <hyperlink ref="A20" location="Summer!A1" display="Summer 2012"/>
    <hyperlink ref="A3" location="'10 - Revenue'!A1" display="REVENUE"/>
  </hyperlink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5" workbookViewId="0">
      <selection activeCell="H1" sqref="H1:J1"/>
    </sheetView>
  </sheetViews>
  <sheetFormatPr defaultColWidth="8.85546875" defaultRowHeight="15"/>
  <cols>
    <col min="1" max="1" width="8.85546875" style="4"/>
    <col min="2" max="2" width="27.85546875" style="4" customWidth="1"/>
    <col min="3" max="3" width="30.85546875" style="4" customWidth="1"/>
    <col min="4" max="4" width="8.85546875" style="4"/>
    <col min="5" max="5" width="6.28515625" style="4" customWidth="1"/>
    <col min="6" max="6" width="10.140625" style="4" customWidth="1"/>
    <col min="7" max="7" width="12.28515625" style="4" bestFit="1" customWidth="1"/>
    <col min="8" max="16384" width="8.85546875" style="4"/>
  </cols>
  <sheetData>
    <row r="1" spans="1:10" ht="18.75">
      <c r="A1" s="302" t="s">
        <v>1245</v>
      </c>
      <c r="B1" s="302"/>
      <c r="C1" s="302"/>
      <c r="D1" s="302"/>
      <c r="E1" s="302"/>
      <c r="F1" s="303">
        <f>G8+G19+G31+G41</f>
        <v>2854.5861</v>
      </c>
      <c r="G1" s="304"/>
      <c r="H1" s="303">
        <f>H8+H41+H19+H32</f>
        <v>1652.3400000000001</v>
      </c>
      <c r="I1" s="317"/>
      <c r="J1" s="304"/>
    </row>
    <row r="2" spans="1:10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5" spans="1:10" ht="57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8" spans="1:10" ht="15.75">
      <c r="A8" s="293" t="s">
        <v>192</v>
      </c>
      <c r="B8" s="294"/>
      <c r="C8" s="294"/>
      <c r="D8" s="294"/>
      <c r="E8" s="294"/>
      <c r="F8" s="295"/>
      <c r="G8" s="9">
        <f>SUM(G9)</f>
        <v>1229.2139999999999</v>
      </c>
      <c r="H8" s="308">
        <f>H9+H18</f>
        <v>570.37</v>
      </c>
      <c r="I8" s="309"/>
      <c r="J8" s="310"/>
    </row>
    <row r="9" spans="1:10">
      <c r="A9" s="296" t="s">
        <v>11</v>
      </c>
      <c r="B9" s="297"/>
      <c r="C9" s="297"/>
      <c r="D9" s="297"/>
      <c r="E9" s="297"/>
      <c r="F9" s="298"/>
      <c r="G9" s="8">
        <f>SUM(G11:G17)</f>
        <v>1229.2139999999999</v>
      </c>
      <c r="H9" s="311">
        <f>SUM(J11:J17)</f>
        <v>570.37</v>
      </c>
      <c r="I9" s="312"/>
      <c r="J9" s="313"/>
    </row>
    <row r="10" spans="1:10">
      <c r="A10" s="339" t="s">
        <v>191</v>
      </c>
      <c r="B10" s="340"/>
      <c r="C10" s="340"/>
      <c r="D10" s="340"/>
      <c r="E10" s="340"/>
      <c r="F10" s="340"/>
      <c r="G10" s="340"/>
      <c r="H10" s="340"/>
      <c r="I10" s="340"/>
      <c r="J10" s="341"/>
    </row>
    <row r="11" spans="1:10">
      <c r="A11" s="21">
        <v>18002</v>
      </c>
      <c r="B11" s="1" t="s">
        <v>189</v>
      </c>
      <c r="C11" s="1" t="s">
        <v>188</v>
      </c>
      <c r="D11" s="3">
        <v>165.9</v>
      </c>
      <c r="E11" s="1">
        <v>1</v>
      </c>
      <c r="F11" s="3">
        <f>D11*E11</f>
        <v>165.9</v>
      </c>
      <c r="G11" s="3">
        <f>F11*1.13</f>
        <v>187.46699999999998</v>
      </c>
      <c r="H11" s="3"/>
      <c r="I11" s="1"/>
      <c r="J11" s="3"/>
    </row>
    <row r="12" spans="1:10">
      <c r="A12" s="21">
        <v>18003</v>
      </c>
      <c r="B12" s="1" t="s">
        <v>187</v>
      </c>
      <c r="C12" s="1" t="s">
        <v>186</v>
      </c>
      <c r="D12" s="3">
        <v>1.05</v>
      </c>
      <c r="E12" s="1">
        <v>40</v>
      </c>
      <c r="F12" s="3">
        <f>D12*E12</f>
        <v>42</v>
      </c>
      <c r="G12" s="3">
        <f>F12*1.13</f>
        <v>47.459999999999994</v>
      </c>
      <c r="H12" s="3"/>
      <c r="I12" s="1"/>
      <c r="J12" s="3"/>
    </row>
    <row r="13" spans="1:10">
      <c r="A13" s="21">
        <v>18004</v>
      </c>
      <c r="B13" s="1" t="s">
        <v>185</v>
      </c>
      <c r="C13" s="1" t="s">
        <v>184</v>
      </c>
      <c r="D13" s="3">
        <v>341.25</v>
      </c>
      <c r="E13" s="1">
        <v>1</v>
      </c>
      <c r="F13" s="3">
        <f>D13*E13</f>
        <v>341.25</v>
      </c>
      <c r="G13" s="3">
        <f>F13*1.13</f>
        <v>385.61249999999995</v>
      </c>
      <c r="H13" s="3"/>
      <c r="I13" s="1"/>
      <c r="J13" s="3">
        <v>421.21</v>
      </c>
    </row>
    <row r="14" spans="1:10">
      <c r="A14" s="339" t="s">
        <v>190</v>
      </c>
      <c r="B14" s="340"/>
      <c r="C14" s="340"/>
      <c r="D14" s="340"/>
      <c r="E14" s="340"/>
      <c r="F14" s="340"/>
      <c r="G14" s="340"/>
      <c r="H14" s="340"/>
      <c r="I14" s="340"/>
      <c r="J14" s="341"/>
    </row>
    <row r="15" spans="1:10">
      <c r="A15" s="21">
        <v>18006</v>
      </c>
      <c r="B15" s="1" t="s">
        <v>189</v>
      </c>
      <c r="C15" s="1" t="s">
        <v>188</v>
      </c>
      <c r="D15" s="3">
        <v>165.9</v>
      </c>
      <c r="E15" s="1">
        <v>1</v>
      </c>
      <c r="F15" s="3">
        <f>D15*E15</f>
        <v>165.9</v>
      </c>
      <c r="G15" s="3">
        <f>F15*1.13</f>
        <v>187.46699999999998</v>
      </c>
      <c r="H15" s="3"/>
      <c r="I15" s="1"/>
      <c r="J15" s="3"/>
    </row>
    <row r="16" spans="1:10">
      <c r="A16" s="21">
        <v>18007</v>
      </c>
      <c r="B16" s="1" t="s">
        <v>187</v>
      </c>
      <c r="C16" s="1" t="s">
        <v>186</v>
      </c>
      <c r="D16" s="3">
        <v>1.05</v>
      </c>
      <c r="E16" s="1">
        <v>30</v>
      </c>
      <c r="F16" s="3">
        <f>D16*E16</f>
        <v>31.5</v>
      </c>
      <c r="G16" s="3">
        <f>F16*1.13</f>
        <v>35.594999999999999</v>
      </c>
      <c r="H16" s="3"/>
      <c r="I16" s="1"/>
      <c r="J16" s="3"/>
    </row>
    <row r="17" spans="1:11">
      <c r="A17" s="21">
        <v>18008</v>
      </c>
      <c r="B17" s="1" t="s">
        <v>185</v>
      </c>
      <c r="C17" s="1" t="s">
        <v>184</v>
      </c>
      <c r="D17" s="3">
        <v>341.25</v>
      </c>
      <c r="E17" s="1">
        <v>1</v>
      </c>
      <c r="F17" s="3">
        <f>D17*E17</f>
        <v>341.25</v>
      </c>
      <c r="G17" s="3">
        <f>F17*1.13</f>
        <v>385.61249999999995</v>
      </c>
      <c r="H17" s="3"/>
      <c r="I17" s="1"/>
      <c r="J17" s="3">
        <v>149.16</v>
      </c>
    </row>
    <row r="18" spans="1:11">
      <c r="A18" s="342"/>
      <c r="B18" s="342"/>
      <c r="C18" s="342"/>
      <c r="D18" s="342"/>
      <c r="E18" s="342"/>
      <c r="F18" s="342"/>
      <c r="G18" s="23"/>
      <c r="H18" s="343"/>
      <c r="I18" s="343"/>
      <c r="J18" s="343"/>
      <c r="K18" s="22"/>
    </row>
    <row r="19" spans="1:11" ht="15.75">
      <c r="A19" s="293" t="s">
        <v>1369</v>
      </c>
      <c r="B19" s="294"/>
      <c r="C19" s="294"/>
      <c r="D19" s="294"/>
      <c r="E19" s="294"/>
      <c r="F19" s="295"/>
      <c r="G19" s="9">
        <f>SUM(G20)</f>
        <v>939.93669999999997</v>
      </c>
      <c r="H19" s="308">
        <f>H20</f>
        <v>409.46999999999997</v>
      </c>
      <c r="I19" s="309"/>
      <c r="J19" s="310"/>
    </row>
    <row r="20" spans="1:11">
      <c r="A20" s="296" t="s">
        <v>11</v>
      </c>
      <c r="B20" s="297"/>
      <c r="C20" s="297"/>
      <c r="D20" s="297"/>
      <c r="E20" s="297"/>
      <c r="F20" s="298"/>
      <c r="G20" s="8">
        <f>SUM(G22:G29)</f>
        <v>939.93669999999997</v>
      </c>
      <c r="H20" s="311">
        <f>SUM(J22:J29)</f>
        <v>409.46999999999997</v>
      </c>
      <c r="I20" s="312"/>
      <c r="J20" s="313"/>
    </row>
    <row r="21" spans="1:11">
      <c r="A21" s="314" t="s">
        <v>182</v>
      </c>
      <c r="B21" s="315"/>
      <c r="C21" s="315"/>
      <c r="D21" s="315"/>
      <c r="E21" s="315"/>
      <c r="F21" s="315"/>
      <c r="G21" s="315"/>
      <c r="H21" s="315"/>
      <c r="I21" s="315"/>
      <c r="J21" s="316"/>
    </row>
    <row r="22" spans="1:11">
      <c r="A22" s="21">
        <v>18010</v>
      </c>
      <c r="B22" s="1" t="s">
        <v>181</v>
      </c>
      <c r="C22" s="1" t="s">
        <v>1368</v>
      </c>
      <c r="D22" s="3">
        <v>16</v>
      </c>
      <c r="E22" s="1">
        <v>2</v>
      </c>
      <c r="F22" s="3">
        <f>D22*E22</f>
        <v>32</v>
      </c>
      <c r="G22" s="3">
        <f>F22*1.13</f>
        <v>36.159999999999997</v>
      </c>
      <c r="H22" s="3"/>
      <c r="I22" s="1"/>
      <c r="J22" s="3">
        <v>22.6</v>
      </c>
    </row>
    <row r="23" spans="1:11">
      <c r="A23" s="21">
        <v>18011</v>
      </c>
      <c r="B23" s="1" t="s">
        <v>1367</v>
      </c>
      <c r="C23" s="1" t="s">
        <v>1366</v>
      </c>
      <c r="D23" s="3">
        <v>11.15</v>
      </c>
      <c r="E23" s="1">
        <v>1</v>
      </c>
      <c r="F23" s="3">
        <f>D23*E23</f>
        <v>11.15</v>
      </c>
      <c r="G23" s="3">
        <f>F23*1.13</f>
        <v>12.599499999999999</v>
      </c>
      <c r="H23" s="3"/>
      <c r="I23" s="1"/>
      <c r="J23" s="3">
        <v>37.29</v>
      </c>
    </row>
    <row r="24" spans="1:11">
      <c r="A24" s="21">
        <v>18012</v>
      </c>
      <c r="B24" s="1" t="s">
        <v>180</v>
      </c>
      <c r="C24" s="1"/>
      <c r="D24" s="3">
        <v>2.4900000000000002</v>
      </c>
      <c r="E24" s="1">
        <v>4</v>
      </c>
      <c r="F24" s="3">
        <f>D24*E24</f>
        <v>9.9600000000000009</v>
      </c>
      <c r="G24" s="3">
        <f>F24*1.13</f>
        <v>11.254799999999999</v>
      </c>
      <c r="H24" s="3"/>
      <c r="I24" s="1"/>
      <c r="J24" s="3">
        <v>11.19</v>
      </c>
    </row>
    <row r="25" spans="1:11">
      <c r="A25" s="21">
        <v>18013</v>
      </c>
      <c r="B25" s="1" t="s">
        <v>179</v>
      </c>
      <c r="C25" s="1" t="s">
        <v>1365</v>
      </c>
      <c r="D25" s="3">
        <v>6.99</v>
      </c>
      <c r="E25" s="1">
        <v>2</v>
      </c>
      <c r="F25" s="3">
        <f>D25*E25</f>
        <v>13.98</v>
      </c>
      <c r="G25" s="3">
        <f>F25*1.13</f>
        <v>15.7974</v>
      </c>
      <c r="H25" s="3"/>
      <c r="I25" s="1"/>
      <c r="J25" s="3"/>
    </row>
    <row r="26" spans="1:11">
      <c r="A26" s="21">
        <v>18014</v>
      </c>
      <c r="B26" s="1" t="s">
        <v>16</v>
      </c>
      <c r="C26" s="1" t="s">
        <v>1362</v>
      </c>
      <c r="D26" s="3">
        <v>0.5</v>
      </c>
      <c r="E26" s="1">
        <v>25</v>
      </c>
      <c r="F26" s="3">
        <f>D26*E26</f>
        <v>12.5</v>
      </c>
      <c r="G26" s="3">
        <f>F26*1.13</f>
        <v>14.124999999999998</v>
      </c>
      <c r="H26" s="3"/>
      <c r="I26" s="1"/>
      <c r="J26" s="3"/>
    </row>
    <row r="27" spans="1:11">
      <c r="A27" s="314" t="s">
        <v>178</v>
      </c>
      <c r="B27" s="315"/>
      <c r="C27" s="315"/>
      <c r="D27" s="315"/>
      <c r="E27" s="315"/>
      <c r="F27" s="315"/>
      <c r="G27" s="315"/>
      <c r="H27" s="315"/>
      <c r="I27" s="315"/>
      <c r="J27" s="316"/>
    </row>
    <row r="28" spans="1:11">
      <c r="A28" s="21">
        <v>18020</v>
      </c>
      <c r="B28" s="1" t="s">
        <v>1364</v>
      </c>
      <c r="C28" s="1"/>
      <c r="D28" s="3">
        <v>30</v>
      </c>
      <c r="E28" s="1">
        <v>20</v>
      </c>
      <c r="F28" s="3">
        <f>D28*E28</f>
        <v>600</v>
      </c>
      <c r="G28" s="3">
        <f>F28</f>
        <v>600</v>
      </c>
      <c r="H28" s="3"/>
      <c r="I28" s="1"/>
      <c r="J28" s="3"/>
    </row>
    <row r="29" spans="1:11">
      <c r="A29" s="21">
        <v>18021</v>
      </c>
      <c r="B29" s="1" t="s">
        <v>394</v>
      </c>
      <c r="C29" s="1"/>
      <c r="D29" s="3">
        <v>250</v>
      </c>
      <c r="E29" s="1">
        <v>1</v>
      </c>
      <c r="F29" s="3">
        <f>D29*E29</f>
        <v>250</v>
      </c>
      <c r="G29" s="3">
        <f>F29</f>
        <v>250</v>
      </c>
      <c r="H29" s="3"/>
      <c r="I29" s="1"/>
      <c r="J29" s="3">
        <v>338.39</v>
      </c>
    </row>
    <row r="31" spans="1:11" ht="15.75">
      <c r="A31" s="293" t="s">
        <v>175</v>
      </c>
      <c r="B31" s="294"/>
      <c r="C31" s="294"/>
      <c r="D31" s="294"/>
      <c r="E31" s="294"/>
      <c r="F31" s="295"/>
      <c r="G31" s="9">
        <f>SUM(G32)</f>
        <v>600.68539999999996</v>
      </c>
      <c r="H31" s="308">
        <f>H32+H42</f>
        <v>672.50000000000011</v>
      </c>
      <c r="I31" s="309"/>
      <c r="J31" s="310"/>
    </row>
    <row r="32" spans="1:11">
      <c r="A32" s="296" t="s">
        <v>11</v>
      </c>
      <c r="B32" s="297"/>
      <c r="C32" s="297"/>
      <c r="D32" s="297"/>
      <c r="E32" s="297"/>
      <c r="F32" s="298"/>
      <c r="G32" s="8">
        <f>SUM(G33:G39)</f>
        <v>600.68539999999996</v>
      </c>
      <c r="H32" s="311">
        <f>SUM(J33:J40)</f>
        <v>598.25000000000011</v>
      </c>
      <c r="I32" s="312"/>
      <c r="J32" s="313"/>
    </row>
    <row r="33" spans="1:10">
      <c r="A33" s="21">
        <v>18030</v>
      </c>
      <c r="B33" s="1" t="s">
        <v>174</v>
      </c>
      <c r="C33" s="1" t="s">
        <v>173</v>
      </c>
      <c r="D33" s="3">
        <v>1.1000000000000001</v>
      </c>
      <c r="E33" s="1">
        <v>100</v>
      </c>
      <c r="F33" s="3">
        <f t="shared" ref="F33:F39" si="0">D33*E33</f>
        <v>110.00000000000001</v>
      </c>
      <c r="G33" s="3">
        <v>119.78</v>
      </c>
      <c r="H33" s="3">
        <v>119.78</v>
      </c>
      <c r="I33" s="1" t="s">
        <v>393</v>
      </c>
      <c r="J33" s="3">
        <v>119.78</v>
      </c>
    </row>
    <row r="34" spans="1:10">
      <c r="A34" s="21">
        <v>18031</v>
      </c>
      <c r="B34" s="1" t="s">
        <v>1411</v>
      </c>
      <c r="C34" s="1"/>
      <c r="D34" s="3">
        <v>1</v>
      </c>
      <c r="E34" s="1">
        <v>90</v>
      </c>
      <c r="F34" s="3">
        <f t="shared" ref="F34" si="1">D34*E34</f>
        <v>90</v>
      </c>
      <c r="G34" s="3">
        <f t="shared" ref="G34" si="2">F34*1.13</f>
        <v>101.69999999999999</v>
      </c>
      <c r="H34" s="3"/>
      <c r="I34" s="1"/>
      <c r="J34" s="3">
        <v>101.7</v>
      </c>
    </row>
    <row r="35" spans="1:10">
      <c r="A35" s="21">
        <v>18032</v>
      </c>
      <c r="B35" s="1" t="s">
        <v>1403</v>
      </c>
      <c r="C35" s="1" t="s">
        <v>1404</v>
      </c>
      <c r="D35" s="3">
        <v>5.51</v>
      </c>
      <c r="E35" s="1">
        <v>1</v>
      </c>
      <c r="F35" s="3">
        <f t="shared" si="0"/>
        <v>5.51</v>
      </c>
      <c r="G35" s="3">
        <f t="shared" ref="G35:G39" si="3">F35*1.13</f>
        <v>6.2262999999999993</v>
      </c>
      <c r="H35" s="3"/>
      <c r="I35" s="1"/>
      <c r="J35" s="3">
        <v>11.18</v>
      </c>
    </row>
    <row r="36" spans="1:10">
      <c r="A36" s="21">
        <v>18033</v>
      </c>
      <c r="B36" s="1" t="s">
        <v>171</v>
      </c>
      <c r="C36" s="1"/>
      <c r="D36" s="3">
        <v>0.3</v>
      </c>
      <c r="E36" s="1">
        <v>150</v>
      </c>
      <c r="F36" s="3">
        <f t="shared" si="0"/>
        <v>45</v>
      </c>
      <c r="G36" s="3">
        <f t="shared" si="3"/>
        <v>50.849999999999994</v>
      </c>
      <c r="H36" s="3"/>
      <c r="I36" s="1"/>
      <c r="J36" s="3">
        <v>41.98</v>
      </c>
    </row>
    <row r="37" spans="1:10">
      <c r="A37" s="21">
        <v>18034</v>
      </c>
      <c r="B37" s="1" t="s">
        <v>392</v>
      </c>
      <c r="C37" s="1" t="s">
        <v>391</v>
      </c>
      <c r="D37" s="3">
        <v>259.99</v>
      </c>
      <c r="E37" s="1">
        <v>1</v>
      </c>
      <c r="F37" s="3">
        <f t="shared" si="0"/>
        <v>259.99</v>
      </c>
      <c r="G37" s="3">
        <f t="shared" si="3"/>
        <v>293.78870000000001</v>
      </c>
      <c r="H37" s="3"/>
      <c r="I37" s="1"/>
      <c r="J37" s="3">
        <v>293.79000000000002</v>
      </c>
    </row>
    <row r="38" spans="1:10">
      <c r="A38" s="21">
        <v>18035</v>
      </c>
      <c r="B38" s="1" t="s">
        <v>1401</v>
      </c>
      <c r="C38" s="1" t="s">
        <v>1402</v>
      </c>
      <c r="D38" s="3">
        <v>6.96</v>
      </c>
      <c r="E38" s="1">
        <v>3</v>
      </c>
      <c r="F38" s="3">
        <f t="shared" si="0"/>
        <v>20.88</v>
      </c>
      <c r="G38" s="3">
        <f t="shared" si="3"/>
        <v>23.594399999999997</v>
      </c>
      <c r="H38" s="3"/>
      <c r="I38" s="1"/>
      <c r="J38" s="3">
        <v>29.82</v>
      </c>
    </row>
    <row r="39" spans="1:10">
      <c r="A39" s="21">
        <v>18036</v>
      </c>
      <c r="B39" s="1" t="s">
        <v>170</v>
      </c>
      <c r="C39" s="1" t="s">
        <v>169</v>
      </c>
      <c r="D39" s="3">
        <v>1.05</v>
      </c>
      <c r="E39" s="1">
        <v>4</v>
      </c>
      <c r="F39" s="3">
        <f t="shared" si="0"/>
        <v>4.2</v>
      </c>
      <c r="G39" s="3">
        <f t="shared" si="3"/>
        <v>4.7459999999999996</v>
      </c>
      <c r="H39" s="3"/>
      <c r="I39" s="1"/>
      <c r="J39" s="3"/>
    </row>
    <row r="41" spans="1:10" ht="15.75">
      <c r="A41" s="293" t="s">
        <v>168</v>
      </c>
      <c r="B41" s="294"/>
      <c r="C41" s="294"/>
      <c r="D41" s="294"/>
      <c r="E41" s="294"/>
      <c r="F41" s="295"/>
      <c r="G41" s="9">
        <f>SUM(G42)</f>
        <v>84.75</v>
      </c>
      <c r="H41" s="308">
        <f>H42+H47</f>
        <v>74.25</v>
      </c>
      <c r="I41" s="309"/>
      <c r="J41" s="310"/>
    </row>
    <row r="42" spans="1:10">
      <c r="A42" s="296" t="s">
        <v>11</v>
      </c>
      <c r="B42" s="297"/>
      <c r="C42" s="297"/>
      <c r="D42" s="297"/>
      <c r="E42" s="297"/>
      <c r="F42" s="298"/>
      <c r="G42" s="8">
        <f>SUM(G43:G44)</f>
        <v>84.75</v>
      </c>
      <c r="H42" s="311">
        <f>SUM(J43:J45)</f>
        <v>74.25</v>
      </c>
      <c r="I42" s="312"/>
      <c r="J42" s="313"/>
    </row>
    <row r="43" spans="1:10">
      <c r="A43" s="21">
        <v>18040</v>
      </c>
      <c r="B43" s="1" t="s">
        <v>167</v>
      </c>
      <c r="C43" s="1" t="s">
        <v>1363</v>
      </c>
      <c r="D43" s="3">
        <v>2</v>
      </c>
      <c r="E43" s="1">
        <v>30</v>
      </c>
      <c r="F43" s="3">
        <f>D43*E43</f>
        <v>60</v>
      </c>
      <c r="G43" s="3">
        <f>F43*1.13</f>
        <v>67.8</v>
      </c>
      <c r="H43" s="3"/>
      <c r="I43" s="1"/>
      <c r="J43" s="3">
        <v>74.25</v>
      </c>
    </row>
    <row r="44" spans="1:10">
      <c r="A44" s="21">
        <v>18041</v>
      </c>
      <c r="B44" s="1" t="s">
        <v>16</v>
      </c>
      <c r="C44" s="1" t="s">
        <v>1362</v>
      </c>
      <c r="D44" s="3">
        <v>0.5</v>
      </c>
      <c r="E44" s="1">
        <v>30</v>
      </c>
      <c r="F44" s="3">
        <f>D44*E44</f>
        <v>15</v>
      </c>
      <c r="G44" s="3">
        <f>F44*1.13</f>
        <v>16.95</v>
      </c>
      <c r="H44" s="3"/>
      <c r="I44" s="1"/>
      <c r="J44" s="3"/>
    </row>
  </sheetData>
  <mergeCells count="27">
    <mergeCell ref="A8:F8"/>
    <mergeCell ref="H8:J8"/>
    <mergeCell ref="A1:E2"/>
    <mergeCell ref="F1:G1"/>
    <mergeCell ref="H1:J1"/>
    <mergeCell ref="F2:G2"/>
    <mergeCell ref="H2:J2"/>
    <mergeCell ref="A9:F9"/>
    <mergeCell ref="H9:J9"/>
    <mergeCell ref="A10:J10"/>
    <mergeCell ref="A14:J14"/>
    <mergeCell ref="A18:F18"/>
    <mergeCell ref="H18:J18"/>
    <mergeCell ref="A27:J27"/>
    <mergeCell ref="A19:F19"/>
    <mergeCell ref="H19:J19"/>
    <mergeCell ref="A20:F20"/>
    <mergeCell ref="H20:J20"/>
    <mergeCell ref="A21:J21"/>
    <mergeCell ref="A41:F41"/>
    <mergeCell ref="H41:J41"/>
    <mergeCell ref="A42:F42"/>
    <mergeCell ref="H42:J42"/>
    <mergeCell ref="A31:F31"/>
    <mergeCell ref="H31:J31"/>
    <mergeCell ref="A32:F32"/>
    <mergeCell ref="H32:J32"/>
  </mergeCells>
  <hyperlinks>
    <hyperlink ref="A1:E2" location="Summary!A1" display="18000 - SERVICES - Brodie Ritchie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20" zoomScaleNormal="120" zoomScalePageLayoutView="120" workbookViewId="0">
      <selection activeCell="L5" sqref="L5"/>
    </sheetView>
  </sheetViews>
  <sheetFormatPr defaultColWidth="8.85546875" defaultRowHeight="15"/>
  <cols>
    <col min="1" max="1" width="8.85546875" style="4"/>
    <col min="2" max="2" width="14" style="4" bestFit="1" customWidth="1"/>
    <col min="3" max="3" width="26.42578125" style="4" bestFit="1" customWidth="1"/>
    <col min="4" max="4" width="9.28515625" style="4" bestFit="1" customWidth="1"/>
    <col min="5" max="5" width="6.28515625" style="4" customWidth="1"/>
    <col min="6" max="6" width="10.42578125" style="4" bestFit="1" customWidth="1"/>
    <col min="7" max="7" width="12.28515625" style="4" bestFit="1" customWidth="1"/>
    <col min="8" max="9" width="8.85546875" style="4"/>
    <col min="10" max="10" width="9.28515625" style="4" bestFit="1" customWidth="1"/>
    <col min="11" max="16384" width="8.85546875" style="4"/>
  </cols>
  <sheetData>
    <row r="1" spans="1:11" ht="18.75">
      <c r="A1" s="302" t="s">
        <v>1246</v>
      </c>
      <c r="B1" s="302"/>
      <c r="C1" s="302"/>
      <c r="D1" s="302"/>
      <c r="E1" s="302"/>
      <c r="F1" s="303">
        <f>G7+G12+G20</f>
        <v>1045.2274</v>
      </c>
      <c r="G1" s="304"/>
      <c r="H1" s="303">
        <f>H7+H12+H20</f>
        <v>367.68</v>
      </c>
      <c r="I1" s="317"/>
      <c r="J1" s="304"/>
    </row>
    <row r="2" spans="1:11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5" spans="1:11" ht="57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7" spans="1:11" ht="15.75">
      <c r="A7" s="293" t="s">
        <v>270</v>
      </c>
      <c r="B7" s="294"/>
      <c r="C7" s="294"/>
      <c r="D7" s="294"/>
      <c r="E7" s="294"/>
      <c r="F7" s="295"/>
      <c r="G7" s="9">
        <f>G8</f>
        <v>197.75</v>
      </c>
      <c r="H7" s="308">
        <f>H8</f>
        <v>0</v>
      </c>
      <c r="I7" s="309"/>
      <c r="J7" s="310"/>
    </row>
    <row r="8" spans="1:11" ht="15.75" customHeight="1">
      <c r="A8" s="296" t="s">
        <v>11</v>
      </c>
      <c r="B8" s="297"/>
      <c r="C8" s="297"/>
      <c r="D8" s="297"/>
      <c r="E8" s="297"/>
      <c r="F8" s="298"/>
      <c r="G8" s="8">
        <f>SUM(G9:G10)</f>
        <v>197.75</v>
      </c>
      <c r="H8" s="311">
        <f>SUM(J9:J10)</f>
        <v>0</v>
      </c>
      <c r="I8" s="312"/>
      <c r="J8" s="313"/>
    </row>
    <row r="9" spans="1:11">
      <c r="A9" s="2" t="s">
        <v>395</v>
      </c>
      <c r="B9" s="1" t="s">
        <v>1026</v>
      </c>
      <c r="C9" s="1" t="s">
        <v>269</v>
      </c>
      <c r="D9" s="3">
        <v>2</v>
      </c>
      <c r="E9" s="1">
        <v>70</v>
      </c>
      <c r="F9" s="3">
        <f>D9*E9</f>
        <v>140</v>
      </c>
      <c r="G9" s="3">
        <f>F9*1.13</f>
        <v>158.19999999999999</v>
      </c>
      <c r="H9" s="3"/>
      <c r="I9" s="1"/>
      <c r="J9" s="3"/>
    </row>
    <row r="10" spans="1:11">
      <c r="A10" s="2" t="s">
        <v>396</v>
      </c>
      <c r="B10" s="1" t="s">
        <v>1025</v>
      </c>
      <c r="C10" s="1" t="s">
        <v>269</v>
      </c>
      <c r="D10" s="3">
        <v>0.5</v>
      </c>
      <c r="E10" s="1">
        <v>70</v>
      </c>
      <c r="F10" s="3">
        <f>D10*E10</f>
        <v>35</v>
      </c>
      <c r="G10" s="3">
        <f>F10*1.13</f>
        <v>39.549999999999997</v>
      </c>
      <c r="H10" s="3"/>
      <c r="I10" s="1"/>
      <c r="J10" s="3"/>
    </row>
    <row r="11" spans="1:11">
      <c r="A11" s="26"/>
      <c r="B11" s="25"/>
      <c r="C11" s="25"/>
      <c r="D11" s="24"/>
      <c r="E11" s="25"/>
      <c r="F11" s="24"/>
      <c r="G11" s="24"/>
      <c r="H11" s="24"/>
      <c r="I11" s="25"/>
      <c r="J11" s="24"/>
    </row>
    <row r="12" spans="1:11" ht="15.75">
      <c r="A12" s="293" t="s">
        <v>268</v>
      </c>
      <c r="B12" s="294"/>
      <c r="C12" s="294"/>
      <c r="D12" s="294"/>
      <c r="E12" s="294"/>
      <c r="F12" s="295"/>
      <c r="G12" s="9">
        <f>SUM(G13)</f>
        <v>491.54999999999995</v>
      </c>
      <c r="H12" s="321">
        <f>SUM(H13)</f>
        <v>73.89</v>
      </c>
      <c r="I12" s="322"/>
      <c r="J12" s="323"/>
    </row>
    <row r="13" spans="1:11">
      <c r="A13" s="296" t="s">
        <v>11</v>
      </c>
      <c r="B13" s="297"/>
      <c r="C13" s="297"/>
      <c r="D13" s="297"/>
      <c r="E13" s="297"/>
      <c r="F13" s="298"/>
      <c r="G13" s="8">
        <f>SUM(G14:G19)</f>
        <v>491.54999999999995</v>
      </c>
      <c r="H13" s="311">
        <f>SUM(J14:J19)</f>
        <v>73.89</v>
      </c>
      <c r="I13" s="312"/>
      <c r="J13" s="313"/>
    </row>
    <row r="14" spans="1:11">
      <c r="A14" s="2" t="s">
        <v>397</v>
      </c>
      <c r="B14" s="1" t="s">
        <v>267</v>
      </c>
      <c r="C14" s="1" t="s">
        <v>266</v>
      </c>
      <c r="D14" s="3">
        <v>5</v>
      </c>
      <c r="E14" s="1">
        <v>5</v>
      </c>
      <c r="F14" s="3">
        <f>D14*E14</f>
        <v>25</v>
      </c>
      <c r="G14" s="3">
        <f>F14*1.13</f>
        <v>28.249999999999996</v>
      </c>
      <c r="H14" s="3"/>
      <c r="I14" s="1"/>
      <c r="J14" s="3">
        <v>66.260000000000005</v>
      </c>
    </row>
    <row r="15" spans="1:11">
      <c r="A15" s="2" t="s">
        <v>398</v>
      </c>
      <c r="B15" s="1" t="s">
        <v>265</v>
      </c>
      <c r="C15" s="1" t="s">
        <v>264</v>
      </c>
      <c r="D15" s="3">
        <v>4</v>
      </c>
      <c r="E15" s="1">
        <v>5</v>
      </c>
      <c r="F15" s="3">
        <f>D15*E15</f>
        <v>20</v>
      </c>
      <c r="G15" s="3">
        <f>F15*1.13</f>
        <v>22.599999999999998</v>
      </c>
      <c r="H15" s="3"/>
      <c r="I15" s="1"/>
      <c r="J15" s="3"/>
    </row>
    <row r="16" spans="1:11">
      <c r="A16" s="2" t="s">
        <v>399</v>
      </c>
      <c r="B16" s="1" t="s">
        <v>263</v>
      </c>
      <c r="C16" s="1" t="s">
        <v>260</v>
      </c>
      <c r="D16" s="3">
        <v>0.13</v>
      </c>
      <c r="E16" s="1">
        <v>1000</v>
      </c>
      <c r="F16" s="3">
        <f>D16*E16</f>
        <v>130</v>
      </c>
      <c r="G16" s="3">
        <f>F16*1.13</f>
        <v>146.89999999999998</v>
      </c>
      <c r="H16" s="3"/>
      <c r="I16" s="1"/>
      <c r="J16" s="3">
        <v>7.63</v>
      </c>
      <c r="K16" s="4" t="s">
        <v>262</v>
      </c>
    </row>
    <row r="17" spans="1:11">
      <c r="A17" s="2" t="s">
        <v>400</v>
      </c>
      <c r="B17" s="1" t="s">
        <v>1408</v>
      </c>
      <c r="C17" s="1" t="s">
        <v>260</v>
      </c>
      <c r="D17" s="3">
        <v>0.13</v>
      </c>
      <c r="E17" s="1">
        <v>1000</v>
      </c>
      <c r="F17" s="3">
        <f>D17*E17</f>
        <v>130</v>
      </c>
      <c r="G17" s="3">
        <f>F17*1.13</f>
        <v>146.89999999999998</v>
      </c>
      <c r="H17" s="3"/>
      <c r="I17" s="1"/>
      <c r="J17" s="3"/>
    </row>
    <row r="18" spans="1:11">
      <c r="A18" s="2" t="s">
        <v>1407</v>
      </c>
      <c r="B18" s="1" t="s">
        <v>261</v>
      </c>
      <c r="C18" s="1" t="s">
        <v>260</v>
      </c>
      <c r="D18" s="3">
        <v>0.13</v>
      </c>
      <c r="E18" s="1">
        <v>1000</v>
      </c>
      <c r="F18" s="3">
        <f>D18*E18</f>
        <v>130</v>
      </c>
      <c r="G18" s="3">
        <f>F18*1.13</f>
        <v>146.89999999999998</v>
      </c>
      <c r="H18" s="3"/>
      <c r="I18" s="1"/>
      <c r="J18" s="3"/>
      <c r="K18" s="4" t="s">
        <v>259</v>
      </c>
    </row>
    <row r="19" spans="1:11">
      <c r="K19" s="4" t="s">
        <v>258</v>
      </c>
    </row>
    <row r="20" spans="1:11" ht="15.75">
      <c r="A20" s="293" t="s">
        <v>998</v>
      </c>
      <c r="B20" s="294"/>
      <c r="C20" s="294"/>
      <c r="D20" s="294"/>
      <c r="E20" s="294"/>
      <c r="F20" s="295"/>
      <c r="G20" s="9">
        <f>SUM(G21+G26)</f>
        <v>355.92739999999998</v>
      </c>
      <c r="H20" s="321">
        <f>SUM(H21+H26)</f>
        <v>293.79000000000002</v>
      </c>
      <c r="I20" s="322"/>
      <c r="J20" s="323"/>
    </row>
    <row r="21" spans="1:11">
      <c r="A21" s="296" t="s">
        <v>11</v>
      </c>
      <c r="B21" s="297"/>
      <c r="C21" s="297"/>
      <c r="D21" s="297"/>
      <c r="E21" s="297"/>
      <c r="F21" s="298"/>
      <c r="G21" s="8">
        <f>SUM(G22:G24)</f>
        <v>355.92739999999998</v>
      </c>
      <c r="H21" s="311">
        <f>SUM(J22:J24)</f>
        <v>293.79000000000002</v>
      </c>
      <c r="I21" s="312"/>
      <c r="J21" s="313"/>
    </row>
    <row r="22" spans="1:11">
      <c r="A22" s="2" t="s">
        <v>401</v>
      </c>
      <c r="B22" s="1" t="s">
        <v>402</v>
      </c>
      <c r="C22" s="1" t="s">
        <v>403</v>
      </c>
      <c r="D22" s="3">
        <v>14.99</v>
      </c>
      <c r="E22" s="1">
        <v>1</v>
      </c>
      <c r="F22" s="3">
        <f>D22*E22</f>
        <v>14.99</v>
      </c>
      <c r="G22" s="3">
        <f>F22*1.13</f>
        <v>16.938699999999997</v>
      </c>
      <c r="H22" s="3"/>
      <c r="I22" s="1"/>
      <c r="J22" s="3"/>
    </row>
    <row r="23" spans="1:11">
      <c r="A23" s="2" t="s">
        <v>1405</v>
      </c>
      <c r="B23" s="1" t="s">
        <v>1372</v>
      </c>
      <c r="C23" s="1"/>
      <c r="D23" s="3">
        <v>299.99</v>
      </c>
      <c r="E23" s="1">
        <v>1</v>
      </c>
      <c r="F23" s="3">
        <f>D23*E23</f>
        <v>299.99</v>
      </c>
      <c r="G23" s="3">
        <f>F23*1.13</f>
        <v>338.98869999999999</v>
      </c>
      <c r="H23" s="3"/>
      <c r="I23" s="1"/>
      <c r="J23" s="3">
        <v>293.79000000000002</v>
      </c>
    </row>
  </sheetData>
  <mergeCells count="17">
    <mergeCell ref="A1:E2"/>
    <mergeCell ref="F1:G1"/>
    <mergeCell ref="H1:J1"/>
    <mergeCell ref="F2:G2"/>
    <mergeCell ref="H2:J2"/>
    <mergeCell ref="A7:F7"/>
    <mergeCell ref="H7:J7"/>
    <mergeCell ref="A20:F20"/>
    <mergeCell ref="H20:J20"/>
    <mergeCell ref="A21:F21"/>
    <mergeCell ref="H21:J21"/>
    <mergeCell ref="A12:F12"/>
    <mergeCell ref="H12:J12"/>
    <mergeCell ref="A13:F13"/>
    <mergeCell ref="H13:J13"/>
    <mergeCell ref="A8:F8"/>
    <mergeCell ref="H8:J8"/>
  </mergeCells>
  <hyperlinks>
    <hyperlink ref="A1:E2" location="Summary!A1" display="19 - Finance - Shawyan Khoee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28" zoomScale="120" zoomScaleNormal="120" zoomScalePageLayoutView="120" workbookViewId="0">
      <selection activeCell="H1" sqref="H1:J1"/>
    </sheetView>
  </sheetViews>
  <sheetFormatPr defaultColWidth="8.85546875" defaultRowHeight="15"/>
  <cols>
    <col min="1" max="1" width="8.85546875" style="4"/>
    <col min="2" max="2" width="20.28515625" style="4" bestFit="1" customWidth="1"/>
    <col min="3" max="3" width="32.85546875" style="4" bestFit="1" customWidth="1"/>
    <col min="4" max="4" width="10.85546875" style="4" bestFit="1" customWidth="1"/>
    <col min="5" max="5" width="6.28515625" style="4" customWidth="1"/>
    <col min="6" max="6" width="10.85546875" style="4" bestFit="1" customWidth="1"/>
    <col min="7" max="7" width="12.28515625" style="4" bestFit="1" customWidth="1"/>
    <col min="8" max="9" width="8.85546875" style="4"/>
    <col min="10" max="10" width="10.85546875" style="4" bestFit="1" customWidth="1"/>
    <col min="11" max="16384" width="8.85546875" style="4"/>
  </cols>
  <sheetData>
    <row r="1" spans="1:10" ht="18.75">
      <c r="A1" s="302" t="s">
        <v>257</v>
      </c>
      <c r="B1" s="302"/>
      <c r="C1" s="302"/>
      <c r="D1" s="302"/>
      <c r="E1" s="302"/>
      <c r="F1" s="303">
        <f>G7+G23+G43</f>
        <v>4947.2299999999996</v>
      </c>
      <c r="G1" s="304"/>
      <c r="H1" s="303">
        <f>H7+H23+H43</f>
        <v>2400.81</v>
      </c>
      <c r="I1" s="317"/>
      <c r="J1" s="304"/>
    </row>
    <row r="2" spans="1:10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5" spans="1:10" ht="42.75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7" spans="1:10" ht="15.75">
      <c r="A7" s="293" t="s">
        <v>256</v>
      </c>
      <c r="B7" s="294"/>
      <c r="C7" s="294"/>
      <c r="D7" s="294"/>
      <c r="E7" s="294"/>
      <c r="F7" s="295"/>
      <c r="G7" s="9">
        <f>SUM(G8+G20)</f>
        <v>1300.2099999999996</v>
      </c>
      <c r="H7" s="308">
        <f>H8+H20</f>
        <v>158.17000000000002</v>
      </c>
      <c r="I7" s="309"/>
      <c r="J7" s="310"/>
    </row>
    <row r="8" spans="1:10" ht="15.75" customHeight="1">
      <c r="A8" s="296" t="s">
        <v>11</v>
      </c>
      <c r="B8" s="297"/>
      <c r="C8" s="297"/>
      <c r="D8" s="297"/>
      <c r="E8" s="297"/>
      <c r="F8" s="298"/>
      <c r="G8" s="8">
        <f>SUM(G9:G19)</f>
        <v>2050.2099999999996</v>
      </c>
      <c r="H8" s="299">
        <f>SUM(J9:J19)</f>
        <v>158.17000000000002</v>
      </c>
      <c r="I8" s="312"/>
      <c r="J8" s="313"/>
    </row>
    <row r="9" spans="1:10">
      <c r="A9" s="2" t="s">
        <v>255</v>
      </c>
      <c r="B9" s="1" t="s">
        <v>254</v>
      </c>
      <c r="C9" s="1" t="s">
        <v>253</v>
      </c>
      <c r="D9" s="3">
        <v>75</v>
      </c>
      <c r="E9" s="1">
        <v>1</v>
      </c>
      <c r="F9" s="3">
        <f t="shared" ref="F9:F14" si="0">D9*E9</f>
        <v>75</v>
      </c>
      <c r="G9" s="3">
        <f t="shared" ref="G9:G14" si="1">F9*1.13</f>
        <v>84.749999999999986</v>
      </c>
      <c r="H9" s="3"/>
      <c r="I9" s="1"/>
      <c r="J9" s="3">
        <v>63.55</v>
      </c>
    </row>
    <row r="10" spans="1:10">
      <c r="A10" s="2" t="s">
        <v>252</v>
      </c>
      <c r="B10" s="1" t="s">
        <v>251</v>
      </c>
      <c r="C10" s="1" t="s">
        <v>248</v>
      </c>
      <c r="D10" s="3">
        <v>20</v>
      </c>
      <c r="E10" s="1">
        <v>2</v>
      </c>
      <c r="F10" s="3">
        <f t="shared" si="0"/>
        <v>40</v>
      </c>
      <c r="G10" s="3">
        <f t="shared" si="1"/>
        <v>45.199999999999996</v>
      </c>
      <c r="H10" s="3"/>
      <c r="I10" s="1"/>
      <c r="J10" s="3"/>
    </row>
    <row r="11" spans="1:10">
      <c r="A11" s="2" t="s">
        <v>250</v>
      </c>
      <c r="B11" s="1" t="s">
        <v>249</v>
      </c>
      <c r="C11" s="1" t="s">
        <v>248</v>
      </c>
      <c r="D11" s="3">
        <v>12</v>
      </c>
      <c r="E11" s="1">
        <v>4</v>
      </c>
      <c r="F11" s="3">
        <f t="shared" si="0"/>
        <v>48</v>
      </c>
      <c r="G11" s="3">
        <f t="shared" si="1"/>
        <v>54.239999999999995</v>
      </c>
      <c r="H11" s="3"/>
      <c r="I11" s="1"/>
      <c r="J11" s="3">
        <v>39.15</v>
      </c>
    </row>
    <row r="12" spans="1:10">
      <c r="A12" s="2" t="s">
        <v>247</v>
      </c>
      <c r="B12" s="1" t="s">
        <v>246</v>
      </c>
      <c r="C12" s="1" t="s">
        <v>245</v>
      </c>
      <c r="D12" s="3">
        <v>30</v>
      </c>
      <c r="E12" s="1">
        <v>1</v>
      </c>
      <c r="F12" s="3">
        <f t="shared" si="0"/>
        <v>30</v>
      </c>
      <c r="G12" s="3">
        <f t="shared" si="1"/>
        <v>33.9</v>
      </c>
      <c r="H12" s="3"/>
      <c r="I12" s="1"/>
      <c r="J12" s="3">
        <v>37.86</v>
      </c>
    </row>
    <row r="13" spans="1:10">
      <c r="A13" s="2" t="s">
        <v>244</v>
      </c>
      <c r="B13" s="1" t="s">
        <v>243</v>
      </c>
      <c r="C13" s="1" t="s">
        <v>242</v>
      </c>
      <c r="D13" s="3">
        <v>40</v>
      </c>
      <c r="E13" s="1">
        <v>4</v>
      </c>
      <c r="F13" s="3">
        <f t="shared" si="0"/>
        <v>160</v>
      </c>
      <c r="G13" s="3">
        <f t="shared" si="1"/>
        <v>180.79999999999998</v>
      </c>
      <c r="H13" s="3"/>
      <c r="I13" s="1"/>
      <c r="J13" s="3"/>
    </row>
    <row r="14" spans="1:10">
      <c r="A14" s="2" t="s">
        <v>241</v>
      </c>
      <c r="B14" s="1" t="s">
        <v>237</v>
      </c>
      <c r="C14" s="1" t="s">
        <v>240</v>
      </c>
      <c r="D14" s="3">
        <v>500</v>
      </c>
      <c r="E14" s="1">
        <v>2</v>
      </c>
      <c r="F14" s="3">
        <f t="shared" si="0"/>
        <v>1000</v>
      </c>
      <c r="G14" s="3">
        <f t="shared" si="1"/>
        <v>1130</v>
      </c>
      <c r="H14" s="3"/>
      <c r="I14" s="1"/>
      <c r="J14" s="3"/>
    </row>
    <row r="15" spans="1:10">
      <c r="A15" s="314" t="s">
        <v>239</v>
      </c>
      <c r="B15" s="315"/>
      <c r="C15" s="315"/>
      <c r="D15" s="315"/>
      <c r="E15" s="315"/>
      <c r="F15" s="315"/>
      <c r="G15" s="315"/>
      <c r="H15" s="315"/>
      <c r="I15" s="315"/>
      <c r="J15" s="316"/>
    </row>
    <row r="16" spans="1:10">
      <c r="A16" s="2" t="s">
        <v>238</v>
      </c>
      <c r="B16" s="1" t="s">
        <v>237</v>
      </c>
      <c r="C16" s="1" t="s">
        <v>236</v>
      </c>
      <c r="D16" s="3">
        <v>349</v>
      </c>
      <c r="E16" s="1">
        <v>1</v>
      </c>
      <c r="F16" s="3">
        <f>D16*E16</f>
        <v>349</v>
      </c>
      <c r="G16" s="3">
        <f>F16*1.13</f>
        <v>394.36999999999995</v>
      </c>
      <c r="H16" s="3"/>
      <c r="I16" s="1"/>
      <c r="J16" s="3"/>
    </row>
    <row r="17" spans="1:10">
      <c r="A17" s="2" t="s">
        <v>235</v>
      </c>
      <c r="B17" s="1" t="s">
        <v>234</v>
      </c>
      <c r="C17" s="1" t="s">
        <v>233</v>
      </c>
      <c r="D17" s="3">
        <v>110</v>
      </c>
      <c r="E17" s="1">
        <v>1</v>
      </c>
      <c r="F17" s="3">
        <f>D17*E17</f>
        <v>110</v>
      </c>
      <c r="G17" s="3">
        <f>F17*1.13</f>
        <v>124.29999999999998</v>
      </c>
      <c r="H17" s="3"/>
      <c r="I17" s="1"/>
      <c r="J17" s="3"/>
    </row>
    <row r="18" spans="1:10">
      <c r="A18" s="2"/>
      <c r="B18" s="1"/>
      <c r="C18" s="1" t="s">
        <v>194</v>
      </c>
      <c r="D18" s="3"/>
      <c r="E18" s="1"/>
      <c r="F18" s="3"/>
      <c r="G18" s="3">
        <f>-(G17-F17)</f>
        <v>-14.299999999999983</v>
      </c>
      <c r="H18" s="3"/>
      <c r="I18" s="1"/>
      <c r="J18" s="3"/>
    </row>
    <row r="19" spans="1:10">
      <c r="A19" s="2" t="s">
        <v>232</v>
      </c>
      <c r="B19" s="1" t="s">
        <v>231</v>
      </c>
      <c r="C19" s="1" t="s">
        <v>230</v>
      </c>
      <c r="D19" s="3">
        <v>15</v>
      </c>
      <c r="E19" s="1">
        <v>1</v>
      </c>
      <c r="F19" s="3">
        <f>D19*E19</f>
        <v>15</v>
      </c>
      <c r="G19" s="3">
        <f>F19*1.13</f>
        <v>16.95</v>
      </c>
      <c r="H19" s="3"/>
      <c r="I19" s="1"/>
      <c r="J19" s="3">
        <v>17.61</v>
      </c>
    </row>
    <row r="20" spans="1:10">
      <c r="A20" s="296" t="s">
        <v>12</v>
      </c>
      <c r="B20" s="297"/>
      <c r="C20" s="297"/>
      <c r="D20" s="297"/>
      <c r="E20" s="297"/>
      <c r="F20" s="298"/>
      <c r="G20" s="8">
        <f>-SUM(G21:G21)</f>
        <v>-750</v>
      </c>
      <c r="H20" s="299">
        <f>-SUM(J21:J21)</f>
        <v>0</v>
      </c>
      <c r="I20" s="300"/>
      <c r="J20" s="301"/>
    </row>
    <row r="21" spans="1:10">
      <c r="A21" s="2" t="s">
        <v>229</v>
      </c>
      <c r="B21" s="1" t="s">
        <v>228</v>
      </c>
      <c r="C21" s="1" t="s">
        <v>227</v>
      </c>
      <c r="D21" s="3">
        <v>750</v>
      </c>
      <c r="E21" s="1">
        <v>1</v>
      </c>
      <c r="F21" s="3">
        <f>E21*D21</f>
        <v>750</v>
      </c>
      <c r="G21" s="3">
        <f>F21</f>
        <v>750</v>
      </c>
      <c r="H21" s="3"/>
      <c r="I21" s="1"/>
      <c r="J21" s="3"/>
    </row>
    <row r="22" spans="1:10">
      <c r="A22" s="26"/>
      <c r="B22" s="25"/>
      <c r="C22" s="25"/>
      <c r="D22" s="24"/>
      <c r="E22" s="25"/>
      <c r="F22" s="24"/>
      <c r="G22" s="24"/>
      <c r="H22" s="24"/>
      <c r="I22" s="25"/>
      <c r="J22" s="24"/>
    </row>
    <row r="23" spans="1:10" ht="15.75">
      <c r="A23" s="293" t="s">
        <v>226</v>
      </c>
      <c r="B23" s="294"/>
      <c r="C23" s="294"/>
      <c r="D23" s="294"/>
      <c r="E23" s="294"/>
      <c r="F23" s="295"/>
      <c r="G23" s="9">
        <f>SUM(G24+G40)</f>
        <v>3392.77</v>
      </c>
      <c r="H23" s="308">
        <f>H24+H40</f>
        <v>2242.64</v>
      </c>
      <c r="I23" s="309"/>
      <c r="J23" s="310"/>
    </row>
    <row r="24" spans="1:10">
      <c r="A24" s="296" t="s">
        <v>11</v>
      </c>
      <c r="B24" s="297"/>
      <c r="C24" s="297"/>
      <c r="D24" s="297"/>
      <c r="E24" s="297"/>
      <c r="F24" s="298"/>
      <c r="G24" s="8">
        <f>SUM(G26:G39)</f>
        <v>3675.27</v>
      </c>
      <c r="H24" s="299">
        <f>SUM(J26:J39)</f>
        <v>2267.5499999999997</v>
      </c>
      <c r="I24" s="312"/>
      <c r="J24" s="313"/>
    </row>
    <row r="25" spans="1:10">
      <c r="A25" s="314" t="s">
        <v>225</v>
      </c>
      <c r="B25" s="315"/>
      <c r="C25" s="315"/>
      <c r="D25" s="315"/>
      <c r="E25" s="315"/>
      <c r="F25" s="315"/>
      <c r="G25" s="315"/>
      <c r="H25" s="315"/>
      <c r="I25" s="315"/>
      <c r="J25" s="316"/>
    </row>
    <row r="26" spans="1:10">
      <c r="A26" s="2" t="s">
        <v>224</v>
      </c>
      <c r="B26" s="1" t="s">
        <v>223</v>
      </c>
      <c r="C26" s="1" t="s">
        <v>222</v>
      </c>
      <c r="D26" s="3">
        <v>1503.88</v>
      </c>
      <c r="E26" s="1">
        <v>1</v>
      </c>
      <c r="F26" s="3">
        <f>D26*E26</f>
        <v>1503.88</v>
      </c>
      <c r="G26" s="3">
        <f>F26*1.13</f>
        <v>1699.3843999999999</v>
      </c>
      <c r="H26" s="3"/>
      <c r="I26" s="1"/>
      <c r="J26" s="3">
        <f>567+785.16</f>
        <v>1352.1599999999999</v>
      </c>
    </row>
    <row r="27" spans="1:10">
      <c r="A27" s="2"/>
      <c r="B27" s="1"/>
      <c r="C27" s="1" t="s">
        <v>194</v>
      </c>
      <c r="D27" s="3"/>
      <c r="E27" s="1"/>
      <c r="F27" s="3"/>
      <c r="G27" s="3">
        <f>-(G26-F26)</f>
        <v>-195.50439999999981</v>
      </c>
      <c r="H27" s="3"/>
      <c r="I27" s="1"/>
      <c r="J27" s="3"/>
    </row>
    <row r="28" spans="1:10">
      <c r="A28" s="2" t="s">
        <v>221</v>
      </c>
      <c r="B28" s="1" t="s">
        <v>220</v>
      </c>
      <c r="C28" s="1" t="s">
        <v>219</v>
      </c>
      <c r="D28" s="3">
        <v>250</v>
      </c>
      <c r="E28" s="1">
        <v>2</v>
      </c>
      <c r="F28" s="3">
        <f>D28*E28</f>
        <v>500</v>
      </c>
      <c r="G28" s="3">
        <f>F28*1.13</f>
        <v>565</v>
      </c>
      <c r="H28" s="3"/>
      <c r="I28" s="1"/>
      <c r="J28" s="3"/>
    </row>
    <row r="29" spans="1:10">
      <c r="A29" s="2"/>
      <c r="B29" s="1"/>
      <c r="C29" s="1" t="s">
        <v>194</v>
      </c>
      <c r="D29" s="3"/>
      <c r="E29" s="1"/>
      <c r="F29" s="3"/>
      <c r="G29" s="3">
        <f>-(G28-F28)</f>
        <v>-65</v>
      </c>
      <c r="H29" s="3"/>
      <c r="I29" s="1"/>
      <c r="J29" s="3"/>
    </row>
    <row r="30" spans="1:10">
      <c r="A30" s="2" t="s">
        <v>218</v>
      </c>
      <c r="B30" s="1" t="s">
        <v>217</v>
      </c>
      <c r="C30" s="1" t="s">
        <v>216</v>
      </c>
      <c r="D30" s="3">
        <v>140</v>
      </c>
      <c r="E30" s="1">
        <v>1</v>
      </c>
      <c r="F30" s="3">
        <f>D30*E30</f>
        <v>140</v>
      </c>
      <c r="G30" s="3">
        <f>F30*1.13</f>
        <v>158.19999999999999</v>
      </c>
      <c r="H30" s="3"/>
      <c r="I30" s="1"/>
      <c r="J30" s="3">
        <v>193.32</v>
      </c>
    </row>
    <row r="31" spans="1:10">
      <c r="A31" s="2"/>
      <c r="B31" s="1"/>
      <c r="C31" s="1" t="s">
        <v>194</v>
      </c>
      <c r="D31" s="3"/>
      <c r="E31" s="1"/>
      <c r="F31" s="3"/>
      <c r="G31" s="3">
        <f>-(G30-F30)</f>
        <v>-18.199999999999989</v>
      </c>
      <c r="H31" s="3"/>
      <c r="I31" s="1"/>
      <c r="J31" s="3"/>
    </row>
    <row r="32" spans="1:10">
      <c r="A32" s="2" t="s">
        <v>215</v>
      </c>
      <c r="B32" s="1" t="s">
        <v>214</v>
      </c>
      <c r="C32" s="1"/>
      <c r="D32" s="3">
        <v>68.040000000000006</v>
      </c>
      <c r="E32" s="1">
        <v>1</v>
      </c>
      <c r="F32" s="3">
        <f>D32*E32</f>
        <v>68.040000000000006</v>
      </c>
      <c r="G32" s="3">
        <f>F32*1.13</f>
        <v>76.885199999999998</v>
      </c>
      <c r="H32" s="3"/>
      <c r="I32" s="1"/>
      <c r="J32" s="3">
        <f>30+23.98</f>
        <v>53.980000000000004</v>
      </c>
    </row>
    <row r="33" spans="1:10">
      <c r="A33" s="2"/>
      <c r="B33" s="1"/>
      <c r="C33" s="1" t="s">
        <v>194</v>
      </c>
      <c r="D33" s="3"/>
      <c r="E33" s="1"/>
      <c r="F33" s="3"/>
      <c r="G33" s="3">
        <f>-(G32-F32)</f>
        <v>-8.8451999999999913</v>
      </c>
      <c r="H33" s="3"/>
      <c r="I33" s="1"/>
      <c r="J33" s="3"/>
    </row>
    <row r="34" spans="1:10">
      <c r="A34" s="314" t="s">
        <v>213</v>
      </c>
      <c r="B34" s="315"/>
      <c r="C34" s="315"/>
      <c r="D34" s="315"/>
      <c r="E34" s="315"/>
      <c r="F34" s="315"/>
      <c r="G34" s="315"/>
      <c r="H34" s="315"/>
      <c r="I34" s="315"/>
      <c r="J34" s="316"/>
    </row>
    <row r="35" spans="1:10">
      <c r="A35" s="2" t="s">
        <v>212</v>
      </c>
      <c r="B35" s="1" t="s">
        <v>211</v>
      </c>
      <c r="C35" s="1" t="s">
        <v>210</v>
      </c>
      <c r="D35" s="3">
        <v>50</v>
      </c>
      <c r="E35" s="1">
        <v>12</v>
      </c>
      <c r="F35" s="3">
        <f>D35*E35</f>
        <v>600</v>
      </c>
      <c r="G35" s="3">
        <f>F35*1.13</f>
        <v>677.99999999999989</v>
      </c>
      <c r="H35" s="3"/>
      <c r="I35" s="1"/>
      <c r="J35" s="3">
        <v>668.09</v>
      </c>
    </row>
    <row r="36" spans="1:10">
      <c r="A36" s="2" t="s">
        <v>209</v>
      </c>
      <c r="B36" s="1" t="s">
        <v>208</v>
      </c>
      <c r="C36" s="1" t="s">
        <v>207</v>
      </c>
      <c r="D36" s="3">
        <v>35</v>
      </c>
      <c r="E36" s="1">
        <v>12</v>
      </c>
      <c r="F36" s="3">
        <f>D36*E36</f>
        <v>420</v>
      </c>
      <c r="G36" s="3">
        <f>F36*1.13</f>
        <v>474.59999999999997</v>
      </c>
      <c r="H36" s="3"/>
      <c r="I36" s="1"/>
      <c r="J36" s="3"/>
    </row>
    <row r="37" spans="1:10">
      <c r="A37" s="314" t="s">
        <v>200</v>
      </c>
      <c r="B37" s="315"/>
      <c r="C37" s="315"/>
      <c r="D37" s="315"/>
      <c r="E37" s="315"/>
      <c r="F37" s="315"/>
      <c r="G37" s="315"/>
      <c r="H37" s="315"/>
      <c r="I37" s="315"/>
      <c r="J37" s="316"/>
    </row>
    <row r="38" spans="1:10">
      <c r="A38" s="2" t="s">
        <v>206</v>
      </c>
      <c r="B38" s="1" t="s">
        <v>205</v>
      </c>
      <c r="C38" s="1" t="s">
        <v>204</v>
      </c>
      <c r="D38" s="3">
        <v>25</v>
      </c>
      <c r="E38" s="1">
        <v>1</v>
      </c>
      <c r="F38" s="3">
        <f>D38*E38</f>
        <v>25</v>
      </c>
      <c r="G38" s="3">
        <f>F38*1.13</f>
        <v>28.249999999999996</v>
      </c>
      <c r="H38" s="3"/>
      <c r="I38" s="1"/>
      <c r="J38" s="3"/>
    </row>
    <row r="39" spans="1:10">
      <c r="A39" s="2" t="s">
        <v>203</v>
      </c>
      <c r="B39" s="1" t="s">
        <v>202</v>
      </c>
      <c r="C39" s="1" t="s">
        <v>199</v>
      </c>
      <c r="D39" s="3">
        <v>25</v>
      </c>
      <c r="E39" s="1">
        <v>10</v>
      </c>
      <c r="F39" s="3">
        <f>D39*E39</f>
        <v>250</v>
      </c>
      <c r="G39" s="3">
        <f>F39*1.13</f>
        <v>282.5</v>
      </c>
      <c r="H39" s="3"/>
      <c r="I39" s="1"/>
      <c r="J39" s="3"/>
    </row>
    <row r="40" spans="1:10">
      <c r="A40" s="296" t="s">
        <v>12</v>
      </c>
      <c r="B40" s="297"/>
      <c r="C40" s="297"/>
      <c r="D40" s="297"/>
      <c r="E40" s="297"/>
      <c r="F40" s="298"/>
      <c r="G40" s="8">
        <f>-SUM(G41:G41)</f>
        <v>-282.5</v>
      </c>
      <c r="H40" s="299">
        <f>-SUM(J41:J41)</f>
        <v>-24.91</v>
      </c>
      <c r="I40" s="300"/>
      <c r="J40" s="301"/>
    </row>
    <row r="41" spans="1:10">
      <c r="A41" s="2" t="s">
        <v>201</v>
      </c>
      <c r="B41" s="1" t="s">
        <v>200</v>
      </c>
      <c r="C41" s="1" t="s">
        <v>199</v>
      </c>
      <c r="D41" s="3">
        <v>25</v>
      </c>
      <c r="E41" s="1">
        <v>10</v>
      </c>
      <c r="F41" s="3">
        <f>E41*D41</f>
        <v>250</v>
      </c>
      <c r="G41" s="3">
        <f>F41*1.13</f>
        <v>282.5</v>
      </c>
      <c r="H41" s="3"/>
      <c r="I41" s="1"/>
      <c r="J41" s="3">
        <v>24.91</v>
      </c>
    </row>
    <row r="43" spans="1:10" ht="15.75">
      <c r="A43" s="293" t="s">
        <v>198</v>
      </c>
      <c r="B43" s="294"/>
      <c r="C43" s="294"/>
      <c r="D43" s="294"/>
      <c r="E43" s="294"/>
      <c r="F43" s="295"/>
      <c r="G43" s="9">
        <f>SUM(G44)</f>
        <v>254.24999999999997</v>
      </c>
      <c r="H43" s="321">
        <f>H44</f>
        <v>0</v>
      </c>
      <c r="I43" s="309"/>
      <c r="J43" s="310"/>
    </row>
    <row r="44" spans="1:10">
      <c r="A44" s="296" t="s">
        <v>11</v>
      </c>
      <c r="B44" s="297"/>
      <c r="C44" s="297"/>
      <c r="D44" s="297"/>
      <c r="E44" s="297"/>
      <c r="F44" s="298"/>
      <c r="G44" s="8">
        <f>SUM(G46:G48)</f>
        <v>254.24999999999997</v>
      </c>
      <c r="H44" s="311">
        <f>SUM(J46:J47)</f>
        <v>0</v>
      </c>
      <c r="I44" s="312"/>
      <c r="J44" s="313"/>
    </row>
    <row r="45" spans="1:10">
      <c r="A45" s="314" t="s">
        <v>15</v>
      </c>
      <c r="B45" s="315"/>
      <c r="C45" s="315"/>
      <c r="D45" s="315"/>
      <c r="E45" s="315"/>
      <c r="F45" s="315"/>
      <c r="G45" s="315"/>
      <c r="H45" s="315"/>
      <c r="I45" s="315"/>
      <c r="J45" s="316"/>
    </row>
    <row r="46" spans="1:10">
      <c r="A46" s="2" t="s">
        <v>197</v>
      </c>
      <c r="B46" s="1" t="s">
        <v>196</v>
      </c>
      <c r="C46" s="1" t="s">
        <v>195</v>
      </c>
      <c r="D46" s="3">
        <v>7</v>
      </c>
      <c r="E46" s="1">
        <v>25</v>
      </c>
      <c r="F46" s="3">
        <f>D46*E46</f>
        <v>175</v>
      </c>
      <c r="G46" s="3">
        <f>F46*1.13</f>
        <v>197.74999999999997</v>
      </c>
      <c r="H46" s="3"/>
      <c r="I46" s="1"/>
      <c r="J46" s="3"/>
    </row>
    <row r="47" spans="1:10">
      <c r="A47" s="314" t="s">
        <v>51</v>
      </c>
      <c r="B47" s="315"/>
      <c r="C47" s="315"/>
      <c r="D47" s="315"/>
      <c r="E47" s="315"/>
      <c r="F47" s="315"/>
      <c r="G47" s="315"/>
      <c r="H47" s="315"/>
      <c r="I47" s="315"/>
      <c r="J47" s="316"/>
    </row>
    <row r="48" spans="1:10">
      <c r="A48" s="141" t="s">
        <v>193</v>
      </c>
      <c r="B48" s="19" t="s">
        <v>167</v>
      </c>
      <c r="C48" s="19" t="s">
        <v>1028</v>
      </c>
      <c r="D48" s="20">
        <v>2</v>
      </c>
      <c r="E48" s="19">
        <v>25</v>
      </c>
      <c r="F48" s="20">
        <f>D48*E48</f>
        <v>50</v>
      </c>
      <c r="G48" s="20">
        <f>F48*1.13</f>
        <v>56.499999999999993</v>
      </c>
      <c r="H48" s="20"/>
      <c r="I48" s="19"/>
      <c r="J48" s="20"/>
    </row>
  </sheetData>
  <mergeCells count="27">
    <mergeCell ref="A44:F44"/>
    <mergeCell ref="H44:J44"/>
    <mergeCell ref="A45:J45"/>
    <mergeCell ref="A47:J47"/>
    <mergeCell ref="A24:F24"/>
    <mergeCell ref="H24:J24"/>
    <mergeCell ref="A25:J25"/>
    <mergeCell ref="A34:J34"/>
    <mergeCell ref="A40:F40"/>
    <mergeCell ref="H40:J40"/>
    <mergeCell ref="A8:F8"/>
    <mergeCell ref="H8:J8"/>
    <mergeCell ref="A43:F43"/>
    <mergeCell ref="H43:J43"/>
    <mergeCell ref="A20:F20"/>
    <mergeCell ref="H20:J20"/>
    <mergeCell ref="A23:F23"/>
    <mergeCell ref="H23:J23"/>
    <mergeCell ref="A15:J15"/>
    <mergeCell ref="A37:J37"/>
    <mergeCell ref="A7:F7"/>
    <mergeCell ref="H7:J7"/>
    <mergeCell ref="A1:E2"/>
    <mergeCell ref="F1:G1"/>
    <mergeCell ref="H1:J1"/>
    <mergeCell ref="F2:G2"/>
    <mergeCell ref="H2:J2"/>
  </mergeCells>
  <hyperlinks>
    <hyperlink ref="A1:E2" location="Summary!A1" display="20 - Information Technology - Mark Godin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zoomScale="130" zoomScaleNormal="130" zoomScalePageLayoutView="150" workbookViewId="0">
      <selection activeCell="H9" sqref="H9:J9"/>
    </sheetView>
  </sheetViews>
  <sheetFormatPr defaultColWidth="8.85546875" defaultRowHeight="15"/>
  <cols>
    <col min="1" max="1" width="8.85546875" style="4"/>
    <col min="2" max="2" width="18" style="4" bestFit="1" customWidth="1"/>
    <col min="3" max="3" width="20.42578125" style="4" customWidth="1"/>
    <col min="4" max="4" width="11.140625" style="4" bestFit="1" customWidth="1"/>
    <col min="5" max="5" width="6.28515625" style="4" customWidth="1"/>
    <col min="6" max="6" width="10.85546875" style="4" bestFit="1" customWidth="1"/>
    <col min="7" max="7" width="13.28515625" style="4" bestFit="1" customWidth="1"/>
    <col min="8" max="9" width="8.85546875" style="4"/>
    <col min="10" max="10" width="11.140625" style="4" bestFit="1" customWidth="1"/>
    <col min="11" max="16384" width="8.85546875" style="4"/>
  </cols>
  <sheetData>
    <row r="1" spans="1:10" ht="18.75">
      <c r="A1" s="302" t="s">
        <v>360</v>
      </c>
      <c r="B1" s="302"/>
      <c r="C1" s="302"/>
      <c r="D1" s="302"/>
      <c r="E1" s="302"/>
      <c r="F1" s="303">
        <f>G8+G23+G48+G59+G64</f>
        <v>14116.344999999998</v>
      </c>
      <c r="G1" s="304"/>
      <c r="H1" s="303">
        <f>H8+H23+H48</f>
        <v>11340.25</v>
      </c>
      <c r="I1" s="317"/>
      <c r="J1" s="304"/>
    </row>
    <row r="2" spans="1:10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5" spans="1:10" ht="42.75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7" spans="1:10">
      <c r="A7" s="35"/>
      <c r="B7" s="35"/>
      <c r="C7" s="35"/>
      <c r="D7" s="35"/>
      <c r="E7" s="35"/>
      <c r="F7" s="35"/>
      <c r="G7" s="35"/>
      <c r="H7" s="35"/>
      <c r="I7" s="35"/>
      <c r="J7" s="35"/>
    </row>
    <row r="8" spans="1:10" ht="15.75" customHeight="1">
      <c r="A8" s="293" t="s">
        <v>359</v>
      </c>
      <c r="B8" s="294"/>
      <c r="C8" s="294"/>
      <c r="D8" s="294"/>
      <c r="E8" s="294"/>
      <c r="F8" s="295"/>
      <c r="G8" s="9">
        <f>SUM(G9)</f>
        <v>10856.474999999997</v>
      </c>
      <c r="H8" s="308">
        <f>H9</f>
        <v>8629.94</v>
      </c>
      <c r="I8" s="309"/>
      <c r="J8" s="310"/>
    </row>
    <row r="9" spans="1:10">
      <c r="A9" s="296" t="s">
        <v>11</v>
      </c>
      <c r="B9" s="297"/>
      <c r="C9" s="297"/>
      <c r="D9" s="297"/>
      <c r="E9" s="297"/>
      <c r="F9" s="298"/>
      <c r="G9" s="8">
        <f>SUM(G10:G21)</f>
        <v>10856.474999999997</v>
      </c>
      <c r="H9" s="311">
        <f>SUM(J11:J21)</f>
        <v>8629.94</v>
      </c>
      <c r="I9" s="312"/>
      <c r="J9" s="313"/>
    </row>
    <row r="10" spans="1:10">
      <c r="A10" s="2" t="s">
        <v>358</v>
      </c>
      <c r="B10" s="1" t="s">
        <v>357</v>
      </c>
      <c r="C10" s="1"/>
      <c r="D10" s="3">
        <v>500</v>
      </c>
      <c r="E10" s="1">
        <v>1</v>
      </c>
      <c r="F10" s="3">
        <f t="shared" ref="F10:F21" si="0">D10*E10</f>
        <v>500</v>
      </c>
      <c r="G10" s="3">
        <f t="shared" ref="G10:G21" si="1">F10*1.13</f>
        <v>565</v>
      </c>
      <c r="H10" s="3"/>
      <c r="I10" s="1"/>
    </row>
    <row r="11" spans="1:10">
      <c r="A11" s="2" t="s">
        <v>356</v>
      </c>
      <c r="B11" s="1" t="s">
        <v>355</v>
      </c>
      <c r="C11" s="1"/>
      <c r="D11" s="3">
        <v>5500</v>
      </c>
      <c r="E11" s="1">
        <v>1</v>
      </c>
      <c r="F11" s="3">
        <f t="shared" si="0"/>
        <v>5500</v>
      </c>
      <c r="G11" s="3">
        <f t="shared" si="1"/>
        <v>6214.9999999999991</v>
      </c>
      <c r="H11" s="3"/>
      <c r="I11" s="1"/>
      <c r="J11" s="3">
        <v>6384</v>
      </c>
    </row>
    <row r="12" spans="1:10">
      <c r="A12" s="2" t="s">
        <v>354</v>
      </c>
      <c r="B12" s="1" t="s">
        <v>353</v>
      </c>
      <c r="C12" s="1"/>
      <c r="D12" s="3">
        <v>1000</v>
      </c>
      <c r="E12" s="1">
        <v>1</v>
      </c>
      <c r="F12" s="3">
        <f t="shared" si="0"/>
        <v>1000</v>
      </c>
      <c r="G12" s="3">
        <f t="shared" si="1"/>
        <v>1130</v>
      </c>
      <c r="H12" s="3"/>
      <c r="I12" s="1"/>
      <c r="J12" s="3">
        <v>1536</v>
      </c>
    </row>
    <row r="13" spans="1:10">
      <c r="A13" s="2" t="s">
        <v>352</v>
      </c>
      <c r="B13" s="1" t="s">
        <v>351</v>
      </c>
      <c r="C13" s="1"/>
      <c r="D13" s="3">
        <v>1000</v>
      </c>
      <c r="E13" s="1">
        <v>1</v>
      </c>
      <c r="F13" s="3">
        <f t="shared" si="0"/>
        <v>1000</v>
      </c>
      <c r="G13" s="3">
        <f t="shared" si="1"/>
        <v>1130</v>
      </c>
      <c r="H13" s="3"/>
      <c r="I13" s="1"/>
      <c r="J13" s="3"/>
    </row>
    <row r="14" spans="1:10">
      <c r="A14" s="2" t="s">
        <v>350</v>
      </c>
      <c r="B14" s="1" t="s">
        <v>349</v>
      </c>
      <c r="C14" s="1" t="s">
        <v>347</v>
      </c>
      <c r="D14" s="3">
        <v>35</v>
      </c>
      <c r="E14" s="1">
        <v>1</v>
      </c>
      <c r="F14" s="3">
        <f t="shared" si="0"/>
        <v>35</v>
      </c>
      <c r="G14" s="3">
        <f t="shared" si="1"/>
        <v>39.549999999999997</v>
      </c>
      <c r="H14" s="3"/>
      <c r="I14" s="1"/>
      <c r="J14" s="3"/>
    </row>
    <row r="15" spans="1:10">
      <c r="A15" s="2" t="s">
        <v>348</v>
      </c>
      <c r="B15" s="1" t="s">
        <v>1416</v>
      </c>
      <c r="C15" s="1" t="s">
        <v>347</v>
      </c>
      <c r="D15" s="3">
        <v>300</v>
      </c>
      <c r="E15" s="1">
        <v>1</v>
      </c>
      <c r="F15" s="3">
        <f t="shared" si="0"/>
        <v>300</v>
      </c>
      <c r="G15" s="3">
        <f t="shared" si="1"/>
        <v>338.99999999999994</v>
      </c>
      <c r="H15" s="3"/>
      <c r="I15" s="1"/>
      <c r="J15" s="3">
        <f>316.62+74.58</f>
        <v>391.2</v>
      </c>
    </row>
    <row r="16" spans="1:10">
      <c r="A16" s="2" t="s">
        <v>346</v>
      </c>
      <c r="B16" s="1" t="s">
        <v>345</v>
      </c>
      <c r="C16" s="1" t="s">
        <v>344</v>
      </c>
      <c r="D16" s="20">
        <v>20</v>
      </c>
      <c r="E16" s="1">
        <v>50</v>
      </c>
      <c r="F16" s="3">
        <f t="shared" si="0"/>
        <v>1000</v>
      </c>
      <c r="G16" s="3">
        <f t="shared" si="1"/>
        <v>1130</v>
      </c>
      <c r="H16" s="3"/>
      <c r="I16" s="1"/>
      <c r="J16" s="3"/>
    </row>
    <row r="17" spans="1:10">
      <c r="A17" s="2" t="s">
        <v>343</v>
      </c>
      <c r="B17" s="1" t="s">
        <v>27</v>
      </c>
      <c r="C17" s="1" t="s">
        <v>342</v>
      </c>
      <c r="D17" s="3">
        <v>30</v>
      </c>
      <c r="E17" s="1">
        <v>1</v>
      </c>
      <c r="F17" s="3">
        <f t="shared" si="0"/>
        <v>30</v>
      </c>
      <c r="G17" s="3">
        <f t="shared" si="1"/>
        <v>33.9</v>
      </c>
      <c r="H17" s="3"/>
      <c r="I17" s="1"/>
      <c r="J17" s="3">
        <v>60.34</v>
      </c>
    </row>
    <row r="18" spans="1:10">
      <c r="A18" s="2" t="s">
        <v>341</v>
      </c>
      <c r="B18" s="1" t="s">
        <v>340</v>
      </c>
      <c r="C18" s="1" t="s">
        <v>339</v>
      </c>
      <c r="D18" s="3">
        <v>30</v>
      </c>
      <c r="E18" s="1">
        <v>2</v>
      </c>
      <c r="F18" s="3">
        <f t="shared" si="0"/>
        <v>60</v>
      </c>
      <c r="G18" s="3">
        <f t="shared" si="1"/>
        <v>67.8</v>
      </c>
      <c r="H18" s="3"/>
      <c r="I18" s="1"/>
      <c r="J18" s="3"/>
    </row>
    <row r="19" spans="1:10">
      <c r="A19" s="2" t="s">
        <v>338</v>
      </c>
      <c r="B19" s="1" t="s">
        <v>167</v>
      </c>
      <c r="C19" s="1" t="s">
        <v>337</v>
      </c>
      <c r="D19" s="3">
        <v>2</v>
      </c>
      <c r="E19" s="1">
        <v>13</v>
      </c>
      <c r="F19" s="3">
        <f t="shared" si="0"/>
        <v>26</v>
      </c>
      <c r="G19" s="3">
        <f t="shared" si="1"/>
        <v>29.379999999999995</v>
      </c>
      <c r="H19" s="3"/>
      <c r="I19" s="1"/>
      <c r="J19" s="3">
        <v>20.9</v>
      </c>
    </row>
    <row r="20" spans="1:10">
      <c r="A20" s="2" t="s">
        <v>336</v>
      </c>
      <c r="B20" s="1" t="s">
        <v>300</v>
      </c>
      <c r="C20" s="1" t="s">
        <v>335</v>
      </c>
      <c r="D20" s="3">
        <v>0.5</v>
      </c>
      <c r="E20" s="1">
        <v>13</v>
      </c>
      <c r="F20" s="3">
        <f t="shared" si="0"/>
        <v>6.5</v>
      </c>
      <c r="G20" s="3">
        <f t="shared" si="1"/>
        <v>7.3449999999999989</v>
      </c>
      <c r="H20" s="3"/>
      <c r="I20" s="1"/>
      <c r="J20" s="3"/>
    </row>
    <row r="21" spans="1:10">
      <c r="A21" s="2" t="s">
        <v>334</v>
      </c>
      <c r="B21" s="1" t="s">
        <v>333</v>
      </c>
      <c r="C21" s="1" t="s">
        <v>332</v>
      </c>
      <c r="D21" s="3">
        <v>150</v>
      </c>
      <c r="E21" s="1">
        <v>1</v>
      </c>
      <c r="F21" s="3">
        <f t="shared" si="0"/>
        <v>150</v>
      </c>
      <c r="G21" s="3">
        <f t="shared" si="1"/>
        <v>169.49999999999997</v>
      </c>
      <c r="H21" s="3"/>
      <c r="I21" s="1"/>
      <c r="J21" s="3">
        <v>237.5</v>
      </c>
    </row>
    <row r="23" spans="1:10" ht="15.75">
      <c r="A23" s="293" t="s">
        <v>331</v>
      </c>
      <c r="B23" s="294"/>
      <c r="C23" s="294"/>
      <c r="D23" s="294"/>
      <c r="E23" s="294"/>
      <c r="F23" s="295"/>
      <c r="G23" s="9">
        <f>SUM(G24)</f>
        <v>1696.1000000000001</v>
      </c>
      <c r="H23" s="308">
        <f>H24</f>
        <v>1849.9700000000003</v>
      </c>
      <c r="I23" s="309"/>
      <c r="J23" s="310"/>
    </row>
    <row r="24" spans="1:10">
      <c r="A24" s="296" t="s">
        <v>11</v>
      </c>
      <c r="B24" s="297"/>
      <c r="C24" s="297"/>
      <c r="D24" s="297"/>
      <c r="E24" s="297"/>
      <c r="F24" s="298"/>
      <c r="G24" s="8">
        <f>SUM(G26:G46)</f>
        <v>1696.1000000000001</v>
      </c>
      <c r="H24" s="311">
        <f>SUM(J26:J31)</f>
        <v>1849.9700000000003</v>
      </c>
      <c r="I24" s="312"/>
      <c r="J24" s="313"/>
    </row>
    <row r="25" spans="1:10">
      <c r="A25" s="339" t="s">
        <v>330</v>
      </c>
      <c r="B25" s="340"/>
      <c r="C25" s="340"/>
      <c r="D25" s="340"/>
      <c r="E25" s="340"/>
      <c r="F25" s="340"/>
      <c r="G25" s="340"/>
      <c r="H25" s="340"/>
      <c r="I25" s="340"/>
      <c r="J25" s="341"/>
    </row>
    <row r="26" spans="1:10">
      <c r="A26" s="2" t="s">
        <v>329</v>
      </c>
      <c r="B26" s="1" t="s">
        <v>328</v>
      </c>
      <c r="C26" s="1" t="s">
        <v>327</v>
      </c>
      <c r="D26" s="3">
        <v>50</v>
      </c>
      <c r="E26" s="1">
        <v>12</v>
      </c>
      <c r="F26" s="3">
        <f>D26*E26</f>
        <v>600</v>
      </c>
      <c r="G26" s="3">
        <f>F26*1.13</f>
        <v>677.99999999999989</v>
      </c>
      <c r="H26" s="3"/>
      <c r="I26" s="1"/>
      <c r="J26" s="3">
        <v>600</v>
      </c>
    </row>
    <row r="27" spans="1:10">
      <c r="A27" s="2"/>
      <c r="B27" s="1" t="s">
        <v>326</v>
      </c>
      <c r="C27" s="1"/>
      <c r="D27" s="3"/>
      <c r="E27" s="1"/>
      <c r="F27" s="3">
        <f>D27*E27</f>
        <v>0</v>
      </c>
      <c r="G27" s="3">
        <f>F26-G26</f>
        <v>-77.999999999999886</v>
      </c>
      <c r="H27" s="3"/>
      <c r="I27" s="1"/>
      <c r="J27" s="3"/>
    </row>
    <row r="28" spans="1:10">
      <c r="A28" s="2" t="s">
        <v>325</v>
      </c>
      <c r="B28" s="19" t="s">
        <v>324</v>
      </c>
      <c r="C28" s="1" t="s">
        <v>323</v>
      </c>
      <c r="D28" s="3">
        <v>30</v>
      </c>
      <c r="E28" s="1">
        <v>1</v>
      </c>
      <c r="F28" s="3">
        <f>D28*E28</f>
        <v>30</v>
      </c>
      <c r="G28" s="3">
        <f>F28*1.13</f>
        <v>33.9</v>
      </c>
      <c r="H28" s="3"/>
      <c r="I28" s="1"/>
      <c r="J28" s="3">
        <v>22.19</v>
      </c>
    </row>
    <row r="29" spans="1:10">
      <c r="A29" s="2" t="s">
        <v>322</v>
      </c>
      <c r="B29" s="19" t="s">
        <v>321</v>
      </c>
      <c r="C29" s="1" t="s">
        <v>320</v>
      </c>
      <c r="D29" s="3">
        <v>50</v>
      </c>
      <c r="E29" s="1">
        <v>1</v>
      </c>
      <c r="F29" s="3">
        <f>D29*E29</f>
        <v>50</v>
      </c>
      <c r="G29" s="3">
        <f>F29*1.13</f>
        <v>56.499999999999993</v>
      </c>
      <c r="H29" s="3"/>
      <c r="I29" s="1"/>
      <c r="J29" s="3">
        <f>5.64+193</f>
        <v>198.64</v>
      </c>
    </row>
    <row r="30" spans="1:10">
      <c r="A30" s="339" t="s">
        <v>319</v>
      </c>
      <c r="B30" s="340"/>
      <c r="C30" s="340"/>
      <c r="D30" s="340"/>
      <c r="E30" s="340"/>
      <c r="F30" s="340"/>
      <c r="G30" s="340"/>
      <c r="H30" s="340"/>
      <c r="I30" s="340"/>
      <c r="J30" s="341"/>
    </row>
    <row r="31" spans="1:10">
      <c r="A31" s="2" t="s">
        <v>318</v>
      </c>
      <c r="B31" s="1" t="s">
        <v>167</v>
      </c>
      <c r="C31" s="1"/>
      <c r="D31" s="3">
        <v>2</v>
      </c>
      <c r="E31" s="19">
        <v>80</v>
      </c>
      <c r="F31" s="3">
        <f>D31*E31</f>
        <v>160</v>
      </c>
      <c r="G31" s="3">
        <f>F31*1.13</f>
        <v>180.79999999999998</v>
      </c>
      <c r="H31" s="3"/>
      <c r="I31" s="1"/>
      <c r="J31" s="3">
        <v>1029.1400000000001</v>
      </c>
    </row>
    <row r="32" spans="1:10">
      <c r="A32" s="2" t="s">
        <v>317</v>
      </c>
      <c r="B32" s="1" t="s">
        <v>300</v>
      </c>
      <c r="C32" s="1"/>
      <c r="D32" s="3">
        <v>0.5</v>
      </c>
      <c r="E32" s="19">
        <v>80</v>
      </c>
      <c r="F32" s="3">
        <f>D32*E32</f>
        <v>40</v>
      </c>
      <c r="G32" s="3">
        <f>F32*1.13</f>
        <v>45.199999999999996</v>
      </c>
      <c r="H32" s="3"/>
      <c r="I32" s="1"/>
      <c r="J32" s="3"/>
    </row>
    <row r="33" spans="1:10">
      <c r="A33" s="339" t="s">
        <v>316</v>
      </c>
      <c r="B33" s="340"/>
      <c r="C33" s="340"/>
      <c r="D33" s="340"/>
      <c r="E33" s="340"/>
      <c r="F33" s="340"/>
      <c r="G33" s="340"/>
      <c r="H33" s="340"/>
      <c r="I33" s="340"/>
      <c r="J33" s="341"/>
    </row>
    <row r="34" spans="1:10">
      <c r="A34" s="2" t="s">
        <v>315</v>
      </c>
      <c r="B34" s="1" t="s">
        <v>314</v>
      </c>
      <c r="C34" s="1" t="s">
        <v>313</v>
      </c>
      <c r="D34" s="3">
        <v>40</v>
      </c>
      <c r="E34" s="19">
        <v>1</v>
      </c>
      <c r="F34" s="3">
        <f>D34*E34</f>
        <v>40</v>
      </c>
      <c r="G34" s="3">
        <f>F34*1.13</f>
        <v>45.199999999999996</v>
      </c>
      <c r="H34" s="3"/>
      <c r="I34" s="1"/>
      <c r="J34" s="3"/>
    </row>
    <row r="35" spans="1:10">
      <c r="A35" s="339" t="s">
        <v>312</v>
      </c>
      <c r="B35" s="340"/>
      <c r="C35" s="340"/>
      <c r="D35" s="340"/>
      <c r="E35" s="340"/>
      <c r="F35" s="340"/>
      <c r="G35" s="340"/>
      <c r="H35" s="340"/>
      <c r="I35" s="340"/>
      <c r="J35" s="341"/>
    </row>
    <row r="36" spans="1:10">
      <c r="A36" s="2" t="s">
        <v>311</v>
      </c>
      <c r="B36" s="1" t="s">
        <v>167</v>
      </c>
      <c r="C36" s="1"/>
      <c r="D36" s="3">
        <v>2</v>
      </c>
      <c r="E36" s="19">
        <v>80</v>
      </c>
      <c r="F36" s="3">
        <f>D36*E36</f>
        <v>160</v>
      </c>
      <c r="G36" s="3">
        <f>F36*1.13</f>
        <v>180.79999999999998</v>
      </c>
      <c r="H36" s="3"/>
      <c r="I36" s="1"/>
      <c r="J36" s="3"/>
    </row>
    <row r="37" spans="1:10">
      <c r="A37" s="2" t="s">
        <v>310</v>
      </c>
      <c r="B37" s="1" t="s">
        <v>300</v>
      </c>
      <c r="C37" s="1"/>
      <c r="D37" s="3">
        <v>0.5</v>
      </c>
      <c r="E37" s="19">
        <v>80</v>
      </c>
      <c r="F37" s="3">
        <f>D37*E37</f>
        <v>40</v>
      </c>
      <c r="G37" s="3">
        <f>F37*1.13</f>
        <v>45.199999999999996</v>
      </c>
      <c r="H37" s="3"/>
      <c r="I37" s="1"/>
      <c r="J37" s="3"/>
    </row>
    <row r="38" spans="1:10">
      <c r="A38" s="339" t="s">
        <v>309</v>
      </c>
      <c r="B38" s="340"/>
      <c r="C38" s="340"/>
      <c r="D38" s="340"/>
      <c r="E38" s="340"/>
      <c r="F38" s="340"/>
      <c r="G38" s="340"/>
      <c r="H38" s="340"/>
      <c r="I38" s="340"/>
      <c r="J38" s="341"/>
    </row>
    <row r="39" spans="1:10">
      <c r="A39" s="2" t="s">
        <v>308</v>
      </c>
      <c r="B39" s="1" t="s">
        <v>167</v>
      </c>
      <c r="C39" s="1"/>
      <c r="D39" s="3">
        <v>2</v>
      </c>
      <c r="E39" s="34">
        <v>60</v>
      </c>
      <c r="F39" s="3">
        <f>D39*E39</f>
        <v>120</v>
      </c>
      <c r="G39" s="3">
        <f>F39*1.13</f>
        <v>135.6</v>
      </c>
      <c r="H39" s="3"/>
      <c r="I39" s="1"/>
      <c r="J39" s="3"/>
    </row>
    <row r="40" spans="1:10">
      <c r="A40" s="2" t="s">
        <v>307</v>
      </c>
      <c r="B40" s="1" t="s">
        <v>300</v>
      </c>
      <c r="C40" s="1"/>
      <c r="D40" s="3">
        <v>0.5</v>
      </c>
      <c r="E40" s="34">
        <v>60</v>
      </c>
      <c r="F40" s="3">
        <f>D40*E40</f>
        <v>30</v>
      </c>
      <c r="G40" s="3">
        <f>F40*1.13</f>
        <v>33.9</v>
      </c>
      <c r="H40" s="3"/>
      <c r="I40" s="1"/>
      <c r="J40" s="3"/>
    </row>
    <row r="41" spans="1:10">
      <c r="A41" s="356" t="s">
        <v>306</v>
      </c>
      <c r="B41" s="357"/>
      <c r="C41" s="357"/>
      <c r="D41" s="357"/>
      <c r="E41" s="357"/>
      <c r="F41" s="357"/>
      <c r="G41" s="357"/>
      <c r="H41" s="357"/>
      <c r="I41" s="357"/>
      <c r="J41" s="358"/>
    </row>
    <row r="42" spans="1:10">
      <c r="A42" s="2" t="s">
        <v>305</v>
      </c>
      <c r="B42" s="28" t="s">
        <v>167</v>
      </c>
      <c r="C42" s="28"/>
      <c r="D42" s="27">
        <v>2</v>
      </c>
      <c r="E42" s="33">
        <v>60</v>
      </c>
      <c r="F42" s="27">
        <f>D42*E42</f>
        <v>120</v>
      </c>
      <c r="G42" s="3">
        <f>F42*1.13</f>
        <v>135.6</v>
      </c>
      <c r="H42" s="27"/>
      <c r="I42" s="28"/>
      <c r="J42" s="27"/>
    </row>
    <row r="43" spans="1:10">
      <c r="A43" s="2" t="s">
        <v>304</v>
      </c>
      <c r="B43" s="28" t="s">
        <v>300</v>
      </c>
      <c r="C43" s="28"/>
      <c r="D43" s="27">
        <v>0.5</v>
      </c>
      <c r="E43" s="32">
        <v>60</v>
      </c>
      <c r="F43" s="27">
        <f>D43*E43</f>
        <v>30</v>
      </c>
      <c r="G43" s="3">
        <f>F43*1.13</f>
        <v>33.9</v>
      </c>
      <c r="H43" s="27"/>
      <c r="I43" s="28"/>
      <c r="J43" s="27"/>
    </row>
    <row r="44" spans="1:10">
      <c r="A44" s="356" t="s">
        <v>303</v>
      </c>
      <c r="B44" s="357"/>
      <c r="C44" s="357"/>
      <c r="D44" s="357"/>
      <c r="E44" s="357"/>
      <c r="F44" s="357"/>
      <c r="G44" s="357"/>
      <c r="H44" s="357"/>
      <c r="I44" s="357"/>
      <c r="J44" s="358"/>
    </row>
    <row r="45" spans="1:10">
      <c r="A45" s="2" t="s">
        <v>302</v>
      </c>
      <c r="B45" s="28" t="s">
        <v>167</v>
      </c>
      <c r="C45" s="28"/>
      <c r="D45" s="27">
        <v>2</v>
      </c>
      <c r="E45" s="33">
        <v>60</v>
      </c>
      <c r="F45" s="27">
        <f>D45*E45</f>
        <v>120</v>
      </c>
      <c r="G45" s="3">
        <f>F45*1.13</f>
        <v>135.6</v>
      </c>
      <c r="H45" s="27"/>
      <c r="I45" s="28"/>
      <c r="J45" s="27"/>
    </row>
    <row r="46" spans="1:10">
      <c r="A46" s="2" t="s">
        <v>301</v>
      </c>
      <c r="B46" s="28" t="s">
        <v>300</v>
      </c>
      <c r="C46" s="28"/>
      <c r="D46" s="27">
        <v>0.5</v>
      </c>
      <c r="E46" s="32">
        <v>60</v>
      </c>
      <c r="F46" s="27">
        <f>D46*E46</f>
        <v>30</v>
      </c>
      <c r="G46" s="3">
        <f>F46*1.13</f>
        <v>33.9</v>
      </c>
      <c r="H46" s="27"/>
      <c r="I46" s="28"/>
      <c r="J46" s="27"/>
    </row>
    <row r="48" spans="1:10" ht="15.75">
      <c r="A48" s="293" t="s">
        <v>298</v>
      </c>
      <c r="B48" s="294"/>
      <c r="C48" s="294"/>
      <c r="D48" s="294"/>
      <c r="E48" s="294"/>
      <c r="F48" s="295"/>
      <c r="G48" s="9">
        <f>SUM(G49)</f>
        <v>1310.6500000000001</v>
      </c>
      <c r="H48" s="308">
        <f>H49</f>
        <v>860.34</v>
      </c>
      <c r="I48" s="309"/>
      <c r="J48" s="310"/>
    </row>
    <row r="49" spans="1:10">
      <c r="A49" s="296" t="s">
        <v>11</v>
      </c>
      <c r="B49" s="297"/>
      <c r="C49" s="297"/>
      <c r="D49" s="297"/>
      <c r="E49" s="297"/>
      <c r="F49" s="298"/>
      <c r="G49" s="8">
        <f>SUM(G51:G57)</f>
        <v>1310.6500000000001</v>
      </c>
      <c r="H49" s="311">
        <f>SUM(J51:J56)</f>
        <v>860.34</v>
      </c>
      <c r="I49" s="312"/>
      <c r="J49" s="313"/>
    </row>
    <row r="50" spans="1:10">
      <c r="A50" s="314" t="s">
        <v>297</v>
      </c>
      <c r="B50" s="315"/>
      <c r="C50" s="315"/>
      <c r="D50" s="315"/>
      <c r="E50" s="315"/>
      <c r="F50" s="315"/>
      <c r="G50" s="315"/>
      <c r="H50" s="315"/>
      <c r="I50" s="315"/>
      <c r="J50" s="316"/>
    </row>
    <row r="51" spans="1:10">
      <c r="A51" s="2" t="s">
        <v>296</v>
      </c>
      <c r="B51" s="1" t="s">
        <v>295</v>
      </c>
      <c r="C51" s="1" t="s">
        <v>294</v>
      </c>
      <c r="D51" s="3">
        <v>740</v>
      </c>
      <c r="E51" s="1">
        <v>1</v>
      </c>
      <c r="F51" s="3">
        <f>D51*E51</f>
        <v>740</v>
      </c>
      <c r="G51" s="3">
        <f>F51*1.13</f>
        <v>836.19999999999993</v>
      </c>
      <c r="H51" s="3"/>
      <c r="I51" s="1"/>
      <c r="J51" s="3">
        <f>800.74+33.9</f>
        <v>834.64</v>
      </c>
    </row>
    <row r="52" spans="1:10">
      <c r="A52" s="2" t="s">
        <v>293</v>
      </c>
      <c r="B52" s="1" t="s">
        <v>292</v>
      </c>
      <c r="C52" s="1"/>
      <c r="D52" s="3"/>
      <c r="E52" s="1"/>
      <c r="F52" s="3">
        <f>D52*E52</f>
        <v>0</v>
      </c>
      <c r="G52" s="3">
        <f>F51-G51</f>
        <v>-96.199999999999932</v>
      </c>
      <c r="H52" s="3"/>
      <c r="I52" s="1"/>
      <c r="J52" s="3"/>
    </row>
    <row r="53" spans="1:10">
      <c r="A53" s="2" t="s">
        <v>291</v>
      </c>
      <c r="B53" s="1" t="s">
        <v>290</v>
      </c>
      <c r="C53" s="1" t="s">
        <v>289</v>
      </c>
      <c r="D53" s="20">
        <v>300</v>
      </c>
      <c r="E53" s="1">
        <v>1</v>
      </c>
      <c r="F53" s="3">
        <f>D53*E53</f>
        <v>300</v>
      </c>
      <c r="G53" s="3">
        <f>F53*1.13</f>
        <v>338.99999999999994</v>
      </c>
      <c r="H53" s="3"/>
      <c r="I53" s="1"/>
      <c r="J53" s="3"/>
    </row>
    <row r="54" spans="1:10">
      <c r="A54" s="2" t="s">
        <v>288</v>
      </c>
      <c r="B54" s="1" t="s">
        <v>300</v>
      </c>
      <c r="C54" s="1" t="s">
        <v>287</v>
      </c>
      <c r="D54" s="20">
        <v>0.5</v>
      </c>
      <c r="E54" s="1">
        <v>70</v>
      </c>
      <c r="F54" s="3">
        <f>D54*E54</f>
        <v>35</v>
      </c>
      <c r="G54" s="3">
        <f>F54*1.13</f>
        <v>39.549999999999997</v>
      </c>
      <c r="H54" s="3"/>
      <c r="I54" s="1"/>
      <c r="J54" s="3">
        <v>25.7</v>
      </c>
    </row>
    <row r="55" spans="1:10">
      <c r="A55" s="2" t="s">
        <v>1249</v>
      </c>
      <c r="B55" s="1" t="s">
        <v>167</v>
      </c>
      <c r="C55" s="1" t="s">
        <v>287</v>
      </c>
      <c r="D55" s="3">
        <v>2</v>
      </c>
      <c r="E55" s="1">
        <v>70</v>
      </c>
      <c r="F55" s="3">
        <f>D55*E55</f>
        <v>140</v>
      </c>
      <c r="G55" s="3">
        <f>F55*1.13</f>
        <v>158.19999999999999</v>
      </c>
      <c r="H55" s="3"/>
      <c r="I55" s="1"/>
      <c r="J55" s="3"/>
    </row>
    <row r="56" spans="1:10">
      <c r="A56" s="314" t="s">
        <v>286</v>
      </c>
      <c r="B56" s="315"/>
      <c r="C56" s="315"/>
      <c r="D56" s="315"/>
      <c r="E56" s="315"/>
      <c r="F56" s="315"/>
      <c r="G56" s="315"/>
      <c r="H56" s="315"/>
      <c r="I56" s="315"/>
      <c r="J56" s="316"/>
    </row>
    <row r="57" spans="1:10">
      <c r="A57" s="2" t="s">
        <v>285</v>
      </c>
      <c r="B57" s="1" t="s">
        <v>284</v>
      </c>
      <c r="C57" s="1" t="s">
        <v>283</v>
      </c>
      <c r="D57" s="20">
        <v>30</v>
      </c>
      <c r="E57" s="1">
        <v>1</v>
      </c>
      <c r="F57" s="3">
        <f>D57*E57</f>
        <v>30</v>
      </c>
      <c r="G57" s="3">
        <f>F57*1.13</f>
        <v>33.9</v>
      </c>
      <c r="H57" s="3"/>
      <c r="I57" s="1"/>
      <c r="J57" s="3"/>
    </row>
    <row r="59" spans="1:10" ht="15.75">
      <c r="A59" s="293" t="s">
        <v>282</v>
      </c>
      <c r="B59" s="294"/>
      <c r="C59" s="294"/>
      <c r="D59" s="294"/>
      <c r="E59" s="294"/>
      <c r="F59" s="295"/>
      <c r="G59" s="9">
        <f>SUM(G60)</f>
        <v>225.99999999999997</v>
      </c>
      <c r="H59" s="308">
        <f>H60</f>
        <v>0</v>
      </c>
      <c r="I59" s="309"/>
      <c r="J59" s="310"/>
    </row>
    <row r="60" spans="1:10">
      <c r="A60" s="296" t="s">
        <v>11</v>
      </c>
      <c r="B60" s="297"/>
      <c r="C60" s="297"/>
      <c r="D60" s="297"/>
      <c r="E60" s="297"/>
      <c r="F60" s="298"/>
      <c r="G60" s="8">
        <f>SUM(G61:G62)</f>
        <v>225.99999999999997</v>
      </c>
      <c r="H60" s="311">
        <f>SUM(J61:J61)</f>
        <v>0</v>
      </c>
      <c r="I60" s="312"/>
      <c r="J60" s="313"/>
    </row>
    <row r="61" spans="1:10">
      <c r="A61" s="2" t="s">
        <v>281</v>
      </c>
      <c r="B61" s="1" t="s">
        <v>280</v>
      </c>
      <c r="C61" s="1" t="s">
        <v>279</v>
      </c>
      <c r="D61" s="3">
        <v>100</v>
      </c>
      <c r="E61" s="1">
        <v>1</v>
      </c>
      <c r="F61" s="3">
        <f>D61*E61</f>
        <v>100</v>
      </c>
      <c r="G61" s="3">
        <f>F61*1.13</f>
        <v>112.99999999999999</v>
      </c>
      <c r="H61" s="3"/>
      <c r="I61" s="1"/>
      <c r="J61" s="3"/>
    </row>
    <row r="62" spans="1:10">
      <c r="A62" s="2" t="s">
        <v>278</v>
      </c>
      <c r="B62" s="1" t="s">
        <v>277</v>
      </c>
      <c r="C62" s="1" t="s">
        <v>276</v>
      </c>
      <c r="D62" s="3">
        <v>100</v>
      </c>
      <c r="E62" s="1">
        <v>1</v>
      </c>
      <c r="F62" s="3">
        <f>D62*E62</f>
        <v>100</v>
      </c>
      <c r="G62" s="3">
        <f>F62*1.13</f>
        <v>112.99999999999999</v>
      </c>
      <c r="H62" s="3"/>
      <c r="I62" s="1"/>
      <c r="J62" s="3"/>
    </row>
    <row r="64" spans="1:10" ht="15.75">
      <c r="A64" s="344" t="s">
        <v>275</v>
      </c>
      <c r="B64" s="345"/>
      <c r="C64" s="345"/>
      <c r="D64" s="345"/>
      <c r="E64" s="345"/>
      <c r="F64" s="346"/>
      <c r="G64" s="31">
        <f>SUM(G65)</f>
        <v>27.119999999999997</v>
      </c>
      <c r="H64" s="347" t="s">
        <v>274</v>
      </c>
      <c r="I64" s="348"/>
      <c r="J64" s="349"/>
    </row>
    <row r="65" spans="1:10">
      <c r="A65" s="350" t="s">
        <v>11</v>
      </c>
      <c r="B65" s="351"/>
      <c r="C65" s="351"/>
      <c r="D65" s="351"/>
      <c r="E65" s="351"/>
      <c r="F65" s="352"/>
      <c r="G65" s="30">
        <f>SUM(G66+G67)</f>
        <v>27.119999999999997</v>
      </c>
      <c r="H65" s="353">
        <v>0</v>
      </c>
      <c r="I65" s="354"/>
      <c r="J65" s="355"/>
    </row>
    <row r="66" spans="1:10">
      <c r="A66" s="29" t="s">
        <v>273</v>
      </c>
      <c r="B66" s="28" t="s">
        <v>272</v>
      </c>
      <c r="C66" s="28" t="s">
        <v>271</v>
      </c>
      <c r="D66" s="3">
        <v>5</v>
      </c>
      <c r="E66" s="1">
        <v>3</v>
      </c>
      <c r="F66" s="3">
        <f>D66*E66</f>
        <v>15</v>
      </c>
      <c r="G66" s="3">
        <f>F66*1.13</f>
        <v>16.95</v>
      </c>
      <c r="H66" s="27"/>
      <c r="I66" s="28"/>
      <c r="J66" s="27"/>
    </row>
    <row r="67" spans="1:10">
      <c r="A67" s="29" t="s">
        <v>1247</v>
      </c>
      <c r="B67" s="28" t="s">
        <v>265</v>
      </c>
      <c r="C67" s="28" t="s">
        <v>1248</v>
      </c>
      <c r="D67" s="3">
        <v>3</v>
      </c>
      <c r="E67" s="1">
        <v>3</v>
      </c>
      <c r="F67" s="3">
        <f>D67*E67</f>
        <v>9</v>
      </c>
      <c r="G67" s="3">
        <f>F67*1.13</f>
        <v>10.169999999999998</v>
      </c>
      <c r="H67" s="27"/>
      <c r="I67" s="28"/>
      <c r="J67" s="27"/>
    </row>
  </sheetData>
  <mergeCells count="34">
    <mergeCell ref="A1:E2"/>
    <mergeCell ref="F1:G1"/>
    <mergeCell ref="H1:J1"/>
    <mergeCell ref="F2:G2"/>
    <mergeCell ref="H2:J2"/>
    <mergeCell ref="H8:J8"/>
    <mergeCell ref="H9:J9"/>
    <mergeCell ref="A25:J25"/>
    <mergeCell ref="A35:J35"/>
    <mergeCell ref="A38:J38"/>
    <mergeCell ref="A24:F24"/>
    <mergeCell ref="H24:J24"/>
    <mergeCell ref="A23:F23"/>
    <mergeCell ref="H23:J23"/>
    <mergeCell ref="A8:F8"/>
    <mergeCell ref="A9:F9"/>
    <mergeCell ref="A50:J50"/>
    <mergeCell ref="A33:J33"/>
    <mergeCell ref="A44:J44"/>
    <mergeCell ref="A30:J30"/>
    <mergeCell ref="A48:F48"/>
    <mergeCell ref="H48:J48"/>
    <mergeCell ref="A49:F49"/>
    <mergeCell ref="H49:J49"/>
    <mergeCell ref="A41:J41"/>
    <mergeCell ref="A64:F64"/>
    <mergeCell ref="H64:J64"/>
    <mergeCell ref="A65:F65"/>
    <mergeCell ref="H65:J65"/>
    <mergeCell ref="A56:J56"/>
    <mergeCell ref="A59:F59"/>
    <mergeCell ref="H59:J59"/>
    <mergeCell ref="A60:F60"/>
    <mergeCell ref="H60:J60"/>
  </mergeCells>
  <hyperlinks>
    <hyperlink ref="A1:E2" location="Summary!A1" display="21 - Internal Affairs - Lowell Rose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2"/>
  <sheetViews>
    <sheetView topLeftCell="A289" zoomScale="75" zoomScaleNormal="75" zoomScalePageLayoutView="120" workbookViewId="0">
      <selection activeCell="C334" sqref="C334"/>
    </sheetView>
  </sheetViews>
  <sheetFormatPr defaultColWidth="8.85546875" defaultRowHeight="15"/>
  <cols>
    <col min="1" max="1" width="8.85546875" style="38"/>
    <col min="2" max="2" width="30.7109375" style="38" bestFit="1" customWidth="1"/>
    <col min="3" max="3" width="29.7109375" style="38" customWidth="1"/>
    <col min="4" max="4" width="13.140625" style="38" bestFit="1" customWidth="1"/>
    <col min="5" max="5" width="9" style="38" bestFit="1" customWidth="1"/>
    <col min="6" max="6" width="11.140625" style="38" bestFit="1" customWidth="1"/>
    <col min="7" max="7" width="13.85546875" style="38" customWidth="1"/>
    <col min="8" max="9" width="8.85546875" style="38"/>
    <col min="10" max="10" width="13" style="38" bestFit="1" customWidth="1"/>
    <col min="11" max="16384" width="8.85546875" style="38"/>
  </cols>
  <sheetData>
    <row r="1" spans="1:10" ht="19.5" thickBot="1">
      <c r="A1" s="371" t="s">
        <v>992</v>
      </c>
      <c r="B1" s="372"/>
      <c r="C1" s="372"/>
      <c r="D1" s="372"/>
      <c r="E1" s="373"/>
      <c r="F1" s="377">
        <f>G8+G72+G99+G117+G142+G162+G209+G242+G254+G265+G312+G79</f>
        <v>7279.5923999999977</v>
      </c>
      <c r="G1" s="377"/>
      <c r="H1" s="377">
        <f>H8+H79+H99+H117+H142+H162+H242+H265+H312+H254+H209+H72</f>
        <v>5051.6200000000008</v>
      </c>
      <c r="I1" s="377"/>
      <c r="J1" s="377"/>
    </row>
    <row r="2" spans="1:10" ht="15.75" thickBot="1">
      <c r="A2" s="374"/>
      <c r="B2" s="375"/>
      <c r="C2" s="375"/>
      <c r="D2" s="375"/>
      <c r="E2" s="376"/>
      <c r="F2" s="378" t="s">
        <v>6</v>
      </c>
      <c r="G2" s="378"/>
      <c r="H2" s="378" t="s">
        <v>7</v>
      </c>
      <c r="I2" s="378"/>
      <c r="J2" s="378"/>
    </row>
    <row r="5" spans="1:10" ht="30.75" thickBot="1">
      <c r="A5" s="41" t="s">
        <v>0</v>
      </c>
      <c r="B5" s="41" t="s">
        <v>1</v>
      </c>
      <c r="C5" s="41" t="s">
        <v>5</v>
      </c>
      <c r="D5" s="42" t="s">
        <v>991</v>
      </c>
      <c r="E5" s="41" t="s">
        <v>13</v>
      </c>
      <c r="F5" s="41" t="s">
        <v>2</v>
      </c>
      <c r="G5" s="39" t="s">
        <v>990</v>
      </c>
      <c r="H5" s="40" t="s">
        <v>3</v>
      </c>
      <c r="I5" s="40" t="s">
        <v>4</v>
      </c>
      <c r="J5" s="39" t="s">
        <v>989</v>
      </c>
    </row>
    <row r="8" spans="1:10" ht="15.75">
      <c r="A8" s="362" t="s">
        <v>993</v>
      </c>
      <c r="B8" s="362"/>
      <c r="C8" s="362"/>
      <c r="D8" s="362"/>
      <c r="E8" s="362"/>
      <c r="F8" s="362"/>
      <c r="G8" s="47">
        <f>SUM(G9+G62)</f>
        <v>378.65439999999944</v>
      </c>
      <c r="H8" s="363">
        <f>H9+H62</f>
        <v>2154.6500000000005</v>
      </c>
      <c r="I8" s="363"/>
      <c r="J8" s="363"/>
    </row>
    <row r="9" spans="1:10">
      <c r="A9" s="379" t="s">
        <v>11</v>
      </c>
      <c r="B9" s="379"/>
      <c r="C9" s="379"/>
      <c r="D9" s="379"/>
      <c r="E9" s="379"/>
      <c r="F9" s="379"/>
      <c r="G9" s="48">
        <f>SUM(G11:G61)</f>
        <v>13353.654399999999</v>
      </c>
      <c r="H9" s="380">
        <f>SUM(J11:J61)</f>
        <v>7757.2000000000007</v>
      </c>
      <c r="I9" s="380"/>
      <c r="J9" s="380"/>
    </row>
    <row r="10" spans="1:10">
      <c r="A10" s="367" t="s">
        <v>988</v>
      </c>
      <c r="B10" s="367"/>
      <c r="C10" s="367"/>
      <c r="D10" s="367"/>
      <c r="E10" s="367"/>
      <c r="F10" s="367"/>
      <c r="G10" s="367"/>
      <c r="H10" s="367"/>
      <c r="I10" s="367"/>
      <c r="J10" s="367"/>
    </row>
    <row r="11" spans="1:10">
      <c r="A11" s="49" t="s">
        <v>987</v>
      </c>
      <c r="B11" s="50" t="s">
        <v>187</v>
      </c>
      <c r="C11" s="50"/>
      <c r="D11" s="51">
        <v>1</v>
      </c>
      <c r="E11" s="50">
        <v>1</v>
      </c>
      <c r="F11" s="51">
        <f>D11*E11</f>
        <v>1</v>
      </c>
      <c r="G11" s="51">
        <f>F11*1.13</f>
        <v>1.1299999999999999</v>
      </c>
      <c r="H11" s="51"/>
      <c r="I11" s="50"/>
      <c r="J11" s="51"/>
    </row>
    <row r="12" spans="1:10">
      <c r="A12" s="49" t="s">
        <v>986</v>
      </c>
      <c r="B12" s="50" t="s">
        <v>172</v>
      </c>
      <c r="C12" s="50" t="s">
        <v>985</v>
      </c>
      <c r="D12" s="51">
        <v>0.05</v>
      </c>
      <c r="E12" s="50">
        <v>250</v>
      </c>
      <c r="F12" s="51">
        <f>D12*E12</f>
        <v>12.5</v>
      </c>
      <c r="G12" s="51">
        <f>F12*1.13</f>
        <v>14.124999999999998</v>
      </c>
      <c r="H12" s="51"/>
      <c r="I12" s="50"/>
      <c r="J12" s="51">
        <v>10.86</v>
      </c>
    </row>
    <row r="13" spans="1:10">
      <c r="A13" s="367" t="s">
        <v>984</v>
      </c>
      <c r="B13" s="367"/>
      <c r="C13" s="367"/>
      <c r="D13" s="367"/>
      <c r="E13" s="367"/>
      <c r="F13" s="367"/>
      <c r="G13" s="367"/>
      <c r="H13" s="367"/>
      <c r="I13" s="367"/>
      <c r="J13" s="367"/>
    </row>
    <row r="14" spans="1:10">
      <c r="A14" s="49" t="s">
        <v>983</v>
      </c>
      <c r="B14" s="50" t="s">
        <v>982</v>
      </c>
      <c r="C14" s="50" t="s">
        <v>977</v>
      </c>
      <c r="D14" s="51">
        <v>18</v>
      </c>
      <c r="E14" s="50">
        <v>3</v>
      </c>
      <c r="F14" s="51">
        <f t="shared" ref="F14:F24" si="0">D14*E14</f>
        <v>54</v>
      </c>
      <c r="G14" s="51">
        <f t="shared" ref="G14:G24" si="1">F14*1.13</f>
        <v>61.019999999999996</v>
      </c>
      <c r="H14" s="51"/>
      <c r="I14" s="50"/>
      <c r="J14" s="51">
        <v>354.64</v>
      </c>
    </row>
    <row r="15" spans="1:10">
      <c r="A15" s="49" t="s">
        <v>981</v>
      </c>
      <c r="B15" s="50" t="s">
        <v>181</v>
      </c>
      <c r="C15" s="50" t="s">
        <v>980</v>
      </c>
      <c r="D15" s="51">
        <v>95</v>
      </c>
      <c r="E15" s="50">
        <v>3</v>
      </c>
      <c r="F15" s="51">
        <f t="shared" si="0"/>
        <v>285</v>
      </c>
      <c r="G15" s="51">
        <f t="shared" si="1"/>
        <v>322.04999999999995</v>
      </c>
      <c r="H15" s="51"/>
      <c r="I15" s="50"/>
      <c r="J15" s="58">
        <v>323.91000000000003</v>
      </c>
    </row>
    <row r="16" spans="1:10">
      <c r="A16" s="49" t="s">
        <v>979</v>
      </c>
      <c r="B16" s="50" t="s">
        <v>978</v>
      </c>
      <c r="C16" s="50" t="s">
        <v>977</v>
      </c>
      <c r="D16" s="51">
        <v>8.99</v>
      </c>
      <c r="E16" s="50">
        <v>10</v>
      </c>
      <c r="F16" s="51">
        <f t="shared" si="0"/>
        <v>89.9</v>
      </c>
      <c r="G16" s="51">
        <f t="shared" si="1"/>
        <v>101.587</v>
      </c>
      <c r="H16" s="51"/>
      <c r="I16" s="50"/>
      <c r="J16" s="51"/>
    </row>
    <row r="17" spans="1:10">
      <c r="A17" s="49" t="s">
        <v>976</v>
      </c>
      <c r="B17" s="50" t="s">
        <v>975</v>
      </c>
      <c r="C17" s="50" t="s">
        <v>974</v>
      </c>
      <c r="D17" s="51">
        <v>12.37</v>
      </c>
      <c r="E17" s="50">
        <v>1</v>
      </c>
      <c r="F17" s="51">
        <f t="shared" si="0"/>
        <v>12.37</v>
      </c>
      <c r="G17" s="51">
        <f t="shared" si="1"/>
        <v>13.978099999999998</v>
      </c>
      <c r="H17" s="51"/>
      <c r="I17" s="50"/>
      <c r="J17" s="51"/>
    </row>
    <row r="18" spans="1:10">
      <c r="A18" s="49" t="s">
        <v>973</v>
      </c>
      <c r="B18" s="50" t="s">
        <v>179</v>
      </c>
      <c r="C18" s="50" t="s">
        <v>972</v>
      </c>
      <c r="D18" s="51">
        <v>4</v>
      </c>
      <c r="E18" s="50">
        <v>21</v>
      </c>
      <c r="F18" s="51">
        <f t="shared" si="0"/>
        <v>84</v>
      </c>
      <c r="G18" s="51">
        <f t="shared" si="1"/>
        <v>94.919999999999987</v>
      </c>
      <c r="H18" s="51"/>
      <c r="I18" s="50"/>
      <c r="J18" s="51">
        <v>28.24</v>
      </c>
    </row>
    <row r="19" spans="1:10">
      <c r="A19" s="49" t="s">
        <v>971</v>
      </c>
      <c r="B19" s="50" t="s">
        <v>970</v>
      </c>
      <c r="C19" s="50" t="s">
        <v>506</v>
      </c>
      <c r="D19" s="51">
        <v>6.49</v>
      </c>
      <c r="E19" s="50">
        <v>2</v>
      </c>
      <c r="F19" s="51">
        <f t="shared" si="0"/>
        <v>12.98</v>
      </c>
      <c r="G19" s="51">
        <f t="shared" si="1"/>
        <v>14.667399999999999</v>
      </c>
      <c r="H19" s="51"/>
      <c r="I19" s="50"/>
      <c r="J19" s="51"/>
    </row>
    <row r="20" spans="1:10">
      <c r="A20" s="49" t="s">
        <v>969</v>
      </c>
      <c r="B20" s="50" t="s">
        <v>861</v>
      </c>
      <c r="C20" s="50" t="s">
        <v>968</v>
      </c>
      <c r="D20" s="51">
        <v>13.51</v>
      </c>
      <c r="E20" s="50">
        <v>1</v>
      </c>
      <c r="F20" s="51">
        <f t="shared" si="0"/>
        <v>13.51</v>
      </c>
      <c r="G20" s="51">
        <f t="shared" si="1"/>
        <v>15.266299999999998</v>
      </c>
      <c r="H20" s="51"/>
      <c r="I20" s="50"/>
      <c r="J20" s="51"/>
    </row>
    <row r="21" spans="1:10">
      <c r="A21" s="49" t="s">
        <v>967</v>
      </c>
      <c r="B21" s="50" t="s">
        <v>966</v>
      </c>
      <c r="C21" s="50" t="s">
        <v>965</v>
      </c>
      <c r="D21" s="51">
        <v>20</v>
      </c>
      <c r="E21" s="50">
        <v>1</v>
      </c>
      <c r="F21" s="51">
        <f t="shared" si="0"/>
        <v>20</v>
      </c>
      <c r="G21" s="51">
        <f>F21</f>
        <v>20</v>
      </c>
      <c r="H21" s="51"/>
      <c r="I21" s="50"/>
      <c r="J21" s="51"/>
    </row>
    <row r="22" spans="1:10">
      <c r="A22" s="49" t="s">
        <v>964</v>
      </c>
      <c r="B22" s="50" t="s">
        <v>1433</v>
      </c>
      <c r="C22" s="50"/>
      <c r="D22" s="51"/>
      <c r="E22" s="50"/>
      <c r="F22" s="51"/>
      <c r="G22" s="51"/>
      <c r="H22" s="51"/>
      <c r="I22" s="50"/>
      <c r="J22" s="51">
        <v>189.84</v>
      </c>
    </row>
    <row r="23" spans="1:10">
      <c r="A23" s="49" t="s">
        <v>963</v>
      </c>
      <c r="B23" s="50" t="s">
        <v>962</v>
      </c>
      <c r="C23" s="50" t="s">
        <v>961</v>
      </c>
      <c r="D23" s="51">
        <v>12.78</v>
      </c>
      <c r="E23" s="50">
        <v>10</v>
      </c>
      <c r="F23" s="51">
        <f t="shared" si="0"/>
        <v>127.8</v>
      </c>
      <c r="G23" s="51">
        <f t="shared" si="1"/>
        <v>144.41399999999999</v>
      </c>
      <c r="H23" s="51"/>
      <c r="I23" s="50"/>
      <c r="J23" s="51">
        <v>33.97</v>
      </c>
    </row>
    <row r="24" spans="1:10">
      <c r="A24" s="49" t="s">
        <v>960</v>
      </c>
      <c r="B24" s="50" t="s">
        <v>790</v>
      </c>
      <c r="C24" s="50" t="s">
        <v>959</v>
      </c>
      <c r="D24" s="51">
        <v>4.57</v>
      </c>
      <c r="E24" s="50">
        <v>5</v>
      </c>
      <c r="F24" s="51">
        <f t="shared" si="0"/>
        <v>22.85</v>
      </c>
      <c r="G24" s="51">
        <f t="shared" si="1"/>
        <v>25.820499999999999</v>
      </c>
      <c r="H24" s="51"/>
      <c r="I24" s="50"/>
      <c r="J24" s="51"/>
    </row>
    <row r="25" spans="1:10">
      <c r="A25" s="367" t="s">
        <v>958</v>
      </c>
      <c r="B25" s="367"/>
      <c r="C25" s="367"/>
      <c r="D25" s="367"/>
      <c r="E25" s="367"/>
      <c r="F25" s="367"/>
      <c r="G25" s="367"/>
      <c r="H25" s="367"/>
      <c r="I25" s="367"/>
      <c r="J25" s="367"/>
    </row>
    <row r="26" spans="1:10">
      <c r="A26" s="49" t="s">
        <v>957</v>
      </c>
      <c r="B26" s="50" t="s">
        <v>956</v>
      </c>
      <c r="C26" s="50"/>
      <c r="D26" s="51">
        <v>700</v>
      </c>
      <c r="E26" s="50">
        <v>1</v>
      </c>
      <c r="F26" s="51">
        <f>D26*E26</f>
        <v>700</v>
      </c>
      <c r="G26" s="51">
        <f>F26*1.13</f>
        <v>790.99999999999989</v>
      </c>
      <c r="H26" s="51"/>
      <c r="I26" s="50"/>
      <c r="J26" s="51"/>
    </row>
    <row r="27" spans="1:10">
      <c r="A27" s="49" t="s">
        <v>955</v>
      </c>
      <c r="B27" s="50"/>
      <c r="C27" s="50" t="s">
        <v>609</v>
      </c>
      <c r="D27" s="51"/>
      <c r="E27" s="50"/>
      <c r="F27" s="51"/>
      <c r="G27" s="51">
        <f>F26-G26</f>
        <v>-90.999999999999886</v>
      </c>
      <c r="H27" s="51"/>
      <c r="I27" s="50"/>
      <c r="J27" s="51"/>
    </row>
    <row r="28" spans="1:10">
      <c r="A28" s="49" t="s">
        <v>954</v>
      </c>
      <c r="B28" s="50" t="s">
        <v>953</v>
      </c>
      <c r="C28" s="50" t="s">
        <v>952</v>
      </c>
      <c r="D28" s="51">
        <v>11.95</v>
      </c>
      <c r="E28" s="50">
        <v>1</v>
      </c>
      <c r="F28" s="51">
        <f>D28*E28</f>
        <v>11.95</v>
      </c>
      <c r="G28" s="51">
        <f>F28*1.13</f>
        <v>13.503499999999997</v>
      </c>
      <c r="H28" s="51"/>
      <c r="I28" s="50"/>
      <c r="J28" s="51"/>
    </row>
    <row r="29" spans="1:10">
      <c r="A29" s="367" t="s">
        <v>887</v>
      </c>
      <c r="B29" s="367"/>
      <c r="C29" s="367"/>
      <c r="D29" s="367"/>
      <c r="E29" s="367"/>
      <c r="F29" s="367"/>
      <c r="G29" s="367"/>
      <c r="H29" s="367"/>
      <c r="I29" s="367"/>
      <c r="J29" s="367"/>
    </row>
    <row r="30" spans="1:10">
      <c r="A30" s="49" t="s">
        <v>951</v>
      </c>
      <c r="B30" s="50" t="s">
        <v>887</v>
      </c>
      <c r="C30" s="50" t="s">
        <v>950</v>
      </c>
      <c r="D30" s="51">
        <v>3250</v>
      </c>
      <c r="E30" s="50">
        <v>1</v>
      </c>
      <c r="F30" s="51">
        <f t="shared" ref="F30:F38" si="2">D30*E30</f>
        <v>3250</v>
      </c>
      <c r="G30" s="51">
        <f t="shared" ref="G30:G38" si="3">F30*1.13</f>
        <v>3672.4999999999995</v>
      </c>
      <c r="H30" s="51"/>
      <c r="I30" s="50"/>
      <c r="J30" s="51">
        <v>4163.1000000000004</v>
      </c>
    </row>
    <row r="31" spans="1:10">
      <c r="A31" s="49" t="s">
        <v>949</v>
      </c>
      <c r="B31" s="50" t="s">
        <v>948</v>
      </c>
      <c r="C31" s="50" t="s">
        <v>947</v>
      </c>
      <c r="D31" s="51">
        <v>500</v>
      </c>
      <c r="E31" s="50">
        <v>1</v>
      </c>
      <c r="F31" s="51">
        <f t="shared" si="2"/>
        <v>500</v>
      </c>
      <c r="G31" s="51">
        <f t="shared" si="3"/>
        <v>565</v>
      </c>
      <c r="H31" s="51"/>
      <c r="I31" s="50"/>
      <c r="J31" s="51">
        <v>500</v>
      </c>
    </row>
    <row r="32" spans="1:10">
      <c r="A32" s="49" t="s">
        <v>946</v>
      </c>
      <c r="B32" s="50"/>
      <c r="C32" s="50" t="s">
        <v>897</v>
      </c>
      <c r="D32" s="51"/>
      <c r="E32" s="50"/>
      <c r="F32" s="51"/>
      <c r="G32" s="51">
        <f>F31-G31</f>
        <v>-65</v>
      </c>
      <c r="H32" s="51"/>
      <c r="I32" s="50"/>
      <c r="J32" s="51"/>
    </row>
    <row r="33" spans="1:10">
      <c r="A33" s="49" t="s">
        <v>945</v>
      </c>
      <c r="B33" s="50" t="s">
        <v>895</v>
      </c>
      <c r="C33" s="50"/>
      <c r="D33" s="51">
        <v>465</v>
      </c>
      <c r="E33" s="50">
        <v>1</v>
      </c>
      <c r="F33" s="51">
        <f t="shared" si="2"/>
        <v>465</v>
      </c>
      <c r="G33" s="51">
        <f t="shared" si="3"/>
        <v>525.44999999999993</v>
      </c>
      <c r="H33" s="51"/>
      <c r="I33" s="50"/>
      <c r="J33" s="51"/>
    </row>
    <row r="34" spans="1:10">
      <c r="A34" s="49" t="s">
        <v>944</v>
      </c>
      <c r="B34" s="50" t="s">
        <v>943</v>
      </c>
      <c r="C34" s="50"/>
      <c r="D34" s="51">
        <v>59.17</v>
      </c>
      <c r="E34" s="50">
        <v>1</v>
      </c>
      <c r="F34" s="51">
        <f t="shared" si="2"/>
        <v>59.17</v>
      </c>
      <c r="G34" s="51">
        <f t="shared" si="3"/>
        <v>66.862099999999998</v>
      </c>
      <c r="H34" s="51"/>
      <c r="I34" s="50"/>
      <c r="J34" s="51"/>
    </row>
    <row r="35" spans="1:10">
      <c r="A35" s="49" t="s">
        <v>942</v>
      </c>
      <c r="B35" s="50" t="s">
        <v>941</v>
      </c>
      <c r="C35" s="50" t="s">
        <v>940</v>
      </c>
      <c r="D35" s="51">
        <v>250</v>
      </c>
      <c r="E35" s="50">
        <v>5</v>
      </c>
      <c r="F35" s="51">
        <f t="shared" si="2"/>
        <v>1250</v>
      </c>
      <c r="G35" s="51">
        <f t="shared" si="3"/>
        <v>1412.4999999999998</v>
      </c>
      <c r="H35" s="51"/>
      <c r="I35" s="50"/>
      <c r="J35" s="51">
        <v>1412.5</v>
      </c>
    </row>
    <row r="36" spans="1:10">
      <c r="A36" s="49" t="s">
        <v>939</v>
      </c>
      <c r="B36" s="50" t="s">
        <v>938</v>
      </c>
      <c r="C36" s="50" t="s">
        <v>937</v>
      </c>
      <c r="D36" s="51">
        <v>100</v>
      </c>
      <c r="E36" s="50">
        <v>5</v>
      </c>
      <c r="F36" s="51">
        <f t="shared" si="2"/>
        <v>500</v>
      </c>
      <c r="G36" s="51">
        <f t="shared" si="3"/>
        <v>565</v>
      </c>
      <c r="H36" s="51"/>
      <c r="I36" s="50"/>
      <c r="J36" s="51"/>
    </row>
    <row r="37" spans="1:10">
      <c r="A37" s="49" t="s">
        <v>936</v>
      </c>
      <c r="B37" s="50"/>
      <c r="C37" s="50" t="s">
        <v>897</v>
      </c>
      <c r="D37" s="51"/>
      <c r="E37" s="50"/>
      <c r="F37" s="51"/>
      <c r="G37" s="51">
        <f>F36-G36</f>
        <v>-65</v>
      </c>
      <c r="H37" s="51"/>
      <c r="I37" s="50"/>
      <c r="J37" s="51"/>
    </row>
    <row r="38" spans="1:10">
      <c r="A38" s="49" t="s">
        <v>935</v>
      </c>
      <c r="B38" s="50" t="s">
        <v>712</v>
      </c>
      <c r="C38" s="50" t="s">
        <v>934</v>
      </c>
      <c r="D38" s="51">
        <v>12.75</v>
      </c>
      <c r="E38" s="50">
        <v>28</v>
      </c>
      <c r="F38" s="51">
        <f t="shared" si="2"/>
        <v>357</v>
      </c>
      <c r="G38" s="51">
        <f t="shared" si="3"/>
        <v>403.40999999999997</v>
      </c>
      <c r="H38" s="51"/>
      <c r="I38" s="50"/>
      <c r="J38" s="51">
        <f>304.54+135.6</f>
        <v>440.14</v>
      </c>
    </row>
    <row r="39" spans="1:10">
      <c r="A39" s="367" t="s">
        <v>933</v>
      </c>
      <c r="B39" s="367"/>
      <c r="C39" s="367"/>
      <c r="D39" s="367"/>
      <c r="E39" s="367"/>
      <c r="F39" s="367"/>
      <c r="G39" s="367"/>
      <c r="H39" s="367"/>
      <c r="I39" s="367"/>
      <c r="J39" s="367"/>
    </row>
    <row r="40" spans="1:10">
      <c r="A40" s="49" t="s">
        <v>932</v>
      </c>
      <c r="B40" s="50" t="s">
        <v>931</v>
      </c>
      <c r="C40" s="50" t="s">
        <v>930</v>
      </c>
      <c r="D40" s="51">
        <v>0</v>
      </c>
      <c r="E40" s="50">
        <v>1</v>
      </c>
      <c r="F40" s="51">
        <v>0</v>
      </c>
      <c r="G40" s="51">
        <v>0</v>
      </c>
      <c r="H40" s="51"/>
      <c r="I40" s="50"/>
      <c r="J40" s="51"/>
    </row>
    <row r="41" spans="1:10">
      <c r="A41" s="49" t="s">
        <v>929</v>
      </c>
      <c r="B41" s="50" t="s">
        <v>470</v>
      </c>
      <c r="C41" s="50" t="s">
        <v>928</v>
      </c>
      <c r="D41" s="51">
        <v>10</v>
      </c>
      <c r="E41" s="50">
        <v>10</v>
      </c>
      <c r="F41" s="51">
        <v>100</v>
      </c>
      <c r="G41" s="51">
        <v>113</v>
      </c>
      <c r="H41" s="51"/>
      <c r="I41" s="50"/>
      <c r="J41" s="51"/>
    </row>
    <row r="42" spans="1:10">
      <c r="A42" s="49" t="s">
        <v>927</v>
      </c>
      <c r="B42" s="50" t="s">
        <v>790</v>
      </c>
      <c r="C42" s="50" t="s">
        <v>926</v>
      </c>
      <c r="D42" s="51">
        <v>4.57</v>
      </c>
      <c r="E42" s="50">
        <v>1</v>
      </c>
      <c r="F42" s="51">
        <v>4.57</v>
      </c>
      <c r="G42" s="51">
        <v>5.1641000000000004</v>
      </c>
      <c r="H42" s="51"/>
      <c r="I42" s="50"/>
      <c r="J42" s="51"/>
    </row>
    <row r="43" spans="1:10">
      <c r="A43" s="49" t="s">
        <v>925</v>
      </c>
      <c r="B43" s="50" t="s">
        <v>19</v>
      </c>
      <c r="C43" s="50" t="s">
        <v>924</v>
      </c>
      <c r="D43" s="51">
        <v>7.85</v>
      </c>
      <c r="E43" s="50">
        <v>4</v>
      </c>
      <c r="F43" s="51">
        <v>31.4</v>
      </c>
      <c r="G43" s="51">
        <v>35.481999999999999</v>
      </c>
      <c r="H43" s="51"/>
      <c r="I43" s="50"/>
      <c r="J43" s="51"/>
    </row>
    <row r="44" spans="1:10">
      <c r="A44" s="367" t="s">
        <v>881</v>
      </c>
      <c r="B44" s="367"/>
      <c r="C44" s="367"/>
      <c r="D44" s="367"/>
      <c r="E44" s="367"/>
      <c r="F44" s="367"/>
      <c r="G44" s="367"/>
      <c r="H44" s="367"/>
      <c r="I44" s="367"/>
      <c r="J44" s="367"/>
    </row>
    <row r="45" spans="1:10">
      <c r="A45" s="49" t="s">
        <v>923</v>
      </c>
      <c r="B45" s="50" t="s">
        <v>922</v>
      </c>
      <c r="C45" s="50" t="s">
        <v>921</v>
      </c>
      <c r="D45" s="51">
        <v>19</v>
      </c>
      <c r="E45" s="50">
        <v>50</v>
      </c>
      <c r="F45" s="51">
        <f>D45*E45</f>
        <v>950</v>
      </c>
      <c r="G45" s="51">
        <f>F45*1.13</f>
        <v>1073.5</v>
      </c>
      <c r="H45" s="51"/>
      <c r="I45" s="50"/>
      <c r="J45" s="51"/>
    </row>
    <row r="46" spans="1:10">
      <c r="A46" s="49" t="s">
        <v>920</v>
      </c>
      <c r="B46" s="50"/>
      <c r="C46" s="50" t="s">
        <v>609</v>
      </c>
      <c r="D46" s="51"/>
      <c r="E46" s="50"/>
      <c r="F46" s="51"/>
      <c r="G46" s="51">
        <f>F45-G45</f>
        <v>-123.5</v>
      </c>
      <c r="H46" s="51"/>
      <c r="I46" s="50"/>
      <c r="J46" s="51"/>
    </row>
    <row r="47" spans="1:10">
      <c r="A47" s="49" t="s">
        <v>919</v>
      </c>
      <c r="B47" s="50" t="s">
        <v>918</v>
      </c>
      <c r="C47" s="50" t="s">
        <v>894</v>
      </c>
      <c r="D47" s="51">
        <v>160</v>
      </c>
      <c r="E47" s="50">
        <v>1</v>
      </c>
      <c r="F47" s="51">
        <f>D47*E47</f>
        <v>160</v>
      </c>
      <c r="G47" s="51">
        <f>F47*1.13</f>
        <v>180.79999999999998</v>
      </c>
      <c r="H47" s="51"/>
      <c r="I47" s="50"/>
      <c r="J47" s="51"/>
    </row>
    <row r="48" spans="1:10">
      <c r="A48" s="49" t="s">
        <v>917</v>
      </c>
      <c r="B48" s="50"/>
      <c r="C48" s="50" t="s">
        <v>916</v>
      </c>
      <c r="D48" s="51">
        <v>100</v>
      </c>
      <c r="E48" s="50">
        <v>1</v>
      </c>
      <c r="F48" s="51">
        <f>D48*E48</f>
        <v>100</v>
      </c>
      <c r="G48" s="51">
        <f>F48*1.13</f>
        <v>112.99999999999999</v>
      </c>
      <c r="H48" s="51"/>
      <c r="I48" s="50"/>
      <c r="J48" s="51"/>
    </row>
    <row r="49" spans="1:10">
      <c r="A49" s="49" t="s">
        <v>915</v>
      </c>
      <c r="B49" s="50"/>
      <c r="C49" s="50" t="s">
        <v>897</v>
      </c>
      <c r="D49" s="51"/>
      <c r="E49" s="50"/>
      <c r="F49" s="51"/>
      <c r="G49" s="51">
        <f>F48-G48</f>
        <v>-12.999999999999986</v>
      </c>
      <c r="H49" s="51"/>
      <c r="I49" s="50"/>
      <c r="J49" s="51"/>
    </row>
    <row r="50" spans="1:10">
      <c r="A50" s="367" t="s">
        <v>914</v>
      </c>
      <c r="B50" s="367"/>
      <c r="C50" s="367"/>
      <c r="D50" s="367"/>
      <c r="E50" s="367"/>
      <c r="F50" s="367"/>
      <c r="G50" s="367"/>
      <c r="H50" s="367"/>
      <c r="I50" s="367"/>
      <c r="J50" s="367"/>
    </row>
    <row r="51" spans="1:10">
      <c r="A51" s="49" t="s">
        <v>913</v>
      </c>
      <c r="B51" s="50" t="s">
        <v>912</v>
      </c>
      <c r="C51" s="50" t="s">
        <v>911</v>
      </c>
      <c r="D51" s="51">
        <v>1.81</v>
      </c>
      <c r="E51" s="50">
        <v>50</v>
      </c>
      <c r="F51" s="51">
        <f>D51*E51</f>
        <v>90.5</v>
      </c>
      <c r="G51" s="51">
        <f>F51*1.13</f>
        <v>102.26499999999999</v>
      </c>
      <c r="H51" s="51"/>
      <c r="I51" s="50"/>
      <c r="J51" s="51"/>
    </row>
    <row r="52" spans="1:10">
      <c r="A52" s="49" t="s">
        <v>910</v>
      </c>
      <c r="B52" s="50" t="s">
        <v>909</v>
      </c>
      <c r="C52" s="50" t="s">
        <v>908</v>
      </c>
      <c r="D52" s="51">
        <v>6.19</v>
      </c>
      <c r="E52" s="50">
        <v>2</v>
      </c>
      <c r="F52" s="51">
        <f>D52*E52</f>
        <v>12.38</v>
      </c>
      <c r="G52" s="51">
        <f>F52*1.13</f>
        <v>13.9894</v>
      </c>
      <c r="H52" s="51"/>
      <c r="I52" s="50"/>
      <c r="J52" s="51"/>
    </row>
    <row r="53" spans="1:10">
      <c r="A53" s="49" t="s">
        <v>907</v>
      </c>
      <c r="B53" s="50"/>
      <c r="C53" s="50"/>
      <c r="D53" s="51"/>
      <c r="E53" s="50"/>
      <c r="F53" s="51">
        <f>D53*E53</f>
        <v>0</v>
      </c>
      <c r="G53" s="51">
        <f>F53*1.13</f>
        <v>0</v>
      </c>
      <c r="H53" s="51"/>
      <c r="I53" s="50"/>
      <c r="J53" s="51"/>
    </row>
    <row r="54" spans="1:10">
      <c r="A54" s="367" t="s">
        <v>879</v>
      </c>
      <c r="B54" s="367"/>
      <c r="C54" s="367"/>
      <c r="D54" s="367"/>
      <c r="E54" s="367"/>
      <c r="F54" s="367"/>
      <c r="G54" s="367"/>
      <c r="H54" s="367"/>
      <c r="I54" s="367"/>
      <c r="J54" s="367"/>
    </row>
    <row r="55" spans="1:10">
      <c r="A55" s="49" t="s">
        <v>906</v>
      </c>
      <c r="B55" s="50" t="s">
        <v>817</v>
      </c>
      <c r="C55" s="50"/>
      <c r="D55" s="51">
        <v>1200</v>
      </c>
      <c r="E55" s="50">
        <v>1</v>
      </c>
      <c r="F55" s="51">
        <v>1200</v>
      </c>
      <c r="G55" s="51">
        <f>F55</f>
        <v>1200</v>
      </c>
      <c r="H55" s="51"/>
      <c r="I55" s="50"/>
      <c r="J55" s="51"/>
    </row>
    <row r="56" spans="1:10">
      <c r="A56" s="367" t="s">
        <v>878</v>
      </c>
      <c r="B56" s="367"/>
      <c r="C56" s="367"/>
      <c r="D56" s="367"/>
      <c r="E56" s="367"/>
      <c r="F56" s="367"/>
      <c r="G56" s="367"/>
      <c r="H56" s="367"/>
      <c r="I56" s="367"/>
      <c r="J56" s="367"/>
    </row>
    <row r="57" spans="1:10">
      <c r="A57" s="49" t="s">
        <v>905</v>
      </c>
      <c r="B57" s="50" t="s">
        <v>904</v>
      </c>
      <c r="C57" s="50" t="s">
        <v>903</v>
      </c>
      <c r="D57" s="51">
        <v>700</v>
      </c>
      <c r="E57" s="50">
        <v>1</v>
      </c>
      <c r="F57" s="51">
        <f>D57*E57</f>
        <v>700</v>
      </c>
      <c r="G57" s="51">
        <f>F57*1.13</f>
        <v>790.99999999999989</v>
      </c>
      <c r="H57" s="51"/>
      <c r="I57" s="50"/>
      <c r="J57" s="51">
        <v>300</v>
      </c>
    </row>
    <row r="58" spans="1:10">
      <c r="A58" s="49" t="s">
        <v>902</v>
      </c>
      <c r="B58" s="50" t="s">
        <v>299</v>
      </c>
      <c r="C58" s="50" t="s">
        <v>901</v>
      </c>
      <c r="D58" s="51">
        <v>500</v>
      </c>
      <c r="E58" s="50">
        <v>1</v>
      </c>
      <c r="F58" s="51">
        <f>D58*E58</f>
        <v>500</v>
      </c>
      <c r="G58" s="51">
        <f>F58*1.13</f>
        <v>565</v>
      </c>
      <c r="H58" s="51"/>
      <c r="I58" s="50"/>
      <c r="J58" s="51"/>
    </row>
    <row r="59" spans="1:10">
      <c r="A59" s="381" t="s">
        <v>877</v>
      </c>
      <c r="B59" s="381"/>
      <c r="C59" s="381"/>
      <c r="D59" s="381"/>
      <c r="E59" s="381"/>
      <c r="F59" s="381"/>
      <c r="G59" s="381"/>
      <c r="H59" s="381"/>
      <c r="I59" s="381"/>
      <c r="J59" s="381"/>
    </row>
    <row r="60" spans="1:10">
      <c r="A60" s="49" t="s">
        <v>900</v>
      </c>
      <c r="B60" s="50" t="s">
        <v>899</v>
      </c>
      <c r="C60" s="50" t="s">
        <v>898</v>
      </c>
      <c r="D60" s="51">
        <v>250</v>
      </c>
      <c r="E60" s="50">
        <v>1</v>
      </c>
      <c r="F60" s="51">
        <f>D60*E60</f>
        <v>250</v>
      </c>
      <c r="G60" s="51">
        <f>F60</f>
        <v>250</v>
      </c>
      <c r="H60" s="51"/>
      <c r="I60" s="50"/>
      <c r="J60" s="51"/>
    </row>
    <row r="61" spans="1:10">
      <c r="A61" s="52" t="s">
        <v>896</v>
      </c>
      <c r="B61" s="46" t="s">
        <v>895</v>
      </c>
      <c r="C61" s="46" t="s">
        <v>894</v>
      </c>
      <c r="D61" s="53">
        <v>375</v>
      </c>
      <c r="E61" s="46">
        <v>1</v>
      </c>
      <c r="F61" s="53">
        <f>D61*E61</f>
        <v>375</v>
      </c>
      <c r="G61" s="53">
        <f>F61*1.13</f>
        <v>423.74999999999994</v>
      </c>
      <c r="H61" s="53"/>
      <c r="I61" s="46"/>
      <c r="J61" s="53"/>
    </row>
    <row r="62" spans="1:10">
      <c r="A62" s="359" t="s">
        <v>12</v>
      </c>
      <c r="B62" s="360"/>
      <c r="C62" s="360"/>
      <c r="D62" s="360"/>
      <c r="E62" s="360"/>
      <c r="F62" s="360"/>
      <c r="G62" s="54">
        <f>-SUM(G63:G70)</f>
        <v>-12975</v>
      </c>
      <c r="H62" s="361">
        <f>-SUM(J63:J70)</f>
        <v>-5602.55</v>
      </c>
      <c r="I62" s="361"/>
      <c r="J62" s="361"/>
    </row>
    <row r="63" spans="1:10">
      <c r="A63" s="52" t="s">
        <v>893</v>
      </c>
      <c r="B63" s="50" t="s">
        <v>467</v>
      </c>
      <c r="C63" s="46"/>
      <c r="D63" s="53"/>
      <c r="E63" s="46"/>
      <c r="F63" s="53">
        <f t="shared" ref="F63:F70" si="4">D63*E63</f>
        <v>0</v>
      </c>
      <c r="G63" s="53">
        <f t="shared" ref="G63" si="5">F63*1.13</f>
        <v>0</v>
      </c>
      <c r="H63" s="53"/>
      <c r="I63" s="46"/>
      <c r="J63" s="53">
        <v>5602.55</v>
      </c>
    </row>
    <row r="64" spans="1:10">
      <c r="A64" s="52" t="s">
        <v>892</v>
      </c>
      <c r="B64" s="50" t="s">
        <v>890</v>
      </c>
      <c r="C64" s="46"/>
      <c r="D64" s="53">
        <v>5</v>
      </c>
      <c r="E64" s="46">
        <v>500</v>
      </c>
      <c r="F64" s="53">
        <f t="shared" si="4"/>
        <v>2500</v>
      </c>
      <c r="G64" s="53">
        <f t="shared" ref="G64:G70" si="6">F64</f>
        <v>2500</v>
      </c>
      <c r="H64" s="53"/>
      <c r="I64" s="46"/>
      <c r="J64" s="53"/>
    </row>
    <row r="65" spans="1:10">
      <c r="A65" s="52" t="s">
        <v>891</v>
      </c>
      <c r="B65" s="50" t="s">
        <v>887</v>
      </c>
      <c r="C65" s="46"/>
      <c r="D65" s="53">
        <v>15</v>
      </c>
      <c r="E65" s="46">
        <v>400</v>
      </c>
      <c r="F65" s="53">
        <f t="shared" si="4"/>
        <v>6000</v>
      </c>
      <c r="G65" s="53">
        <f t="shared" si="6"/>
        <v>6000</v>
      </c>
      <c r="H65" s="53"/>
      <c r="I65" s="46"/>
      <c r="J65" s="53"/>
    </row>
    <row r="66" spans="1:10">
      <c r="A66" s="52" t="s">
        <v>889</v>
      </c>
      <c r="B66" s="50" t="s">
        <v>884</v>
      </c>
      <c r="C66" s="46" t="s">
        <v>883</v>
      </c>
      <c r="D66" s="53">
        <v>5</v>
      </c>
      <c r="E66" s="46">
        <v>50</v>
      </c>
      <c r="F66" s="53">
        <f t="shared" si="4"/>
        <v>250</v>
      </c>
      <c r="G66" s="53">
        <f t="shared" si="6"/>
        <v>250</v>
      </c>
      <c r="H66" s="53"/>
      <c r="I66" s="46"/>
      <c r="J66" s="53"/>
    </row>
    <row r="67" spans="1:10">
      <c r="A67" s="52" t="s">
        <v>888</v>
      </c>
      <c r="B67" s="50" t="s">
        <v>881</v>
      </c>
      <c r="C67" s="46" t="s">
        <v>880</v>
      </c>
      <c r="D67" s="53">
        <v>25</v>
      </c>
      <c r="E67" s="46">
        <v>50</v>
      </c>
      <c r="F67" s="53">
        <f t="shared" si="4"/>
        <v>1250</v>
      </c>
      <c r="G67" s="53">
        <f t="shared" si="6"/>
        <v>1250</v>
      </c>
      <c r="H67" s="53"/>
      <c r="I67" s="46"/>
      <c r="J67" s="53"/>
    </row>
    <row r="68" spans="1:10">
      <c r="A68" s="52" t="s">
        <v>886</v>
      </c>
      <c r="B68" s="50" t="s">
        <v>879</v>
      </c>
      <c r="C68" s="46"/>
      <c r="D68" s="53">
        <v>5</v>
      </c>
      <c r="E68" s="46">
        <v>125</v>
      </c>
      <c r="F68" s="53">
        <f t="shared" si="4"/>
        <v>625</v>
      </c>
      <c r="G68" s="53">
        <f t="shared" si="6"/>
        <v>625</v>
      </c>
      <c r="H68" s="53"/>
      <c r="I68" s="46"/>
      <c r="J68" s="53"/>
    </row>
    <row r="69" spans="1:10">
      <c r="A69" s="52" t="s">
        <v>885</v>
      </c>
      <c r="B69" s="50" t="s">
        <v>878</v>
      </c>
      <c r="C69" s="46"/>
      <c r="D69" s="53">
        <v>5</v>
      </c>
      <c r="E69" s="46">
        <v>300</v>
      </c>
      <c r="F69" s="53">
        <f t="shared" si="4"/>
        <v>1500</v>
      </c>
      <c r="G69" s="53">
        <f t="shared" si="6"/>
        <v>1500</v>
      </c>
      <c r="H69" s="53"/>
      <c r="I69" s="46"/>
      <c r="J69" s="53"/>
    </row>
    <row r="70" spans="1:10">
      <c r="A70" s="52" t="s">
        <v>882</v>
      </c>
      <c r="B70" s="50" t="s">
        <v>877</v>
      </c>
      <c r="C70" s="46"/>
      <c r="D70" s="53">
        <v>5</v>
      </c>
      <c r="E70" s="46">
        <v>170</v>
      </c>
      <c r="F70" s="53">
        <f t="shared" si="4"/>
        <v>850</v>
      </c>
      <c r="G70" s="53">
        <f t="shared" si="6"/>
        <v>850</v>
      </c>
      <c r="H70" s="53"/>
      <c r="I70" s="46"/>
      <c r="J70" s="53"/>
    </row>
    <row r="71" spans="1:10" s="82" customFormat="1">
      <c r="A71" s="43"/>
      <c r="B71" s="44"/>
      <c r="C71" s="44"/>
      <c r="D71" s="45"/>
      <c r="E71" s="44"/>
      <c r="F71" s="45"/>
      <c r="G71" s="45"/>
      <c r="H71" s="45"/>
      <c r="I71" s="44"/>
      <c r="J71" s="45"/>
    </row>
    <row r="72" spans="1:10" ht="15.75">
      <c r="A72" s="362" t="s">
        <v>994</v>
      </c>
      <c r="B72" s="362"/>
      <c r="C72" s="362"/>
      <c r="D72" s="362"/>
      <c r="E72" s="362"/>
      <c r="F72" s="362"/>
      <c r="G72" s="47">
        <f>SUM(G73+G172)</f>
        <v>20.339999999999996</v>
      </c>
      <c r="H72" s="363">
        <f>H73+H466</f>
        <v>0</v>
      </c>
      <c r="I72" s="363"/>
      <c r="J72" s="363"/>
    </row>
    <row r="73" spans="1:10">
      <c r="A73" s="364" t="s">
        <v>11</v>
      </c>
      <c r="B73" s="364"/>
      <c r="C73" s="364"/>
      <c r="D73" s="364"/>
      <c r="E73" s="364"/>
      <c r="F73" s="364"/>
      <c r="G73" s="54">
        <f>SUM(G75:G77)</f>
        <v>20.339999999999996</v>
      </c>
      <c r="H73" s="369">
        <f>SUM(J75:J78)</f>
        <v>0</v>
      </c>
      <c r="I73" s="369"/>
      <c r="J73" s="369"/>
    </row>
    <row r="74" spans="1:10">
      <c r="A74" s="366" t="s">
        <v>876</v>
      </c>
      <c r="B74" s="366"/>
      <c r="C74" s="366"/>
      <c r="D74" s="366"/>
      <c r="E74" s="366"/>
      <c r="F74" s="366"/>
      <c r="G74" s="366"/>
      <c r="H74" s="366"/>
      <c r="I74" s="366"/>
      <c r="J74" s="366"/>
    </row>
    <row r="75" spans="1:10">
      <c r="A75" s="52" t="s">
        <v>875</v>
      </c>
      <c r="B75" s="46" t="s">
        <v>874</v>
      </c>
      <c r="C75" s="46"/>
      <c r="D75" s="53">
        <v>0.03</v>
      </c>
      <c r="E75" s="46">
        <v>400</v>
      </c>
      <c r="F75" s="53">
        <f>D75*E75</f>
        <v>12</v>
      </c>
      <c r="G75" s="53">
        <f>F75*1.13</f>
        <v>13.559999999999999</v>
      </c>
      <c r="H75" s="53"/>
      <c r="I75" s="46"/>
      <c r="J75" s="53"/>
    </row>
    <row r="76" spans="1:10">
      <c r="A76" s="366" t="s">
        <v>873</v>
      </c>
      <c r="B76" s="366"/>
      <c r="C76" s="366"/>
      <c r="D76" s="366"/>
      <c r="E76" s="366"/>
      <c r="F76" s="366"/>
      <c r="G76" s="366"/>
      <c r="H76" s="366"/>
      <c r="I76" s="366"/>
      <c r="J76" s="366"/>
    </row>
    <row r="77" spans="1:10">
      <c r="A77" s="52" t="s">
        <v>872</v>
      </c>
      <c r="B77" s="46" t="s">
        <v>187</v>
      </c>
      <c r="C77" s="46"/>
      <c r="D77" s="53">
        <v>0.1</v>
      </c>
      <c r="E77" s="46">
        <v>60</v>
      </c>
      <c r="F77" s="53">
        <f>D77*E77</f>
        <v>6</v>
      </c>
      <c r="G77" s="53">
        <f>F77*1.13</f>
        <v>6.7799999999999994</v>
      </c>
      <c r="H77" s="53"/>
      <c r="I77" s="46"/>
      <c r="J77" s="53"/>
    </row>
    <row r="78" spans="1:10" s="84" customFormat="1">
      <c r="A78" s="383"/>
      <c r="B78" s="384"/>
      <c r="C78" s="384"/>
      <c r="D78" s="384"/>
      <c r="E78" s="384"/>
      <c r="F78" s="384"/>
      <c r="G78" s="83"/>
      <c r="H78" s="385"/>
      <c r="I78" s="385"/>
      <c r="J78" s="385"/>
    </row>
    <row r="79" spans="1:10" ht="15.75">
      <c r="A79" s="362" t="s">
        <v>995</v>
      </c>
      <c r="B79" s="362"/>
      <c r="C79" s="362"/>
      <c r="D79" s="362"/>
      <c r="E79" s="362"/>
      <c r="F79" s="362"/>
      <c r="G79" s="47">
        <f>G80</f>
        <v>1466.7399999999998</v>
      </c>
      <c r="H79" s="363">
        <f>H80</f>
        <v>968.54</v>
      </c>
      <c r="I79" s="363"/>
      <c r="J79" s="363"/>
    </row>
    <row r="80" spans="1:10">
      <c r="A80" s="364" t="s">
        <v>11</v>
      </c>
      <c r="B80" s="364"/>
      <c r="C80" s="364"/>
      <c r="D80" s="364"/>
      <c r="E80" s="364"/>
      <c r="F80" s="364"/>
      <c r="G80" s="54">
        <f>SUM(G81:G97)</f>
        <v>1466.7399999999998</v>
      </c>
      <c r="H80" s="369">
        <f>SUM(J81:J97)</f>
        <v>968.54</v>
      </c>
      <c r="I80" s="369"/>
      <c r="J80" s="369"/>
    </row>
    <row r="81" spans="1:10">
      <c r="A81" s="57" t="s">
        <v>871</v>
      </c>
      <c r="B81" s="46" t="s">
        <v>870</v>
      </c>
      <c r="C81" s="46"/>
      <c r="D81" s="53">
        <v>600</v>
      </c>
      <c r="E81" s="46">
        <v>1</v>
      </c>
      <c r="F81" s="53">
        <f t="shared" ref="F81:F97" si="7">D81*E81</f>
        <v>600</v>
      </c>
      <c r="G81" s="53">
        <f t="shared" ref="G81:G97" si="8">F81*1.13</f>
        <v>677.99999999999989</v>
      </c>
      <c r="H81" s="53"/>
      <c r="I81" s="46"/>
      <c r="J81" s="53">
        <v>678</v>
      </c>
    </row>
    <row r="82" spans="1:10">
      <c r="A82" s="57" t="s">
        <v>869</v>
      </c>
      <c r="B82" s="46" t="s">
        <v>868</v>
      </c>
      <c r="C82" s="46" t="s">
        <v>1361</v>
      </c>
      <c r="D82" s="53">
        <v>0</v>
      </c>
      <c r="E82" s="46"/>
      <c r="F82" s="53">
        <f t="shared" si="7"/>
        <v>0</v>
      </c>
      <c r="G82" s="53">
        <f t="shared" si="8"/>
        <v>0</v>
      </c>
      <c r="H82" s="53"/>
      <c r="I82" s="46"/>
      <c r="J82" s="53"/>
    </row>
    <row r="83" spans="1:10">
      <c r="A83" s="57" t="s">
        <v>867</v>
      </c>
      <c r="B83" s="46" t="s">
        <v>866</v>
      </c>
      <c r="C83" s="46" t="s">
        <v>860</v>
      </c>
      <c r="D83" s="53">
        <v>60</v>
      </c>
      <c r="E83" s="46">
        <v>1</v>
      </c>
      <c r="F83" s="53">
        <f t="shared" si="7"/>
        <v>60</v>
      </c>
      <c r="G83" s="53">
        <f t="shared" si="8"/>
        <v>67.8</v>
      </c>
      <c r="H83" s="53"/>
      <c r="I83" s="46"/>
      <c r="J83" s="53"/>
    </row>
    <row r="84" spans="1:10">
      <c r="A84" s="57" t="s">
        <v>865</v>
      </c>
      <c r="B84" s="46" t="s">
        <v>300</v>
      </c>
      <c r="C84" s="46" t="s">
        <v>860</v>
      </c>
      <c r="D84" s="53">
        <v>40</v>
      </c>
      <c r="E84" s="46">
        <v>1</v>
      </c>
      <c r="F84" s="53">
        <f t="shared" si="7"/>
        <v>40</v>
      </c>
      <c r="G84" s="53">
        <f t="shared" si="8"/>
        <v>45.199999999999996</v>
      </c>
      <c r="H84" s="53"/>
      <c r="I84" s="46"/>
      <c r="J84" s="53"/>
    </row>
    <row r="85" spans="1:10">
      <c r="A85" s="57" t="s">
        <v>864</v>
      </c>
      <c r="B85" s="46" t="s">
        <v>863</v>
      </c>
      <c r="C85" s="46" t="s">
        <v>860</v>
      </c>
      <c r="D85" s="53">
        <v>55</v>
      </c>
      <c r="E85" s="46">
        <v>1</v>
      </c>
      <c r="F85" s="53">
        <f t="shared" si="7"/>
        <v>55</v>
      </c>
      <c r="G85" s="53">
        <f t="shared" si="8"/>
        <v>62.149999999999991</v>
      </c>
      <c r="H85" s="53"/>
      <c r="I85" s="46"/>
      <c r="J85" s="53"/>
    </row>
    <row r="86" spans="1:10">
      <c r="A86" s="57" t="s">
        <v>862</v>
      </c>
      <c r="B86" s="46" t="s">
        <v>861</v>
      </c>
      <c r="C86" s="46" t="s">
        <v>860</v>
      </c>
      <c r="D86" s="53">
        <v>10</v>
      </c>
      <c r="E86" s="46">
        <v>1</v>
      </c>
      <c r="F86" s="53">
        <f t="shared" si="7"/>
        <v>10</v>
      </c>
      <c r="G86" s="53">
        <f t="shared" si="8"/>
        <v>11.299999999999999</v>
      </c>
      <c r="H86" s="53"/>
      <c r="I86" s="46"/>
      <c r="J86" s="53"/>
    </row>
    <row r="87" spans="1:10">
      <c r="A87" s="57" t="s">
        <v>859</v>
      </c>
      <c r="B87" s="46" t="s">
        <v>858</v>
      </c>
      <c r="C87" s="46"/>
      <c r="D87" s="53">
        <v>0</v>
      </c>
      <c r="E87" s="46"/>
      <c r="F87" s="53">
        <f t="shared" si="7"/>
        <v>0</v>
      </c>
      <c r="G87" s="53">
        <f t="shared" si="8"/>
        <v>0</v>
      </c>
      <c r="H87" s="53"/>
      <c r="I87" s="46"/>
      <c r="J87" s="53"/>
    </row>
    <row r="88" spans="1:10">
      <c r="A88" s="57" t="s">
        <v>857</v>
      </c>
      <c r="B88" s="46" t="s">
        <v>856</v>
      </c>
      <c r="C88" s="46"/>
      <c r="D88" s="53">
        <v>0</v>
      </c>
      <c r="E88" s="46"/>
      <c r="F88" s="53">
        <f t="shared" si="7"/>
        <v>0</v>
      </c>
      <c r="G88" s="53">
        <f t="shared" si="8"/>
        <v>0</v>
      </c>
      <c r="H88" s="53"/>
      <c r="I88" s="46"/>
      <c r="J88" s="53"/>
    </row>
    <row r="89" spans="1:10">
      <c r="A89" s="57" t="s">
        <v>855</v>
      </c>
      <c r="B89" s="46" t="s">
        <v>854</v>
      </c>
      <c r="C89" s="46"/>
      <c r="D89" s="53">
        <v>0</v>
      </c>
      <c r="E89" s="46"/>
      <c r="F89" s="53">
        <f t="shared" si="7"/>
        <v>0</v>
      </c>
      <c r="G89" s="53">
        <f t="shared" si="8"/>
        <v>0</v>
      </c>
      <c r="H89" s="53"/>
      <c r="I89" s="46"/>
      <c r="J89" s="53"/>
    </row>
    <row r="90" spans="1:10" hidden="1">
      <c r="A90" s="57" t="s">
        <v>853</v>
      </c>
      <c r="B90" s="46" t="s">
        <v>187</v>
      </c>
      <c r="C90" s="46"/>
      <c r="D90" s="53">
        <v>40</v>
      </c>
      <c r="E90" s="46">
        <v>1</v>
      </c>
      <c r="F90" s="53">
        <f t="shared" si="7"/>
        <v>40</v>
      </c>
      <c r="G90" s="53">
        <f t="shared" si="8"/>
        <v>45.199999999999996</v>
      </c>
      <c r="H90" s="53"/>
      <c r="I90" s="46"/>
      <c r="J90" s="53"/>
    </row>
    <row r="91" spans="1:10">
      <c r="A91" s="57" t="s">
        <v>852</v>
      </c>
      <c r="B91" s="46" t="s">
        <v>174</v>
      </c>
      <c r="C91" s="46"/>
      <c r="D91" s="53">
        <v>10</v>
      </c>
      <c r="E91" s="46">
        <v>1</v>
      </c>
      <c r="F91" s="53">
        <f t="shared" si="7"/>
        <v>10</v>
      </c>
      <c r="G91" s="53">
        <f t="shared" si="8"/>
        <v>11.299999999999999</v>
      </c>
      <c r="H91" s="53"/>
      <c r="I91" s="46"/>
      <c r="J91" s="53"/>
    </row>
    <row r="92" spans="1:10">
      <c r="A92" s="57" t="s">
        <v>851</v>
      </c>
      <c r="B92" s="46" t="s">
        <v>850</v>
      </c>
      <c r="C92" s="46"/>
      <c r="D92" s="53">
        <v>20</v>
      </c>
      <c r="E92" s="46">
        <v>1</v>
      </c>
      <c r="F92" s="53">
        <f t="shared" si="7"/>
        <v>20</v>
      </c>
      <c r="G92" s="53">
        <f t="shared" si="8"/>
        <v>22.599999999999998</v>
      </c>
      <c r="H92" s="53"/>
      <c r="I92" s="46"/>
      <c r="J92" s="53"/>
    </row>
    <row r="93" spans="1:10">
      <c r="A93" s="57" t="s">
        <v>849</v>
      </c>
      <c r="B93" s="46" t="s">
        <v>848</v>
      </c>
      <c r="C93" s="46"/>
      <c r="D93" s="53">
        <v>20</v>
      </c>
      <c r="E93" s="46">
        <v>1</v>
      </c>
      <c r="F93" s="53">
        <f t="shared" si="7"/>
        <v>20</v>
      </c>
      <c r="G93" s="53">
        <f t="shared" si="8"/>
        <v>22.599999999999998</v>
      </c>
      <c r="H93" s="53"/>
      <c r="I93" s="46"/>
      <c r="J93" s="53"/>
    </row>
    <row r="94" spans="1:10">
      <c r="A94" s="57" t="s">
        <v>847</v>
      </c>
      <c r="B94" s="46" t="s">
        <v>846</v>
      </c>
      <c r="C94" s="46"/>
      <c r="D94" s="53"/>
      <c r="E94" s="46"/>
      <c r="F94" s="53">
        <f t="shared" si="7"/>
        <v>0</v>
      </c>
      <c r="G94" s="53">
        <f t="shared" si="8"/>
        <v>0</v>
      </c>
      <c r="H94" s="53"/>
      <c r="I94" s="46"/>
      <c r="J94" s="53"/>
    </row>
    <row r="95" spans="1:10">
      <c r="A95" s="57" t="s">
        <v>845</v>
      </c>
      <c r="B95" s="46" t="s">
        <v>844</v>
      </c>
      <c r="C95" s="46"/>
      <c r="D95" s="53">
        <v>25</v>
      </c>
      <c r="E95" s="46">
        <v>1</v>
      </c>
      <c r="F95" s="53">
        <f t="shared" si="7"/>
        <v>25</v>
      </c>
      <c r="G95" s="53">
        <f t="shared" si="8"/>
        <v>28.249999999999996</v>
      </c>
      <c r="H95" s="53"/>
      <c r="I95" s="46"/>
      <c r="J95" s="53"/>
    </row>
    <row r="96" spans="1:10">
      <c r="A96" s="57" t="s">
        <v>843</v>
      </c>
      <c r="B96" s="46" t="s">
        <v>447</v>
      </c>
      <c r="C96" s="46"/>
      <c r="D96" s="53">
        <v>80</v>
      </c>
      <c r="E96" s="46">
        <v>1</v>
      </c>
      <c r="F96" s="53">
        <f t="shared" si="7"/>
        <v>80</v>
      </c>
      <c r="G96" s="53">
        <f t="shared" si="8"/>
        <v>90.399999999999991</v>
      </c>
      <c r="H96" s="53"/>
      <c r="I96" s="46"/>
      <c r="J96" s="53"/>
    </row>
    <row r="97" spans="1:10">
      <c r="A97" s="57" t="s">
        <v>842</v>
      </c>
      <c r="B97" s="46" t="s">
        <v>841</v>
      </c>
      <c r="C97" s="46"/>
      <c r="D97" s="53">
        <v>338</v>
      </c>
      <c r="E97" s="46">
        <v>1</v>
      </c>
      <c r="F97" s="53">
        <f t="shared" si="7"/>
        <v>338</v>
      </c>
      <c r="G97" s="53">
        <f t="shared" si="8"/>
        <v>381.93999999999994</v>
      </c>
      <c r="H97" s="53"/>
      <c r="I97" s="46"/>
      <c r="J97" s="53">
        <v>290.54000000000002</v>
      </c>
    </row>
    <row r="98" spans="1:10" s="84" customFormat="1">
      <c r="A98" s="85"/>
      <c r="B98" s="86"/>
      <c r="C98" s="86"/>
      <c r="D98" s="83"/>
      <c r="E98" s="86"/>
      <c r="F98" s="83"/>
      <c r="G98" s="83"/>
      <c r="H98" s="83"/>
      <c r="I98" s="86"/>
      <c r="J98" s="83"/>
    </row>
    <row r="99" spans="1:10" ht="15.75">
      <c r="A99" s="362" t="s">
        <v>996</v>
      </c>
      <c r="B99" s="362"/>
      <c r="C99" s="362"/>
      <c r="D99" s="362"/>
      <c r="E99" s="362"/>
      <c r="F99" s="362"/>
      <c r="G99" s="47">
        <f>G100+G114</f>
        <v>-4.3000000001143235E-3</v>
      </c>
      <c r="H99" s="363">
        <f>H100+H114</f>
        <v>543.63</v>
      </c>
      <c r="I99" s="363"/>
      <c r="J99" s="363"/>
    </row>
    <row r="100" spans="1:10">
      <c r="A100" s="364" t="s">
        <v>11</v>
      </c>
      <c r="B100" s="364"/>
      <c r="C100" s="364"/>
      <c r="D100" s="364"/>
      <c r="E100" s="364"/>
      <c r="F100" s="364"/>
      <c r="G100" s="54">
        <f>SUM(G102:G113)</f>
        <v>460.9156999999999</v>
      </c>
      <c r="H100" s="361">
        <f>SUM(J102:J104)+SUM(J108)+SUM(J112:J113)</f>
        <v>543.63</v>
      </c>
      <c r="I100" s="361"/>
      <c r="J100" s="361"/>
    </row>
    <row r="101" spans="1:10">
      <c r="A101" s="366" t="s">
        <v>840</v>
      </c>
      <c r="B101" s="366"/>
      <c r="C101" s="366"/>
      <c r="D101" s="366"/>
      <c r="E101" s="366"/>
      <c r="F101" s="366"/>
      <c r="G101" s="366"/>
      <c r="H101" s="366"/>
      <c r="I101" s="366"/>
      <c r="J101" s="366"/>
    </row>
    <row r="102" spans="1:10">
      <c r="A102" s="57" t="s">
        <v>839</v>
      </c>
      <c r="B102" s="58" t="s">
        <v>838</v>
      </c>
      <c r="C102" s="58" t="s">
        <v>837</v>
      </c>
      <c r="D102" s="53">
        <v>7</v>
      </c>
      <c r="E102" s="46">
        <v>14</v>
      </c>
      <c r="F102" s="53">
        <f>D102*E102</f>
        <v>98</v>
      </c>
      <c r="G102" s="53">
        <f>F102*1.13</f>
        <v>110.74</v>
      </c>
      <c r="H102" s="53"/>
      <c r="I102" s="46"/>
      <c r="J102" s="53">
        <v>83.39</v>
      </c>
    </row>
    <row r="103" spans="1:10">
      <c r="A103" s="57" t="s">
        <v>836</v>
      </c>
      <c r="B103" s="46" t="s">
        <v>835</v>
      </c>
      <c r="C103" s="46" t="s">
        <v>834</v>
      </c>
      <c r="D103" s="53">
        <v>11.99</v>
      </c>
      <c r="E103" s="46">
        <v>1</v>
      </c>
      <c r="F103" s="53">
        <f>D103*E103</f>
        <v>11.99</v>
      </c>
      <c r="G103" s="53">
        <f>F103*1.13</f>
        <v>13.548699999999998</v>
      </c>
      <c r="H103" s="53"/>
      <c r="I103" s="46"/>
      <c r="J103" s="53">
        <v>18.03</v>
      </c>
    </row>
    <row r="104" spans="1:10">
      <c r="A104" s="57" t="s">
        <v>833</v>
      </c>
      <c r="B104" s="46" t="s">
        <v>832</v>
      </c>
      <c r="C104" s="46" t="s">
        <v>831</v>
      </c>
      <c r="D104" s="53">
        <v>3.99</v>
      </c>
      <c r="E104" s="46">
        <v>2</v>
      </c>
      <c r="F104" s="53">
        <f>D104*E104</f>
        <v>7.98</v>
      </c>
      <c r="G104" s="53">
        <f>F104*1.13</f>
        <v>9.0174000000000003</v>
      </c>
      <c r="H104" s="53"/>
      <c r="I104" s="46"/>
      <c r="J104" s="53">
        <v>67.89</v>
      </c>
    </row>
    <row r="105" spans="1:10">
      <c r="A105" s="57" t="s">
        <v>830</v>
      </c>
      <c r="B105" s="46" t="s">
        <v>829</v>
      </c>
      <c r="C105" s="46" t="s">
        <v>828</v>
      </c>
      <c r="D105" s="53">
        <v>1.99</v>
      </c>
      <c r="E105" s="46">
        <v>2</v>
      </c>
      <c r="F105" s="53">
        <f>D105*E105</f>
        <v>3.98</v>
      </c>
      <c r="G105" s="53">
        <f>F105*1.13</f>
        <v>4.4973999999999998</v>
      </c>
      <c r="H105" s="53"/>
      <c r="I105" s="46"/>
      <c r="J105" s="53"/>
    </row>
    <row r="106" spans="1:10">
      <c r="A106" s="57" t="s">
        <v>827</v>
      </c>
      <c r="B106" s="46" t="s">
        <v>826</v>
      </c>
      <c r="C106" s="46" t="s">
        <v>825</v>
      </c>
      <c r="D106" s="53">
        <v>5</v>
      </c>
      <c r="E106" s="46">
        <v>14</v>
      </c>
      <c r="F106" s="53">
        <f>D106*E106</f>
        <v>70</v>
      </c>
      <c r="G106" s="53">
        <f>F106*1.13</f>
        <v>79.099999999999994</v>
      </c>
      <c r="H106" s="53"/>
      <c r="I106" s="46"/>
      <c r="J106" s="53"/>
    </row>
    <row r="107" spans="1:10">
      <c r="A107" s="366" t="s">
        <v>824</v>
      </c>
      <c r="B107" s="366"/>
      <c r="C107" s="366"/>
      <c r="D107" s="366"/>
      <c r="E107" s="366"/>
      <c r="F107" s="366"/>
      <c r="G107" s="366"/>
      <c r="H107" s="366"/>
      <c r="I107" s="366"/>
      <c r="J107" s="366"/>
    </row>
    <row r="108" spans="1:10">
      <c r="A108" s="57" t="s">
        <v>823</v>
      </c>
      <c r="B108" s="46" t="s">
        <v>822</v>
      </c>
      <c r="C108" s="46" t="s">
        <v>821</v>
      </c>
      <c r="D108" s="53">
        <v>15</v>
      </c>
      <c r="E108" s="46">
        <v>1</v>
      </c>
      <c r="F108" s="53">
        <f>D108*E108</f>
        <v>15</v>
      </c>
      <c r="G108" s="53">
        <f>F108*1.13</f>
        <v>16.95</v>
      </c>
      <c r="H108" s="53"/>
      <c r="I108" s="46"/>
      <c r="J108" s="53">
        <v>158.19999999999999</v>
      </c>
    </row>
    <row r="109" spans="1:10">
      <c r="A109" s="57" t="s">
        <v>820</v>
      </c>
      <c r="B109" s="46" t="s">
        <v>819</v>
      </c>
      <c r="C109" s="46" t="s">
        <v>818</v>
      </c>
      <c r="D109" s="53">
        <v>17.5</v>
      </c>
      <c r="E109" s="46">
        <v>1</v>
      </c>
      <c r="F109" s="53">
        <f>D109*E109</f>
        <v>17.5</v>
      </c>
      <c r="G109" s="53">
        <f>F109*1.13</f>
        <v>19.774999999999999</v>
      </c>
      <c r="H109" s="53"/>
      <c r="I109" s="46"/>
      <c r="J109" s="53"/>
    </row>
    <row r="110" spans="1:10">
      <c r="A110" s="366" t="s">
        <v>817</v>
      </c>
      <c r="B110" s="366"/>
      <c r="C110" s="366"/>
      <c r="D110" s="366"/>
      <c r="E110" s="366"/>
      <c r="F110" s="366"/>
      <c r="G110" s="366"/>
      <c r="H110" s="366"/>
      <c r="I110" s="366"/>
      <c r="J110" s="366"/>
    </row>
    <row r="111" spans="1:10">
      <c r="A111" s="57" t="s">
        <v>816</v>
      </c>
      <c r="B111" s="46" t="s">
        <v>790</v>
      </c>
      <c r="C111" s="46"/>
      <c r="D111" s="53">
        <v>4.49</v>
      </c>
      <c r="E111" s="46">
        <v>3</v>
      </c>
      <c r="F111" s="53">
        <f>D111*E111</f>
        <v>13.47</v>
      </c>
      <c r="G111" s="53">
        <f>F111*1.13</f>
        <v>15.2211</v>
      </c>
      <c r="H111" s="53"/>
      <c r="I111" s="46"/>
      <c r="J111" s="53"/>
    </row>
    <row r="112" spans="1:10">
      <c r="A112" s="57" t="s">
        <v>815</v>
      </c>
      <c r="B112" s="46" t="s">
        <v>20</v>
      </c>
      <c r="C112" s="46" t="s">
        <v>814</v>
      </c>
      <c r="D112" s="53">
        <v>65</v>
      </c>
      <c r="E112" s="46">
        <v>1</v>
      </c>
      <c r="F112" s="53">
        <f>D112*E112</f>
        <v>65</v>
      </c>
      <c r="G112" s="53">
        <f>F112*1.13</f>
        <v>73.449999999999989</v>
      </c>
      <c r="H112" s="53"/>
      <c r="I112" s="46"/>
      <c r="J112" s="53">
        <v>107.35</v>
      </c>
    </row>
    <row r="113" spans="1:10">
      <c r="A113" s="57" t="s">
        <v>813</v>
      </c>
      <c r="B113" s="46" t="s">
        <v>299</v>
      </c>
      <c r="C113" s="46" t="s">
        <v>812</v>
      </c>
      <c r="D113" s="53">
        <f>39.99+34.99+29.99</f>
        <v>104.97</v>
      </c>
      <c r="E113" s="46">
        <v>1</v>
      </c>
      <c r="F113" s="53">
        <f>D113*E113</f>
        <v>104.97</v>
      </c>
      <c r="G113" s="53">
        <f>F113*1.13</f>
        <v>118.61609999999999</v>
      </c>
      <c r="H113" s="53"/>
      <c r="I113" s="46"/>
      <c r="J113" s="53">
        <v>108.77</v>
      </c>
    </row>
    <row r="114" spans="1:10">
      <c r="A114" s="359" t="s">
        <v>12</v>
      </c>
      <c r="B114" s="360"/>
      <c r="C114" s="360"/>
      <c r="D114" s="360"/>
      <c r="E114" s="360"/>
      <c r="F114" s="360"/>
      <c r="G114" s="54">
        <f>-SUM(G115)</f>
        <v>-460.92</v>
      </c>
      <c r="H114" s="361">
        <f>-SUM(J115:J119)</f>
        <v>0</v>
      </c>
      <c r="I114" s="361"/>
      <c r="J114" s="361"/>
    </row>
    <row r="115" spans="1:10">
      <c r="A115" s="57" t="s">
        <v>811</v>
      </c>
      <c r="B115" s="46" t="s">
        <v>810</v>
      </c>
      <c r="C115" s="46" t="s">
        <v>809</v>
      </c>
      <c r="D115" s="53"/>
      <c r="E115" s="46"/>
      <c r="F115" s="53">
        <f>D115*E115</f>
        <v>0</v>
      </c>
      <c r="G115" s="53">
        <v>460.92</v>
      </c>
      <c r="H115" s="53"/>
      <c r="I115" s="46"/>
      <c r="J115" s="53"/>
    </row>
    <row r="116" spans="1:10" s="84" customFormat="1">
      <c r="A116" s="85"/>
      <c r="B116" s="86"/>
      <c r="C116" s="86"/>
      <c r="D116" s="83"/>
      <c r="E116" s="86"/>
      <c r="F116" s="83"/>
      <c r="G116" s="83"/>
      <c r="H116" s="83"/>
      <c r="I116" s="86"/>
      <c r="J116" s="83"/>
    </row>
    <row r="117" spans="1:10" ht="15.75">
      <c r="A117" s="370" t="s">
        <v>997</v>
      </c>
      <c r="B117" s="370"/>
      <c r="C117" s="370"/>
      <c r="D117" s="370"/>
      <c r="E117" s="370"/>
      <c r="F117" s="370"/>
      <c r="G117" s="88">
        <f>SUM(G118+G132)</f>
        <v>2.5000000000545697E-3</v>
      </c>
      <c r="H117" s="382">
        <f>H118+H520</f>
        <v>10</v>
      </c>
      <c r="I117" s="382"/>
      <c r="J117" s="382"/>
    </row>
    <row r="118" spans="1:10">
      <c r="A118" s="364" t="s">
        <v>11</v>
      </c>
      <c r="B118" s="364"/>
      <c r="C118" s="364"/>
      <c r="D118" s="364"/>
      <c r="E118" s="364"/>
      <c r="F118" s="364"/>
      <c r="G118" s="54">
        <f>SUM(G120:G131)</f>
        <v>3060.0025000000001</v>
      </c>
      <c r="H118" s="369">
        <f>SUM(J120:J124)</f>
        <v>10</v>
      </c>
      <c r="I118" s="369"/>
      <c r="J118" s="369"/>
    </row>
    <row r="119" spans="1:10">
      <c r="A119" s="366" t="s">
        <v>808</v>
      </c>
      <c r="B119" s="366"/>
      <c r="C119" s="366"/>
      <c r="D119" s="366"/>
      <c r="E119" s="366"/>
      <c r="F119" s="366"/>
      <c r="G119" s="366"/>
      <c r="H119" s="366"/>
      <c r="I119" s="366"/>
      <c r="J119" s="366"/>
    </row>
    <row r="120" spans="1:10">
      <c r="A120" s="57" t="s">
        <v>807</v>
      </c>
      <c r="B120" s="46" t="s">
        <v>806</v>
      </c>
      <c r="C120" s="46" t="s">
        <v>805</v>
      </c>
      <c r="D120" s="53">
        <v>1</v>
      </c>
      <c r="E120" s="46">
        <v>4</v>
      </c>
      <c r="F120" s="53">
        <f>D120*E120</f>
        <v>4</v>
      </c>
      <c r="G120" s="53">
        <f>F120*1.13</f>
        <v>4.5199999999999996</v>
      </c>
      <c r="H120" s="53"/>
      <c r="I120" s="46"/>
      <c r="J120" s="53"/>
    </row>
    <row r="121" spans="1:10">
      <c r="A121" s="57" t="s">
        <v>804</v>
      </c>
      <c r="B121" s="46" t="s">
        <v>803</v>
      </c>
      <c r="C121" s="46" t="s">
        <v>802</v>
      </c>
      <c r="D121" s="53">
        <v>1.25</v>
      </c>
      <c r="E121" s="46">
        <v>3</v>
      </c>
      <c r="F121" s="53">
        <f>D121*E121</f>
        <v>3.75</v>
      </c>
      <c r="G121" s="53">
        <f>F121*1.13</f>
        <v>4.2374999999999998</v>
      </c>
      <c r="H121" s="53"/>
      <c r="I121" s="46"/>
      <c r="J121" s="53"/>
    </row>
    <row r="122" spans="1:10">
      <c r="A122" s="57" t="s">
        <v>801</v>
      </c>
      <c r="B122" s="46" t="s">
        <v>800</v>
      </c>
      <c r="C122" s="46" t="s">
        <v>799</v>
      </c>
      <c r="D122" s="53">
        <v>2</v>
      </c>
      <c r="E122" s="46">
        <v>2</v>
      </c>
      <c r="F122" s="53">
        <f>D122*E122</f>
        <v>4</v>
      </c>
      <c r="G122" s="53">
        <f>F122*1.13</f>
        <v>4.5199999999999996</v>
      </c>
      <c r="H122" s="53"/>
      <c r="I122" s="46"/>
      <c r="J122" s="53"/>
    </row>
    <row r="123" spans="1:10">
      <c r="A123" s="57" t="s">
        <v>798</v>
      </c>
      <c r="B123" s="46" t="s">
        <v>797</v>
      </c>
      <c r="C123" s="46" t="s">
        <v>796</v>
      </c>
      <c r="D123" s="53">
        <v>1.5</v>
      </c>
      <c r="E123" s="46">
        <v>1</v>
      </c>
      <c r="F123" s="53">
        <f>D123*E123</f>
        <v>1.5</v>
      </c>
      <c r="G123" s="53">
        <f>F123*1.13</f>
        <v>1.6949999999999998</v>
      </c>
      <c r="H123" s="53"/>
      <c r="I123" s="46"/>
      <c r="J123" s="53"/>
    </row>
    <row r="124" spans="1:10">
      <c r="A124" s="57" t="s">
        <v>795</v>
      </c>
      <c r="B124" s="46" t="s">
        <v>794</v>
      </c>
      <c r="C124" s="46" t="s">
        <v>793</v>
      </c>
      <c r="D124" s="53">
        <v>10</v>
      </c>
      <c r="E124" s="46">
        <v>1</v>
      </c>
      <c r="F124" s="53">
        <f>D124*E124</f>
        <v>10</v>
      </c>
      <c r="G124" s="53">
        <f>F124*1.13</f>
        <v>11.299999999999999</v>
      </c>
      <c r="H124" s="53"/>
      <c r="I124" s="46"/>
      <c r="J124" s="53">
        <v>10</v>
      </c>
    </row>
    <row r="125" spans="1:10">
      <c r="A125" s="366" t="s">
        <v>792</v>
      </c>
      <c r="B125" s="366"/>
      <c r="C125" s="366"/>
      <c r="D125" s="366"/>
      <c r="E125" s="366"/>
      <c r="F125" s="366"/>
      <c r="G125" s="366"/>
      <c r="H125" s="366"/>
      <c r="I125" s="366"/>
      <c r="J125" s="366"/>
    </row>
    <row r="126" spans="1:10">
      <c r="A126" s="57" t="s">
        <v>791</v>
      </c>
      <c r="B126" s="46" t="s">
        <v>790</v>
      </c>
      <c r="C126" s="46" t="s">
        <v>789</v>
      </c>
      <c r="D126" s="53">
        <v>0</v>
      </c>
      <c r="E126" s="46">
        <v>12</v>
      </c>
      <c r="F126" s="53">
        <f t="shared" ref="F126:F131" si="9">D126*E126</f>
        <v>0</v>
      </c>
      <c r="G126" s="53">
        <f>F126*1.13</f>
        <v>0</v>
      </c>
      <c r="H126" s="53"/>
      <c r="I126" s="46"/>
      <c r="J126" s="53"/>
    </row>
    <row r="127" spans="1:10">
      <c r="A127" s="57" t="s">
        <v>788</v>
      </c>
      <c r="B127" s="46" t="s">
        <v>787</v>
      </c>
      <c r="C127" s="46" t="s">
        <v>786</v>
      </c>
      <c r="D127" s="53">
        <v>2</v>
      </c>
      <c r="E127" s="46">
        <v>5</v>
      </c>
      <c r="F127" s="53">
        <f t="shared" si="9"/>
        <v>10</v>
      </c>
      <c r="G127" s="53">
        <f>F127*1.13</f>
        <v>11.299999999999999</v>
      </c>
      <c r="H127" s="53"/>
      <c r="I127" s="46"/>
      <c r="J127" s="53"/>
    </row>
    <row r="128" spans="1:10">
      <c r="A128" s="57" t="s">
        <v>785</v>
      </c>
      <c r="B128" s="46" t="s">
        <v>784</v>
      </c>
      <c r="C128" s="46" t="s">
        <v>783</v>
      </c>
      <c r="D128" s="53">
        <v>40</v>
      </c>
      <c r="E128" s="46">
        <v>1</v>
      </c>
      <c r="F128" s="53">
        <f t="shared" si="9"/>
        <v>40</v>
      </c>
      <c r="G128" s="53">
        <f>F128*1.13</f>
        <v>45.199999999999996</v>
      </c>
      <c r="H128" s="53"/>
      <c r="I128" s="46"/>
      <c r="J128" s="53"/>
    </row>
    <row r="129" spans="1:10">
      <c r="A129" s="57" t="s">
        <v>782</v>
      </c>
      <c r="B129" s="46" t="s">
        <v>781</v>
      </c>
      <c r="C129" s="46" t="s">
        <v>780</v>
      </c>
      <c r="D129" s="53">
        <v>2</v>
      </c>
      <c r="E129" s="46">
        <v>5</v>
      </c>
      <c r="F129" s="53">
        <f t="shared" si="9"/>
        <v>10</v>
      </c>
      <c r="G129" s="53">
        <f>F129*1.13</f>
        <v>11.299999999999999</v>
      </c>
      <c r="H129" s="53"/>
      <c r="I129" s="46"/>
      <c r="J129" s="53"/>
    </row>
    <row r="130" spans="1:10">
      <c r="A130" s="57" t="s">
        <v>779</v>
      </c>
      <c r="B130" s="46" t="s">
        <v>778</v>
      </c>
      <c r="C130" s="46" t="s">
        <v>777</v>
      </c>
      <c r="D130" s="53">
        <v>1</v>
      </c>
      <c r="E130" s="46">
        <v>9</v>
      </c>
      <c r="F130" s="53">
        <f t="shared" si="9"/>
        <v>9</v>
      </c>
      <c r="G130" s="53">
        <f>F130*1.13</f>
        <v>10.169999999999998</v>
      </c>
      <c r="H130" s="53"/>
      <c r="I130" s="46"/>
      <c r="J130" s="53"/>
    </row>
    <row r="131" spans="1:10">
      <c r="A131" s="57" t="s">
        <v>776</v>
      </c>
      <c r="B131" s="46" t="s">
        <v>775</v>
      </c>
      <c r="C131" s="46"/>
      <c r="D131" s="53">
        <v>2955.76</v>
      </c>
      <c r="E131" s="46">
        <v>1</v>
      </c>
      <c r="F131" s="53">
        <f t="shared" si="9"/>
        <v>2955.76</v>
      </c>
      <c r="G131" s="53">
        <f>F131</f>
        <v>2955.76</v>
      </c>
      <c r="H131" s="53"/>
      <c r="I131" s="46"/>
      <c r="J131" s="53"/>
    </row>
    <row r="132" spans="1:10">
      <c r="A132" s="359" t="s">
        <v>12</v>
      </c>
      <c r="B132" s="360"/>
      <c r="C132" s="360"/>
      <c r="D132" s="360"/>
      <c r="E132" s="360"/>
      <c r="F132" s="360"/>
      <c r="G132" s="54">
        <f>-SUM(G133:G140)</f>
        <v>-3060</v>
      </c>
      <c r="H132" s="369">
        <f>SUM(J134:J137)</f>
        <v>0</v>
      </c>
      <c r="I132" s="369"/>
      <c r="J132" s="369"/>
    </row>
    <row r="133" spans="1:10">
      <c r="A133" s="57" t="s">
        <v>774</v>
      </c>
      <c r="B133" s="46" t="s">
        <v>773</v>
      </c>
      <c r="C133" s="46" t="s">
        <v>772</v>
      </c>
      <c r="D133" s="53">
        <v>100</v>
      </c>
      <c r="E133" s="46">
        <v>1</v>
      </c>
      <c r="F133" s="53">
        <f t="shared" ref="F133:F140" si="10">D133*E133</f>
        <v>100</v>
      </c>
      <c r="G133" s="53">
        <f t="shared" ref="G133:G140" si="11">F133</f>
        <v>100</v>
      </c>
      <c r="H133" s="53"/>
      <c r="I133" s="46"/>
      <c r="J133" s="53"/>
    </row>
    <row r="134" spans="1:10">
      <c r="A134" s="57" t="s">
        <v>771</v>
      </c>
      <c r="B134" s="46" t="s">
        <v>770</v>
      </c>
      <c r="C134" s="46" t="s">
        <v>769</v>
      </c>
      <c r="D134" s="53">
        <v>100</v>
      </c>
      <c r="E134" s="46">
        <v>1</v>
      </c>
      <c r="F134" s="53">
        <f t="shared" si="10"/>
        <v>100</v>
      </c>
      <c r="G134" s="53">
        <f t="shared" si="11"/>
        <v>100</v>
      </c>
      <c r="H134" s="53"/>
      <c r="I134" s="46"/>
      <c r="J134" s="53"/>
    </row>
    <row r="135" spans="1:10">
      <c r="A135" s="57" t="s">
        <v>768</v>
      </c>
      <c r="B135" s="46" t="s">
        <v>767</v>
      </c>
      <c r="C135" s="46" t="s">
        <v>766</v>
      </c>
      <c r="D135" s="59">
        <v>5</v>
      </c>
      <c r="E135" s="46">
        <v>30</v>
      </c>
      <c r="F135" s="53">
        <f t="shared" si="10"/>
        <v>150</v>
      </c>
      <c r="G135" s="53">
        <f t="shared" si="11"/>
        <v>150</v>
      </c>
      <c r="H135" s="53"/>
      <c r="I135" s="46"/>
      <c r="J135" s="53"/>
    </row>
    <row r="136" spans="1:10">
      <c r="A136" s="57" t="s">
        <v>765</v>
      </c>
      <c r="B136" s="46" t="s">
        <v>478</v>
      </c>
      <c r="C136" s="46" t="s">
        <v>764</v>
      </c>
      <c r="D136" s="53">
        <v>150</v>
      </c>
      <c r="E136" s="46">
        <v>1</v>
      </c>
      <c r="F136" s="53">
        <f t="shared" si="10"/>
        <v>150</v>
      </c>
      <c r="G136" s="53">
        <f t="shared" si="11"/>
        <v>150</v>
      </c>
      <c r="H136" s="53"/>
      <c r="I136" s="46"/>
      <c r="J136" s="53"/>
    </row>
    <row r="137" spans="1:10">
      <c r="A137" s="57" t="s">
        <v>763</v>
      </c>
      <c r="B137" s="46" t="s">
        <v>478</v>
      </c>
      <c r="C137" s="46" t="s">
        <v>762</v>
      </c>
      <c r="D137" s="53">
        <v>1300</v>
      </c>
      <c r="E137" s="46">
        <v>1</v>
      </c>
      <c r="F137" s="53">
        <f t="shared" si="10"/>
        <v>1300</v>
      </c>
      <c r="G137" s="53">
        <f t="shared" si="11"/>
        <v>1300</v>
      </c>
      <c r="H137" s="53"/>
      <c r="I137" s="46"/>
      <c r="J137" s="53"/>
    </row>
    <row r="138" spans="1:10">
      <c r="A138" s="57" t="s">
        <v>761</v>
      </c>
      <c r="B138" s="46" t="s">
        <v>760</v>
      </c>
      <c r="C138" s="46" t="s">
        <v>759</v>
      </c>
      <c r="D138" s="53">
        <v>17</v>
      </c>
      <c r="E138" s="46">
        <v>30</v>
      </c>
      <c r="F138" s="53">
        <f t="shared" si="10"/>
        <v>510</v>
      </c>
      <c r="G138" s="53">
        <f t="shared" si="11"/>
        <v>510</v>
      </c>
      <c r="H138" s="53"/>
      <c r="I138" s="46"/>
      <c r="J138" s="53"/>
    </row>
    <row r="139" spans="1:10">
      <c r="A139" s="57" t="s">
        <v>758</v>
      </c>
      <c r="B139" s="46" t="s">
        <v>757</v>
      </c>
      <c r="C139" s="46" t="s">
        <v>754</v>
      </c>
      <c r="D139" s="53">
        <v>25</v>
      </c>
      <c r="E139" s="46">
        <v>10</v>
      </c>
      <c r="F139" s="53">
        <f t="shared" si="10"/>
        <v>250</v>
      </c>
      <c r="G139" s="53">
        <f t="shared" si="11"/>
        <v>250</v>
      </c>
      <c r="H139" s="53"/>
      <c r="I139" s="46"/>
      <c r="J139" s="53"/>
    </row>
    <row r="140" spans="1:10">
      <c r="A140" s="87" t="s">
        <v>756</v>
      </c>
      <c r="B140" s="80" t="s">
        <v>755</v>
      </c>
      <c r="C140" s="80" t="s">
        <v>754</v>
      </c>
      <c r="D140" s="81">
        <v>50</v>
      </c>
      <c r="E140" s="80">
        <v>10</v>
      </c>
      <c r="F140" s="81">
        <f t="shared" si="10"/>
        <v>500</v>
      </c>
      <c r="G140" s="81">
        <f t="shared" si="11"/>
        <v>500</v>
      </c>
      <c r="H140" s="81"/>
      <c r="I140" s="80"/>
      <c r="J140" s="81"/>
    </row>
    <row r="141" spans="1:10" s="84" customFormat="1">
      <c r="A141" s="89"/>
      <c r="B141" s="90"/>
      <c r="C141" s="90"/>
      <c r="D141" s="91"/>
      <c r="E141" s="90"/>
      <c r="F141" s="91"/>
      <c r="G141" s="91"/>
      <c r="H141" s="91"/>
      <c r="I141" s="90"/>
      <c r="J141" s="91"/>
    </row>
    <row r="142" spans="1:10" ht="15.75">
      <c r="A142" s="370" t="s">
        <v>753</v>
      </c>
      <c r="B142" s="370"/>
      <c r="C142" s="370"/>
      <c r="D142" s="370"/>
      <c r="E142" s="370"/>
      <c r="F142" s="370"/>
      <c r="G142" s="88">
        <f>G143+G157</f>
        <v>1241.9999999999991</v>
      </c>
      <c r="H142" s="382">
        <f>H143+H157</f>
        <v>259.01</v>
      </c>
      <c r="I142" s="382"/>
      <c r="J142" s="382"/>
    </row>
    <row r="143" spans="1:10">
      <c r="A143" s="364" t="s">
        <v>11</v>
      </c>
      <c r="B143" s="364"/>
      <c r="C143" s="364"/>
      <c r="D143" s="364"/>
      <c r="E143" s="364"/>
      <c r="F143" s="364"/>
      <c r="G143" s="54">
        <f>SUM(G145:G156)</f>
        <v>3891.9999999999991</v>
      </c>
      <c r="H143" s="369">
        <f>SUM(J145:J155)</f>
        <v>1429.01</v>
      </c>
      <c r="I143" s="369"/>
      <c r="J143" s="369"/>
    </row>
    <row r="144" spans="1:10">
      <c r="A144" s="366" t="s">
        <v>284</v>
      </c>
      <c r="B144" s="366"/>
      <c r="C144" s="366"/>
      <c r="D144" s="366"/>
      <c r="E144" s="366"/>
      <c r="F144" s="366"/>
      <c r="G144" s="366"/>
      <c r="H144" s="366"/>
      <c r="I144" s="366"/>
      <c r="J144" s="366"/>
    </row>
    <row r="145" spans="1:10">
      <c r="A145" s="57" t="s">
        <v>752</v>
      </c>
      <c r="B145" s="46" t="s">
        <v>751</v>
      </c>
      <c r="C145" s="46" t="s">
        <v>750</v>
      </c>
      <c r="D145" s="53">
        <v>50</v>
      </c>
      <c r="E145" s="46">
        <v>1</v>
      </c>
      <c r="F145" s="53">
        <f>D145*E145</f>
        <v>50</v>
      </c>
      <c r="G145" s="53">
        <f>F145*1.13</f>
        <v>56.499999999999993</v>
      </c>
      <c r="H145" s="53"/>
      <c r="I145" s="46"/>
      <c r="J145" s="53">
        <v>56.48</v>
      </c>
    </row>
    <row r="146" spans="1:10">
      <c r="A146" s="57" t="s">
        <v>749</v>
      </c>
      <c r="B146" s="46"/>
      <c r="C146" s="46" t="s">
        <v>748</v>
      </c>
      <c r="D146" s="53"/>
      <c r="E146" s="46"/>
      <c r="F146" s="53"/>
      <c r="G146" s="53">
        <f>F145-G145</f>
        <v>-6.4999999999999929</v>
      </c>
      <c r="H146" s="53"/>
      <c r="I146" s="46"/>
      <c r="J146" s="53"/>
    </row>
    <row r="147" spans="1:10">
      <c r="A147" s="366" t="s">
        <v>1000</v>
      </c>
      <c r="B147" s="366"/>
      <c r="C147" s="366"/>
      <c r="D147" s="366"/>
      <c r="E147" s="366"/>
      <c r="F147" s="366"/>
      <c r="G147" s="366"/>
      <c r="H147" s="366"/>
      <c r="I147" s="366"/>
      <c r="J147" s="366"/>
    </row>
    <row r="148" spans="1:10">
      <c r="A148" s="57" t="s">
        <v>747</v>
      </c>
      <c r="B148" s="46" t="s">
        <v>746</v>
      </c>
      <c r="C148" s="46"/>
      <c r="D148" s="53">
        <v>3</v>
      </c>
      <c r="E148" s="46">
        <v>50</v>
      </c>
      <c r="F148" s="53">
        <f>D148*E148</f>
        <v>150</v>
      </c>
      <c r="G148" s="53">
        <f>F148*1.13</f>
        <v>169.49999999999997</v>
      </c>
      <c r="H148" s="53"/>
      <c r="I148" s="46"/>
      <c r="J148" s="53">
        <v>81.16</v>
      </c>
    </row>
    <row r="149" spans="1:10">
      <c r="A149" s="57" t="s">
        <v>745</v>
      </c>
      <c r="B149" s="46" t="s">
        <v>744</v>
      </c>
      <c r="C149" s="46"/>
      <c r="D149" s="53">
        <v>30</v>
      </c>
      <c r="E149" s="46">
        <v>1</v>
      </c>
      <c r="F149" s="53">
        <f>D149*E149</f>
        <v>30</v>
      </c>
      <c r="G149" s="53">
        <f>F149*1.13</f>
        <v>33.9</v>
      </c>
      <c r="H149" s="53"/>
      <c r="I149" s="46"/>
      <c r="J149" s="53"/>
    </row>
    <row r="150" spans="1:10">
      <c r="A150" s="57" t="s">
        <v>743</v>
      </c>
      <c r="B150" s="46" t="s">
        <v>742</v>
      </c>
      <c r="C150" s="46"/>
      <c r="D150" s="53">
        <v>15</v>
      </c>
      <c r="E150" s="46">
        <v>2</v>
      </c>
      <c r="F150" s="53">
        <f>D150*E150</f>
        <v>30</v>
      </c>
      <c r="G150" s="53">
        <f>F150*1.13</f>
        <v>33.9</v>
      </c>
      <c r="H150" s="53"/>
      <c r="I150" s="46"/>
      <c r="J150" s="53"/>
    </row>
    <row r="151" spans="1:10">
      <c r="A151" s="57" t="s">
        <v>741</v>
      </c>
      <c r="B151" s="46" t="s">
        <v>740</v>
      </c>
      <c r="C151" s="46"/>
      <c r="D151" s="53">
        <v>50</v>
      </c>
      <c r="E151" s="46">
        <v>1</v>
      </c>
      <c r="F151" s="53">
        <f>D151*E151</f>
        <v>50</v>
      </c>
      <c r="G151" s="53">
        <f>F151*1.13</f>
        <v>56.499999999999993</v>
      </c>
      <c r="H151" s="53"/>
      <c r="I151" s="46"/>
      <c r="J151" s="53"/>
    </row>
    <row r="152" spans="1:10">
      <c r="A152" s="366" t="s">
        <v>739</v>
      </c>
      <c r="B152" s="366"/>
      <c r="C152" s="366"/>
      <c r="D152" s="366"/>
      <c r="E152" s="366"/>
      <c r="F152" s="366"/>
      <c r="G152" s="366"/>
      <c r="H152" s="366"/>
      <c r="I152" s="366"/>
      <c r="J152" s="366"/>
    </row>
    <row r="153" spans="1:10">
      <c r="A153" s="57" t="s">
        <v>738</v>
      </c>
      <c r="B153" s="46"/>
      <c r="C153" s="46"/>
      <c r="D153" s="53"/>
      <c r="E153" s="46"/>
      <c r="F153" s="53">
        <f>D153*E153</f>
        <v>0</v>
      </c>
      <c r="G153" s="53">
        <f>F153*1.13</f>
        <v>0</v>
      </c>
      <c r="H153" s="53"/>
      <c r="I153" s="46"/>
      <c r="J153" s="53"/>
    </row>
    <row r="154" spans="1:10">
      <c r="A154" s="57" t="s">
        <v>737</v>
      </c>
      <c r="B154" s="46" t="s">
        <v>556</v>
      </c>
      <c r="C154" s="46" t="s">
        <v>736</v>
      </c>
      <c r="D154" s="53">
        <v>900</v>
      </c>
      <c r="E154" s="46">
        <v>3</v>
      </c>
      <c r="F154" s="53">
        <f>D154*E154</f>
        <v>2700</v>
      </c>
      <c r="G154" s="53">
        <f>F154*1.13</f>
        <v>3050.9999999999995</v>
      </c>
      <c r="H154" s="53"/>
      <c r="I154" s="46"/>
      <c r="J154" s="53">
        <v>1239.4000000000001</v>
      </c>
    </row>
    <row r="155" spans="1:10">
      <c r="A155" s="57" t="s">
        <v>735</v>
      </c>
      <c r="B155" s="46" t="s">
        <v>734</v>
      </c>
      <c r="C155" s="46" t="s">
        <v>733</v>
      </c>
      <c r="D155" s="53">
        <v>75</v>
      </c>
      <c r="E155" s="46">
        <v>4</v>
      </c>
      <c r="F155" s="53">
        <f>D155*E155</f>
        <v>300</v>
      </c>
      <c r="G155" s="53">
        <f>F155*1.13</f>
        <v>338.99999999999994</v>
      </c>
      <c r="H155" s="53"/>
      <c r="I155" s="46"/>
      <c r="J155" s="53">
        <v>51.97</v>
      </c>
    </row>
    <row r="156" spans="1:10">
      <c r="A156" s="57" t="s">
        <v>732</v>
      </c>
      <c r="B156" s="46" t="s">
        <v>731</v>
      </c>
      <c r="C156" s="46"/>
      <c r="D156" s="53">
        <v>20</v>
      </c>
      <c r="E156" s="46">
        <v>7</v>
      </c>
      <c r="F156" s="53">
        <f>D156*E156</f>
        <v>140</v>
      </c>
      <c r="G156" s="53">
        <f>F156*1.13</f>
        <v>158.19999999999999</v>
      </c>
      <c r="H156" s="53"/>
      <c r="I156" s="46"/>
      <c r="J156" s="53"/>
    </row>
    <row r="157" spans="1:10">
      <c r="A157" s="359" t="s">
        <v>12</v>
      </c>
      <c r="B157" s="360"/>
      <c r="C157" s="360"/>
      <c r="D157" s="360"/>
      <c r="E157" s="360"/>
      <c r="F157" s="360"/>
      <c r="G157" s="54">
        <f>-SUM(G158:G160)</f>
        <v>-2650</v>
      </c>
      <c r="H157" s="369">
        <f>-SUM(J158:J160)</f>
        <v>-1170</v>
      </c>
      <c r="I157" s="369"/>
      <c r="J157" s="369"/>
    </row>
    <row r="158" spans="1:10">
      <c r="A158" s="57" t="s">
        <v>730</v>
      </c>
      <c r="B158" s="46" t="s">
        <v>729</v>
      </c>
      <c r="C158" s="46" t="s">
        <v>726</v>
      </c>
      <c r="D158" s="53">
        <v>5</v>
      </c>
      <c r="E158" s="46">
        <v>50</v>
      </c>
      <c r="F158" s="53">
        <f>E158*D158</f>
        <v>250</v>
      </c>
      <c r="G158" s="53">
        <f>F158</f>
        <v>250</v>
      </c>
      <c r="H158" s="53"/>
      <c r="I158" s="46"/>
      <c r="J158" s="53">
        <v>90</v>
      </c>
    </row>
    <row r="159" spans="1:10">
      <c r="A159" s="57" t="s">
        <v>728</v>
      </c>
      <c r="B159" s="46" t="s">
        <v>727</v>
      </c>
      <c r="C159" s="46" t="s">
        <v>726</v>
      </c>
      <c r="D159" s="53">
        <v>30</v>
      </c>
      <c r="E159" s="46">
        <v>60</v>
      </c>
      <c r="F159" s="53">
        <f>E159*D159</f>
        <v>1800</v>
      </c>
      <c r="G159" s="53">
        <f>F159</f>
        <v>1800</v>
      </c>
      <c r="H159" s="53"/>
      <c r="I159" s="46"/>
      <c r="J159" s="53">
        <v>1080</v>
      </c>
    </row>
    <row r="160" spans="1:10">
      <c r="A160" s="57" t="s">
        <v>725</v>
      </c>
      <c r="B160" s="46" t="s">
        <v>724</v>
      </c>
      <c r="C160" s="46" t="s">
        <v>723</v>
      </c>
      <c r="D160" s="53">
        <v>300</v>
      </c>
      <c r="E160" s="46">
        <v>2</v>
      </c>
      <c r="F160" s="53">
        <f>E160*D160</f>
        <v>600</v>
      </c>
      <c r="G160" s="53">
        <f>F160</f>
        <v>600</v>
      </c>
      <c r="H160" s="53"/>
      <c r="I160" s="46"/>
      <c r="J160" s="53"/>
    </row>
    <row r="161" spans="1:10" s="84" customFormat="1">
      <c r="A161" s="89"/>
      <c r="B161" s="90"/>
      <c r="C161" s="90"/>
      <c r="D161" s="91"/>
      <c r="E161" s="90"/>
      <c r="F161" s="91"/>
      <c r="G161" s="91"/>
      <c r="H161" s="91"/>
      <c r="I161" s="90"/>
      <c r="J161" s="91"/>
    </row>
    <row r="162" spans="1:10" ht="15.75">
      <c r="A162" s="362" t="s">
        <v>722</v>
      </c>
      <c r="B162" s="362"/>
      <c r="C162" s="362"/>
      <c r="D162" s="362"/>
      <c r="E162" s="362"/>
      <c r="F162" s="362"/>
      <c r="G162" s="47">
        <f>G163+G199</f>
        <v>39.522999999999229</v>
      </c>
      <c r="H162" s="363">
        <f>H163+H199</f>
        <v>-3432.0099999999998</v>
      </c>
      <c r="I162" s="363"/>
      <c r="J162" s="363"/>
    </row>
    <row r="163" spans="1:10">
      <c r="A163" s="364" t="s">
        <v>11</v>
      </c>
      <c r="B163" s="364"/>
      <c r="C163" s="364"/>
      <c r="D163" s="364"/>
      <c r="E163" s="364"/>
      <c r="F163" s="364"/>
      <c r="G163" s="54">
        <f>SUM(G165:G198)</f>
        <v>5149.5229999999992</v>
      </c>
      <c r="H163" s="369">
        <f>SUM(J165:J198)</f>
        <v>2800.39</v>
      </c>
      <c r="I163" s="369"/>
      <c r="J163" s="369"/>
    </row>
    <row r="164" spans="1:10">
      <c r="A164" s="366" t="s">
        <v>721</v>
      </c>
      <c r="B164" s="366"/>
      <c r="C164" s="366"/>
      <c r="D164" s="366"/>
      <c r="E164" s="366"/>
      <c r="F164" s="366"/>
      <c r="G164" s="366"/>
      <c r="H164" s="366"/>
      <c r="I164" s="366"/>
      <c r="J164" s="366"/>
    </row>
    <row r="165" spans="1:10">
      <c r="A165" s="57" t="s">
        <v>720</v>
      </c>
      <c r="B165" s="46" t="s">
        <v>719</v>
      </c>
      <c r="C165" s="46" t="s">
        <v>718</v>
      </c>
      <c r="D165" s="53">
        <v>40</v>
      </c>
      <c r="E165" s="46">
        <v>12</v>
      </c>
      <c r="F165" s="53">
        <f t="shared" ref="F165:F198" si="12">D165*E165</f>
        <v>480</v>
      </c>
      <c r="G165" s="53">
        <f>F165*1.13</f>
        <v>542.4</v>
      </c>
      <c r="H165" s="53"/>
      <c r="I165" s="46"/>
      <c r="J165" s="53">
        <v>2800.39</v>
      </c>
    </row>
    <row r="166" spans="1:10">
      <c r="A166" s="57" t="s">
        <v>717</v>
      </c>
      <c r="B166" s="46" t="s">
        <v>716</v>
      </c>
      <c r="C166" s="46" t="s">
        <v>715</v>
      </c>
      <c r="D166" s="53">
        <v>420</v>
      </c>
      <c r="E166" s="46">
        <v>1</v>
      </c>
      <c r="F166" s="53">
        <f t="shared" si="12"/>
        <v>420</v>
      </c>
      <c r="G166" s="53">
        <f>F166*1.13</f>
        <v>474.59999999999997</v>
      </c>
      <c r="H166" s="53"/>
      <c r="I166" s="46"/>
      <c r="J166" s="53"/>
    </row>
    <row r="167" spans="1:10">
      <c r="A167" s="49" t="s">
        <v>714</v>
      </c>
      <c r="B167" s="50" t="s">
        <v>712</v>
      </c>
      <c r="C167" s="50" t="s">
        <v>1371</v>
      </c>
      <c r="D167" s="51">
        <v>12.5</v>
      </c>
      <c r="E167" s="50">
        <v>10.5</v>
      </c>
      <c r="F167" s="51">
        <f t="shared" si="12"/>
        <v>131.25</v>
      </c>
      <c r="G167" s="51">
        <f>F167*1.13</f>
        <v>148.3125</v>
      </c>
      <c r="H167" s="51"/>
      <c r="I167" s="50"/>
      <c r="J167" s="51"/>
    </row>
    <row r="168" spans="1:10">
      <c r="A168" s="49" t="s">
        <v>713</v>
      </c>
      <c r="B168" s="50" t="s">
        <v>712</v>
      </c>
      <c r="C168" s="50" t="s">
        <v>711</v>
      </c>
      <c r="D168" s="51">
        <v>13.5</v>
      </c>
      <c r="E168" s="50">
        <v>3.5</v>
      </c>
      <c r="F168" s="51">
        <f t="shared" si="12"/>
        <v>47.25</v>
      </c>
      <c r="G168" s="51">
        <f>F168*1.13</f>
        <v>53.392499999999998</v>
      </c>
      <c r="H168" s="51"/>
      <c r="I168" s="50"/>
      <c r="J168" s="51"/>
    </row>
    <row r="169" spans="1:10">
      <c r="A169" s="49" t="s">
        <v>710</v>
      </c>
      <c r="B169" s="50" t="s">
        <v>692</v>
      </c>
      <c r="C169" s="50" t="s">
        <v>709</v>
      </c>
      <c r="D169" s="51">
        <v>0</v>
      </c>
      <c r="E169" s="50">
        <v>0</v>
      </c>
      <c r="F169" s="51">
        <f t="shared" si="12"/>
        <v>0</v>
      </c>
      <c r="G169" s="50"/>
      <c r="H169" s="51"/>
      <c r="I169" s="50"/>
      <c r="J169" s="51"/>
    </row>
    <row r="170" spans="1:10">
      <c r="A170" s="367" t="s">
        <v>708</v>
      </c>
      <c r="B170" s="367"/>
      <c r="C170" s="367"/>
      <c r="D170" s="367"/>
      <c r="E170" s="367"/>
      <c r="F170" s="367">
        <f t="shared" si="12"/>
        <v>0</v>
      </c>
      <c r="G170" s="367">
        <f t="shared" ref="G170:G198" si="13">F170*1.13</f>
        <v>0</v>
      </c>
      <c r="H170" s="367"/>
      <c r="I170" s="367"/>
      <c r="J170" s="367"/>
    </row>
    <row r="171" spans="1:10">
      <c r="A171" s="49" t="s">
        <v>707</v>
      </c>
      <c r="B171" s="50" t="s">
        <v>706</v>
      </c>
      <c r="C171" s="50" t="s">
        <v>705</v>
      </c>
      <c r="D171" s="51">
        <v>50</v>
      </c>
      <c r="E171" s="50">
        <v>1</v>
      </c>
      <c r="F171" s="51">
        <f t="shared" si="12"/>
        <v>50</v>
      </c>
      <c r="G171" s="51">
        <f t="shared" si="13"/>
        <v>56.499999999999993</v>
      </c>
      <c r="H171" s="51"/>
      <c r="I171" s="50"/>
      <c r="J171" s="51"/>
    </row>
    <row r="172" spans="1:10">
      <c r="A172" s="49" t="s">
        <v>704</v>
      </c>
      <c r="B172" s="50" t="s">
        <v>666</v>
      </c>
      <c r="C172" s="50" t="s">
        <v>665</v>
      </c>
      <c r="D172" s="51">
        <v>0</v>
      </c>
      <c r="E172" s="50"/>
      <c r="F172" s="51">
        <f t="shared" si="12"/>
        <v>0</v>
      </c>
      <c r="G172" s="51">
        <f t="shared" si="13"/>
        <v>0</v>
      </c>
      <c r="H172" s="51"/>
      <c r="I172" s="50"/>
      <c r="J172" s="51"/>
    </row>
    <row r="173" spans="1:10">
      <c r="A173" s="367" t="s">
        <v>703</v>
      </c>
      <c r="B173" s="367"/>
      <c r="C173" s="367"/>
      <c r="D173" s="367"/>
      <c r="E173" s="367"/>
      <c r="F173" s="367">
        <f t="shared" si="12"/>
        <v>0</v>
      </c>
      <c r="G173" s="367">
        <f t="shared" si="13"/>
        <v>0</v>
      </c>
      <c r="H173" s="367"/>
      <c r="I173" s="367"/>
      <c r="J173" s="367"/>
    </row>
    <row r="174" spans="1:10">
      <c r="A174" s="49" t="s">
        <v>702</v>
      </c>
      <c r="B174" s="50" t="s">
        <v>666</v>
      </c>
      <c r="C174" s="50" t="s">
        <v>665</v>
      </c>
      <c r="D174" s="51">
        <v>0</v>
      </c>
      <c r="E174" s="50"/>
      <c r="F174" s="51">
        <f t="shared" si="12"/>
        <v>0</v>
      </c>
      <c r="G174" s="51">
        <f t="shared" si="13"/>
        <v>0</v>
      </c>
      <c r="H174" s="51"/>
      <c r="I174" s="50"/>
      <c r="J174" s="51"/>
    </row>
    <row r="175" spans="1:10">
      <c r="A175" s="49" t="s">
        <v>701</v>
      </c>
      <c r="B175" s="50" t="s">
        <v>700</v>
      </c>
      <c r="C175" s="50"/>
      <c r="D175" s="51">
        <v>40</v>
      </c>
      <c r="E175" s="50">
        <v>1</v>
      </c>
      <c r="F175" s="51">
        <f t="shared" si="12"/>
        <v>40</v>
      </c>
      <c r="G175" s="51">
        <f t="shared" si="13"/>
        <v>45.199999999999996</v>
      </c>
      <c r="H175" s="51"/>
      <c r="I175" s="50"/>
      <c r="J175" s="51"/>
    </row>
    <row r="176" spans="1:10">
      <c r="A176" s="49" t="s">
        <v>699</v>
      </c>
      <c r="B176" s="50" t="s">
        <v>698</v>
      </c>
      <c r="C176" s="50" t="s">
        <v>697</v>
      </c>
      <c r="D176" s="51">
        <v>20</v>
      </c>
      <c r="E176" s="50">
        <v>2</v>
      </c>
      <c r="F176" s="51">
        <f t="shared" si="12"/>
        <v>40</v>
      </c>
      <c r="G176" s="51">
        <f t="shared" si="13"/>
        <v>45.199999999999996</v>
      </c>
      <c r="H176" s="51"/>
      <c r="I176" s="50"/>
      <c r="J176" s="51"/>
    </row>
    <row r="177" spans="1:10">
      <c r="A177" s="49" t="s">
        <v>696</v>
      </c>
      <c r="B177" s="50" t="s">
        <v>661</v>
      </c>
      <c r="C177" s="50" t="s">
        <v>695</v>
      </c>
      <c r="D177" s="51">
        <v>15.33</v>
      </c>
      <c r="E177" s="50">
        <v>2</v>
      </c>
      <c r="F177" s="51">
        <f t="shared" si="12"/>
        <v>30.66</v>
      </c>
      <c r="G177" s="51">
        <f t="shared" si="13"/>
        <v>34.645799999999994</v>
      </c>
      <c r="H177" s="51"/>
      <c r="I177" s="50"/>
      <c r="J177" s="51"/>
    </row>
    <row r="178" spans="1:10">
      <c r="A178" s="367" t="s">
        <v>694</v>
      </c>
      <c r="B178" s="367"/>
      <c r="C178" s="367"/>
      <c r="D178" s="367"/>
      <c r="E178" s="367"/>
      <c r="F178" s="367">
        <f t="shared" si="12"/>
        <v>0</v>
      </c>
      <c r="G178" s="367">
        <f t="shared" si="13"/>
        <v>0</v>
      </c>
      <c r="H178" s="367"/>
      <c r="I178" s="367"/>
      <c r="J178" s="367"/>
    </row>
    <row r="179" spans="1:10">
      <c r="A179" s="49" t="s">
        <v>693</v>
      </c>
      <c r="B179" s="50" t="s">
        <v>692</v>
      </c>
      <c r="C179" s="50" t="s">
        <v>691</v>
      </c>
      <c r="D179" s="51"/>
      <c r="E179" s="50"/>
      <c r="F179" s="51">
        <f t="shared" si="12"/>
        <v>0</v>
      </c>
      <c r="G179" s="51">
        <f t="shared" si="13"/>
        <v>0</v>
      </c>
      <c r="H179" s="51"/>
      <c r="I179" s="50"/>
      <c r="J179" s="51"/>
    </row>
    <row r="180" spans="1:10">
      <c r="A180" s="49" t="s">
        <v>690</v>
      </c>
      <c r="B180" s="50" t="s">
        <v>97</v>
      </c>
      <c r="C180" s="50" t="s">
        <v>689</v>
      </c>
      <c r="D180" s="51">
        <v>150</v>
      </c>
      <c r="E180" s="50">
        <v>1</v>
      </c>
      <c r="F180" s="51">
        <f t="shared" si="12"/>
        <v>150</v>
      </c>
      <c r="G180" s="51">
        <f t="shared" si="13"/>
        <v>169.49999999999997</v>
      </c>
      <c r="H180" s="51"/>
      <c r="I180" s="50"/>
      <c r="J180" s="51"/>
    </row>
    <row r="181" spans="1:10">
      <c r="A181" s="49" t="s">
        <v>688</v>
      </c>
      <c r="B181" s="50" t="s">
        <v>687</v>
      </c>
      <c r="C181" s="50" t="s">
        <v>686</v>
      </c>
      <c r="D181" s="51">
        <v>84.39</v>
      </c>
      <c r="E181" s="50">
        <v>2</v>
      </c>
      <c r="F181" s="51">
        <f t="shared" si="12"/>
        <v>168.78</v>
      </c>
      <c r="G181" s="51">
        <f t="shared" si="13"/>
        <v>190.72139999999999</v>
      </c>
      <c r="H181" s="51"/>
      <c r="I181" s="50"/>
      <c r="J181" s="51"/>
    </row>
    <row r="182" spans="1:10">
      <c r="A182" s="49" t="s">
        <v>685</v>
      </c>
      <c r="B182" s="50" t="s">
        <v>684</v>
      </c>
      <c r="C182" s="50"/>
      <c r="D182" s="51">
        <v>70</v>
      </c>
      <c r="E182" s="50">
        <v>1</v>
      </c>
      <c r="F182" s="51">
        <f t="shared" si="12"/>
        <v>70</v>
      </c>
      <c r="G182" s="51">
        <f t="shared" si="13"/>
        <v>79.099999999999994</v>
      </c>
      <c r="H182" s="51"/>
      <c r="I182" s="50"/>
      <c r="J182" s="51"/>
    </row>
    <row r="183" spans="1:10">
      <c r="A183" s="367" t="s">
        <v>683</v>
      </c>
      <c r="B183" s="367"/>
      <c r="C183" s="367"/>
      <c r="D183" s="367"/>
      <c r="E183" s="367"/>
      <c r="F183" s="367">
        <f t="shared" si="12"/>
        <v>0</v>
      </c>
      <c r="G183" s="367">
        <f t="shared" si="13"/>
        <v>0</v>
      </c>
      <c r="H183" s="367"/>
      <c r="I183" s="367"/>
      <c r="J183" s="367"/>
    </row>
    <row r="184" spans="1:10">
      <c r="A184" s="49" t="s">
        <v>682</v>
      </c>
      <c r="B184" s="50" t="s">
        <v>681</v>
      </c>
      <c r="C184" s="50" t="s">
        <v>680</v>
      </c>
      <c r="D184" s="51">
        <v>5.5</v>
      </c>
      <c r="E184" s="50">
        <v>150</v>
      </c>
      <c r="F184" s="51">
        <f t="shared" si="12"/>
        <v>825</v>
      </c>
      <c r="G184" s="51">
        <f t="shared" si="13"/>
        <v>932.24999999999989</v>
      </c>
      <c r="H184" s="51"/>
      <c r="I184" s="50"/>
      <c r="J184" s="51"/>
    </row>
    <row r="185" spans="1:10">
      <c r="A185" s="49" t="s">
        <v>679</v>
      </c>
      <c r="B185" s="50" t="s">
        <v>678</v>
      </c>
      <c r="C185" s="50"/>
      <c r="D185" s="51">
        <v>75</v>
      </c>
      <c r="E185" s="50">
        <v>1</v>
      </c>
      <c r="F185" s="51">
        <f t="shared" si="12"/>
        <v>75</v>
      </c>
      <c r="G185" s="51">
        <f t="shared" si="13"/>
        <v>84.749999999999986</v>
      </c>
      <c r="H185" s="51"/>
      <c r="I185" s="50"/>
      <c r="J185" s="51"/>
    </row>
    <row r="186" spans="1:10">
      <c r="A186" s="367" t="s">
        <v>677</v>
      </c>
      <c r="B186" s="367"/>
      <c r="C186" s="367"/>
      <c r="D186" s="367"/>
      <c r="E186" s="367"/>
      <c r="F186" s="367">
        <f t="shared" si="12"/>
        <v>0</v>
      </c>
      <c r="G186" s="367">
        <f t="shared" si="13"/>
        <v>0</v>
      </c>
      <c r="H186" s="367"/>
      <c r="I186" s="367"/>
      <c r="J186" s="367"/>
    </row>
    <row r="187" spans="1:10">
      <c r="A187" s="49" t="s">
        <v>676</v>
      </c>
      <c r="B187" s="50" t="s">
        <v>675</v>
      </c>
      <c r="C187" s="50"/>
      <c r="D187" s="51">
        <v>250</v>
      </c>
      <c r="E187" s="50">
        <v>1</v>
      </c>
      <c r="F187" s="51">
        <f t="shared" si="12"/>
        <v>250</v>
      </c>
      <c r="G187" s="51">
        <f t="shared" si="13"/>
        <v>282.5</v>
      </c>
      <c r="H187" s="51"/>
      <c r="I187" s="50"/>
      <c r="J187" s="51"/>
    </row>
    <row r="188" spans="1:10">
      <c r="A188" s="49" t="s">
        <v>674</v>
      </c>
      <c r="B188" s="50" t="s">
        <v>673</v>
      </c>
      <c r="C188" s="50" t="s">
        <v>672</v>
      </c>
      <c r="D188" s="51">
        <v>9.7000000000000003E-2</v>
      </c>
      <c r="E188" s="50">
        <v>500</v>
      </c>
      <c r="F188" s="51">
        <f t="shared" si="12"/>
        <v>48.5</v>
      </c>
      <c r="G188" s="51">
        <f t="shared" si="13"/>
        <v>54.804999999999993</v>
      </c>
      <c r="H188" s="51"/>
      <c r="I188" s="50"/>
      <c r="J188" s="51"/>
    </row>
    <row r="189" spans="1:10">
      <c r="A189" s="49" t="s">
        <v>671</v>
      </c>
      <c r="B189" s="50" t="s">
        <v>670</v>
      </c>
      <c r="C189" s="50" t="s">
        <v>669</v>
      </c>
      <c r="D189" s="51">
        <v>500</v>
      </c>
      <c r="E189" s="50">
        <v>1</v>
      </c>
      <c r="F189" s="51">
        <f t="shared" si="12"/>
        <v>500</v>
      </c>
      <c r="G189" s="51">
        <f t="shared" si="13"/>
        <v>565</v>
      </c>
      <c r="H189" s="51"/>
      <c r="I189" s="50"/>
      <c r="J189" s="51"/>
    </row>
    <row r="190" spans="1:10">
      <c r="A190" s="367" t="s">
        <v>668</v>
      </c>
      <c r="B190" s="367"/>
      <c r="C190" s="367"/>
      <c r="D190" s="367"/>
      <c r="E190" s="367"/>
      <c r="F190" s="367">
        <f t="shared" si="12"/>
        <v>0</v>
      </c>
      <c r="G190" s="367">
        <f t="shared" si="13"/>
        <v>0</v>
      </c>
      <c r="H190" s="367"/>
      <c r="I190" s="367"/>
      <c r="J190" s="367"/>
    </row>
    <row r="191" spans="1:10">
      <c r="A191" s="49" t="s">
        <v>667</v>
      </c>
      <c r="B191" s="50" t="s">
        <v>666</v>
      </c>
      <c r="C191" s="50" t="s">
        <v>665</v>
      </c>
      <c r="D191" s="51">
        <v>0</v>
      </c>
      <c r="E191" s="50"/>
      <c r="F191" s="51">
        <f t="shared" si="12"/>
        <v>0</v>
      </c>
      <c r="G191" s="51">
        <f t="shared" si="13"/>
        <v>0</v>
      </c>
      <c r="H191" s="51"/>
      <c r="I191" s="50"/>
      <c r="J191" s="51"/>
    </row>
    <row r="192" spans="1:10">
      <c r="A192" s="49" t="s">
        <v>664</v>
      </c>
      <c r="B192" s="50" t="s">
        <v>663</v>
      </c>
      <c r="C192" s="50"/>
      <c r="D192" s="51">
        <v>150</v>
      </c>
      <c r="E192" s="50">
        <v>1</v>
      </c>
      <c r="F192" s="51">
        <f t="shared" si="12"/>
        <v>150</v>
      </c>
      <c r="G192" s="51">
        <f t="shared" si="13"/>
        <v>169.49999999999997</v>
      </c>
      <c r="H192" s="51"/>
      <c r="I192" s="50"/>
      <c r="J192" s="51"/>
    </row>
    <row r="193" spans="1:10">
      <c r="A193" s="57" t="s">
        <v>662</v>
      </c>
      <c r="B193" s="46" t="s">
        <v>661</v>
      </c>
      <c r="C193" s="46"/>
      <c r="D193" s="53">
        <v>15.33</v>
      </c>
      <c r="E193" s="46">
        <v>2</v>
      </c>
      <c r="F193" s="53">
        <f t="shared" si="12"/>
        <v>30.66</v>
      </c>
      <c r="G193" s="53">
        <f t="shared" si="13"/>
        <v>34.645799999999994</v>
      </c>
      <c r="H193" s="53"/>
      <c r="I193" s="46"/>
      <c r="J193" s="53"/>
    </row>
    <row r="194" spans="1:10">
      <c r="A194" s="57" t="s">
        <v>660</v>
      </c>
      <c r="B194" s="46" t="s">
        <v>470</v>
      </c>
      <c r="C194" s="46" t="s">
        <v>659</v>
      </c>
      <c r="D194" s="53">
        <v>30</v>
      </c>
      <c r="E194" s="46">
        <v>1</v>
      </c>
      <c r="F194" s="53">
        <f t="shared" si="12"/>
        <v>30</v>
      </c>
      <c r="G194" s="53">
        <f t="shared" si="13"/>
        <v>33.9</v>
      </c>
      <c r="H194" s="53"/>
      <c r="I194" s="46"/>
      <c r="J194" s="53"/>
    </row>
    <row r="195" spans="1:10">
      <c r="A195" s="366" t="s">
        <v>284</v>
      </c>
      <c r="B195" s="366"/>
      <c r="C195" s="366"/>
      <c r="D195" s="366"/>
      <c r="E195" s="366"/>
      <c r="F195" s="366">
        <f t="shared" si="12"/>
        <v>0</v>
      </c>
      <c r="G195" s="366">
        <f t="shared" si="13"/>
        <v>0</v>
      </c>
      <c r="H195" s="366"/>
      <c r="I195" s="366"/>
      <c r="J195" s="366"/>
    </row>
    <row r="196" spans="1:10">
      <c r="A196" s="57" t="s">
        <v>658</v>
      </c>
      <c r="B196" s="46" t="s">
        <v>657</v>
      </c>
      <c r="C196" s="46" t="s">
        <v>656</v>
      </c>
      <c r="D196" s="53">
        <v>60</v>
      </c>
      <c r="E196" s="46">
        <v>12</v>
      </c>
      <c r="F196" s="53">
        <f t="shared" si="12"/>
        <v>720</v>
      </c>
      <c r="G196" s="53">
        <f t="shared" si="13"/>
        <v>813.59999999999991</v>
      </c>
      <c r="H196" s="53"/>
      <c r="I196" s="46"/>
      <c r="J196" s="53"/>
    </row>
    <row r="197" spans="1:10">
      <c r="A197" s="57" t="s">
        <v>655</v>
      </c>
      <c r="B197" s="46" t="s">
        <v>654</v>
      </c>
      <c r="C197" s="46"/>
      <c r="D197" s="53">
        <v>250</v>
      </c>
      <c r="E197" s="46">
        <v>1</v>
      </c>
      <c r="F197" s="53">
        <f t="shared" si="12"/>
        <v>250</v>
      </c>
      <c r="G197" s="53">
        <f t="shared" si="13"/>
        <v>282.5</v>
      </c>
      <c r="H197" s="53"/>
      <c r="I197" s="46"/>
      <c r="J197" s="53"/>
    </row>
    <row r="198" spans="1:10">
      <c r="A198" s="57" t="s">
        <v>653</v>
      </c>
      <c r="B198" s="46" t="s">
        <v>652</v>
      </c>
      <c r="C198" s="46"/>
      <c r="D198" s="53">
        <v>50</v>
      </c>
      <c r="E198" s="46">
        <v>1</v>
      </c>
      <c r="F198" s="53">
        <f t="shared" si="12"/>
        <v>50</v>
      </c>
      <c r="G198" s="53">
        <f t="shared" si="13"/>
        <v>56.499999999999993</v>
      </c>
      <c r="H198" s="53"/>
      <c r="I198" s="46"/>
      <c r="J198" s="53"/>
    </row>
    <row r="199" spans="1:10">
      <c r="A199" s="359" t="s">
        <v>12</v>
      </c>
      <c r="B199" s="360"/>
      <c r="C199" s="360"/>
      <c r="D199" s="360"/>
      <c r="E199" s="360"/>
      <c r="F199" s="360"/>
      <c r="G199" s="54">
        <f>-SUM(G200:G207)</f>
        <v>-5110</v>
      </c>
      <c r="H199" s="361">
        <f>-SUM(J200:J207)</f>
        <v>-6232.4</v>
      </c>
      <c r="I199" s="361"/>
      <c r="J199" s="361"/>
    </row>
    <row r="200" spans="1:10">
      <c r="A200" s="57" t="s">
        <v>651</v>
      </c>
      <c r="B200" s="50" t="s">
        <v>650</v>
      </c>
      <c r="C200" s="46" t="s">
        <v>639</v>
      </c>
      <c r="D200" s="53">
        <v>5</v>
      </c>
      <c r="E200" s="46">
        <v>110</v>
      </c>
      <c r="F200" s="53">
        <f t="shared" ref="F200:F207" si="14">D200*E200</f>
        <v>550</v>
      </c>
      <c r="G200" s="53">
        <f t="shared" ref="G200:G207" si="15">F200</f>
        <v>550</v>
      </c>
      <c r="H200" s="53"/>
      <c r="I200" s="46"/>
      <c r="J200" s="53">
        <f>4962.4+1270</f>
        <v>6232.4</v>
      </c>
    </row>
    <row r="201" spans="1:10">
      <c r="A201" s="57" t="s">
        <v>649</v>
      </c>
      <c r="B201" s="50" t="s">
        <v>648</v>
      </c>
      <c r="C201" s="46" t="s">
        <v>639</v>
      </c>
      <c r="D201" s="53">
        <v>25</v>
      </c>
      <c r="E201" s="46">
        <v>18</v>
      </c>
      <c r="F201" s="53">
        <f t="shared" si="14"/>
        <v>450</v>
      </c>
      <c r="G201" s="53">
        <f t="shared" si="15"/>
        <v>450</v>
      </c>
      <c r="H201" s="53"/>
      <c r="I201" s="46"/>
      <c r="J201" s="53"/>
    </row>
    <row r="202" spans="1:10">
      <c r="A202" s="57" t="s">
        <v>647</v>
      </c>
      <c r="B202" s="50" t="s">
        <v>646</v>
      </c>
      <c r="C202" s="46" t="s">
        <v>639</v>
      </c>
      <c r="D202" s="53">
        <v>5</v>
      </c>
      <c r="E202" s="46">
        <v>110</v>
      </c>
      <c r="F202" s="53">
        <f t="shared" si="14"/>
        <v>550</v>
      </c>
      <c r="G202" s="53">
        <f t="shared" si="15"/>
        <v>550</v>
      </c>
      <c r="H202" s="53"/>
      <c r="I202" s="46"/>
      <c r="J202" s="53"/>
    </row>
    <row r="203" spans="1:10">
      <c r="A203" s="57" t="s">
        <v>645</v>
      </c>
      <c r="B203" s="50" t="s">
        <v>644</v>
      </c>
      <c r="C203" s="46" t="s">
        <v>639</v>
      </c>
      <c r="D203" s="53">
        <v>5</v>
      </c>
      <c r="E203" s="46">
        <v>110</v>
      </c>
      <c r="F203" s="53">
        <f t="shared" si="14"/>
        <v>550</v>
      </c>
      <c r="G203" s="53">
        <f t="shared" si="15"/>
        <v>550</v>
      </c>
      <c r="H203" s="53"/>
      <c r="I203" s="46"/>
      <c r="J203" s="53"/>
    </row>
    <row r="204" spans="1:10">
      <c r="A204" s="57" t="s">
        <v>643</v>
      </c>
      <c r="B204" s="50" t="s">
        <v>642</v>
      </c>
      <c r="C204" s="46" t="s">
        <v>639</v>
      </c>
      <c r="D204" s="53">
        <v>20</v>
      </c>
      <c r="E204" s="46">
        <v>48</v>
      </c>
      <c r="F204" s="53">
        <f t="shared" si="14"/>
        <v>960</v>
      </c>
      <c r="G204" s="53">
        <f t="shared" si="15"/>
        <v>960</v>
      </c>
      <c r="H204" s="53"/>
      <c r="I204" s="46"/>
      <c r="J204" s="53"/>
    </row>
    <row r="205" spans="1:10">
      <c r="A205" s="57" t="s">
        <v>641</v>
      </c>
      <c r="B205" s="50" t="s">
        <v>640</v>
      </c>
      <c r="C205" s="46" t="s">
        <v>639</v>
      </c>
      <c r="D205" s="53">
        <v>10</v>
      </c>
      <c r="E205" s="46">
        <v>120</v>
      </c>
      <c r="F205" s="53">
        <f t="shared" si="14"/>
        <v>1200</v>
      </c>
      <c r="G205" s="53">
        <f t="shared" si="15"/>
        <v>1200</v>
      </c>
      <c r="H205" s="53"/>
      <c r="I205" s="46"/>
      <c r="J205" s="53"/>
    </row>
    <row r="206" spans="1:10">
      <c r="A206" s="57" t="s">
        <v>638</v>
      </c>
      <c r="B206" s="368" t="s">
        <v>637</v>
      </c>
      <c r="C206" s="46" t="s">
        <v>636</v>
      </c>
      <c r="D206" s="53">
        <v>5</v>
      </c>
      <c r="E206" s="46">
        <v>120</v>
      </c>
      <c r="F206" s="53">
        <f t="shared" si="14"/>
        <v>600</v>
      </c>
      <c r="G206" s="53">
        <f t="shared" si="15"/>
        <v>600</v>
      </c>
      <c r="H206" s="53"/>
      <c r="I206" s="46"/>
      <c r="J206" s="53"/>
    </row>
    <row r="207" spans="1:10">
      <c r="A207" s="57" t="s">
        <v>635</v>
      </c>
      <c r="B207" s="368"/>
      <c r="C207" s="46" t="s">
        <v>634</v>
      </c>
      <c r="D207" s="53">
        <v>10</v>
      </c>
      <c r="E207" s="46">
        <v>25</v>
      </c>
      <c r="F207" s="53">
        <f t="shared" si="14"/>
        <v>250</v>
      </c>
      <c r="G207" s="53">
        <f t="shared" si="15"/>
        <v>250</v>
      </c>
      <c r="H207" s="53"/>
      <c r="I207" s="46"/>
      <c r="J207" s="53"/>
    </row>
    <row r="208" spans="1:10" s="84" customFormat="1">
      <c r="A208" s="89"/>
      <c r="B208" s="90"/>
      <c r="C208" s="90"/>
      <c r="D208" s="91"/>
      <c r="E208" s="90"/>
      <c r="F208" s="91"/>
      <c r="G208" s="91"/>
      <c r="H208" s="91"/>
      <c r="I208" s="90"/>
      <c r="J208" s="91"/>
    </row>
    <row r="209" spans="1:10" ht="15.75">
      <c r="A209" s="362" t="s">
        <v>633</v>
      </c>
      <c r="B209" s="362"/>
      <c r="C209" s="362"/>
      <c r="D209" s="362"/>
      <c r="E209" s="362"/>
      <c r="F209" s="362"/>
      <c r="G209" s="47">
        <f>G210+G237</f>
        <v>623.77500000000009</v>
      </c>
      <c r="H209" s="363">
        <v>0</v>
      </c>
      <c r="I209" s="363"/>
      <c r="J209" s="363"/>
    </row>
    <row r="210" spans="1:10">
      <c r="A210" s="364" t="s">
        <v>11</v>
      </c>
      <c r="B210" s="364"/>
      <c r="C210" s="364"/>
      <c r="D210" s="364"/>
      <c r="E210" s="364"/>
      <c r="F210" s="364"/>
      <c r="G210" s="54">
        <f>SUM(G212:G236)</f>
        <v>1123.7750000000001</v>
      </c>
      <c r="H210" s="361">
        <f>-SUM(J211:J236)</f>
        <v>-162.69999999999999</v>
      </c>
      <c r="I210" s="361"/>
      <c r="J210" s="361"/>
    </row>
    <row r="211" spans="1:10">
      <c r="A211" s="366" t="s">
        <v>632</v>
      </c>
      <c r="B211" s="366"/>
      <c r="C211" s="366"/>
      <c r="D211" s="366"/>
      <c r="E211" s="366"/>
      <c r="F211" s="366">
        <f t="shared" ref="F211:F236" si="16">D211*E211</f>
        <v>0</v>
      </c>
      <c r="G211" s="366">
        <f>F211*1.13</f>
        <v>0</v>
      </c>
      <c r="H211" s="366"/>
      <c r="I211" s="366"/>
      <c r="J211" s="366"/>
    </row>
    <row r="212" spans="1:10">
      <c r="A212" s="57" t="s">
        <v>631</v>
      </c>
      <c r="B212" s="46" t="s">
        <v>630</v>
      </c>
      <c r="C212" s="46"/>
      <c r="D212" s="60">
        <v>80</v>
      </c>
      <c r="E212" s="58">
        <v>1</v>
      </c>
      <c r="F212" s="53">
        <f t="shared" si="16"/>
        <v>80</v>
      </c>
      <c r="G212" s="53">
        <f>F212*1.13</f>
        <v>90.399999999999991</v>
      </c>
      <c r="H212" s="53"/>
      <c r="I212" s="46"/>
      <c r="J212" s="53"/>
    </row>
    <row r="213" spans="1:10">
      <c r="A213" s="57" t="s">
        <v>629</v>
      </c>
      <c r="B213" s="46"/>
      <c r="C213" s="46" t="s">
        <v>609</v>
      </c>
      <c r="D213" s="61"/>
      <c r="E213" s="58"/>
      <c r="F213" s="53"/>
      <c r="G213" s="53">
        <f>F212-G212</f>
        <v>-10.399999999999991</v>
      </c>
      <c r="H213" s="53"/>
      <c r="I213" s="46"/>
      <c r="J213" s="53"/>
    </row>
    <row r="214" spans="1:10">
      <c r="A214" s="57" t="s">
        <v>628</v>
      </c>
      <c r="B214" s="46" t="s">
        <v>627</v>
      </c>
      <c r="C214" s="46"/>
      <c r="D214" s="60">
        <v>50</v>
      </c>
      <c r="E214" s="58">
        <v>1</v>
      </c>
      <c r="F214" s="53">
        <f t="shared" si="16"/>
        <v>50</v>
      </c>
      <c r="G214" s="53">
        <f t="shared" ref="G214:G223" si="17">F214*1.13</f>
        <v>56.499999999999993</v>
      </c>
      <c r="H214" s="53"/>
      <c r="I214" s="46"/>
      <c r="J214" s="53"/>
    </row>
    <row r="215" spans="1:10">
      <c r="A215" s="57" t="s">
        <v>626</v>
      </c>
      <c r="B215" s="46" t="s">
        <v>625</v>
      </c>
      <c r="C215" s="46"/>
      <c r="D215" s="60">
        <v>50</v>
      </c>
      <c r="E215" s="58">
        <v>1</v>
      </c>
      <c r="F215" s="53">
        <f t="shared" si="16"/>
        <v>50</v>
      </c>
      <c r="G215" s="53">
        <f t="shared" si="17"/>
        <v>56.499999999999993</v>
      </c>
      <c r="H215" s="53"/>
      <c r="I215" s="46"/>
      <c r="J215" s="53"/>
    </row>
    <row r="216" spans="1:10">
      <c r="A216" s="57" t="s">
        <v>624</v>
      </c>
      <c r="B216" s="46" t="s">
        <v>623</v>
      </c>
      <c r="C216" s="46"/>
      <c r="D216" s="60">
        <v>0</v>
      </c>
      <c r="E216" s="58"/>
      <c r="F216" s="53">
        <f t="shared" si="16"/>
        <v>0</v>
      </c>
      <c r="G216" s="53">
        <f t="shared" si="17"/>
        <v>0</v>
      </c>
      <c r="H216" s="53"/>
      <c r="I216" s="46"/>
      <c r="J216" s="53"/>
    </row>
    <row r="217" spans="1:10">
      <c r="A217" s="57" t="s">
        <v>622</v>
      </c>
      <c r="B217" s="46" t="s">
        <v>621</v>
      </c>
      <c r="C217" s="46"/>
      <c r="D217" s="60">
        <v>0</v>
      </c>
      <c r="E217" s="58"/>
      <c r="F217" s="53">
        <f t="shared" si="16"/>
        <v>0</v>
      </c>
      <c r="G217" s="53">
        <f t="shared" si="17"/>
        <v>0</v>
      </c>
      <c r="H217" s="53"/>
      <c r="I217" s="46"/>
      <c r="J217" s="53"/>
    </row>
    <row r="218" spans="1:10">
      <c r="A218" s="57" t="s">
        <v>620</v>
      </c>
      <c r="B218" s="46" t="s">
        <v>555</v>
      </c>
      <c r="C218" s="46"/>
      <c r="D218" s="60">
        <v>20</v>
      </c>
      <c r="E218" s="58">
        <v>1</v>
      </c>
      <c r="F218" s="53">
        <f t="shared" si="16"/>
        <v>20</v>
      </c>
      <c r="G218" s="53">
        <f t="shared" si="17"/>
        <v>22.599999999999998</v>
      </c>
      <c r="H218" s="53"/>
      <c r="I218" s="46"/>
      <c r="J218" s="53"/>
    </row>
    <row r="219" spans="1:10">
      <c r="A219" s="57" t="s">
        <v>619</v>
      </c>
      <c r="B219" s="46" t="s">
        <v>618</v>
      </c>
      <c r="C219" s="46"/>
      <c r="D219" s="60">
        <v>2.5</v>
      </c>
      <c r="E219" s="58">
        <v>50</v>
      </c>
      <c r="F219" s="53">
        <f t="shared" si="16"/>
        <v>125</v>
      </c>
      <c r="G219" s="53">
        <f t="shared" si="17"/>
        <v>141.25</v>
      </c>
      <c r="H219" s="53"/>
      <c r="I219" s="46"/>
      <c r="J219" s="53"/>
    </row>
    <row r="220" spans="1:10">
      <c r="A220" s="366" t="s">
        <v>617</v>
      </c>
      <c r="B220" s="366"/>
      <c r="C220" s="366"/>
      <c r="D220" s="366"/>
      <c r="E220" s="366"/>
      <c r="F220" s="366">
        <f t="shared" si="16"/>
        <v>0</v>
      </c>
      <c r="G220" s="366">
        <f t="shared" si="17"/>
        <v>0</v>
      </c>
      <c r="H220" s="366"/>
      <c r="I220" s="366"/>
      <c r="J220" s="366"/>
    </row>
    <row r="221" spans="1:10">
      <c r="A221" s="57" t="s">
        <v>616</v>
      </c>
      <c r="B221" s="46" t="s">
        <v>615</v>
      </c>
      <c r="C221" s="46"/>
      <c r="D221" s="53">
        <v>0</v>
      </c>
      <c r="E221" s="46"/>
      <c r="F221" s="53">
        <f t="shared" si="16"/>
        <v>0</v>
      </c>
      <c r="G221" s="53">
        <f t="shared" si="17"/>
        <v>0</v>
      </c>
      <c r="H221" s="53"/>
      <c r="I221" s="46"/>
      <c r="J221" s="53"/>
    </row>
    <row r="222" spans="1:10">
      <c r="A222" s="57" t="s">
        <v>614</v>
      </c>
      <c r="B222" s="46" t="s">
        <v>613</v>
      </c>
      <c r="C222" s="46"/>
      <c r="D222" s="53">
        <v>0</v>
      </c>
      <c r="E222" s="46"/>
      <c r="F222" s="53">
        <f t="shared" si="16"/>
        <v>0</v>
      </c>
      <c r="G222" s="53">
        <f t="shared" si="17"/>
        <v>0</v>
      </c>
      <c r="H222" s="53"/>
      <c r="I222" s="46"/>
      <c r="J222" s="53"/>
    </row>
    <row r="223" spans="1:10">
      <c r="A223" s="57" t="s">
        <v>612</v>
      </c>
      <c r="B223" s="46" t="s">
        <v>611</v>
      </c>
      <c r="C223" s="46"/>
      <c r="D223" s="53">
        <v>50</v>
      </c>
      <c r="E223" s="46">
        <v>1</v>
      </c>
      <c r="F223" s="53">
        <f t="shared" si="16"/>
        <v>50</v>
      </c>
      <c r="G223" s="53">
        <f t="shared" si="17"/>
        <v>56.499999999999993</v>
      </c>
      <c r="H223" s="53"/>
      <c r="I223" s="46"/>
      <c r="J223" s="53"/>
    </row>
    <row r="224" spans="1:10">
      <c r="A224" s="57" t="s">
        <v>610</v>
      </c>
      <c r="B224" s="58"/>
      <c r="C224" s="46" t="s">
        <v>609</v>
      </c>
      <c r="D224" s="53"/>
      <c r="E224" s="46"/>
      <c r="F224" s="53"/>
      <c r="G224" s="53">
        <f>F223-G223</f>
        <v>-6.4999999999999929</v>
      </c>
      <c r="H224" s="53"/>
      <c r="I224" s="46"/>
      <c r="J224" s="53"/>
    </row>
    <row r="225" spans="1:10">
      <c r="A225" s="366" t="s">
        <v>608</v>
      </c>
      <c r="B225" s="366"/>
      <c r="C225" s="366"/>
      <c r="D225" s="366"/>
      <c r="E225" s="366"/>
      <c r="F225" s="366">
        <f t="shared" si="16"/>
        <v>0</v>
      </c>
      <c r="G225" s="366">
        <f t="shared" ref="G225:G230" si="18">F225*1.13</f>
        <v>0</v>
      </c>
      <c r="H225" s="366"/>
      <c r="I225" s="366"/>
      <c r="J225" s="366"/>
    </row>
    <row r="226" spans="1:10">
      <c r="A226" s="57" t="s">
        <v>607</v>
      </c>
      <c r="B226" s="46" t="s">
        <v>606</v>
      </c>
      <c r="C226" s="46"/>
      <c r="D226" s="53">
        <v>80</v>
      </c>
      <c r="E226" s="46">
        <v>1</v>
      </c>
      <c r="F226" s="53">
        <f t="shared" si="16"/>
        <v>80</v>
      </c>
      <c r="G226" s="53">
        <f t="shared" si="18"/>
        <v>90.399999999999991</v>
      </c>
      <c r="H226" s="53"/>
      <c r="I226" s="46"/>
      <c r="J226" s="53"/>
    </row>
    <row r="227" spans="1:10">
      <c r="A227" s="366" t="s">
        <v>605</v>
      </c>
      <c r="B227" s="366"/>
      <c r="C227" s="366"/>
      <c r="D227" s="366"/>
      <c r="E227" s="366"/>
      <c r="F227" s="366">
        <f t="shared" si="16"/>
        <v>0</v>
      </c>
      <c r="G227" s="366">
        <f t="shared" si="18"/>
        <v>0</v>
      </c>
      <c r="H227" s="366"/>
      <c r="I227" s="366"/>
      <c r="J227" s="366"/>
    </row>
    <row r="228" spans="1:10">
      <c r="A228" s="57" t="s">
        <v>604</v>
      </c>
      <c r="B228" s="46" t="s">
        <v>603</v>
      </c>
      <c r="C228" s="58" t="s">
        <v>602</v>
      </c>
      <c r="D228" s="53">
        <v>0</v>
      </c>
      <c r="E228" s="46">
        <v>1</v>
      </c>
      <c r="F228" s="53">
        <f t="shared" si="16"/>
        <v>0</v>
      </c>
      <c r="G228" s="53">
        <f t="shared" si="18"/>
        <v>0</v>
      </c>
      <c r="H228" s="53"/>
      <c r="I228" s="46"/>
      <c r="J228" s="53"/>
    </row>
    <row r="229" spans="1:10">
      <c r="A229" s="366" t="s">
        <v>601</v>
      </c>
      <c r="B229" s="366"/>
      <c r="C229" s="366"/>
      <c r="D229" s="366"/>
      <c r="E229" s="366"/>
      <c r="F229" s="366">
        <f t="shared" si="16"/>
        <v>0</v>
      </c>
      <c r="G229" s="366">
        <f t="shared" si="18"/>
        <v>0</v>
      </c>
      <c r="H229" s="366"/>
      <c r="I229" s="366"/>
      <c r="J229" s="366"/>
    </row>
    <row r="230" spans="1:10">
      <c r="A230" s="57" t="s">
        <v>600</v>
      </c>
      <c r="B230" s="46" t="s">
        <v>599</v>
      </c>
      <c r="C230" s="46"/>
      <c r="D230" s="53">
        <v>70</v>
      </c>
      <c r="E230" s="46">
        <v>1</v>
      </c>
      <c r="F230" s="53">
        <f t="shared" si="16"/>
        <v>70</v>
      </c>
      <c r="G230" s="53">
        <f t="shared" si="18"/>
        <v>79.099999999999994</v>
      </c>
      <c r="H230" s="53"/>
      <c r="I230" s="46"/>
      <c r="J230" s="53">
        <v>162.69999999999999</v>
      </c>
    </row>
    <row r="231" spans="1:10">
      <c r="A231" s="57"/>
      <c r="B231" s="46" t="s">
        <v>176</v>
      </c>
      <c r="C231" s="46"/>
      <c r="D231" s="53"/>
      <c r="E231" s="46"/>
      <c r="F231" s="53"/>
      <c r="G231" s="53">
        <f>F230-G230</f>
        <v>-9.0999999999999943</v>
      </c>
      <c r="H231" s="53"/>
      <c r="I231" s="46"/>
      <c r="J231" s="53"/>
    </row>
    <row r="232" spans="1:10">
      <c r="A232" s="57" t="s">
        <v>598</v>
      </c>
      <c r="B232" s="46" t="s">
        <v>596</v>
      </c>
      <c r="C232" s="46" t="s">
        <v>1027</v>
      </c>
      <c r="D232" s="53">
        <v>2.5</v>
      </c>
      <c r="E232" s="46">
        <v>30</v>
      </c>
      <c r="F232" s="53">
        <f>D232*E232</f>
        <v>75</v>
      </c>
      <c r="G232" s="53">
        <f>F232*1.13</f>
        <v>84.749999999999986</v>
      </c>
      <c r="H232" s="53"/>
      <c r="I232" s="46"/>
      <c r="J232" s="53"/>
    </row>
    <row r="233" spans="1:10">
      <c r="A233" s="57" t="s">
        <v>597</v>
      </c>
      <c r="B233" s="46" t="s">
        <v>1253</v>
      </c>
      <c r="C233" s="46" t="s">
        <v>1027</v>
      </c>
      <c r="D233" s="53">
        <v>2.5</v>
      </c>
      <c r="E233" s="46">
        <v>75</v>
      </c>
      <c r="F233" s="53">
        <f t="shared" si="16"/>
        <v>187.5</v>
      </c>
      <c r="G233" s="53">
        <f>F233*1.13</f>
        <v>211.87499999999997</v>
      </c>
      <c r="H233" s="53"/>
      <c r="I233" s="46"/>
      <c r="J233" s="53"/>
    </row>
    <row r="234" spans="1:10">
      <c r="A234" s="57" t="s">
        <v>595</v>
      </c>
      <c r="B234" s="46" t="s">
        <v>594</v>
      </c>
      <c r="C234" s="46"/>
      <c r="D234" s="53">
        <v>10</v>
      </c>
      <c r="E234" s="46">
        <v>15</v>
      </c>
      <c r="F234" s="53">
        <f t="shared" si="16"/>
        <v>150</v>
      </c>
      <c r="G234" s="53">
        <f>F234*1.13</f>
        <v>169.49999999999997</v>
      </c>
      <c r="H234" s="53"/>
      <c r="I234" s="46"/>
      <c r="J234" s="53"/>
    </row>
    <row r="235" spans="1:10">
      <c r="A235" s="366" t="s">
        <v>284</v>
      </c>
      <c r="B235" s="366"/>
      <c r="C235" s="366"/>
      <c r="D235" s="366">
        <v>30</v>
      </c>
      <c r="E235" s="366">
        <v>1</v>
      </c>
      <c r="F235" s="366">
        <f t="shared" si="16"/>
        <v>30</v>
      </c>
      <c r="G235" s="366">
        <f>F235*1.13</f>
        <v>33.9</v>
      </c>
      <c r="H235" s="366"/>
      <c r="I235" s="366"/>
      <c r="J235" s="366"/>
    </row>
    <row r="236" spans="1:10">
      <c r="A236" s="57" t="s">
        <v>593</v>
      </c>
      <c r="B236" s="46" t="s">
        <v>592</v>
      </c>
      <c r="C236" s="46"/>
      <c r="D236" s="53">
        <v>50</v>
      </c>
      <c r="E236" s="46">
        <v>1</v>
      </c>
      <c r="F236" s="53">
        <f t="shared" si="16"/>
        <v>50</v>
      </c>
      <c r="G236" s="53">
        <f>F236*1.13</f>
        <v>56.499999999999993</v>
      </c>
      <c r="H236" s="53"/>
      <c r="I236" s="46"/>
      <c r="J236" s="53"/>
    </row>
    <row r="237" spans="1:10">
      <c r="A237" s="359" t="s">
        <v>12</v>
      </c>
      <c r="B237" s="360"/>
      <c r="C237" s="360"/>
      <c r="D237" s="360"/>
      <c r="E237" s="360"/>
      <c r="F237" s="360"/>
      <c r="G237" s="54">
        <f>-SUM(G238:G239)</f>
        <v>-500</v>
      </c>
      <c r="H237" s="361">
        <f>-SUM(J238:J240)</f>
        <v>0</v>
      </c>
      <c r="I237" s="361"/>
      <c r="J237" s="361"/>
    </row>
    <row r="238" spans="1:10">
      <c r="A238" s="57" t="s">
        <v>591</v>
      </c>
      <c r="B238" s="46" t="s">
        <v>590</v>
      </c>
      <c r="C238" s="46"/>
      <c r="D238" s="53">
        <v>100</v>
      </c>
      <c r="E238" s="46">
        <v>1</v>
      </c>
      <c r="F238" s="53">
        <f>D238*E238</f>
        <v>100</v>
      </c>
      <c r="G238" s="53">
        <f>F238</f>
        <v>100</v>
      </c>
      <c r="H238" s="53"/>
      <c r="I238" s="46"/>
      <c r="J238" s="53"/>
    </row>
    <row r="239" spans="1:10">
      <c r="A239" s="57" t="s">
        <v>589</v>
      </c>
      <c r="B239" s="46" t="s">
        <v>588</v>
      </c>
      <c r="C239" s="46"/>
      <c r="D239" s="53">
        <v>400</v>
      </c>
      <c r="E239" s="46">
        <v>1</v>
      </c>
      <c r="F239" s="53">
        <f>D239*E239</f>
        <v>400</v>
      </c>
      <c r="G239" s="53">
        <f>F239</f>
        <v>400</v>
      </c>
      <c r="H239" s="53"/>
      <c r="I239" s="46"/>
      <c r="J239" s="53"/>
    </row>
    <row r="240" spans="1:10">
      <c r="A240" s="57" t="s">
        <v>587</v>
      </c>
      <c r="B240" s="46"/>
      <c r="C240" s="46"/>
      <c r="D240" s="53"/>
      <c r="E240" s="46"/>
      <c r="F240" s="53">
        <f>D240*E240</f>
        <v>0</v>
      </c>
      <c r="G240" s="53">
        <f>F240*1.13</f>
        <v>0</v>
      </c>
      <c r="H240" s="53"/>
      <c r="I240" s="46"/>
      <c r="J240" s="53"/>
    </row>
    <row r="241" spans="1:10" s="84" customFormat="1">
      <c r="A241" s="89"/>
      <c r="B241" s="90"/>
      <c r="C241" s="90"/>
      <c r="D241" s="91"/>
      <c r="E241" s="90"/>
      <c r="F241" s="91"/>
      <c r="G241" s="91"/>
      <c r="H241" s="91"/>
      <c r="I241" s="90"/>
      <c r="J241" s="91"/>
    </row>
    <row r="242" spans="1:10" ht="15.75">
      <c r="A242" s="362" t="s">
        <v>1254</v>
      </c>
      <c r="B242" s="362"/>
      <c r="C242" s="362"/>
      <c r="D242" s="362"/>
      <c r="E242" s="362"/>
      <c r="F242" s="362"/>
      <c r="G242" s="47">
        <f>G243+G251</f>
        <v>921.94439999999986</v>
      </c>
      <c r="H242" s="363">
        <f>J244+H251</f>
        <v>815.92000000000007</v>
      </c>
      <c r="I242" s="363"/>
      <c r="J242" s="363"/>
    </row>
    <row r="243" spans="1:10">
      <c r="A243" s="364" t="s">
        <v>11</v>
      </c>
      <c r="B243" s="364"/>
      <c r="C243" s="364"/>
      <c r="D243" s="364"/>
      <c r="E243" s="364"/>
      <c r="F243" s="364"/>
      <c r="G243" s="54">
        <f>SUM(G244:G250)</f>
        <v>921.94439999999986</v>
      </c>
      <c r="H243" s="361">
        <f>SUM(J244:J249)</f>
        <v>1605.92</v>
      </c>
      <c r="I243" s="361"/>
      <c r="J243" s="361"/>
    </row>
    <row r="244" spans="1:10">
      <c r="A244" s="57" t="s">
        <v>586</v>
      </c>
      <c r="B244" s="58" t="s">
        <v>585</v>
      </c>
      <c r="C244" s="58" t="s">
        <v>584</v>
      </c>
      <c r="D244" s="53">
        <v>9.99</v>
      </c>
      <c r="E244" s="46">
        <v>12</v>
      </c>
      <c r="F244" s="53">
        <f t="shared" ref="F244:F250" si="19">D244*E244</f>
        <v>119.88</v>
      </c>
      <c r="G244" s="53">
        <f t="shared" ref="G244:G250" si="20">F244*1.13</f>
        <v>135.46439999999998</v>
      </c>
      <c r="H244" s="53"/>
      <c r="I244" s="46"/>
      <c r="J244" s="53">
        <v>1605.92</v>
      </c>
    </row>
    <row r="245" spans="1:10">
      <c r="A245" s="57" t="s">
        <v>583</v>
      </c>
      <c r="B245" s="58" t="s">
        <v>582</v>
      </c>
      <c r="C245" s="46"/>
      <c r="D245" s="53">
        <v>50</v>
      </c>
      <c r="E245" s="46">
        <v>1</v>
      </c>
      <c r="F245" s="53">
        <f t="shared" si="19"/>
        <v>50</v>
      </c>
      <c r="G245" s="53">
        <f t="shared" si="20"/>
        <v>56.499999999999993</v>
      </c>
      <c r="H245" s="53"/>
      <c r="I245" s="46"/>
      <c r="J245" s="53"/>
    </row>
    <row r="246" spans="1:10">
      <c r="A246" s="57" t="s">
        <v>581</v>
      </c>
      <c r="B246" s="58" t="s">
        <v>580</v>
      </c>
      <c r="C246" s="58" t="s">
        <v>579</v>
      </c>
      <c r="D246" s="53">
        <v>4</v>
      </c>
      <c r="E246" s="46">
        <v>12</v>
      </c>
      <c r="F246" s="53">
        <f t="shared" si="19"/>
        <v>48</v>
      </c>
      <c r="G246" s="53">
        <f t="shared" si="20"/>
        <v>54.239999999999995</v>
      </c>
      <c r="H246" s="53"/>
      <c r="I246" s="46"/>
      <c r="J246" s="53"/>
    </row>
    <row r="247" spans="1:10">
      <c r="A247" s="57" t="s">
        <v>578</v>
      </c>
      <c r="B247" s="58" t="s">
        <v>577</v>
      </c>
      <c r="C247" s="58" t="s">
        <v>576</v>
      </c>
      <c r="D247" s="53">
        <v>0</v>
      </c>
      <c r="E247" s="46">
        <v>1</v>
      </c>
      <c r="F247" s="53">
        <f t="shared" si="19"/>
        <v>0</v>
      </c>
      <c r="G247" s="53">
        <f t="shared" si="20"/>
        <v>0</v>
      </c>
      <c r="H247" s="53"/>
      <c r="I247" s="46"/>
      <c r="J247" s="53"/>
    </row>
    <row r="248" spans="1:10">
      <c r="A248" s="57" t="s">
        <v>575</v>
      </c>
      <c r="B248" s="58" t="s">
        <v>1250</v>
      </c>
      <c r="C248" s="58"/>
      <c r="D248" s="53">
        <v>400</v>
      </c>
      <c r="E248" s="46">
        <v>1</v>
      </c>
      <c r="F248" s="53">
        <f t="shared" si="19"/>
        <v>400</v>
      </c>
      <c r="G248" s="53">
        <f t="shared" si="20"/>
        <v>451.99999999999994</v>
      </c>
      <c r="H248" s="53"/>
      <c r="I248" s="46"/>
      <c r="J248" s="53"/>
    </row>
    <row r="249" spans="1:10">
      <c r="A249" s="57" t="s">
        <v>1251</v>
      </c>
      <c r="B249" s="58" t="s">
        <v>999</v>
      </c>
      <c r="C249" s="58"/>
      <c r="D249" s="53">
        <v>150</v>
      </c>
      <c r="E249" s="46">
        <v>1</v>
      </c>
      <c r="F249" s="53">
        <f t="shared" si="19"/>
        <v>150</v>
      </c>
      <c r="G249" s="53">
        <f t="shared" si="20"/>
        <v>169.49999999999997</v>
      </c>
      <c r="H249" s="53"/>
      <c r="I249" s="46"/>
      <c r="J249" s="53"/>
    </row>
    <row r="250" spans="1:10">
      <c r="A250" s="57" t="s">
        <v>1252</v>
      </c>
      <c r="B250" s="58" t="s">
        <v>574</v>
      </c>
      <c r="C250" s="58" t="s">
        <v>573</v>
      </c>
      <c r="D250" s="53">
        <v>4</v>
      </c>
      <c r="E250" s="46">
        <v>12</v>
      </c>
      <c r="F250" s="53">
        <f t="shared" si="19"/>
        <v>48</v>
      </c>
      <c r="G250" s="53">
        <f t="shared" si="20"/>
        <v>54.239999999999995</v>
      </c>
      <c r="H250" s="53"/>
      <c r="I250" s="46"/>
      <c r="J250" s="53"/>
    </row>
    <row r="251" spans="1:10">
      <c r="A251" s="359" t="s">
        <v>12</v>
      </c>
      <c r="B251" s="360"/>
      <c r="C251" s="360"/>
      <c r="D251" s="360"/>
      <c r="E251" s="360"/>
      <c r="F251" s="360"/>
      <c r="G251" s="54">
        <f>-SUM(G252)</f>
        <v>0</v>
      </c>
      <c r="H251" s="361">
        <f>-SUM(J252)</f>
        <v>-790</v>
      </c>
      <c r="I251" s="361"/>
      <c r="J251" s="361"/>
    </row>
    <row r="252" spans="1:10">
      <c r="A252" s="57"/>
      <c r="B252" s="58"/>
      <c r="C252" s="58"/>
      <c r="D252" s="53"/>
      <c r="E252" s="46"/>
      <c r="F252" s="53"/>
      <c r="G252" s="53"/>
      <c r="H252" s="53"/>
      <c r="I252" s="46"/>
      <c r="J252" s="53">
        <v>790</v>
      </c>
    </row>
    <row r="253" spans="1:10" s="84" customFormat="1">
      <c r="A253" s="89"/>
      <c r="B253" s="90"/>
      <c r="C253" s="90"/>
      <c r="D253" s="91"/>
      <c r="E253" s="90"/>
      <c r="F253" s="91"/>
      <c r="G253" s="91"/>
      <c r="H253" s="91"/>
      <c r="I253" s="90"/>
      <c r="J253" s="91"/>
    </row>
    <row r="254" spans="1:10" ht="15.75">
      <c r="A254" s="362" t="s">
        <v>572</v>
      </c>
      <c r="B254" s="362"/>
      <c r="C254" s="362"/>
      <c r="D254" s="362"/>
      <c r="E254" s="362"/>
      <c r="F254" s="362"/>
      <c r="G254" s="47">
        <f>G255+G262</f>
        <v>0</v>
      </c>
      <c r="H254" s="363">
        <v>0</v>
      </c>
      <c r="I254" s="363"/>
      <c r="J254" s="363"/>
    </row>
    <row r="255" spans="1:10">
      <c r="A255" s="364" t="s">
        <v>11</v>
      </c>
      <c r="B255" s="364"/>
      <c r="C255" s="364"/>
      <c r="D255" s="364"/>
      <c r="E255" s="364"/>
      <c r="F255" s="364"/>
      <c r="G255" s="54">
        <f>SUM(G256:G261)</f>
        <v>1559.3999999999999</v>
      </c>
      <c r="H255" s="361">
        <f>-SUM(J256:J261)</f>
        <v>0</v>
      </c>
      <c r="I255" s="361"/>
      <c r="J255" s="361"/>
    </row>
    <row r="256" spans="1:10">
      <c r="A256" s="57" t="s">
        <v>571</v>
      </c>
      <c r="B256" s="58" t="s">
        <v>284</v>
      </c>
      <c r="C256" s="58" t="s">
        <v>570</v>
      </c>
      <c r="D256" s="62">
        <v>350</v>
      </c>
      <c r="E256" s="46">
        <v>1</v>
      </c>
      <c r="F256" s="53">
        <f t="shared" ref="F256:F261" si="21">D256*E256</f>
        <v>350</v>
      </c>
      <c r="G256" s="53">
        <f t="shared" ref="G256:G261" si="22">F256*1.13</f>
        <v>395.49999999999994</v>
      </c>
      <c r="H256" s="53"/>
      <c r="I256" s="46"/>
      <c r="J256" s="53"/>
    </row>
    <row r="257" spans="1:10">
      <c r="A257" s="57" t="s">
        <v>569</v>
      </c>
      <c r="B257" s="58" t="s">
        <v>568</v>
      </c>
      <c r="C257" s="58" t="s">
        <v>567</v>
      </c>
      <c r="D257" s="62">
        <v>200</v>
      </c>
      <c r="E257" s="46">
        <v>1</v>
      </c>
      <c r="F257" s="53">
        <f t="shared" si="21"/>
        <v>200</v>
      </c>
      <c r="G257" s="53">
        <f t="shared" si="22"/>
        <v>225.99999999999997</v>
      </c>
      <c r="H257" s="53"/>
      <c r="I257" s="46"/>
      <c r="J257" s="53"/>
    </row>
    <row r="258" spans="1:10">
      <c r="A258" s="57" t="s">
        <v>566</v>
      </c>
      <c r="B258" s="58" t="s">
        <v>565</v>
      </c>
      <c r="C258" s="58" t="s">
        <v>564</v>
      </c>
      <c r="D258" s="62">
        <v>100</v>
      </c>
      <c r="E258" s="46">
        <v>1</v>
      </c>
      <c r="F258" s="53">
        <f t="shared" si="21"/>
        <v>100</v>
      </c>
      <c r="G258" s="53">
        <f t="shared" si="22"/>
        <v>112.99999999999999</v>
      </c>
      <c r="H258" s="53"/>
      <c r="I258" s="46"/>
      <c r="J258" s="53"/>
    </row>
    <row r="259" spans="1:10">
      <c r="A259" s="57" t="s">
        <v>563</v>
      </c>
      <c r="B259" s="58" t="s">
        <v>562</v>
      </c>
      <c r="C259" s="58" t="s">
        <v>561</v>
      </c>
      <c r="D259" s="62">
        <v>600</v>
      </c>
      <c r="E259" s="46">
        <v>1</v>
      </c>
      <c r="F259" s="53">
        <f t="shared" si="21"/>
        <v>600</v>
      </c>
      <c r="G259" s="53">
        <f t="shared" si="22"/>
        <v>677.99999999999989</v>
      </c>
      <c r="H259" s="53"/>
      <c r="I259" s="46"/>
      <c r="J259" s="53"/>
    </row>
    <row r="260" spans="1:10">
      <c r="A260" s="57" t="s">
        <v>560</v>
      </c>
      <c r="B260" s="58" t="s">
        <v>559</v>
      </c>
      <c r="C260" s="58" t="s">
        <v>558</v>
      </c>
      <c r="D260" s="62">
        <v>30</v>
      </c>
      <c r="E260" s="46">
        <v>1</v>
      </c>
      <c r="F260" s="53">
        <f t="shared" si="21"/>
        <v>30</v>
      </c>
      <c r="G260" s="53">
        <f t="shared" si="22"/>
        <v>33.9</v>
      </c>
      <c r="H260" s="53"/>
      <c r="I260" s="46"/>
      <c r="J260" s="53"/>
    </row>
    <row r="261" spans="1:10">
      <c r="A261" s="57" t="s">
        <v>557</v>
      </c>
      <c r="B261" s="58" t="s">
        <v>556</v>
      </c>
      <c r="C261" s="58" t="s">
        <v>555</v>
      </c>
      <c r="D261" s="62">
        <v>100</v>
      </c>
      <c r="E261" s="46">
        <v>1</v>
      </c>
      <c r="F261" s="53">
        <f t="shared" si="21"/>
        <v>100</v>
      </c>
      <c r="G261" s="53">
        <f t="shared" si="22"/>
        <v>112.99999999999999</v>
      </c>
      <c r="H261" s="53"/>
      <c r="I261" s="46"/>
      <c r="J261" s="53"/>
    </row>
    <row r="262" spans="1:10">
      <c r="A262" s="359" t="s">
        <v>12</v>
      </c>
      <c r="B262" s="360"/>
      <c r="C262" s="360"/>
      <c r="D262" s="360"/>
      <c r="E262" s="360"/>
      <c r="F262" s="360"/>
      <c r="G262" s="54">
        <f>-SUM(G263)</f>
        <v>-1559.4</v>
      </c>
      <c r="H262" s="361">
        <f>-SUM(J263)</f>
        <v>0</v>
      </c>
      <c r="I262" s="361"/>
      <c r="J262" s="361"/>
    </row>
    <row r="263" spans="1:10">
      <c r="A263" s="57" t="s">
        <v>554</v>
      </c>
      <c r="B263" s="58" t="s">
        <v>79</v>
      </c>
      <c r="C263" s="58" t="s">
        <v>553</v>
      </c>
      <c r="D263" s="53">
        <v>1559.4</v>
      </c>
      <c r="E263" s="46">
        <v>1</v>
      </c>
      <c r="F263" s="53">
        <f>D263*E263</f>
        <v>1559.4</v>
      </c>
      <c r="G263" s="53">
        <f>F263</f>
        <v>1559.4</v>
      </c>
      <c r="H263" s="53"/>
      <c r="I263" s="46"/>
      <c r="J263" s="53"/>
    </row>
    <row r="264" spans="1:10" s="84" customFormat="1">
      <c r="A264" s="89"/>
      <c r="B264" s="90"/>
      <c r="C264" s="90"/>
      <c r="D264" s="91"/>
      <c r="E264" s="90"/>
      <c r="F264" s="91"/>
      <c r="G264" s="91"/>
      <c r="H264" s="91"/>
      <c r="I264" s="90"/>
      <c r="J264" s="91"/>
    </row>
    <row r="265" spans="1:10" ht="15.75">
      <c r="A265" s="362" t="s">
        <v>1255</v>
      </c>
      <c r="B265" s="362"/>
      <c r="C265" s="362"/>
      <c r="D265" s="362"/>
      <c r="E265" s="362"/>
      <c r="F265" s="362"/>
      <c r="G265" s="47">
        <f>G266+G302</f>
        <v>564.9974000000002</v>
      </c>
      <c r="H265" s="363">
        <f>H266</f>
        <v>2021.24</v>
      </c>
      <c r="I265" s="363"/>
      <c r="J265" s="363"/>
    </row>
    <row r="266" spans="1:10">
      <c r="A266" s="364" t="s">
        <v>11</v>
      </c>
      <c r="B266" s="364"/>
      <c r="C266" s="364"/>
      <c r="D266" s="364"/>
      <c r="E266" s="364"/>
      <c r="F266" s="364"/>
      <c r="G266" s="54">
        <f>SUM(G267:G301)</f>
        <v>2314.9974000000002</v>
      </c>
      <c r="H266" s="361">
        <f>SUM(J268:J275)</f>
        <v>2021.24</v>
      </c>
      <c r="I266" s="361"/>
      <c r="J266" s="361"/>
    </row>
    <row r="267" spans="1:10" ht="15" customHeight="1">
      <c r="A267" s="365" t="s">
        <v>117</v>
      </c>
      <c r="B267" s="366"/>
      <c r="C267" s="366"/>
      <c r="D267" s="366">
        <v>30</v>
      </c>
      <c r="E267" s="366">
        <v>1</v>
      </c>
      <c r="F267" s="366">
        <f t="shared" ref="F267:F300" si="23">D267*E267</f>
        <v>30</v>
      </c>
      <c r="G267" s="366">
        <f t="shared" ref="G267:G300" si="24">F267*1.13</f>
        <v>33.9</v>
      </c>
      <c r="H267" s="366"/>
      <c r="I267" s="366"/>
      <c r="J267" s="366"/>
    </row>
    <row r="268" spans="1:10">
      <c r="A268" s="63" t="s">
        <v>552</v>
      </c>
      <c r="B268" s="64" t="s">
        <v>551</v>
      </c>
      <c r="C268" s="65" t="s">
        <v>550</v>
      </c>
      <c r="D268" s="66">
        <v>8</v>
      </c>
      <c r="E268" s="67">
        <v>20</v>
      </c>
      <c r="F268" s="142">
        <f t="shared" si="23"/>
        <v>160</v>
      </c>
      <c r="G268" s="142">
        <f t="shared" si="24"/>
        <v>180.79999999999998</v>
      </c>
      <c r="H268" s="56"/>
      <c r="I268" s="55"/>
      <c r="J268" s="56">
        <v>2021.24</v>
      </c>
    </row>
    <row r="269" spans="1:10">
      <c r="A269" s="63" t="s">
        <v>549</v>
      </c>
      <c r="B269" s="64" t="s">
        <v>548</v>
      </c>
      <c r="C269" s="65" t="s">
        <v>547</v>
      </c>
      <c r="D269" s="66">
        <v>0</v>
      </c>
      <c r="E269" s="67">
        <v>250</v>
      </c>
      <c r="F269" s="142">
        <f t="shared" si="23"/>
        <v>0</v>
      </c>
      <c r="G269" s="142">
        <f t="shared" si="24"/>
        <v>0</v>
      </c>
      <c r="H269" s="56"/>
      <c r="I269" s="55"/>
      <c r="J269" s="56"/>
    </row>
    <row r="270" spans="1:10">
      <c r="A270" s="63" t="s">
        <v>546</v>
      </c>
      <c r="B270" s="64" t="s">
        <v>545</v>
      </c>
      <c r="C270" s="55"/>
      <c r="D270" s="66">
        <v>0.5</v>
      </c>
      <c r="E270" s="67">
        <v>100</v>
      </c>
      <c r="F270" s="142">
        <f t="shared" si="23"/>
        <v>50</v>
      </c>
      <c r="G270" s="142">
        <f t="shared" si="24"/>
        <v>56.499999999999993</v>
      </c>
      <c r="H270" s="56"/>
      <c r="I270" s="55"/>
      <c r="J270" s="56"/>
    </row>
    <row r="271" spans="1:10">
      <c r="A271" s="63" t="s">
        <v>544</v>
      </c>
      <c r="B271" s="64" t="s">
        <v>543</v>
      </c>
      <c r="C271" s="65" t="s">
        <v>542</v>
      </c>
      <c r="D271" s="66">
        <v>15</v>
      </c>
      <c r="E271" s="67">
        <v>20</v>
      </c>
      <c r="F271" s="142">
        <f t="shared" si="23"/>
        <v>300</v>
      </c>
      <c r="G271" s="142">
        <f t="shared" si="24"/>
        <v>338.99999999999994</v>
      </c>
      <c r="H271" s="56"/>
      <c r="I271" s="55"/>
      <c r="J271" s="56"/>
    </row>
    <row r="272" spans="1:10" ht="15" customHeight="1">
      <c r="A272" s="365" t="s">
        <v>284</v>
      </c>
      <c r="B272" s="366"/>
      <c r="C272" s="366"/>
      <c r="D272" s="366">
        <v>30</v>
      </c>
      <c r="E272" s="366">
        <v>1</v>
      </c>
      <c r="F272" s="366">
        <f t="shared" si="23"/>
        <v>30</v>
      </c>
      <c r="G272" s="366">
        <f t="shared" si="24"/>
        <v>33.9</v>
      </c>
      <c r="H272" s="366"/>
      <c r="I272" s="366"/>
      <c r="J272" s="366"/>
    </row>
    <row r="273" spans="1:10">
      <c r="A273" s="63" t="s">
        <v>541</v>
      </c>
      <c r="B273" s="64" t="s">
        <v>540</v>
      </c>
      <c r="C273" s="64" t="s">
        <v>538</v>
      </c>
      <c r="D273" s="66">
        <v>0</v>
      </c>
      <c r="E273" s="64"/>
      <c r="F273" s="142">
        <f t="shared" si="23"/>
        <v>0</v>
      </c>
      <c r="G273" s="142">
        <f t="shared" si="24"/>
        <v>0</v>
      </c>
      <c r="H273" s="56"/>
      <c r="I273" s="55"/>
      <c r="J273" s="56"/>
    </row>
    <row r="274" spans="1:10">
      <c r="A274" s="63" t="s">
        <v>539</v>
      </c>
      <c r="B274" s="64" t="s">
        <v>536</v>
      </c>
      <c r="C274" s="64" t="s">
        <v>538</v>
      </c>
      <c r="D274" s="66">
        <v>0</v>
      </c>
      <c r="E274" s="64"/>
      <c r="F274" s="142">
        <f t="shared" si="23"/>
        <v>0</v>
      </c>
      <c r="G274" s="142">
        <f t="shared" si="24"/>
        <v>0</v>
      </c>
      <c r="H274" s="56"/>
      <c r="I274" s="55"/>
      <c r="J274" s="56"/>
    </row>
    <row r="275" spans="1:10">
      <c r="A275" s="63" t="s">
        <v>537</v>
      </c>
      <c r="B275" s="64" t="s">
        <v>536</v>
      </c>
      <c r="C275" s="68" t="s">
        <v>535</v>
      </c>
      <c r="D275" s="66">
        <v>1</v>
      </c>
      <c r="E275" s="69">
        <v>50</v>
      </c>
      <c r="F275" s="142">
        <f t="shared" si="23"/>
        <v>50</v>
      </c>
      <c r="G275" s="142">
        <f t="shared" si="24"/>
        <v>56.499999999999993</v>
      </c>
      <c r="H275" s="56"/>
      <c r="I275" s="55"/>
      <c r="J275" s="56"/>
    </row>
    <row r="276" spans="1:10">
      <c r="A276" s="365" t="s">
        <v>470</v>
      </c>
      <c r="B276" s="366"/>
      <c r="C276" s="366"/>
      <c r="D276" s="366">
        <v>30</v>
      </c>
      <c r="E276" s="366">
        <v>1</v>
      </c>
      <c r="F276" s="366">
        <f t="shared" si="23"/>
        <v>30</v>
      </c>
      <c r="G276" s="366">
        <f t="shared" si="24"/>
        <v>33.9</v>
      </c>
      <c r="H276" s="366"/>
      <c r="I276" s="366"/>
      <c r="J276" s="366"/>
    </row>
    <row r="277" spans="1:10">
      <c r="A277" s="63" t="s">
        <v>534</v>
      </c>
      <c r="B277" s="64" t="s">
        <v>533</v>
      </c>
      <c r="C277" s="64" t="s">
        <v>532</v>
      </c>
      <c r="D277" s="70">
        <v>0</v>
      </c>
      <c r="E277" s="55"/>
      <c r="F277" s="142">
        <f t="shared" si="23"/>
        <v>0</v>
      </c>
      <c r="G277" s="142">
        <f t="shared" si="24"/>
        <v>0</v>
      </c>
      <c r="H277" s="56"/>
      <c r="I277" s="55"/>
      <c r="J277" s="56"/>
    </row>
    <row r="278" spans="1:10">
      <c r="A278" s="63" t="s">
        <v>531</v>
      </c>
      <c r="B278" s="64" t="s">
        <v>530</v>
      </c>
      <c r="C278" s="64" t="s">
        <v>529</v>
      </c>
      <c r="D278" s="70">
        <v>0</v>
      </c>
      <c r="E278" s="55"/>
      <c r="F278" s="142">
        <f t="shared" si="23"/>
        <v>0</v>
      </c>
      <c r="G278" s="142">
        <f t="shared" si="24"/>
        <v>0</v>
      </c>
      <c r="H278" s="56"/>
      <c r="I278" s="55"/>
      <c r="J278" s="56"/>
    </row>
    <row r="279" spans="1:10">
      <c r="A279" s="63" t="s">
        <v>528</v>
      </c>
      <c r="B279" s="64" t="s">
        <v>527</v>
      </c>
      <c r="C279" s="68" t="s">
        <v>526</v>
      </c>
      <c r="D279" s="70">
        <v>3.5</v>
      </c>
      <c r="E279" s="55"/>
      <c r="F279" s="142">
        <f t="shared" si="23"/>
        <v>0</v>
      </c>
      <c r="G279" s="142">
        <f t="shared" si="24"/>
        <v>0</v>
      </c>
      <c r="H279" s="56"/>
      <c r="I279" s="55"/>
      <c r="J279" s="56"/>
    </row>
    <row r="280" spans="1:10">
      <c r="A280" s="63" t="s">
        <v>525</v>
      </c>
      <c r="B280" s="64" t="s">
        <v>524</v>
      </c>
      <c r="C280" s="68" t="s">
        <v>523</v>
      </c>
      <c r="D280" s="70">
        <v>250</v>
      </c>
      <c r="E280" s="55"/>
      <c r="F280" s="142">
        <f t="shared" si="23"/>
        <v>0</v>
      </c>
      <c r="G280" s="142">
        <f t="shared" si="24"/>
        <v>0</v>
      </c>
      <c r="H280" s="56"/>
      <c r="I280" s="55"/>
      <c r="J280" s="56"/>
    </row>
    <row r="281" spans="1:10">
      <c r="A281" s="63" t="s">
        <v>522</v>
      </c>
      <c r="B281" s="65"/>
      <c r="C281" s="55"/>
      <c r="D281" s="71"/>
      <c r="E281" s="55"/>
      <c r="F281" s="142">
        <f t="shared" si="23"/>
        <v>0</v>
      </c>
      <c r="G281" s="142">
        <f t="shared" si="24"/>
        <v>0</v>
      </c>
      <c r="H281" s="56"/>
      <c r="I281" s="55"/>
      <c r="J281" s="56"/>
    </row>
    <row r="282" spans="1:10">
      <c r="A282" s="365" t="s">
        <v>521</v>
      </c>
      <c r="B282" s="366"/>
      <c r="C282" s="366"/>
      <c r="D282" s="366">
        <v>30</v>
      </c>
      <c r="E282" s="366">
        <v>1</v>
      </c>
      <c r="F282" s="366">
        <f t="shared" si="23"/>
        <v>30</v>
      </c>
      <c r="G282" s="366">
        <f t="shared" si="24"/>
        <v>33.9</v>
      </c>
      <c r="H282" s="366"/>
      <c r="I282" s="366"/>
      <c r="J282" s="366"/>
    </row>
    <row r="283" spans="1:10">
      <c r="A283" s="62" t="s">
        <v>520</v>
      </c>
      <c r="B283" s="72" t="s">
        <v>482</v>
      </c>
      <c r="C283" s="61" t="s">
        <v>481</v>
      </c>
      <c r="D283" s="73">
        <v>0</v>
      </c>
      <c r="E283" s="74">
        <v>1</v>
      </c>
      <c r="F283" s="143">
        <f t="shared" si="23"/>
        <v>0</v>
      </c>
      <c r="G283" s="143">
        <f t="shared" si="24"/>
        <v>0</v>
      </c>
      <c r="H283" s="46"/>
      <c r="I283" s="52"/>
      <c r="J283" s="46"/>
    </row>
    <row r="284" spans="1:10">
      <c r="A284" s="365" t="s">
        <v>519</v>
      </c>
      <c r="B284" s="366"/>
      <c r="C284" s="366"/>
      <c r="D284" s="366">
        <v>30</v>
      </c>
      <c r="E284" s="366">
        <v>1</v>
      </c>
      <c r="F284" s="366">
        <f t="shared" si="23"/>
        <v>30</v>
      </c>
      <c r="G284" s="366">
        <f t="shared" si="24"/>
        <v>33.9</v>
      </c>
      <c r="H284" s="366"/>
      <c r="I284" s="366"/>
      <c r="J284" s="366"/>
    </row>
    <row r="285" spans="1:10">
      <c r="A285" s="63" t="s">
        <v>518</v>
      </c>
      <c r="B285" s="72" t="s">
        <v>517</v>
      </c>
      <c r="C285" s="72" t="s">
        <v>516</v>
      </c>
      <c r="D285" s="75">
        <v>18</v>
      </c>
      <c r="E285" s="76" t="s">
        <v>515</v>
      </c>
      <c r="F285" s="142">
        <f t="shared" si="23"/>
        <v>54</v>
      </c>
      <c r="G285" s="142">
        <f t="shared" si="24"/>
        <v>61.019999999999996</v>
      </c>
      <c r="H285" s="56"/>
      <c r="I285" s="55"/>
      <c r="J285" s="56"/>
    </row>
    <row r="286" spans="1:10">
      <c r="A286" s="63" t="s">
        <v>514</v>
      </c>
      <c r="B286" s="72" t="s">
        <v>513</v>
      </c>
      <c r="C286" s="72" t="s">
        <v>512</v>
      </c>
      <c r="D286" s="75">
        <v>95</v>
      </c>
      <c r="E286" s="76">
        <v>1</v>
      </c>
      <c r="F286" s="142">
        <f t="shared" si="23"/>
        <v>95</v>
      </c>
      <c r="G286" s="142">
        <f t="shared" si="24"/>
        <v>107.35</v>
      </c>
      <c r="H286" s="56"/>
      <c r="I286" s="55"/>
      <c r="J286" s="56"/>
    </row>
    <row r="287" spans="1:10">
      <c r="A287" s="63" t="s">
        <v>511</v>
      </c>
      <c r="B287" s="72" t="s">
        <v>510</v>
      </c>
      <c r="C287" s="72" t="s">
        <v>509</v>
      </c>
      <c r="D287" s="75">
        <v>4</v>
      </c>
      <c r="E287" s="76">
        <v>15</v>
      </c>
      <c r="F287" s="142">
        <f t="shared" si="23"/>
        <v>60</v>
      </c>
      <c r="G287" s="142">
        <f t="shared" si="24"/>
        <v>67.8</v>
      </c>
      <c r="H287" s="56"/>
      <c r="I287" s="55"/>
      <c r="J287" s="56"/>
    </row>
    <row r="288" spans="1:10">
      <c r="A288" s="63" t="s">
        <v>508</v>
      </c>
      <c r="B288" s="72" t="s">
        <v>507</v>
      </c>
      <c r="C288" s="72" t="s">
        <v>506</v>
      </c>
      <c r="D288" s="75">
        <v>6.49</v>
      </c>
      <c r="E288" s="76">
        <v>2</v>
      </c>
      <c r="F288" s="142">
        <f t="shared" si="23"/>
        <v>12.98</v>
      </c>
      <c r="G288" s="142">
        <f t="shared" si="24"/>
        <v>14.667399999999999</v>
      </c>
      <c r="H288" s="56"/>
      <c r="I288" s="55"/>
      <c r="J288" s="56"/>
    </row>
    <row r="289" spans="1:10">
      <c r="A289" s="63" t="s">
        <v>505</v>
      </c>
      <c r="B289" s="72" t="s">
        <v>504</v>
      </c>
      <c r="C289" s="72" t="s">
        <v>503</v>
      </c>
      <c r="D289" s="75">
        <v>13</v>
      </c>
      <c r="E289" s="76">
        <v>5</v>
      </c>
      <c r="F289" s="142">
        <f t="shared" si="23"/>
        <v>65</v>
      </c>
      <c r="G289" s="142">
        <f t="shared" si="24"/>
        <v>73.449999999999989</v>
      </c>
      <c r="H289" s="56"/>
      <c r="I289" s="55"/>
      <c r="J289" s="56"/>
    </row>
    <row r="290" spans="1:10">
      <c r="A290" s="63" t="s">
        <v>502</v>
      </c>
      <c r="B290" s="72" t="s">
        <v>501</v>
      </c>
      <c r="C290" s="72" t="s">
        <v>500</v>
      </c>
      <c r="D290" s="75">
        <v>5</v>
      </c>
      <c r="E290" s="76">
        <v>5</v>
      </c>
      <c r="F290" s="142">
        <f t="shared" si="23"/>
        <v>25</v>
      </c>
      <c r="G290" s="142">
        <f t="shared" si="24"/>
        <v>28.249999999999996</v>
      </c>
      <c r="H290" s="56"/>
      <c r="I290" s="55"/>
      <c r="J290" s="56"/>
    </row>
    <row r="291" spans="1:10">
      <c r="A291" s="63" t="s">
        <v>499</v>
      </c>
      <c r="B291" s="72" t="s">
        <v>498</v>
      </c>
      <c r="C291" s="72" t="s">
        <v>495</v>
      </c>
      <c r="D291" s="75"/>
      <c r="E291" s="76"/>
      <c r="F291" s="142">
        <f t="shared" si="23"/>
        <v>0</v>
      </c>
      <c r="G291" s="142">
        <f t="shared" si="24"/>
        <v>0</v>
      </c>
      <c r="H291" s="56"/>
      <c r="I291" s="55"/>
      <c r="J291" s="56"/>
    </row>
    <row r="292" spans="1:10">
      <c r="A292" s="63" t="s">
        <v>497</v>
      </c>
      <c r="B292" s="72" t="s">
        <v>496</v>
      </c>
      <c r="C292" s="72" t="s">
        <v>495</v>
      </c>
      <c r="D292" s="75"/>
      <c r="E292" s="76"/>
      <c r="F292" s="142">
        <f t="shared" si="23"/>
        <v>0</v>
      </c>
      <c r="G292" s="142">
        <f t="shared" si="24"/>
        <v>0</v>
      </c>
      <c r="H292" s="56"/>
      <c r="I292" s="55"/>
      <c r="J292" s="56"/>
    </row>
    <row r="293" spans="1:10">
      <c r="A293" s="63" t="s">
        <v>494</v>
      </c>
      <c r="B293" s="72" t="s">
        <v>493</v>
      </c>
      <c r="C293" s="72" t="s">
        <v>492</v>
      </c>
      <c r="D293" s="75">
        <v>14</v>
      </c>
      <c r="E293" s="76">
        <v>1</v>
      </c>
      <c r="F293" s="142">
        <f t="shared" si="23"/>
        <v>14</v>
      </c>
      <c r="G293" s="142">
        <f t="shared" si="24"/>
        <v>15.819999999999999</v>
      </c>
      <c r="H293" s="56"/>
      <c r="I293" s="55"/>
      <c r="J293" s="56"/>
    </row>
    <row r="294" spans="1:10">
      <c r="A294" s="63" t="s">
        <v>491</v>
      </c>
      <c r="B294" s="72" t="s">
        <v>490</v>
      </c>
      <c r="C294" s="72" t="s">
        <v>489</v>
      </c>
      <c r="D294" s="75"/>
      <c r="E294" s="76"/>
      <c r="F294" s="142">
        <f t="shared" si="23"/>
        <v>0</v>
      </c>
      <c r="G294" s="142">
        <f t="shared" si="24"/>
        <v>0</v>
      </c>
      <c r="H294" s="56"/>
      <c r="I294" s="55"/>
      <c r="J294" s="56"/>
    </row>
    <row r="295" spans="1:10">
      <c r="A295" s="365" t="s">
        <v>465</v>
      </c>
      <c r="B295" s="366"/>
      <c r="C295" s="366"/>
      <c r="D295" s="366">
        <v>30</v>
      </c>
      <c r="E295" s="366">
        <v>1</v>
      </c>
      <c r="F295" s="366">
        <f t="shared" si="23"/>
        <v>30</v>
      </c>
      <c r="G295" s="366">
        <f t="shared" si="24"/>
        <v>33.9</v>
      </c>
      <c r="H295" s="366"/>
      <c r="I295" s="366"/>
      <c r="J295" s="366"/>
    </row>
    <row r="296" spans="1:10">
      <c r="A296" s="63" t="s">
        <v>488</v>
      </c>
      <c r="B296" s="72" t="s">
        <v>487</v>
      </c>
      <c r="C296" s="77"/>
      <c r="D296" s="75">
        <v>5</v>
      </c>
      <c r="E296" s="78">
        <v>10</v>
      </c>
      <c r="F296" s="142">
        <f t="shared" si="23"/>
        <v>50</v>
      </c>
      <c r="G296" s="142">
        <f t="shared" si="24"/>
        <v>56.499999999999993</v>
      </c>
      <c r="H296" s="56"/>
      <c r="I296" s="55"/>
      <c r="J296" s="56"/>
    </row>
    <row r="297" spans="1:10">
      <c r="A297" s="63" t="s">
        <v>486</v>
      </c>
      <c r="B297" s="72" t="s">
        <v>485</v>
      </c>
      <c r="C297" s="72" t="s">
        <v>484</v>
      </c>
      <c r="D297" s="75">
        <v>100</v>
      </c>
      <c r="E297" s="78">
        <v>1</v>
      </c>
      <c r="F297" s="142">
        <f t="shared" si="23"/>
        <v>100</v>
      </c>
      <c r="G297" s="142">
        <f t="shared" si="24"/>
        <v>112.99999999999999</v>
      </c>
      <c r="H297" s="56"/>
      <c r="I297" s="55"/>
      <c r="J297" s="56"/>
    </row>
    <row r="298" spans="1:10">
      <c r="A298" s="365" t="s">
        <v>483</v>
      </c>
      <c r="B298" s="366"/>
      <c r="C298" s="366"/>
      <c r="D298" s="366">
        <v>30</v>
      </c>
      <c r="E298" s="366">
        <v>1</v>
      </c>
      <c r="F298" s="366">
        <f t="shared" si="23"/>
        <v>30</v>
      </c>
      <c r="G298" s="366">
        <f t="shared" si="24"/>
        <v>33.9</v>
      </c>
      <c r="H298" s="366"/>
      <c r="I298" s="366"/>
      <c r="J298" s="366"/>
    </row>
    <row r="299" spans="1:10">
      <c r="A299" s="63" t="s">
        <v>479</v>
      </c>
      <c r="B299" s="72" t="s">
        <v>482</v>
      </c>
      <c r="C299" s="72" t="s">
        <v>481</v>
      </c>
      <c r="D299" s="75">
        <v>0</v>
      </c>
      <c r="E299" s="78">
        <v>1</v>
      </c>
      <c r="F299" s="142">
        <f t="shared" si="23"/>
        <v>0</v>
      </c>
      <c r="G299" s="142">
        <f t="shared" si="24"/>
        <v>0</v>
      </c>
      <c r="H299" s="56"/>
      <c r="I299" s="55"/>
      <c r="J299" s="56"/>
    </row>
    <row r="300" spans="1:10">
      <c r="A300" s="365" t="s">
        <v>480</v>
      </c>
      <c r="B300" s="366"/>
      <c r="C300" s="366"/>
      <c r="D300" s="366">
        <v>30</v>
      </c>
      <c r="E300" s="366">
        <v>1</v>
      </c>
      <c r="F300" s="366">
        <f t="shared" si="23"/>
        <v>30</v>
      </c>
      <c r="G300" s="366">
        <f t="shared" si="24"/>
        <v>33.9</v>
      </c>
      <c r="H300" s="366"/>
      <c r="I300" s="366"/>
      <c r="J300" s="366"/>
    </row>
    <row r="301" spans="1:10">
      <c r="A301" s="63" t="s">
        <v>479</v>
      </c>
      <c r="B301" s="72" t="s">
        <v>478</v>
      </c>
      <c r="C301" s="72" t="s">
        <v>477</v>
      </c>
      <c r="D301" s="75">
        <f>2315-1441.86</f>
        <v>873.1400000000001</v>
      </c>
      <c r="E301" s="78">
        <v>1</v>
      </c>
      <c r="F301" s="142">
        <f>D301</f>
        <v>873.1400000000001</v>
      </c>
      <c r="G301" s="142">
        <f>F301</f>
        <v>873.1400000000001</v>
      </c>
      <c r="H301" s="56"/>
      <c r="I301" s="55"/>
      <c r="J301" s="56"/>
    </row>
    <row r="302" spans="1:10">
      <c r="A302" s="359" t="s">
        <v>12</v>
      </c>
      <c r="B302" s="360"/>
      <c r="C302" s="360"/>
      <c r="D302" s="360"/>
      <c r="E302" s="360"/>
      <c r="F302" s="360"/>
      <c r="G302" s="54">
        <f>-SUM(G303:G310)</f>
        <v>-1750</v>
      </c>
      <c r="H302" s="361">
        <f>-SUM(J303:J310)</f>
        <v>0</v>
      </c>
      <c r="I302" s="361"/>
      <c r="J302" s="361"/>
    </row>
    <row r="303" spans="1:10">
      <c r="A303" s="63" t="s">
        <v>476</v>
      </c>
      <c r="B303" s="64" t="s">
        <v>475</v>
      </c>
      <c r="C303" s="64" t="s">
        <v>474</v>
      </c>
      <c r="D303" s="70">
        <v>10</v>
      </c>
      <c r="E303" s="79">
        <v>20</v>
      </c>
      <c r="F303" s="142">
        <f t="shared" ref="F303:F310" si="25">D303*E303</f>
        <v>200</v>
      </c>
      <c r="G303" s="142">
        <f t="shared" ref="G303:G308" si="26">F303</f>
        <v>200</v>
      </c>
      <c r="H303" s="56"/>
      <c r="I303" s="55"/>
      <c r="J303" s="56"/>
    </row>
    <row r="304" spans="1:10">
      <c r="A304" s="63" t="s">
        <v>473</v>
      </c>
      <c r="B304" s="64"/>
      <c r="C304" s="64" t="s">
        <v>472</v>
      </c>
      <c r="D304" s="70">
        <v>10</v>
      </c>
      <c r="E304" s="79">
        <v>20</v>
      </c>
      <c r="F304" s="142">
        <f t="shared" si="25"/>
        <v>200</v>
      </c>
      <c r="G304" s="142">
        <f t="shared" si="26"/>
        <v>200</v>
      </c>
      <c r="H304" s="56"/>
      <c r="I304" s="55"/>
      <c r="J304" s="56"/>
    </row>
    <row r="305" spans="1:10">
      <c r="A305" s="63" t="s">
        <v>471</v>
      </c>
      <c r="B305" s="64" t="s">
        <v>470</v>
      </c>
      <c r="C305" s="64" t="s">
        <v>469</v>
      </c>
      <c r="D305" s="70">
        <v>3</v>
      </c>
      <c r="E305" s="79">
        <v>100</v>
      </c>
      <c r="F305" s="142">
        <f t="shared" si="25"/>
        <v>300</v>
      </c>
      <c r="G305" s="142">
        <f t="shared" si="26"/>
        <v>300</v>
      </c>
      <c r="H305" s="56"/>
      <c r="I305" s="55"/>
      <c r="J305" s="56"/>
    </row>
    <row r="306" spans="1:10">
      <c r="A306" s="63" t="s">
        <v>468</v>
      </c>
      <c r="B306" s="64" t="s">
        <v>467</v>
      </c>
      <c r="C306" s="64" t="s">
        <v>464</v>
      </c>
      <c r="D306" s="70">
        <v>5</v>
      </c>
      <c r="E306" s="79">
        <v>100</v>
      </c>
      <c r="F306" s="142">
        <f t="shared" si="25"/>
        <v>500</v>
      </c>
      <c r="G306" s="142">
        <f t="shared" si="26"/>
        <v>500</v>
      </c>
      <c r="H306" s="56"/>
      <c r="I306" s="55"/>
      <c r="J306" s="56"/>
    </row>
    <row r="307" spans="1:10">
      <c r="A307" s="63" t="s">
        <v>466</v>
      </c>
      <c r="B307" s="64" t="s">
        <v>465</v>
      </c>
      <c r="C307" s="64" t="s">
        <v>464</v>
      </c>
      <c r="D307" s="70">
        <v>3</v>
      </c>
      <c r="E307" s="79">
        <v>150</v>
      </c>
      <c r="F307" s="142">
        <f t="shared" si="25"/>
        <v>450</v>
      </c>
      <c r="G307" s="142">
        <f t="shared" si="26"/>
        <v>450</v>
      </c>
      <c r="H307" s="56"/>
      <c r="I307" s="55"/>
      <c r="J307" s="56"/>
    </row>
    <row r="308" spans="1:10">
      <c r="A308" s="63" t="s">
        <v>463</v>
      </c>
      <c r="B308" s="64"/>
      <c r="C308" s="64" t="s">
        <v>462</v>
      </c>
      <c r="D308" s="70">
        <v>1</v>
      </c>
      <c r="E308" s="79">
        <v>100</v>
      </c>
      <c r="F308" s="142">
        <f t="shared" si="25"/>
        <v>100</v>
      </c>
      <c r="G308" s="142">
        <f t="shared" si="26"/>
        <v>100</v>
      </c>
      <c r="H308" s="56"/>
      <c r="I308" s="55"/>
      <c r="J308" s="56"/>
    </row>
    <row r="309" spans="1:10">
      <c r="A309" s="63" t="s">
        <v>461</v>
      </c>
      <c r="B309" s="64" t="s">
        <v>460</v>
      </c>
      <c r="C309" s="64"/>
      <c r="D309" s="70"/>
      <c r="E309" s="79"/>
      <c r="F309" s="142">
        <f t="shared" si="25"/>
        <v>0</v>
      </c>
      <c r="G309" s="142">
        <f>F309*1.13</f>
        <v>0</v>
      </c>
      <c r="H309" s="56"/>
      <c r="I309" s="55"/>
      <c r="J309" s="56"/>
    </row>
    <row r="310" spans="1:10">
      <c r="A310" s="63" t="s">
        <v>459</v>
      </c>
      <c r="B310" s="64" t="s">
        <v>458</v>
      </c>
      <c r="C310" s="64" t="s">
        <v>457</v>
      </c>
      <c r="D310" s="70" t="s">
        <v>456</v>
      </c>
      <c r="E310" s="79">
        <v>500</v>
      </c>
      <c r="F310" s="142">
        <f t="shared" si="25"/>
        <v>500</v>
      </c>
      <c r="G310" s="142" t="s">
        <v>1479</v>
      </c>
      <c r="H310" s="56"/>
      <c r="I310" s="55"/>
      <c r="J310" s="56"/>
    </row>
    <row r="311" spans="1:10" s="84" customFormat="1">
      <c r="A311" s="89"/>
      <c r="B311" s="90"/>
      <c r="C311" s="90"/>
      <c r="D311" s="91"/>
      <c r="E311" s="90"/>
      <c r="F311" s="91"/>
      <c r="G311" s="91"/>
      <c r="H311" s="91"/>
      <c r="I311" s="90"/>
      <c r="J311" s="91"/>
    </row>
    <row r="312" spans="1:10" ht="15.75">
      <c r="A312" s="362" t="s">
        <v>455</v>
      </c>
      <c r="B312" s="362"/>
      <c r="C312" s="362"/>
      <c r="D312" s="362"/>
      <c r="E312" s="362"/>
      <c r="F312" s="362"/>
      <c r="G312" s="47">
        <f>G313+G321</f>
        <v>2021.62</v>
      </c>
      <c r="H312" s="363">
        <f>H313</f>
        <v>1710.6399999999999</v>
      </c>
      <c r="I312" s="363"/>
      <c r="J312" s="363"/>
    </row>
    <row r="313" spans="1:10">
      <c r="A313" s="364" t="s">
        <v>11</v>
      </c>
      <c r="B313" s="364"/>
      <c r="C313" s="364"/>
      <c r="D313" s="364"/>
      <c r="E313" s="364"/>
      <c r="F313" s="364"/>
      <c r="G313" s="54">
        <f>SUM(G314:G320)</f>
        <v>3021.62</v>
      </c>
      <c r="H313" s="361">
        <f>SUM(J314:J319)</f>
        <v>1710.6399999999999</v>
      </c>
      <c r="I313" s="361"/>
      <c r="J313" s="361"/>
    </row>
    <row r="314" spans="1:10">
      <c r="A314" s="57" t="s">
        <v>454</v>
      </c>
      <c r="B314" s="58" t="s">
        <v>353</v>
      </c>
      <c r="C314" s="58" t="s">
        <v>453</v>
      </c>
      <c r="D314" s="53">
        <v>14</v>
      </c>
      <c r="E314" s="46">
        <v>80</v>
      </c>
      <c r="F314" s="53">
        <f t="shared" ref="F314:F320" si="27">D314*E314</f>
        <v>1120</v>
      </c>
      <c r="G314" s="53">
        <f t="shared" ref="G314:G320" si="28">F314*1.13</f>
        <v>1265.5999999999999</v>
      </c>
      <c r="H314" s="53"/>
      <c r="I314" s="46"/>
      <c r="J314" s="53">
        <v>1332.56</v>
      </c>
    </row>
    <row r="315" spans="1:10">
      <c r="A315" s="57" t="s">
        <v>452</v>
      </c>
      <c r="B315" s="58" t="s">
        <v>451</v>
      </c>
      <c r="C315" s="58" t="s">
        <v>438</v>
      </c>
      <c r="D315" s="53">
        <v>300</v>
      </c>
      <c r="E315" s="46">
        <v>1</v>
      </c>
      <c r="F315" s="53">
        <f t="shared" si="27"/>
        <v>300</v>
      </c>
      <c r="G315" s="53">
        <f t="shared" si="28"/>
        <v>338.99999999999994</v>
      </c>
      <c r="H315" s="53"/>
      <c r="I315" s="46"/>
      <c r="J315" s="53">
        <f>200</f>
        <v>200</v>
      </c>
    </row>
    <row r="316" spans="1:10">
      <c r="A316" s="57" t="s">
        <v>450</v>
      </c>
      <c r="B316" s="58" t="s">
        <v>449</v>
      </c>
      <c r="C316" s="46"/>
      <c r="D316" s="53">
        <v>5</v>
      </c>
      <c r="E316" s="46">
        <v>6</v>
      </c>
      <c r="F316" s="53">
        <f t="shared" si="27"/>
        <v>30</v>
      </c>
      <c r="G316" s="53">
        <f t="shared" si="28"/>
        <v>33.9</v>
      </c>
      <c r="H316" s="53"/>
      <c r="I316" s="46"/>
      <c r="J316" s="53">
        <v>23.72</v>
      </c>
    </row>
    <row r="317" spans="1:10">
      <c r="A317" s="57" t="s">
        <v>448</v>
      </c>
      <c r="B317" s="58" t="s">
        <v>447</v>
      </c>
      <c r="C317" s="46"/>
      <c r="D317" s="53">
        <v>200</v>
      </c>
      <c r="E317" s="46">
        <v>1</v>
      </c>
      <c r="F317" s="53">
        <f t="shared" si="27"/>
        <v>200</v>
      </c>
      <c r="G317" s="53">
        <f t="shared" si="28"/>
        <v>225.99999999999997</v>
      </c>
      <c r="H317" s="53"/>
      <c r="I317" s="46"/>
      <c r="J317" s="53">
        <f>105.79+32.54</f>
        <v>138.33000000000001</v>
      </c>
    </row>
    <row r="318" spans="1:10">
      <c r="A318" s="57" t="s">
        <v>446</v>
      </c>
      <c r="B318" s="58" t="s">
        <v>445</v>
      </c>
      <c r="C318" s="58" t="s">
        <v>444</v>
      </c>
      <c r="D318" s="53">
        <v>4</v>
      </c>
      <c r="E318" s="46">
        <v>1</v>
      </c>
      <c r="F318" s="53">
        <f t="shared" si="27"/>
        <v>4</v>
      </c>
      <c r="G318" s="53">
        <f t="shared" si="28"/>
        <v>4.5199999999999996</v>
      </c>
      <c r="H318" s="53"/>
      <c r="I318" s="46"/>
      <c r="J318" s="53"/>
    </row>
    <row r="319" spans="1:10">
      <c r="A319" s="57" t="s">
        <v>443</v>
      </c>
      <c r="B319" s="58" t="s">
        <v>174</v>
      </c>
      <c r="C319" s="46"/>
      <c r="D319" s="53">
        <v>20</v>
      </c>
      <c r="E319" s="46">
        <v>1</v>
      </c>
      <c r="F319" s="53">
        <f t="shared" si="27"/>
        <v>20</v>
      </c>
      <c r="G319" s="53">
        <f t="shared" si="28"/>
        <v>22.599999999999998</v>
      </c>
      <c r="H319" s="53"/>
      <c r="I319" s="46"/>
      <c r="J319" s="53">
        <v>16.03</v>
      </c>
    </row>
    <row r="320" spans="1:10">
      <c r="A320" s="57" t="s">
        <v>442</v>
      </c>
      <c r="B320" s="58" t="s">
        <v>441</v>
      </c>
      <c r="C320" s="46"/>
      <c r="D320" s="53">
        <v>1000</v>
      </c>
      <c r="E320" s="46">
        <v>1</v>
      </c>
      <c r="F320" s="53">
        <f t="shared" si="27"/>
        <v>1000</v>
      </c>
      <c r="G320" s="53">
        <f t="shared" si="28"/>
        <v>1130</v>
      </c>
      <c r="H320" s="53"/>
      <c r="I320" s="46"/>
      <c r="J320" s="53"/>
    </row>
    <row r="321" spans="1:10">
      <c r="A321" s="359" t="s">
        <v>12</v>
      </c>
      <c r="B321" s="360"/>
      <c r="C321" s="360"/>
      <c r="D321" s="360"/>
      <c r="E321" s="360"/>
      <c r="F321" s="360"/>
      <c r="G321" s="54">
        <f>-SUM(G322:G322)</f>
        <v>-1000</v>
      </c>
      <c r="H321" s="361">
        <v>0</v>
      </c>
      <c r="I321" s="361"/>
      <c r="J321" s="361"/>
    </row>
    <row r="322" spans="1:10">
      <c r="A322" s="57" t="s">
        <v>440</v>
      </c>
      <c r="B322" s="58" t="s">
        <v>439</v>
      </c>
      <c r="C322" s="58" t="s">
        <v>438</v>
      </c>
      <c r="D322" s="53">
        <v>1000</v>
      </c>
      <c r="E322" s="46">
        <v>1</v>
      </c>
      <c r="F322" s="53">
        <f>D322*E322</f>
        <v>1000</v>
      </c>
      <c r="G322" s="53">
        <f>F322</f>
        <v>1000</v>
      </c>
      <c r="H322" s="53"/>
      <c r="I322" s="46"/>
      <c r="J322" s="53"/>
    </row>
  </sheetData>
  <mergeCells count="118">
    <mergeCell ref="A25:J25"/>
    <mergeCell ref="A29:J29"/>
    <mergeCell ref="A39:J39"/>
    <mergeCell ref="H142:J142"/>
    <mergeCell ref="A114:F114"/>
    <mergeCell ref="H114:J114"/>
    <mergeCell ref="A117:F117"/>
    <mergeCell ref="H117:J117"/>
    <mergeCell ref="A118:F118"/>
    <mergeCell ref="H100:J100"/>
    <mergeCell ref="A62:F62"/>
    <mergeCell ref="H62:J62"/>
    <mergeCell ref="A72:F72"/>
    <mergeCell ref="H72:J72"/>
    <mergeCell ref="A73:F73"/>
    <mergeCell ref="H73:J73"/>
    <mergeCell ref="A74:J74"/>
    <mergeCell ref="A76:J76"/>
    <mergeCell ref="A78:F78"/>
    <mergeCell ref="H78:J78"/>
    <mergeCell ref="A79:F79"/>
    <mergeCell ref="H79:J79"/>
    <mergeCell ref="H118:J118"/>
    <mergeCell ref="A1:E2"/>
    <mergeCell ref="F1:G1"/>
    <mergeCell ref="H1:J1"/>
    <mergeCell ref="F2:G2"/>
    <mergeCell ref="H2:J2"/>
    <mergeCell ref="A44:J44"/>
    <mergeCell ref="A101:J101"/>
    <mergeCell ref="A107:J107"/>
    <mergeCell ref="A110:J110"/>
    <mergeCell ref="A80:F80"/>
    <mergeCell ref="H80:J80"/>
    <mergeCell ref="A99:F99"/>
    <mergeCell ref="H99:J99"/>
    <mergeCell ref="A100:F100"/>
    <mergeCell ref="A8:F8"/>
    <mergeCell ref="H8:J8"/>
    <mergeCell ref="A9:F9"/>
    <mergeCell ref="H9:J9"/>
    <mergeCell ref="A10:J10"/>
    <mergeCell ref="A59:J59"/>
    <mergeCell ref="A50:J50"/>
    <mergeCell ref="A54:J54"/>
    <mergeCell ref="A56:J56"/>
    <mergeCell ref="A13:J13"/>
    <mergeCell ref="A143:F143"/>
    <mergeCell ref="H143:J143"/>
    <mergeCell ref="A144:J144"/>
    <mergeCell ref="A147:J147"/>
    <mergeCell ref="A152:J152"/>
    <mergeCell ref="A119:J119"/>
    <mergeCell ref="A125:J125"/>
    <mergeCell ref="A132:F132"/>
    <mergeCell ref="H132:J132"/>
    <mergeCell ref="A142:F142"/>
    <mergeCell ref="A157:F157"/>
    <mergeCell ref="H157:J157"/>
    <mergeCell ref="A162:F162"/>
    <mergeCell ref="H162:J162"/>
    <mergeCell ref="A163:F163"/>
    <mergeCell ref="H163:J163"/>
    <mergeCell ref="A186:J186"/>
    <mergeCell ref="A190:J190"/>
    <mergeCell ref="A195:J195"/>
    <mergeCell ref="A199:F199"/>
    <mergeCell ref="H199:J199"/>
    <mergeCell ref="A164:J164"/>
    <mergeCell ref="A170:J170"/>
    <mergeCell ref="A173:J173"/>
    <mergeCell ref="A178:J178"/>
    <mergeCell ref="A183:J183"/>
    <mergeCell ref="A211:J211"/>
    <mergeCell ref="A220:J220"/>
    <mergeCell ref="B206:B207"/>
    <mergeCell ref="A209:F209"/>
    <mergeCell ref="H209:J209"/>
    <mergeCell ref="A210:F210"/>
    <mergeCell ref="H210:J210"/>
    <mergeCell ref="A262:F262"/>
    <mergeCell ref="H262:J262"/>
    <mergeCell ref="A265:F265"/>
    <mergeCell ref="H265:J265"/>
    <mergeCell ref="A266:F266"/>
    <mergeCell ref="H266:J266"/>
    <mergeCell ref="A225:J225"/>
    <mergeCell ref="A227:J227"/>
    <mergeCell ref="A229:J229"/>
    <mergeCell ref="A255:F255"/>
    <mergeCell ref="H255:J255"/>
    <mergeCell ref="A235:J235"/>
    <mergeCell ref="A237:F237"/>
    <mergeCell ref="H237:J237"/>
    <mergeCell ref="A242:F242"/>
    <mergeCell ref="H242:J242"/>
    <mergeCell ref="A243:F243"/>
    <mergeCell ref="H243:J243"/>
    <mergeCell ref="A251:F251"/>
    <mergeCell ref="H251:J251"/>
    <mergeCell ref="A254:F254"/>
    <mergeCell ref="H254:J254"/>
    <mergeCell ref="A321:F321"/>
    <mergeCell ref="H321:J321"/>
    <mergeCell ref="H313:J313"/>
    <mergeCell ref="A312:F312"/>
    <mergeCell ref="H312:J312"/>
    <mergeCell ref="A313:F313"/>
    <mergeCell ref="A267:J267"/>
    <mergeCell ref="A272:J272"/>
    <mergeCell ref="A276:J276"/>
    <mergeCell ref="A282:J282"/>
    <mergeCell ref="A284:J284"/>
    <mergeCell ref="A295:J295"/>
    <mergeCell ref="A298:J298"/>
    <mergeCell ref="A302:F302"/>
    <mergeCell ref="H302:J302"/>
    <mergeCell ref="A300:J300"/>
  </mergeCells>
  <hyperlinks>
    <hyperlink ref="A1:E2" location="Summary!A1" display="22 - Events - Douglas McFarlane"/>
  </hyperlinks>
  <pageMargins left="0.7" right="0.7" top="0.75" bottom="0.75" header="0.51180555555555496" footer="0.51180555555555496"/>
  <pageSetup firstPageNumber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activeCell="L28" sqref="L28"/>
    </sheetView>
  </sheetViews>
  <sheetFormatPr defaultColWidth="8.85546875" defaultRowHeight="15"/>
  <cols>
    <col min="1" max="1" width="8.85546875" style="4"/>
    <col min="2" max="2" width="16.42578125" style="4" customWidth="1"/>
    <col min="3" max="3" width="26.42578125" style="4" bestFit="1" customWidth="1"/>
    <col min="4" max="4" width="11.28515625" style="4" bestFit="1" customWidth="1"/>
    <col min="5" max="5" width="6.28515625" style="4" customWidth="1"/>
    <col min="6" max="6" width="14.28515625" style="4" customWidth="1"/>
    <col min="7" max="7" width="12.28515625" style="4" bestFit="1" customWidth="1"/>
    <col min="8" max="9" width="8.85546875" style="4"/>
    <col min="10" max="10" width="10.5703125" style="4" bestFit="1" customWidth="1"/>
    <col min="11" max="16384" width="8.85546875" style="4"/>
  </cols>
  <sheetData>
    <row r="1" spans="1:10" ht="18.75">
      <c r="A1" s="302" t="s">
        <v>429</v>
      </c>
      <c r="B1" s="302"/>
      <c r="C1" s="302"/>
      <c r="D1" s="302"/>
      <c r="E1" s="302"/>
      <c r="F1" s="303">
        <f>G8+G20+G28</f>
        <v>694.44119999999748</v>
      </c>
      <c r="G1" s="304"/>
      <c r="H1" s="303">
        <f>H8+H20</f>
        <v>583.62999999999954</v>
      </c>
      <c r="I1" s="317"/>
      <c r="J1" s="304"/>
    </row>
    <row r="2" spans="1:10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5" spans="1:10" ht="42.75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8" spans="1:10" ht="15.75">
      <c r="A8" s="293" t="s">
        <v>428</v>
      </c>
      <c r="B8" s="294"/>
      <c r="C8" s="294"/>
      <c r="D8" s="294"/>
      <c r="E8" s="294"/>
      <c r="F8" s="295"/>
      <c r="G8" s="9">
        <f>SUM(G9+G15)</f>
        <v>72.94119999999748</v>
      </c>
      <c r="H8" s="308">
        <f>H9+H15</f>
        <v>385.22999999999956</v>
      </c>
      <c r="I8" s="309"/>
      <c r="J8" s="310"/>
    </row>
    <row r="9" spans="1:10">
      <c r="A9" s="296" t="s">
        <v>11</v>
      </c>
      <c r="B9" s="297"/>
      <c r="C9" s="297"/>
      <c r="D9" s="297"/>
      <c r="E9" s="297"/>
      <c r="F9" s="298"/>
      <c r="G9" s="8">
        <f>SUM(G10:G13)</f>
        <v>13152.341199999997</v>
      </c>
      <c r="H9" s="311">
        <f>SUM(J10:J13)</f>
        <v>7920.23</v>
      </c>
      <c r="I9" s="312"/>
      <c r="J9" s="313"/>
    </row>
    <row r="10" spans="1:10">
      <c r="A10" s="2" t="s">
        <v>427</v>
      </c>
      <c r="B10" s="1" t="s">
        <v>426</v>
      </c>
      <c r="C10" s="1"/>
      <c r="D10" s="3">
        <v>1380</v>
      </c>
      <c r="E10" s="1">
        <v>1</v>
      </c>
      <c r="F10" s="3">
        <f>D10*E10</f>
        <v>1380</v>
      </c>
      <c r="G10" s="3">
        <f>F10*1.13</f>
        <v>1559.3999999999999</v>
      </c>
      <c r="H10" s="3"/>
      <c r="I10" s="1"/>
      <c r="J10" s="3"/>
    </row>
    <row r="11" spans="1:10">
      <c r="A11" s="2" t="s">
        <v>425</v>
      </c>
      <c r="B11" s="1" t="s">
        <v>424</v>
      </c>
      <c r="C11" s="1" t="s">
        <v>423</v>
      </c>
      <c r="D11" s="3">
        <v>119.99</v>
      </c>
      <c r="E11" s="1">
        <v>76</v>
      </c>
      <c r="F11" s="3">
        <f>D11*E11</f>
        <v>9119.24</v>
      </c>
      <c r="G11" s="3">
        <f>F11*1.13</f>
        <v>10304.741199999999</v>
      </c>
      <c r="H11" s="3"/>
      <c r="I11" s="1"/>
      <c r="J11" s="3">
        <f>3700+3932.08</f>
        <v>7632.08</v>
      </c>
    </row>
    <row r="12" spans="1:10">
      <c r="A12" s="2" t="s">
        <v>422</v>
      </c>
      <c r="B12" s="1" t="s">
        <v>1417</v>
      </c>
      <c r="C12" s="1"/>
      <c r="D12" s="3">
        <v>10</v>
      </c>
      <c r="E12" s="1">
        <v>76</v>
      </c>
      <c r="F12" s="3">
        <f>D12*E12</f>
        <v>760</v>
      </c>
      <c r="G12" s="3">
        <f>F12*1.13</f>
        <v>858.8</v>
      </c>
      <c r="H12" s="3"/>
      <c r="I12" s="1"/>
      <c r="J12" s="3"/>
    </row>
    <row r="13" spans="1:10">
      <c r="A13" s="2" t="s">
        <v>421</v>
      </c>
      <c r="B13" s="1" t="s">
        <v>420</v>
      </c>
      <c r="C13" s="1"/>
      <c r="D13" s="3">
        <v>5</v>
      </c>
      <c r="E13" s="1">
        <v>76</v>
      </c>
      <c r="F13" s="3">
        <f>D13*E13</f>
        <v>380</v>
      </c>
      <c r="G13" s="3">
        <f>F13*1.13</f>
        <v>429.4</v>
      </c>
      <c r="H13" s="3"/>
      <c r="I13" s="1"/>
      <c r="J13" s="3">
        <f>171.76+116.39</f>
        <v>288.14999999999998</v>
      </c>
    </row>
    <row r="14" spans="1:10">
      <c r="A14" s="2" t="s">
        <v>419</v>
      </c>
      <c r="B14" s="1"/>
      <c r="C14" s="1"/>
      <c r="D14" s="3"/>
      <c r="E14" s="1"/>
      <c r="F14" s="3"/>
      <c r="G14" s="3"/>
      <c r="H14" s="3"/>
      <c r="I14" s="1"/>
      <c r="J14" s="3"/>
    </row>
    <row r="15" spans="1:10">
      <c r="A15" s="296" t="s">
        <v>12</v>
      </c>
      <c r="B15" s="297"/>
      <c r="C15" s="297"/>
      <c r="D15" s="297"/>
      <c r="E15" s="297"/>
      <c r="F15" s="298"/>
      <c r="G15" s="8">
        <f>-SUM(G16:G18)</f>
        <v>-13079.4</v>
      </c>
      <c r="H15" s="299">
        <f>-SUM(J16:J18)</f>
        <v>-7535</v>
      </c>
      <c r="I15" s="300"/>
      <c r="J15" s="301"/>
    </row>
    <row r="16" spans="1:10">
      <c r="A16" s="2" t="s">
        <v>418</v>
      </c>
      <c r="B16" s="1" t="s">
        <v>417</v>
      </c>
      <c r="C16" s="1" t="s">
        <v>416</v>
      </c>
      <c r="D16" s="3">
        <v>1380</v>
      </c>
      <c r="E16" s="1">
        <v>1</v>
      </c>
      <c r="F16" s="3">
        <f>E16*D16</f>
        <v>1380</v>
      </c>
      <c r="G16" s="3">
        <f>F16*1.13</f>
        <v>1559.3999999999999</v>
      </c>
      <c r="H16" s="3"/>
      <c r="I16" s="1"/>
      <c r="J16" s="3">
        <v>1425</v>
      </c>
    </row>
    <row r="17" spans="1:10">
      <c r="A17" s="2" t="s">
        <v>415</v>
      </c>
      <c r="B17" s="1" t="s">
        <v>414</v>
      </c>
      <c r="C17" s="1"/>
      <c r="D17" s="3">
        <v>145</v>
      </c>
      <c r="E17" s="1">
        <v>76</v>
      </c>
      <c r="F17" s="3">
        <f>E17*D17</f>
        <v>11020</v>
      </c>
      <c r="G17" s="3">
        <f>F17</f>
        <v>11020</v>
      </c>
      <c r="H17" s="3"/>
      <c r="I17" s="1"/>
      <c r="J17" s="3">
        <f>2685+3240+90+95</f>
        <v>6110</v>
      </c>
    </row>
    <row r="18" spans="1:10">
      <c r="A18" s="2" t="s">
        <v>413</v>
      </c>
      <c r="B18" s="1" t="s">
        <v>412</v>
      </c>
      <c r="C18" s="1"/>
      <c r="D18" s="3">
        <v>500</v>
      </c>
      <c r="E18" s="1">
        <v>1</v>
      </c>
      <c r="F18" s="3">
        <f>E18*D18</f>
        <v>500</v>
      </c>
      <c r="G18" s="3">
        <f>F18</f>
        <v>500</v>
      </c>
      <c r="H18" s="3"/>
      <c r="I18" s="1"/>
      <c r="J18" s="3"/>
    </row>
    <row r="20" spans="1:10" ht="15.75">
      <c r="A20" s="293" t="s">
        <v>411</v>
      </c>
      <c r="B20" s="294"/>
      <c r="C20" s="294"/>
      <c r="D20" s="294"/>
      <c r="E20" s="294"/>
      <c r="F20" s="295"/>
      <c r="G20" s="9">
        <f>SUM(G21+G25)</f>
        <v>338.99999999999994</v>
      </c>
      <c r="H20" s="308">
        <f>H21+H25</f>
        <v>198.4</v>
      </c>
      <c r="I20" s="309"/>
      <c r="J20" s="310"/>
    </row>
    <row r="21" spans="1:10">
      <c r="A21" s="296" t="s">
        <v>11</v>
      </c>
      <c r="B21" s="297"/>
      <c r="C21" s="297"/>
      <c r="D21" s="297"/>
      <c r="E21" s="297"/>
      <c r="F21" s="298"/>
      <c r="G21" s="8">
        <f>SUM(G22:G23)</f>
        <v>338.99999999999994</v>
      </c>
      <c r="H21" s="311">
        <f>SUM(J22:J23)</f>
        <v>198.4</v>
      </c>
      <c r="I21" s="312"/>
      <c r="J21" s="313"/>
    </row>
    <row r="22" spans="1:10">
      <c r="A22" s="2" t="s">
        <v>410</v>
      </c>
      <c r="B22" s="1" t="s">
        <v>408</v>
      </c>
      <c r="C22" s="1" t="s">
        <v>1256</v>
      </c>
      <c r="D22" s="3">
        <v>15</v>
      </c>
      <c r="E22" s="1">
        <v>10</v>
      </c>
      <c r="F22" s="3">
        <f>D22*E22</f>
        <v>150</v>
      </c>
      <c r="G22" s="3">
        <f>F22*1.13</f>
        <v>169.49999999999997</v>
      </c>
      <c r="H22" s="3"/>
      <c r="I22" s="1"/>
      <c r="J22" s="3">
        <f>90.4+16.87+83.72+7.41</f>
        <v>198.4</v>
      </c>
    </row>
    <row r="23" spans="1:10">
      <c r="A23" s="2" t="s">
        <v>409</v>
      </c>
      <c r="B23" s="1" t="s">
        <v>408</v>
      </c>
      <c r="C23" s="1" t="s">
        <v>1257</v>
      </c>
      <c r="D23" s="3">
        <v>15</v>
      </c>
      <c r="E23" s="1">
        <v>10</v>
      </c>
      <c r="F23" s="3">
        <f>D23*E23</f>
        <v>150</v>
      </c>
      <c r="G23" s="3">
        <f>F23*1.13</f>
        <v>169.49999999999997</v>
      </c>
      <c r="H23" s="3"/>
      <c r="I23" s="1"/>
      <c r="J23" s="3"/>
    </row>
    <row r="24" spans="1:10">
      <c r="A24" s="2" t="s">
        <v>407</v>
      </c>
      <c r="B24" s="1"/>
      <c r="C24" s="1"/>
      <c r="D24" s="3"/>
      <c r="E24" s="1"/>
      <c r="F24" s="3"/>
      <c r="G24" s="3"/>
      <c r="H24" s="3"/>
      <c r="I24" s="1"/>
      <c r="J24" s="3"/>
    </row>
    <row r="25" spans="1:10">
      <c r="A25" s="296" t="s">
        <v>12</v>
      </c>
      <c r="B25" s="297"/>
      <c r="C25" s="297"/>
      <c r="D25" s="297"/>
      <c r="E25" s="297"/>
      <c r="F25" s="298"/>
      <c r="G25" s="8">
        <f>-SUM(G26:G26)</f>
        <v>0</v>
      </c>
      <c r="H25" s="299">
        <f>-SUM(J26:J26)</f>
        <v>0</v>
      </c>
      <c r="I25" s="300"/>
      <c r="J25" s="301"/>
    </row>
    <row r="26" spans="1:10">
      <c r="A26" s="2"/>
      <c r="B26" s="1"/>
      <c r="C26" s="1"/>
      <c r="D26" s="3"/>
      <c r="E26" s="1"/>
      <c r="F26" s="3"/>
      <c r="G26" s="3"/>
      <c r="H26" s="3"/>
      <c r="I26" s="1"/>
      <c r="J26" s="3"/>
    </row>
    <row r="28" spans="1:10" ht="15.75">
      <c r="A28" s="293" t="s">
        <v>406</v>
      </c>
      <c r="B28" s="294"/>
      <c r="C28" s="294"/>
      <c r="D28" s="294"/>
      <c r="E28" s="294"/>
      <c r="F28" s="295"/>
      <c r="G28" s="9">
        <f>G29</f>
        <v>282.5</v>
      </c>
      <c r="H28" s="308">
        <f>H29</f>
        <v>0</v>
      </c>
      <c r="I28" s="309"/>
      <c r="J28" s="310"/>
    </row>
    <row r="29" spans="1:10">
      <c r="A29" s="296" t="s">
        <v>11</v>
      </c>
      <c r="B29" s="297"/>
      <c r="C29" s="297"/>
      <c r="D29" s="297"/>
      <c r="E29" s="297"/>
      <c r="F29" s="298"/>
      <c r="G29" s="8">
        <f>SUM(G30:G31)</f>
        <v>282.5</v>
      </c>
      <c r="H29" s="311">
        <f>SUM(J30:J30)</f>
        <v>0</v>
      </c>
      <c r="I29" s="312"/>
      <c r="J29" s="313"/>
    </row>
    <row r="30" spans="1:10">
      <c r="A30" s="2" t="s">
        <v>405</v>
      </c>
      <c r="B30" s="1" t="s">
        <v>404</v>
      </c>
      <c r="C30" s="1"/>
      <c r="D30" s="3">
        <v>50</v>
      </c>
      <c r="E30" s="1">
        <v>5</v>
      </c>
      <c r="F30" s="3">
        <f>D30*E30</f>
        <v>250</v>
      </c>
      <c r="G30" s="3">
        <f>F30*1.13</f>
        <v>282.5</v>
      </c>
      <c r="H30" s="3"/>
      <c r="I30" s="1"/>
      <c r="J30" s="3"/>
    </row>
    <row r="31" spans="1:10">
      <c r="A31" s="2"/>
      <c r="B31" s="1"/>
      <c r="C31" s="1"/>
      <c r="D31" s="3"/>
      <c r="E31" s="1"/>
      <c r="F31" s="3"/>
      <c r="G31" s="3"/>
      <c r="H31" s="3"/>
      <c r="I31" s="1"/>
      <c r="J31" s="3"/>
    </row>
  </sheetData>
  <mergeCells count="21">
    <mergeCell ref="A8:F8"/>
    <mergeCell ref="H8:J8"/>
    <mergeCell ref="A1:E2"/>
    <mergeCell ref="F1:G1"/>
    <mergeCell ref="H1:J1"/>
    <mergeCell ref="F2:G2"/>
    <mergeCell ref="H2:J2"/>
    <mergeCell ref="A20:F20"/>
    <mergeCell ref="H20:J20"/>
    <mergeCell ref="A21:F21"/>
    <mergeCell ref="H21:J21"/>
    <mergeCell ref="A9:F9"/>
    <mergeCell ref="H9:J9"/>
    <mergeCell ref="A15:F15"/>
    <mergeCell ref="H15:J15"/>
    <mergeCell ref="A25:F25"/>
    <mergeCell ref="H25:J25"/>
    <mergeCell ref="A28:F28"/>
    <mergeCell ref="H28:J28"/>
    <mergeCell ref="A29:F29"/>
    <mergeCell ref="H29:J29"/>
  </mergeCells>
  <hyperlinks>
    <hyperlink ref="A1:E2" location="Summary!A1" display="23 - Professional Development - Steve Hawthorne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22"/>
  <sheetViews>
    <sheetView zoomScale="80" zoomScaleNormal="80" zoomScalePageLayoutView="80" workbookViewId="0">
      <pane xSplit="1" ySplit="2" topLeftCell="B45" activePane="bottomRight" state="frozen"/>
      <selection pane="topRight" activeCell="B1" sqref="B1"/>
      <selection pane="bottomLeft" activeCell="A3" sqref="A3"/>
      <selection pane="bottomRight" activeCell="D78" sqref="D78"/>
    </sheetView>
  </sheetViews>
  <sheetFormatPr defaultColWidth="8.85546875" defaultRowHeight="15"/>
  <cols>
    <col min="1" max="1" width="9.42578125" style="128" bestFit="1" customWidth="1"/>
    <col min="2" max="2" width="15.85546875" style="232" customWidth="1"/>
    <col min="3" max="3" width="23.85546875" style="232" customWidth="1"/>
    <col min="4" max="4" width="21.140625" style="232" customWidth="1"/>
    <col min="5" max="5" width="11.85546875" style="134" hidden="1" customWidth="1"/>
    <col min="6" max="6" width="12.7109375" style="128" hidden="1" customWidth="1"/>
    <col min="7" max="7" width="12" style="128" hidden="1" customWidth="1"/>
    <col min="8" max="8" width="11" style="132" hidden="1" customWidth="1"/>
    <col min="9" max="9" width="12" style="128" hidden="1" customWidth="1"/>
    <col min="10" max="10" width="12.85546875" style="135" hidden="1" customWidth="1"/>
    <col min="11" max="11" width="10.85546875" style="128" hidden="1" customWidth="1"/>
    <col min="12" max="12" width="9.7109375" style="187" customWidth="1"/>
    <col min="13" max="13" width="8.7109375" style="185" customWidth="1"/>
    <col min="14" max="14" width="12.85546875" style="187" customWidth="1"/>
    <col min="15" max="15" width="9.85546875" style="187" customWidth="1"/>
    <col min="16" max="16" width="14.85546875" style="187" bestFit="1" customWidth="1"/>
    <col min="17" max="17" width="10.85546875" style="187" bestFit="1" customWidth="1"/>
    <col min="18" max="111" width="8.85546875" style="157"/>
    <col min="112" max="16384" width="8.85546875" style="128"/>
  </cols>
  <sheetData>
    <row r="1" spans="1:111" s="126" customFormat="1" ht="78" customHeight="1">
      <c r="A1" s="252"/>
      <c r="B1" s="233"/>
      <c r="C1" s="263" t="s">
        <v>1270</v>
      </c>
      <c r="D1" s="262"/>
      <c r="E1" s="249" t="s">
        <v>1446</v>
      </c>
      <c r="F1" s="250"/>
      <c r="G1" s="250"/>
      <c r="H1" s="251"/>
      <c r="I1" s="389"/>
      <c r="J1" s="389"/>
      <c r="K1" s="389"/>
      <c r="L1" s="178"/>
      <c r="M1" s="179"/>
      <c r="N1" s="386" t="s">
        <v>1447</v>
      </c>
      <c r="O1" s="386"/>
      <c r="P1" s="386"/>
      <c r="Q1" s="180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</row>
    <row r="2" spans="1:111" s="126" customFormat="1" ht="45">
      <c r="A2" s="252"/>
      <c r="B2" s="233" t="s">
        <v>1008</v>
      </c>
      <c r="C2" s="233" t="s">
        <v>1271</v>
      </c>
      <c r="D2" s="233" t="s">
        <v>5</v>
      </c>
      <c r="E2" s="159" t="s">
        <v>1272</v>
      </c>
      <c r="F2" s="158" t="s">
        <v>1273</v>
      </c>
      <c r="G2" s="158" t="s">
        <v>1274</v>
      </c>
      <c r="H2" s="160" t="s">
        <v>1275</v>
      </c>
      <c r="I2" s="158" t="s">
        <v>1276</v>
      </c>
      <c r="J2" s="180" t="s">
        <v>2</v>
      </c>
      <c r="K2" s="158" t="s">
        <v>1277</v>
      </c>
      <c r="L2" s="180" t="s">
        <v>1278</v>
      </c>
      <c r="M2" s="181" t="s">
        <v>1279</v>
      </c>
      <c r="N2" s="180" t="s">
        <v>2</v>
      </c>
      <c r="O2" s="180" t="s">
        <v>1280</v>
      </c>
      <c r="P2" s="180" t="s">
        <v>1448</v>
      </c>
      <c r="Q2" s="180" t="s">
        <v>1449</v>
      </c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</row>
    <row r="3" spans="1:111" s="127" customFormat="1" ht="29.1" customHeight="1">
      <c r="A3" s="253" t="s">
        <v>1281</v>
      </c>
      <c r="B3" s="264"/>
      <c r="C3" s="264"/>
      <c r="D3" s="264"/>
      <c r="E3" s="161"/>
      <c r="F3" s="193"/>
      <c r="G3" s="193"/>
      <c r="H3" s="194"/>
      <c r="I3" s="162"/>
      <c r="J3" s="182"/>
      <c r="K3" s="162"/>
      <c r="L3" s="182"/>
      <c r="M3" s="183"/>
      <c r="N3" s="182"/>
      <c r="O3" s="182"/>
      <c r="P3" s="182"/>
      <c r="Q3" s="182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</row>
    <row r="4" spans="1:111" s="129" customFormat="1" ht="27" customHeight="1">
      <c r="A4" s="254"/>
      <c r="B4" s="266" t="s">
        <v>1284</v>
      </c>
      <c r="C4" s="266"/>
      <c r="D4" s="266"/>
      <c r="E4" s="174"/>
      <c r="F4" s="175"/>
      <c r="G4" s="175"/>
      <c r="H4" s="176"/>
      <c r="I4" s="175"/>
      <c r="J4" s="191"/>
      <c r="K4" s="175"/>
      <c r="L4" s="191"/>
      <c r="M4" s="192"/>
      <c r="N4" s="191"/>
      <c r="O4" s="191"/>
      <c r="P4" s="191"/>
      <c r="Q4" s="191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</row>
    <row r="5" spans="1:111">
      <c r="A5" s="254">
        <v>17</v>
      </c>
      <c r="B5" s="265"/>
      <c r="C5" s="232" t="s">
        <v>1285</v>
      </c>
      <c r="D5" s="265"/>
      <c r="E5" s="164"/>
      <c r="F5" s="165"/>
      <c r="G5" s="165">
        <v>452</v>
      </c>
      <c r="H5" s="166">
        <v>2005</v>
      </c>
      <c r="I5" s="165">
        <v>3040</v>
      </c>
      <c r="J5" s="184" t="e">
        <v>#REF!</v>
      </c>
      <c r="K5" s="165"/>
      <c r="L5" s="184">
        <v>160</v>
      </c>
      <c r="M5" s="185">
        <v>10</v>
      </c>
      <c r="N5" s="184">
        <v>1600</v>
      </c>
      <c r="O5" s="184"/>
      <c r="P5" s="184">
        <v>1600</v>
      </c>
      <c r="Q5" s="184">
        <v>2098.9</v>
      </c>
      <c r="R5" s="22"/>
    </row>
    <row r="6" spans="1:111" s="127" customFormat="1">
      <c r="A6" s="252">
        <v>18</v>
      </c>
      <c r="B6" s="264"/>
      <c r="C6" s="264" t="s">
        <v>1283</v>
      </c>
      <c r="D6" s="264"/>
      <c r="E6" s="161"/>
      <c r="F6" s="162"/>
      <c r="G6" s="162">
        <v>452</v>
      </c>
      <c r="H6" s="163"/>
      <c r="I6" s="162">
        <v>3040</v>
      </c>
      <c r="J6" s="182" t="e">
        <v>#REF!</v>
      </c>
      <c r="K6" s="162"/>
      <c r="L6" s="182"/>
      <c r="M6" s="183"/>
      <c r="N6" s="182">
        <v>1600</v>
      </c>
      <c r="O6" s="182"/>
      <c r="P6" s="182">
        <v>1600</v>
      </c>
      <c r="Q6" s="182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</row>
    <row r="7" spans="1:111" ht="15.75" thickBot="1">
      <c r="A7" s="156"/>
      <c r="B7" s="265"/>
      <c r="C7" s="265"/>
      <c r="D7" s="265"/>
      <c r="E7" s="164"/>
      <c r="F7" s="165"/>
      <c r="G7" s="165"/>
      <c r="H7" s="166"/>
      <c r="I7" s="165"/>
      <c r="J7" s="184"/>
      <c r="K7" s="165"/>
      <c r="L7" s="184"/>
      <c r="M7" s="288"/>
      <c r="N7" s="184"/>
      <c r="O7" s="184"/>
      <c r="P7" s="184"/>
      <c r="Q7" s="184"/>
      <c r="R7" s="22"/>
    </row>
    <row r="8" spans="1:111" s="131" customFormat="1" ht="16.5" thickTop="1" thickBot="1">
      <c r="A8" s="256">
        <v>18</v>
      </c>
      <c r="B8" s="268" t="s">
        <v>1286</v>
      </c>
      <c r="C8" s="268"/>
      <c r="D8" s="268"/>
      <c r="E8" s="201">
        <v>247959.92</v>
      </c>
      <c r="F8" s="202">
        <v>190194.97</v>
      </c>
      <c r="G8" s="202">
        <v>262390.33999999997</v>
      </c>
      <c r="H8" s="203"/>
      <c r="I8" s="202">
        <v>39752.880000000005</v>
      </c>
      <c r="J8" s="204" t="e">
        <v>#REF!</v>
      </c>
      <c r="K8" s="202"/>
      <c r="L8" s="246"/>
      <c r="M8" s="248"/>
      <c r="N8" s="246">
        <f>N6</f>
        <v>1600</v>
      </c>
      <c r="O8" s="246"/>
      <c r="P8" s="246">
        <f>P6</f>
        <v>1600</v>
      </c>
      <c r="Q8" s="246">
        <f>Q5</f>
        <v>2098.9</v>
      </c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2"/>
      <c r="BY8" s="212"/>
      <c r="BZ8" s="212"/>
      <c r="CA8" s="212"/>
      <c r="CB8" s="212"/>
      <c r="CC8" s="212"/>
      <c r="CD8" s="212"/>
      <c r="CE8" s="212"/>
      <c r="CF8" s="212"/>
      <c r="CG8" s="212"/>
      <c r="CH8" s="212"/>
      <c r="CI8" s="212"/>
      <c r="CJ8" s="212"/>
      <c r="CK8" s="212"/>
      <c r="CL8" s="212"/>
      <c r="CM8" s="212"/>
      <c r="CN8" s="212"/>
      <c r="CO8" s="212"/>
      <c r="CP8" s="212"/>
      <c r="CQ8" s="212"/>
      <c r="CR8" s="212"/>
      <c r="CS8" s="212"/>
      <c r="CT8" s="212"/>
      <c r="CU8" s="212"/>
      <c r="CV8" s="212"/>
      <c r="CW8" s="212"/>
      <c r="CX8" s="212"/>
      <c r="CY8" s="212"/>
      <c r="CZ8" s="212"/>
      <c r="DA8" s="212"/>
      <c r="DB8" s="212"/>
      <c r="DC8" s="212"/>
      <c r="DD8" s="212"/>
      <c r="DE8" s="212"/>
      <c r="DF8" s="212"/>
      <c r="DG8" s="212"/>
    </row>
    <row r="9" spans="1:111" ht="15.75" thickTop="1">
      <c r="A9" s="156"/>
      <c r="B9" s="265"/>
      <c r="C9" s="265"/>
      <c r="D9" s="265"/>
      <c r="E9" s="164"/>
      <c r="F9" s="165"/>
      <c r="G9" s="165"/>
      <c r="H9" s="166"/>
      <c r="I9" s="165"/>
      <c r="J9" s="184"/>
      <c r="K9" s="165"/>
      <c r="L9" s="184"/>
      <c r="N9" s="184"/>
      <c r="O9" s="184"/>
      <c r="P9" s="184"/>
      <c r="Q9" s="184"/>
      <c r="R9" s="22"/>
    </row>
    <row r="10" spans="1:111" s="126" customFormat="1" ht="30">
      <c r="A10" s="257" t="s">
        <v>1007</v>
      </c>
      <c r="B10" s="233"/>
      <c r="C10" s="233"/>
      <c r="D10" s="233"/>
      <c r="E10" s="167"/>
      <c r="F10" s="168"/>
      <c r="G10" s="168"/>
      <c r="H10" s="169"/>
      <c r="I10" s="168"/>
      <c r="J10" s="186"/>
      <c r="K10" s="168"/>
      <c r="L10" s="186"/>
      <c r="M10" s="181"/>
      <c r="N10" s="186"/>
      <c r="O10" s="186"/>
      <c r="P10" s="186"/>
      <c r="Q10" s="186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</row>
    <row r="11" spans="1:111">
      <c r="A11" s="156"/>
      <c r="B11" s="265"/>
      <c r="C11" s="265"/>
      <c r="D11" s="265"/>
      <c r="E11" s="164"/>
      <c r="F11" s="165"/>
      <c r="G11" s="165"/>
      <c r="H11" s="166"/>
      <c r="I11" s="165"/>
      <c r="J11" s="184"/>
      <c r="K11" s="165"/>
      <c r="L11" s="184"/>
      <c r="M11" s="288"/>
      <c r="N11" s="184"/>
      <c r="O11" s="184"/>
      <c r="P11" s="184"/>
      <c r="Q11" s="184"/>
      <c r="R11" s="22"/>
    </row>
    <row r="12" spans="1:111" s="127" customFormat="1" ht="29.1" customHeight="1">
      <c r="A12" s="257"/>
      <c r="B12" s="264" t="s">
        <v>1287</v>
      </c>
      <c r="C12" s="264"/>
      <c r="D12" s="264"/>
      <c r="E12" s="161"/>
      <c r="F12" s="162"/>
      <c r="G12" s="162"/>
      <c r="H12" s="163"/>
      <c r="I12" s="162"/>
      <c r="J12" s="182"/>
      <c r="K12" s="162"/>
      <c r="L12" s="182"/>
      <c r="M12" s="183"/>
      <c r="N12" s="182"/>
      <c r="O12" s="182"/>
      <c r="P12" s="182"/>
      <c r="Q12" s="182"/>
      <c r="R12" s="158"/>
      <c r="S12" s="158"/>
      <c r="T12" s="158"/>
      <c r="U12" s="158" t="s">
        <v>1360</v>
      </c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</row>
    <row r="13" spans="1:111">
      <c r="A13" s="258">
        <v>19</v>
      </c>
      <c r="B13" s="265"/>
      <c r="C13" s="232" t="s">
        <v>1079</v>
      </c>
      <c r="D13" s="232" t="s">
        <v>1288</v>
      </c>
      <c r="E13" s="164">
        <v>9310</v>
      </c>
      <c r="F13" s="165"/>
      <c r="G13" s="165">
        <v>8820</v>
      </c>
      <c r="H13" s="166">
        <v>8820</v>
      </c>
      <c r="I13" s="165">
        <v>8996.4</v>
      </c>
      <c r="J13" s="165">
        <v>8996.4</v>
      </c>
      <c r="K13" s="165">
        <v>8996.4</v>
      </c>
      <c r="L13" s="184">
        <v>16.75</v>
      </c>
      <c r="M13" s="185">
        <f>35*16</f>
        <v>560</v>
      </c>
      <c r="N13" s="184">
        <f>M13*L13</f>
        <v>9380</v>
      </c>
      <c r="O13" s="184"/>
      <c r="P13" s="184">
        <v>9380.0699999999979</v>
      </c>
      <c r="Q13" s="184">
        <v>9380</v>
      </c>
    </row>
    <row r="14" spans="1:111">
      <c r="A14" s="258">
        <v>20</v>
      </c>
      <c r="B14" s="265"/>
      <c r="C14" s="232" t="s">
        <v>1077</v>
      </c>
      <c r="D14" s="232" t="s">
        <v>1288</v>
      </c>
      <c r="E14" s="164">
        <v>9310</v>
      </c>
      <c r="F14" s="165"/>
      <c r="G14" s="165">
        <v>8820</v>
      </c>
      <c r="H14" s="166">
        <v>8820</v>
      </c>
      <c r="I14" s="165">
        <v>8996.4</v>
      </c>
      <c r="J14" s="165">
        <v>8996.4</v>
      </c>
      <c r="K14" s="165">
        <v>8996.4</v>
      </c>
      <c r="L14" s="288"/>
      <c r="M14" s="288"/>
      <c r="N14" s="184">
        <f t="shared" ref="N14:N16" si="0">M14*L14</f>
        <v>0</v>
      </c>
      <c r="O14" s="288"/>
      <c r="P14" s="288"/>
      <c r="Q14" s="184"/>
    </row>
    <row r="15" spans="1:111">
      <c r="A15" s="258">
        <v>21</v>
      </c>
      <c r="B15" s="265"/>
      <c r="C15" s="232" t="s">
        <v>1078</v>
      </c>
      <c r="D15" s="232" t="s">
        <v>1288</v>
      </c>
      <c r="E15" s="164">
        <v>9310</v>
      </c>
      <c r="F15" s="165"/>
      <c r="G15" s="165">
        <v>8820</v>
      </c>
      <c r="H15" s="166">
        <v>8820</v>
      </c>
      <c r="I15" s="165">
        <v>8996.4</v>
      </c>
      <c r="J15" s="165">
        <v>8996.4</v>
      </c>
      <c r="K15" s="165">
        <v>8996.4</v>
      </c>
      <c r="L15" s="184">
        <v>16.75</v>
      </c>
      <c r="M15" s="185">
        <v>560</v>
      </c>
      <c r="N15" s="184">
        <f t="shared" si="0"/>
        <v>9380</v>
      </c>
      <c r="O15" s="184"/>
      <c r="P15" s="184">
        <v>9380.0699999999979</v>
      </c>
      <c r="Q15" s="184">
        <v>9380</v>
      </c>
    </row>
    <row r="16" spans="1:111">
      <c r="A16" s="258">
        <v>22</v>
      </c>
      <c r="B16" s="265"/>
      <c r="C16" s="232" t="s">
        <v>1289</v>
      </c>
      <c r="D16" s="232" t="s">
        <v>1288</v>
      </c>
      <c r="E16" s="164"/>
      <c r="F16" s="165"/>
      <c r="G16" s="165">
        <v>8820</v>
      </c>
      <c r="H16" s="166">
        <v>8820</v>
      </c>
      <c r="I16" s="165"/>
      <c r="J16" s="184"/>
      <c r="K16" s="165"/>
      <c r="L16" s="184">
        <v>16.75</v>
      </c>
      <c r="M16" s="185">
        <v>560</v>
      </c>
      <c r="N16" s="184">
        <f t="shared" si="0"/>
        <v>9380</v>
      </c>
      <c r="O16" s="184"/>
      <c r="P16" s="184">
        <v>9380.0699999999979</v>
      </c>
      <c r="Q16" s="184">
        <v>9380</v>
      </c>
    </row>
    <row r="17" spans="1:111" hidden="1">
      <c r="A17" s="259">
        <v>23</v>
      </c>
      <c r="C17" s="232" t="s">
        <v>1290</v>
      </c>
      <c r="D17" s="232" t="s">
        <v>1288</v>
      </c>
      <c r="E17" s="225">
        <v>6720</v>
      </c>
      <c r="F17" s="226"/>
      <c r="G17" s="226">
        <v>7000</v>
      </c>
      <c r="H17" s="227">
        <v>7000</v>
      </c>
      <c r="I17" s="226"/>
      <c r="J17" s="226"/>
      <c r="K17" s="226"/>
      <c r="L17" s="184"/>
      <c r="N17" s="184"/>
      <c r="O17" s="184"/>
      <c r="P17" s="184"/>
      <c r="Q17" s="184"/>
    </row>
    <row r="18" spans="1:111">
      <c r="A18" s="258">
        <v>24</v>
      </c>
      <c r="B18" s="265"/>
      <c r="C18" s="232" t="s">
        <v>1291</v>
      </c>
      <c r="D18" s="265"/>
      <c r="E18" s="164">
        <v>2958.79</v>
      </c>
      <c r="F18" s="165"/>
      <c r="G18" s="165">
        <v>4016.6</v>
      </c>
      <c r="H18" s="166">
        <v>4016.6</v>
      </c>
      <c r="I18" s="165">
        <v>2339.92</v>
      </c>
      <c r="J18" s="165">
        <v>2339.92</v>
      </c>
      <c r="K18" s="165">
        <v>2339.92</v>
      </c>
      <c r="L18" s="184"/>
      <c r="M18" s="288"/>
      <c r="N18" s="184">
        <v>1291.6356389999996</v>
      </c>
      <c r="O18" s="184"/>
      <c r="P18" s="184">
        <v>1291.6356389999996</v>
      </c>
      <c r="Q18" s="184">
        <f>766.75+1254.14</f>
        <v>2020.89</v>
      </c>
    </row>
    <row r="19" spans="1:111">
      <c r="A19" s="258">
        <v>25</v>
      </c>
      <c r="B19" s="265"/>
      <c r="C19" s="232" t="s">
        <v>1070</v>
      </c>
      <c r="D19" s="265"/>
      <c r="E19" s="164">
        <v>3360</v>
      </c>
      <c r="F19" s="165"/>
      <c r="G19" s="165"/>
      <c r="H19" s="166"/>
      <c r="I19" s="165">
        <v>3360</v>
      </c>
      <c r="J19" s="165">
        <v>3360</v>
      </c>
      <c r="K19" s="165">
        <v>3360</v>
      </c>
      <c r="L19" s="184"/>
      <c r="M19" s="288"/>
      <c r="N19" s="184"/>
      <c r="O19" s="184"/>
      <c r="P19" s="184"/>
      <c r="Q19" s="184"/>
    </row>
    <row r="20" spans="1:111" s="127" customFormat="1">
      <c r="A20" s="257">
        <v>26</v>
      </c>
      <c r="B20" s="264"/>
      <c r="C20" s="269" t="s">
        <v>1283</v>
      </c>
      <c r="D20" s="264"/>
      <c r="E20" s="161">
        <v>40968.79</v>
      </c>
      <c r="F20" s="162">
        <v>0</v>
      </c>
      <c r="G20" s="162">
        <v>46296.6</v>
      </c>
      <c r="H20" s="163">
        <v>46296.6</v>
      </c>
      <c r="I20" s="162">
        <v>32689.119999999995</v>
      </c>
      <c r="J20" s="182">
        <v>32689.119999999995</v>
      </c>
      <c r="K20" s="162">
        <v>32689.119999999995</v>
      </c>
      <c r="L20" s="182"/>
      <c r="M20" s="183"/>
      <c r="N20" s="182">
        <f>SUM(N13:N19)</f>
        <v>29431.635639</v>
      </c>
      <c r="O20" s="182">
        <f t="shared" ref="O20:Q20" si="1">SUM(O13:O19)</f>
        <v>0</v>
      </c>
      <c r="P20" s="182">
        <f t="shared" si="1"/>
        <v>29431.845638999992</v>
      </c>
      <c r="Q20" s="182">
        <f t="shared" si="1"/>
        <v>30160.89</v>
      </c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</row>
    <row r="21" spans="1:111">
      <c r="A21" s="258"/>
      <c r="B21" s="265"/>
      <c r="C21" s="265"/>
      <c r="D21" s="265"/>
      <c r="E21" s="164"/>
      <c r="F21" s="165"/>
      <c r="G21" s="165"/>
      <c r="H21" s="166"/>
      <c r="I21" s="165"/>
      <c r="J21" s="184"/>
      <c r="K21" s="165"/>
      <c r="L21" s="184"/>
      <c r="M21" s="288"/>
      <c r="N21" s="184"/>
      <c r="O21" s="184"/>
      <c r="P21" s="184"/>
      <c r="Q21" s="184"/>
    </row>
    <row r="22" spans="1:111" s="129" customFormat="1" ht="27.95" customHeight="1">
      <c r="A22" s="258"/>
      <c r="B22" s="266" t="s">
        <v>1282</v>
      </c>
      <c r="C22" s="266"/>
      <c r="D22" s="266"/>
      <c r="E22" s="174"/>
      <c r="F22" s="175"/>
      <c r="G22" s="175"/>
      <c r="H22" s="176"/>
      <c r="I22" s="175"/>
      <c r="J22" s="191"/>
      <c r="K22" s="175"/>
      <c r="L22" s="191"/>
      <c r="M22" s="192"/>
      <c r="N22" s="191"/>
      <c r="O22" s="191"/>
      <c r="P22" s="191"/>
      <c r="Q22" s="191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</row>
    <row r="23" spans="1:111" hidden="1">
      <c r="A23" s="259">
        <v>29</v>
      </c>
      <c r="C23" s="232" t="s">
        <v>1292</v>
      </c>
      <c r="D23" s="232" t="s">
        <v>1293</v>
      </c>
      <c r="E23" s="225">
        <v>625</v>
      </c>
      <c r="F23" s="226">
        <v>628.97</v>
      </c>
      <c r="G23" s="226">
        <v>550</v>
      </c>
      <c r="H23" s="227">
        <v>554.9</v>
      </c>
      <c r="I23" s="226">
        <v>169.5</v>
      </c>
      <c r="J23" s="226" t="e">
        <v>#REF!</v>
      </c>
      <c r="K23" s="226"/>
      <c r="L23" s="184">
        <v>500</v>
      </c>
      <c r="M23" s="185">
        <v>1</v>
      </c>
      <c r="N23" s="184">
        <v>500</v>
      </c>
      <c r="O23" s="184">
        <v>65</v>
      </c>
      <c r="P23" s="184">
        <v>565</v>
      </c>
      <c r="Q23" s="184"/>
    </row>
    <row r="24" spans="1:111">
      <c r="A24" s="257">
        <v>30</v>
      </c>
      <c r="B24" s="233"/>
      <c r="C24" s="233" t="s">
        <v>1141</v>
      </c>
      <c r="D24" s="233"/>
      <c r="E24" s="167"/>
      <c r="F24" s="168"/>
      <c r="G24" s="168">
        <v>309.84000000000003</v>
      </c>
      <c r="H24" s="169">
        <v>85.52</v>
      </c>
      <c r="I24" s="168">
        <v>248.6</v>
      </c>
      <c r="J24" s="186" t="e">
        <v>#REF!</v>
      </c>
      <c r="K24" s="168"/>
      <c r="L24" s="186"/>
      <c r="M24" s="181"/>
      <c r="N24" s="186">
        <v>850</v>
      </c>
      <c r="O24" s="186">
        <v>110.5</v>
      </c>
      <c r="P24" s="186">
        <v>960.5</v>
      </c>
      <c r="Q24" s="186"/>
    </row>
    <row r="25" spans="1:111">
      <c r="A25" s="258">
        <v>31</v>
      </c>
      <c r="B25" s="265"/>
      <c r="C25" s="265"/>
      <c r="D25" s="232" t="s">
        <v>299</v>
      </c>
      <c r="E25" s="164"/>
      <c r="F25" s="165"/>
      <c r="G25" s="165">
        <v>189.84</v>
      </c>
      <c r="H25" s="166">
        <v>85.52</v>
      </c>
      <c r="I25" s="165">
        <v>113</v>
      </c>
      <c r="J25" s="184">
        <v>100</v>
      </c>
      <c r="K25" s="165"/>
      <c r="L25" s="184">
        <v>25</v>
      </c>
      <c r="M25" s="185">
        <v>16</v>
      </c>
      <c r="N25" s="184">
        <v>400</v>
      </c>
      <c r="O25" s="184">
        <v>52</v>
      </c>
      <c r="P25" s="184">
        <v>452</v>
      </c>
      <c r="Q25" s="184"/>
    </row>
    <row r="26" spans="1:111">
      <c r="A26" s="258">
        <v>32</v>
      </c>
      <c r="B26" s="265"/>
      <c r="C26" s="270"/>
      <c r="D26" s="232" t="s">
        <v>1294</v>
      </c>
      <c r="E26" s="164"/>
      <c r="F26" s="165"/>
      <c r="G26" s="165">
        <v>120</v>
      </c>
      <c r="H26" s="166">
        <v>0</v>
      </c>
      <c r="I26" s="165">
        <v>135.6</v>
      </c>
      <c r="J26" s="184" t="e">
        <v>#REF!</v>
      </c>
      <c r="K26" s="165"/>
      <c r="L26" s="184">
        <v>200</v>
      </c>
      <c r="M26" s="185">
        <v>2</v>
      </c>
      <c r="N26" s="184">
        <v>400</v>
      </c>
      <c r="O26" s="184">
        <v>52</v>
      </c>
      <c r="P26" s="184">
        <v>452</v>
      </c>
      <c r="Q26" s="184"/>
    </row>
    <row r="27" spans="1:111">
      <c r="A27" s="258" t="e">
        <v>#REF!</v>
      </c>
      <c r="B27" s="265"/>
      <c r="C27" s="232" t="s">
        <v>1295</v>
      </c>
      <c r="D27" s="232" t="s">
        <v>568</v>
      </c>
      <c r="E27" s="164">
        <v>250</v>
      </c>
      <c r="F27" s="165">
        <v>283.5</v>
      </c>
      <c r="G27" s="165">
        <v>45.2</v>
      </c>
      <c r="H27" s="166">
        <v>43.99</v>
      </c>
      <c r="I27" s="165">
        <v>45.2</v>
      </c>
      <c r="J27" s="184" t="e">
        <v>#REF!</v>
      </c>
      <c r="K27" s="165"/>
      <c r="L27" s="184">
        <v>50</v>
      </c>
      <c r="M27" s="185">
        <v>1</v>
      </c>
      <c r="N27" s="184">
        <v>50</v>
      </c>
      <c r="O27" s="184">
        <v>6.5</v>
      </c>
      <c r="P27" s="184">
        <v>56.5</v>
      </c>
      <c r="Q27" s="184"/>
    </row>
    <row r="28" spans="1:111">
      <c r="A28" s="257" t="e">
        <v>#REF!</v>
      </c>
      <c r="B28" s="233"/>
      <c r="C28" s="233" t="s">
        <v>1162</v>
      </c>
      <c r="D28" s="233"/>
      <c r="E28" s="167">
        <v>2840.54</v>
      </c>
      <c r="F28" s="168">
        <v>981.2</v>
      </c>
      <c r="G28" s="168">
        <v>1565.05</v>
      </c>
      <c r="H28" s="169"/>
      <c r="I28" s="168">
        <v>1022.65</v>
      </c>
      <c r="J28" s="186"/>
      <c r="K28" s="168"/>
      <c r="L28" s="186"/>
      <c r="M28" s="181"/>
      <c r="N28" s="186">
        <v>1513.99</v>
      </c>
      <c r="O28" s="186">
        <v>196.81870000000001</v>
      </c>
      <c r="P28" s="186">
        <v>1710.8087000000003</v>
      </c>
      <c r="Q28" s="186">
        <f>300.29+20.65</f>
        <v>320.94</v>
      </c>
    </row>
    <row r="29" spans="1:111">
      <c r="A29" s="258" t="e">
        <v>#REF!</v>
      </c>
      <c r="B29" s="265"/>
      <c r="C29" s="265"/>
      <c r="D29" s="232" t="s">
        <v>1296</v>
      </c>
      <c r="E29" s="164"/>
      <c r="F29" s="165"/>
      <c r="G29" s="165">
        <v>22.6</v>
      </c>
      <c r="H29" s="166">
        <v>0</v>
      </c>
      <c r="I29" s="165">
        <v>22.6</v>
      </c>
      <c r="J29" s="184" t="e">
        <v>#REF!</v>
      </c>
      <c r="K29" s="165"/>
      <c r="L29" s="184">
        <v>20</v>
      </c>
      <c r="M29" s="185">
        <v>1</v>
      </c>
      <c r="N29" s="184">
        <v>20</v>
      </c>
      <c r="O29" s="184">
        <v>2.6</v>
      </c>
      <c r="P29" s="184">
        <v>22.6</v>
      </c>
      <c r="Q29" s="184"/>
    </row>
    <row r="30" spans="1:111" ht="30">
      <c r="A30" s="258" t="e">
        <v>#REF!</v>
      </c>
      <c r="B30" s="265"/>
      <c r="C30" s="265"/>
      <c r="D30" s="232" t="s">
        <v>1297</v>
      </c>
      <c r="E30" s="164">
        <v>20</v>
      </c>
      <c r="F30" s="165"/>
      <c r="G30" s="165">
        <v>16.95</v>
      </c>
      <c r="H30" s="166">
        <v>20</v>
      </c>
      <c r="I30" s="165">
        <v>16.95</v>
      </c>
      <c r="J30" s="184" t="e">
        <v>#REF!</v>
      </c>
      <c r="K30" s="165"/>
      <c r="L30" s="184">
        <v>15</v>
      </c>
      <c r="M30" s="185">
        <v>2</v>
      </c>
      <c r="N30" s="184">
        <v>30</v>
      </c>
      <c r="O30" s="184">
        <v>3.9000000000000004</v>
      </c>
      <c r="P30" s="184">
        <v>33.9</v>
      </c>
      <c r="Q30" s="184"/>
      <c r="R30" s="22"/>
      <c r="S30" s="22"/>
    </row>
    <row r="31" spans="1:111">
      <c r="A31" s="258" t="e">
        <v>#REF!</v>
      </c>
      <c r="B31" s="265"/>
      <c r="C31" s="265"/>
      <c r="D31" s="232" t="s">
        <v>1172</v>
      </c>
      <c r="E31" s="164">
        <v>740.54</v>
      </c>
      <c r="F31" s="165"/>
      <c r="G31" s="165">
        <v>678</v>
      </c>
      <c r="H31" s="166">
        <v>450</v>
      </c>
      <c r="I31" s="165">
        <v>226</v>
      </c>
      <c r="J31" s="184" t="e">
        <v>#REF!</v>
      </c>
      <c r="K31" s="165"/>
      <c r="L31" s="184">
        <v>50</v>
      </c>
      <c r="M31" s="185">
        <v>6</v>
      </c>
      <c r="N31" s="184">
        <v>300</v>
      </c>
      <c r="O31" s="184">
        <v>39</v>
      </c>
      <c r="P31" s="184">
        <v>339</v>
      </c>
      <c r="Q31" s="184"/>
      <c r="R31" s="22"/>
      <c r="S31" s="22"/>
    </row>
    <row r="32" spans="1:111" ht="15" hidden="1" customHeight="1">
      <c r="A32" s="259" t="e">
        <v>#REF!</v>
      </c>
      <c r="D32" s="232" t="s">
        <v>1298</v>
      </c>
      <c r="E32" s="225">
        <v>20</v>
      </c>
      <c r="F32" s="226"/>
      <c r="G32" s="226">
        <v>11.3</v>
      </c>
      <c r="H32" s="227">
        <v>0</v>
      </c>
      <c r="I32" s="226">
        <v>11.3</v>
      </c>
      <c r="J32" s="226" t="e">
        <v>#REF!</v>
      </c>
      <c r="K32" s="226"/>
      <c r="L32" s="184"/>
      <c r="N32" s="184"/>
      <c r="O32" s="184"/>
      <c r="P32" s="184"/>
      <c r="Q32" s="184"/>
      <c r="R32" s="224"/>
      <c r="S32" s="224"/>
    </row>
    <row r="33" spans="1:19">
      <c r="A33" s="258" t="e">
        <v>#REF!</v>
      </c>
      <c r="B33" s="265"/>
      <c r="C33" s="265"/>
      <c r="D33" s="232" t="s">
        <v>1299</v>
      </c>
      <c r="E33" s="164">
        <v>20</v>
      </c>
      <c r="F33" s="165"/>
      <c r="G33" s="165">
        <v>11.3</v>
      </c>
      <c r="H33" s="166">
        <v>0</v>
      </c>
      <c r="I33" s="165">
        <v>5.65</v>
      </c>
      <c r="J33" s="184" t="e">
        <v>#REF!</v>
      </c>
      <c r="K33" s="165"/>
      <c r="L33" s="184">
        <v>5</v>
      </c>
      <c r="M33" s="185">
        <v>3</v>
      </c>
      <c r="N33" s="184">
        <v>15</v>
      </c>
      <c r="O33" s="184">
        <v>1.9500000000000002</v>
      </c>
      <c r="P33" s="184">
        <v>16.95</v>
      </c>
      <c r="Q33" s="184"/>
      <c r="R33" s="22"/>
      <c r="S33" s="22"/>
    </row>
    <row r="34" spans="1:19">
      <c r="A34" s="258" t="e">
        <v>#REF!</v>
      </c>
      <c r="B34" s="265"/>
      <c r="C34" s="265"/>
      <c r="D34" s="232" t="s">
        <v>1300</v>
      </c>
      <c r="E34" s="164">
        <v>2000</v>
      </c>
      <c r="F34" s="165">
        <v>981.2</v>
      </c>
      <c r="G34" s="165">
        <v>813.6</v>
      </c>
      <c r="H34" s="166">
        <v>0</v>
      </c>
      <c r="I34" s="165">
        <v>610.20000000000005</v>
      </c>
      <c r="J34" s="184" t="e">
        <v>#REF!</v>
      </c>
      <c r="K34" s="165"/>
      <c r="L34" s="184">
        <v>180</v>
      </c>
      <c r="M34" s="185">
        <v>3</v>
      </c>
      <c r="N34" s="184">
        <v>540</v>
      </c>
      <c r="O34" s="184">
        <v>70.2</v>
      </c>
      <c r="P34" s="184">
        <v>610.20000000000005</v>
      </c>
      <c r="Q34" s="184"/>
      <c r="R34" s="22"/>
      <c r="S34" s="22"/>
    </row>
    <row r="35" spans="1:19">
      <c r="A35" s="258" t="e">
        <v>#REF!</v>
      </c>
      <c r="B35" s="265"/>
      <c r="C35" s="265"/>
      <c r="D35" s="232" t="s">
        <v>1301</v>
      </c>
      <c r="E35" s="164">
        <v>40</v>
      </c>
      <c r="F35" s="165"/>
      <c r="G35" s="165">
        <v>11.3</v>
      </c>
      <c r="H35" s="166">
        <v>0</v>
      </c>
      <c r="I35" s="165">
        <v>5.65</v>
      </c>
      <c r="J35" s="184" t="e">
        <v>#REF!</v>
      </c>
      <c r="K35" s="165"/>
      <c r="L35" s="184">
        <v>5</v>
      </c>
      <c r="M35" s="185">
        <v>3</v>
      </c>
      <c r="N35" s="184">
        <v>15</v>
      </c>
      <c r="O35" s="184">
        <v>1.9500000000000002</v>
      </c>
      <c r="P35" s="184">
        <v>16.95</v>
      </c>
      <c r="Q35" s="184"/>
      <c r="R35" s="22"/>
      <c r="S35" s="22"/>
    </row>
    <row r="36" spans="1:19">
      <c r="A36" s="258" t="e">
        <v>#REF!</v>
      </c>
      <c r="B36" s="265"/>
      <c r="C36" s="265"/>
      <c r="D36" s="232" t="s">
        <v>1302</v>
      </c>
      <c r="E36" s="164"/>
      <c r="F36" s="156"/>
      <c r="G36" s="165"/>
      <c r="H36" s="166">
        <v>94.2</v>
      </c>
      <c r="I36" s="165">
        <v>113</v>
      </c>
      <c r="J36" s="184" t="e">
        <v>#REF!</v>
      </c>
      <c r="K36" s="165"/>
      <c r="L36" s="184">
        <v>25</v>
      </c>
      <c r="M36" s="185">
        <v>4</v>
      </c>
      <c r="N36" s="184">
        <v>100</v>
      </c>
      <c r="O36" s="184">
        <v>13</v>
      </c>
      <c r="P36" s="184">
        <v>113</v>
      </c>
      <c r="Q36" s="184"/>
      <c r="R36" s="22"/>
      <c r="S36" s="22"/>
    </row>
    <row r="37" spans="1:19">
      <c r="A37" s="258"/>
      <c r="B37" s="265"/>
      <c r="C37" s="265"/>
      <c r="D37" s="232" t="s">
        <v>1303</v>
      </c>
      <c r="E37" s="164"/>
      <c r="F37" s="156"/>
      <c r="G37" s="165"/>
      <c r="H37" s="166"/>
      <c r="I37" s="165"/>
      <c r="J37" s="184"/>
      <c r="K37" s="165"/>
      <c r="L37" s="184">
        <v>30</v>
      </c>
      <c r="M37" s="185">
        <v>3</v>
      </c>
      <c r="N37" s="184">
        <v>90</v>
      </c>
      <c r="O37" s="184">
        <v>11.700000000000001</v>
      </c>
      <c r="P37" s="184">
        <v>101.7</v>
      </c>
      <c r="Q37" s="184"/>
      <c r="R37" s="22"/>
      <c r="S37" s="22"/>
    </row>
    <row r="38" spans="1:19">
      <c r="A38" s="258"/>
      <c r="B38" s="265"/>
      <c r="C38" s="265"/>
      <c r="D38" s="232" t="s">
        <v>1304</v>
      </c>
      <c r="E38" s="164"/>
      <c r="F38" s="156"/>
      <c r="G38" s="165"/>
      <c r="H38" s="166"/>
      <c r="I38" s="165"/>
      <c r="J38" s="184"/>
      <c r="K38" s="165"/>
      <c r="L38" s="184">
        <v>15.99</v>
      </c>
      <c r="M38" s="185">
        <v>1</v>
      </c>
      <c r="N38" s="184">
        <v>15.99</v>
      </c>
      <c r="O38" s="184">
        <v>2.0787</v>
      </c>
      <c r="P38" s="184">
        <v>18.0687</v>
      </c>
      <c r="Q38" s="184"/>
      <c r="R38" s="22"/>
      <c r="S38" s="22"/>
    </row>
    <row r="39" spans="1:19">
      <c r="A39" s="258"/>
      <c r="B39" s="265"/>
      <c r="C39" s="265"/>
      <c r="D39" s="232" t="s">
        <v>1450</v>
      </c>
      <c r="E39" s="164"/>
      <c r="F39" s="156"/>
      <c r="G39" s="165"/>
      <c r="H39" s="166"/>
      <c r="I39" s="165"/>
      <c r="J39" s="184"/>
      <c r="K39" s="165"/>
      <c r="L39" s="184">
        <v>25</v>
      </c>
      <c r="M39" s="185">
        <v>8</v>
      </c>
      <c r="N39" s="184">
        <v>200</v>
      </c>
      <c r="O39" s="184">
        <v>26</v>
      </c>
      <c r="P39" s="184">
        <v>226</v>
      </c>
      <c r="Q39" s="184"/>
      <c r="R39" s="22"/>
      <c r="S39" s="22"/>
    </row>
    <row r="40" spans="1:19">
      <c r="A40" s="258"/>
      <c r="B40" s="265"/>
      <c r="C40" s="265"/>
      <c r="D40" s="232" t="s">
        <v>1451</v>
      </c>
      <c r="E40" s="164"/>
      <c r="F40" s="156"/>
      <c r="G40" s="165"/>
      <c r="H40" s="166"/>
      <c r="I40" s="165"/>
      <c r="J40" s="184"/>
      <c r="K40" s="165"/>
      <c r="L40" s="184">
        <v>15</v>
      </c>
      <c r="M40" s="185">
        <v>1</v>
      </c>
      <c r="N40" s="184">
        <v>15</v>
      </c>
      <c r="O40" s="184">
        <v>1.9500000000000002</v>
      </c>
      <c r="P40" s="184">
        <v>16.95</v>
      </c>
      <c r="Q40" s="184"/>
      <c r="R40" s="22"/>
      <c r="S40" s="22"/>
    </row>
    <row r="41" spans="1:19">
      <c r="A41" s="258"/>
      <c r="B41" s="265"/>
      <c r="C41" s="265"/>
      <c r="D41" s="232" t="s">
        <v>1452</v>
      </c>
      <c r="E41" s="164"/>
      <c r="F41" s="156"/>
      <c r="G41" s="165"/>
      <c r="H41" s="166"/>
      <c r="I41" s="165"/>
      <c r="J41" s="184"/>
      <c r="K41" s="165"/>
      <c r="L41" s="184">
        <v>13</v>
      </c>
      <c r="M41" s="185">
        <v>1</v>
      </c>
      <c r="N41" s="184">
        <v>13</v>
      </c>
      <c r="O41" s="184">
        <v>1.69</v>
      </c>
      <c r="P41" s="184">
        <v>14.69</v>
      </c>
      <c r="Q41" s="184"/>
      <c r="R41" s="22"/>
      <c r="S41" s="22"/>
    </row>
    <row r="42" spans="1:19">
      <c r="A42" s="258"/>
      <c r="B42" s="265"/>
      <c r="C42" s="265"/>
      <c r="D42" s="232" t="s">
        <v>1312</v>
      </c>
      <c r="E42" s="164"/>
      <c r="F42" s="156"/>
      <c r="G42" s="165"/>
      <c r="H42" s="166"/>
      <c r="I42" s="165"/>
      <c r="J42" s="184"/>
      <c r="K42" s="165"/>
      <c r="L42" s="184">
        <v>160</v>
      </c>
      <c r="M42" s="185">
        <v>1</v>
      </c>
      <c r="N42" s="184">
        <v>160</v>
      </c>
      <c r="O42" s="184">
        <v>20.8</v>
      </c>
      <c r="P42" s="184">
        <v>180.8</v>
      </c>
      <c r="Q42" s="184"/>
      <c r="R42" s="22"/>
      <c r="S42" s="165"/>
    </row>
    <row r="43" spans="1:19" ht="30" hidden="1" customHeight="1">
      <c r="A43" s="259"/>
      <c r="D43" s="232" t="s">
        <v>1305</v>
      </c>
      <c r="E43" s="225"/>
      <c r="F43" s="224"/>
      <c r="G43" s="226"/>
      <c r="H43" s="227"/>
      <c r="I43" s="226"/>
      <c r="J43" s="226"/>
      <c r="K43" s="226"/>
      <c r="L43" s="184"/>
      <c r="N43" s="184"/>
      <c r="O43" s="184"/>
      <c r="P43" s="184"/>
      <c r="Q43" s="184"/>
      <c r="R43" s="224"/>
      <c r="S43" s="224"/>
    </row>
    <row r="44" spans="1:19" ht="15" hidden="1" customHeight="1">
      <c r="A44" s="259" t="e">
        <v>#REF!</v>
      </c>
      <c r="D44" s="232" t="s">
        <v>1306</v>
      </c>
      <c r="E44" s="225"/>
      <c r="F44" s="226"/>
      <c r="G44" s="226"/>
      <c r="H44" s="227"/>
      <c r="I44" s="226">
        <v>11.3</v>
      </c>
      <c r="J44" s="226" t="e">
        <v>#REF!</v>
      </c>
      <c r="K44" s="226"/>
      <c r="L44" s="184"/>
      <c r="N44" s="184"/>
      <c r="O44" s="184"/>
      <c r="P44" s="184"/>
      <c r="Q44" s="184"/>
      <c r="R44" s="224"/>
      <c r="S44" s="224"/>
    </row>
    <row r="45" spans="1:19">
      <c r="A45" s="257" t="e">
        <v>#REF!</v>
      </c>
      <c r="B45" s="233"/>
      <c r="C45" s="271" t="s">
        <v>1307</v>
      </c>
      <c r="D45" s="233"/>
      <c r="E45" s="167"/>
      <c r="F45" s="168"/>
      <c r="G45" s="168"/>
      <c r="H45" s="169"/>
      <c r="I45" s="158"/>
      <c r="J45" s="186" t="e">
        <v>#REF!</v>
      </c>
      <c r="K45" s="168"/>
      <c r="L45" s="186"/>
      <c r="M45" s="181"/>
      <c r="N45" s="186">
        <f>SUM(N47:N64)</f>
        <v>6950</v>
      </c>
      <c r="O45" s="186">
        <v>578.5</v>
      </c>
      <c r="P45" s="186">
        <v>4802.5</v>
      </c>
      <c r="Q45" s="186"/>
      <c r="R45" s="158"/>
      <c r="S45" s="158"/>
    </row>
    <row r="46" spans="1:19">
      <c r="A46" s="257"/>
      <c r="B46" s="233"/>
      <c r="C46" s="271"/>
      <c r="D46" s="233" t="s">
        <v>1308</v>
      </c>
      <c r="E46" s="167"/>
      <c r="F46" s="168"/>
      <c r="G46" s="168"/>
      <c r="H46" s="169"/>
      <c r="I46" s="168">
        <v>113</v>
      </c>
      <c r="J46" s="186"/>
      <c r="K46" s="168"/>
      <c r="L46" s="186"/>
      <c r="M46" s="181"/>
      <c r="N46" s="186"/>
      <c r="O46" s="186"/>
      <c r="P46" s="186"/>
      <c r="Q46" s="186"/>
    </row>
    <row r="47" spans="1:19">
      <c r="A47" s="258"/>
      <c r="B47" s="265"/>
      <c r="C47" s="270"/>
      <c r="D47" s="267" t="s">
        <v>1453</v>
      </c>
      <c r="E47" s="164"/>
      <c r="F47" s="165"/>
      <c r="G47" s="165"/>
      <c r="H47" s="166"/>
      <c r="I47" s="165"/>
      <c r="J47" s="184"/>
      <c r="K47" s="165"/>
      <c r="L47" s="184">
        <v>900</v>
      </c>
      <c r="M47" s="185">
        <v>1</v>
      </c>
      <c r="N47" s="184">
        <v>900</v>
      </c>
      <c r="O47" s="184">
        <v>117</v>
      </c>
      <c r="P47" s="184">
        <v>1017</v>
      </c>
      <c r="Q47" s="184"/>
    </row>
    <row r="48" spans="1:19">
      <c r="A48" s="258"/>
      <c r="B48" s="265"/>
      <c r="C48" s="270"/>
      <c r="D48" s="267" t="s">
        <v>1454</v>
      </c>
      <c r="E48" s="164"/>
      <c r="F48" s="165"/>
      <c r="G48" s="165"/>
      <c r="H48" s="166"/>
      <c r="I48" s="165"/>
      <c r="J48" s="184"/>
      <c r="K48" s="165"/>
      <c r="L48" s="184">
        <v>700</v>
      </c>
      <c r="M48" s="185">
        <v>4</v>
      </c>
      <c r="N48" s="184">
        <v>2800</v>
      </c>
      <c r="O48" s="184">
        <v>364</v>
      </c>
      <c r="P48" s="184">
        <v>3164</v>
      </c>
      <c r="Q48" s="184"/>
    </row>
    <row r="49" spans="1:111">
      <c r="A49" s="258" t="e">
        <v>#REF!</v>
      </c>
      <c r="B49" s="265"/>
      <c r="C49" s="270"/>
      <c r="D49" s="267" t="s">
        <v>1455</v>
      </c>
      <c r="E49" s="164"/>
      <c r="F49" s="165"/>
      <c r="G49" s="165"/>
      <c r="H49" s="166"/>
      <c r="I49" s="165">
        <v>339</v>
      </c>
      <c r="J49" s="184" t="e">
        <v>#REF!</v>
      </c>
      <c r="K49" s="165"/>
      <c r="L49" s="184">
        <v>100</v>
      </c>
      <c r="M49" s="185">
        <v>5</v>
      </c>
      <c r="N49" s="184">
        <v>500</v>
      </c>
      <c r="O49" s="184">
        <v>65</v>
      </c>
      <c r="P49" s="184">
        <v>565</v>
      </c>
      <c r="Q49" s="184"/>
    </row>
    <row r="50" spans="1:111" ht="15" hidden="1" customHeight="1">
      <c r="A50" s="259"/>
      <c r="C50" s="270"/>
      <c r="D50" s="267" t="s">
        <v>1309</v>
      </c>
      <c r="E50" s="225"/>
      <c r="F50" s="226"/>
      <c r="G50" s="226"/>
      <c r="H50" s="227"/>
      <c r="I50" s="226"/>
      <c r="J50" s="226"/>
      <c r="K50" s="226"/>
      <c r="L50" s="184"/>
      <c r="N50" s="184"/>
      <c r="O50" s="184"/>
      <c r="P50" s="184"/>
      <c r="Q50" s="184"/>
    </row>
    <row r="51" spans="1:111" ht="15" hidden="1" customHeight="1">
      <c r="A51" s="258" t="e">
        <v>#REF!</v>
      </c>
      <c r="B51" s="265"/>
      <c r="C51" s="265"/>
      <c r="D51" s="232" t="s">
        <v>1309</v>
      </c>
      <c r="E51" s="164"/>
      <c r="F51" s="165"/>
      <c r="G51" s="165"/>
      <c r="H51" s="166"/>
      <c r="I51" s="156"/>
      <c r="J51" s="184" t="e">
        <v>#REF!</v>
      </c>
      <c r="K51" s="165"/>
      <c r="L51" s="184">
        <v>10</v>
      </c>
      <c r="M51" s="185">
        <v>5</v>
      </c>
      <c r="N51" s="184">
        <v>50</v>
      </c>
      <c r="O51" s="184">
        <v>6.5</v>
      </c>
      <c r="P51" s="184">
        <v>56.5</v>
      </c>
      <c r="Q51" s="184"/>
    </row>
    <row r="52" spans="1:111" ht="15" hidden="1" customHeight="1">
      <c r="A52" s="258"/>
      <c r="B52" s="265"/>
      <c r="C52" s="265"/>
      <c r="D52" s="232" t="s">
        <v>1456</v>
      </c>
      <c r="E52" s="164"/>
      <c r="F52" s="165"/>
      <c r="G52" s="165"/>
      <c r="H52" s="166"/>
      <c r="I52" s="165">
        <v>169.5</v>
      </c>
      <c r="J52" s="184"/>
      <c r="K52" s="165"/>
      <c r="L52" s="184"/>
      <c r="N52" s="184"/>
      <c r="O52" s="184">
        <v>0</v>
      </c>
      <c r="P52" s="184"/>
      <c r="Q52" s="184"/>
    </row>
    <row r="53" spans="1:111" ht="18" hidden="1" customHeight="1">
      <c r="A53" s="258" t="e">
        <v>#REF!</v>
      </c>
      <c r="B53" s="265"/>
      <c r="C53" s="232" t="s">
        <v>1310</v>
      </c>
      <c r="D53" s="232" t="s">
        <v>1311</v>
      </c>
      <c r="E53" s="164"/>
      <c r="F53" s="165"/>
      <c r="G53" s="165">
        <v>226</v>
      </c>
      <c r="H53" s="166">
        <v>0</v>
      </c>
      <c r="I53" s="165">
        <v>226</v>
      </c>
      <c r="J53" s="184" t="e">
        <v>#REF!</v>
      </c>
      <c r="K53" s="165"/>
      <c r="L53" s="184">
        <v>200</v>
      </c>
      <c r="M53" s="185">
        <v>1</v>
      </c>
      <c r="N53" s="184">
        <v>200</v>
      </c>
      <c r="O53" s="184">
        <v>26</v>
      </c>
      <c r="P53" s="184">
        <v>226</v>
      </c>
      <c r="Q53" s="184"/>
    </row>
    <row r="54" spans="1:111" s="127" customFormat="1" ht="15" hidden="1" customHeight="1">
      <c r="A54" s="259" t="e">
        <v>#REF!</v>
      </c>
      <c r="B54" s="232"/>
      <c r="C54" s="232" t="s">
        <v>1312</v>
      </c>
      <c r="D54" s="272"/>
      <c r="E54" s="225">
        <v>300</v>
      </c>
      <c r="F54" s="226"/>
      <c r="G54" s="226"/>
      <c r="H54" s="227"/>
      <c r="I54" s="226">
        <v>0</v>
      </c>
      <c r="J54" s="226" t="e">
        <v>#REF!</v>
      </c>
      <c r="K54" s="226"/>
      <c r="L54" s="184"/>
      <c r="M54" s="185"/>
      <c r="N54" s="184"/>
      <c r="O54" s="184"/>
      <c r="P54" s="184"/>
      <c r="Q54" s="184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8"/>
      <c r="BM54" s="158"/>
      <c r="BN54" s="158"/>
      <c r="BO54" s="158"/>
      <c r="BP54" s="158"/>
      <c r="BQ54" s="158"/>
      <c r="BR54" s="158"/>
      <c r="BS54" s="158"/>
      <c r="BT54" s="158"/>
      <c r="BU54" s="158"/>
      <c r="BV54" s="158"/>
      <c r="BW54" s="158"/>
      <c r="BX54" s="158"/>
      <c r="BY54" s="158"/>
      <c r="BZ54" s="158"/>
      <c r="CA54" s="158"/>
      <c r="CB54" s="158"/>
      <c r="CC54" s="158"/>
      <c r="CD54" s="158"/>
      <c r="CE54" s="158"/>
      <c r="CF54" s="158"/>
      <c r="CG54" s="158"/>
      <c r="CH54" s="158"/>
      <c r="CI54" s="158"/>
      <c r="CJ54" s="158"/>
      <c r="CK54" s="158"/>
      <c r="CL54" s="158"/>
      <c r="CM54" s="158"/>
      <c r="CN54" s="158"/>
      <c r="CO54" s="158"/>
      <c r="CP54" s="158"/>
      <c r="CQ54" s="158"/>
      <c r="CR54" s="158"/>
      <c r="CS54" s="158"/>
      <c r="CT54" s="158"/>
      <c r="CU54" s="158"/>
      <c r="CV54" s="158"/>
      <c r="CW54" s="158"/>
      <c r="CX54" s="158"/>
      <c r="CY54" s="158"/>
      <c r="CZ54" s="158"/>
      <c r="DA54" s="158"/>
      <c r="DB54" s="158"/>
      <c r="DC54" s="158"/>
      <c r="DD54" s="158"/>
      <c r="DE54" s="158"/>
      <c r="DF54" s="158"/>
      <c r="DG54" s="158"/>
    </row>
    <row r="55" spans="1:111" ht="15" hidden="1" customHeight="1">
      <c r="A55" s="259" t="e">
        <v>#REF!</v>
      </c>
      <c r="C55" s="232" t="s">
        <v>1313</v>
      </c>
      <c r="D55" s="232" t="s">
        <v>1314</v>
      </c>
      <c r="E55" s="225"/>
      <c r="F55" s="226">
        <v>60</v>
      </c>
      <c r="G55" s="226"/>
      <c r="H55" s="227"/>
      <c r="I55" s="226">
        <v>0</v>
      </c>
      <c r="J55" s="226" t="e">
        <v>#REF!</v>
      </c>
      <c r="K55" s="226"/>
      <c r="L55" s="184"/>
      <c r="N55" s="184"/>
      <c r="O55" s="184"/>
      <c r="P55" s="184"/>
      <c r="Q55" s="184"/>
    </row>
    <row r="56" spans="1:111" s="127" customFormat="1" ht="17.100000000000001" hidden="1" customHeight="1">
      <c r="A56" s="259" t="e">
        <v>#REF!</v>
      </c>
      <c r="B56" s="232"/>
      <c r="C56" s="232"/>
      <c r="D56" s="232" t="s">
        <v>1315</v>
      </c>
      <c r="E56" s="225"/>
      <c r="F56" s="226">
        <v>287.55</v>
      </c>
      <c r="G56" s="226"/>
      <c r="H56" s="227"/>
      <c r="I56" s="226">
        <v>0</v>
      </c>
      <c r="J56" s="226" t="e">
        <v>#REF!</v>
      </c>
      <c r="K56" s="226"/>
      <c r="L56" s="184"/>
      <c r="M56" s="185"/>
      <c r="N56" s="184"/>
      <c r="O56" s="184"/>
      <c r="P56" s="184"/>
      <c r="Q56" s="184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158"/>
      <c r="BI56" s="158"/>
      <c r="BJ56" s="158"/>
      <c r="BK56" s="158"/>
      <c r="BL56" s="158"/>
      <c r="BM56" s="158"/>
      <c r="BN56" s="158"/>
      <c r="BO56" s="158"/>
      <c r="BP56" s="158"/>
      <c r="BQ56" s="158"/>
      <c r="BR56" s="158"/>
      <c r="BS56" s="158"/>
      <c r="BT56" s="158"/>
      <c r="BU56" s="158"/>
      <c r="BV56" s="158"/>
      <c r="BW56" s="158"/>
      <c r="BX56" s="158"/>
      <c r="BY56" s="158"/>
      <c r="BZ56" s="158"/>
      <c r="CA56" s="158"/>
      <c r="CB56" s="158"/>
      <c r="CC56" s="158"/>
      <c r="CD56" s="158"/>
      <c r="CE56" s="158"/>
      <c r="CF56" s="158"/>
      <c r="CG56" s="158"/>
      <c r="CH56" s="158"/>
      <c r="CI56" s="158"/>
      <c r="CJ56" s="158"/>
      <c r="CK56" s="158"/>
      <c r="CL56" s="158"/>
      <c r="CM56" s="158"/>
      <c r="CN56" s="158"/>
      <c r="CO56" s="158"/>
      <c r="CP56" s="158"/>
      <c r="CQ56" s="158"/>
      <c r="CR56" s="158"/>
      <c r="CS56" s="158"/>
      <c r="CT56" s="158"/>
      <c r="CU56" s="158"/>
      <c r="CV56" s="158"/>
      <c r="CW56" s="158"/>
      <c r="CX56" s="158"/>
      <c r="CY56" s="158"/>
      <c r="CZ56" s="158"/>
      <c r="DA56" s="158"/>
      <c r="DB56" s="158"/>
      <c r="DC56" s="158"/>
      <c r="DD56" s="158"/>
      <c r="DE56" s="158"/>
      <c r="DF56" s="158"/>
      <c r="DG56" s="158"/>
    </row>
    <row r="57" spans="1:111" s="126" customFormat="1" ht="15" hidden="1" customHeight="1">
      <c r="A57" s="259" t="e">
        <v>#REF!</v>
      </c>
      <c r="B57" s="232"/>
      <c r="C57" s="232"/>
      <c r="D57" s="232" t="s">
        <v>1316</v>
      </c>
      <c r="E57" s="225"/>
      <c r="F57" s="226">
        <v>27.7</v>
      </c>
      <c r="G57" s="226"/>
      <c r="H57" s="227"/>
      <c r="I57" s="226">
        <v>0</v>
      </c>
      <c r="J57" s="226" t="e">
        <v>#REF!</v>
      </c>
      <c r="K57" s="226"/>
      <c r="L57" s="184"/>
      <c r="M57" s="185"/>
      <c r="N57" s="184"/>
      <c r="O57" s="184"/>
      <c r="P57" s="184"/>
      <c r="Q57" s="184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8"/>
      <c r="BN57" s="158"/>
      <c r="BO57" s="158"/>
      <c r="BP57" s="158"/>
      <c r="BQ57" s="158"/>
      <c r="BR57" s="158"/>
      <c r="BS57" s="158"/>
      <c r="BT57" s="158"/>
      <c r="BU57" s="158"/>
      <c r="BV57" s="158"/>
      <c r="BW57" s="158"/>
      <c r="BX57" s="158"/>
      <c r="BY57" s="158"/>
      <c r="BZ57" s="158"/>
      <c r="CA57" s="158"/>
      <c r="CB57" s="158"/>
      <c r="CC57" s="158"/>
      <c r="CD57" s="158"/>
      <c r="CE57" s="158"/>
      <c r="CF57" s="158"/>
      <c r="CG57" s="158"/>
      <c r="CH57" s="158"/>
      <c r="CI57" s="158"/>
      <c r="CJ57" s="158"/>
      <c r="CK57" s="158"/>
      <c r="CL57" s="158"/>
      <c r="CM57" s="158"/>
      <c r="CN57" s="158"/>
      <c r="CO57" s="158"/>
      <c r="CP57" s="158"/>
      <c r="CQ57" s="158"/>
      <c r="CR57" s="158"/>
      <c r="CS57" s="158"/>
      <c r="CT57" s="158"/>
      <c r="CU57" s="158"/>
      <c r="CV57" s="158"/>
      <c r="CW57" s="158"/>
      <c r="CX57" s="158"/>
      <c r="CY57" s="158"/>
      <c r="CZ57" s="158"/>
      <c r="DA57" s="158"/>
      <c r="DB57" s="158"/>
      <c r="DC57" s="158"/>
      <c r="DD57" s="158"/>
      <c r="DE57" s="158"/>
      <c r="DF57" s="158"/>
      <c r="DG57" s="158"/>
    </row>
    <row r="58" spans="1:111" s="126" customFormat="1" ht="15" hidden="1" customHeight="1">
      <c r="A58" s="259" t="e">
        <v>#REF!</v>
      </c>
      <c r="B58" s="232"/>
      <c r="C58" s="232"/>
      <c r="D58" s="232" t="s">
        <v>1317</v>
      </c>
      <c r="E58" s="225"/>
      <c r="F58" s="226">
        <v>602.83000000000004</v>
      </c>
      <c r="G58" s="226"/>
      <c r="H58" s="228"/>
      <c r="I58" s="226">
        <v>0</v>
      </c>
      <c r="J58" s="226" t="e">
        <v>#REF!</v>
      </c>
      <c r="K58" s="226"/>
      <c r="L58" s="184"/>
      <c r="M58" s="185"/>
      <c r="N58" s="184"/>
      <c r="O58" s="184"/>
      <c r="P58" s="184"/>
      <c r="Q58" s="184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158"/>
      <c r="BP58" s="158"/>
      <c r="BQ58" s="158"/>
      <c r="BR58" s="158"/>
      <c r="BS58" s="158"/>
      <c r="BT58" s="158"/>
      <c r="BU58" s="158"/>
      <c r="BV58" s="158"/>
      <c r="BW58" s="158"/>
      <c r="BX58" s="158"/>
      <c r="BY58" s="158"/>
      <c r="BZ58" s="158"/>
      <c r="CA58" s="158"/>
      <c r="CB58" s="158"/>
      <c r="CC58" s="158"/>
      <c r="CD58" s="158"/>
      <c r="CE58" s="158"/>
      <c r="CF58" s="158"/>
      <c r="CG58" s="158"/>
      <c r="CH58" s="158"/>
      <c r="CI58" s="158"/>
      <c r="CJ58" s="158"/>
      <c r="CK58" s="158"/>
      <c r="CL58" s="158"/>
      <c r="CM58" s="158"/>
      <c r="CN58" s="158"/>
      <c r="CO58" s="158"/>
      <c r="CP58" s="158"/>
      <c r="CQ58" s="158"/>
      <c r="CR58" s="158"/>
      <c r="CS58" s="158"/>
      <c r="CT58" s="158"/>
      <c r="CU58" s="158"/>
      <c r="CV58" s="158"/>
      <c r="CW58" s="158"/>
      <c r="CX58" s="158"/>
      <c r="CY58" s="158"/>
      <c r="CZ58" s="158"/>
      <c r="DA58" s="158"/>
      <c r="DB58" s="158"/>
      <c r="DC58" s="158"/>
      <c r="DD58" s="158"/>
      <c r="DE58" s="158"/>
      <c r="DF58" s="158"/>
      <c r="DG58" s="158"/>
    </row>
    <row r="59" spans="1:111" s="133" customFormat="1" ht="38.1" hidden="1" customHeight="1">
      <c r="A59" s="259" t="e">
        <v>#REF!</v>
      </c>
      <c r="B59" s="232"/>
      <c r="C59" s="232"/>
      <c r="D59" s="232" t="s">
        <v>1318</v>
      </c>
      <c r="E59" s="225"/>
      <c r="F59" s="226"/>
      <c r="G59" s="226"/>
      <c r="H59" s="227">
        <v>5.65</v>
      </c>
      <c r="I59" s="226"/>
      <c r="J59" s="226" t="e">
        <v>#REF!</v>
      </c>
      <c r="K59" s="226"/>
      <c r="L59" s="184"/>
      <c r="M59" s="185"/>
      <c r="N59" s="184"/>
      <c r="O59" s="184"/>
      <c r="P59" s="184"/>
      <c r="Q59" s="184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157"/>
      <c r="AO59" s="157"/>
      <c r="AP59" s="157"/>
      <c r="AQ59" s="157"/>
      <c r="AR59" s="157"/>
      <c r="AS59" s="157"/>
      <c r="AT59" s="157"/>
      <c r="AU59" s="157"/>
      <c r="AV59" s="157"/>
      <c r="AW59" s="157"/>
      <c r="AX59" s="157"/>
      <c r="AY59" s="157"/>
      <c r="AZ59" s="157"/>
      <c r="BA59" s="157"/>
      <c r="BB59" s="157"/>
      <c r="BC59" s="157"/>
      <c r="BD59" s="157"/>
      <c r="BE59" s="157"/>
      <c r="BF59" s="157"/>
      <c r="BG59" s="157"/>
      <c r="BH59" s="157"/>
      <c r="BI59" s="157"/>
      <c r="BJ59" s="157"/>
      <c r="BK59" s="157"/>
      <c r="BL59" s="157"/>
      <c r="BM59" s="157"/>
      <c r="BN59" s="157"/>
      <c r="BO59" s="157"/>
      <c r="BP59" s="157"/>
      <c r="BQ59" s="157"/>
      <c r="BR59" s="157"/>
      <c r="BS59" s="157"/>
      <c r="BT59" s="157"/>
      <c r="BU59" s="157"/>
      <c r="BV59" s="157"/>
      <c r="BW59" s="157"/>
      <c r="BX59" s="157"/>
      <c r="BY59" s="157"/>
      <c r="BZ59" s="157"/>
      <c r="CA59" s="157"/>
      <c r="CB59" s="157"/>
      <c r="CC59" s="157"/>
      <c r="CD59" s="157"/>
      <c r="CE59" s="157"/>
      <c r="CF59" s="157"/>
      <c r="CG59" s="157"/>
      <c r="CH59" s="157"/>
      <c r="CI59" s="157"/>
      <c r="CJ59" s="157"/>
      <c r="CK59" s="157"/>
      <c r="CL59" s="157"/>
      <c r="CM59" s="157"/>
      <c r="CN59" s="157"/>
      <c r="CO59" s="157"/>
      <c r="CP59" s="157"/>
      <c r="CQ59" s="157"/>
      <c r="CR59" s="157"/>
      <c r="CS59" s="157"/>
      <c r="CT59" s="157"/>
      <c r="CU59" s="157"/>
      <c r="CV59" s="157"/>
      <c r="CW59" s="157"/>
      <c r="CX59" s="157"/>
      <c r="CY59" s="157"/>
      <c r="CZ59" s="157"/>
      <c r="DA59" s="157"/>
      <c r="DB59" s="157"/>
      <c r="DC59" s="157"/>
      <c r="DD59" s="157"/>
      <c r="DE59" s="157"/>
      <c r="DF59" s="157"/>
      <c r="DG59" s="157"/>
    </row>
    <row r="60" spans="1:111" ht="30" hidden="1" customHeight="1">
      <c r="A60" s="259" t="e">
        <v>#REF!</v>
      </c>
      <c r="D60" s="232" t="s">
        <v>1319</v>
      </c>
      <c r="E60" s="225"/>
      <c r="F60" s="226"/>
      <c r="G60" s="226"/>
      <c r="H60" s="227">
        <v>22.5</v>
      </c>
      <c r="I60" s="226">
        <v>22.6</v>
      </c>
      <c r="J60" s="226" t="e">
        <v>#REF!</v>
      </c>
      <c r="K60" s="226"/>
      <c r="L60" s="184"/>
      <c r="N60" s="184"/>
      <c r="O60" s="184"/>
      <c r="P60" s="184"/>
      <c r="Q60" s="184"/>
    </row>
    <row r="61" spans="1:111" ht="15" hidden="1" customHeight="1">
      <c r="A61" s="259" t="e">
        <v>#REF!</v>
      </c>
      <c r="D61" s="267" t="s">
        <v>1342</v>
      </c>
      <c r="E61" s="225"/>
      <c r="F61" s="226"/>
      <c r="G61" s="226"/>
      <c r="H61" s="227">
        <v>9.6999999999999993</v>
      </c>
      <c r="I61" s="226">
        <v>0</v>
      </c>
      <c r="J61" s="226" t="e">
        <v>#REF!</v>
      </c>
      <c r="K61" s="226"/>
      <c r="L61" s="184"/>
      <c r="N61" s="184"/>
      <c r="O61" s="184"/>
      <c r="P61" s="184"/>
      <c r="Q61" s="184"/>
    </row>
    <row r="62" spans="1:111" ht="30" hidden="1" customHeight="1">
      <c r="A62" s="259" t="e">
        <v>#REF!</v>
      </c>
      <c r="D62" s="267" t="s">
        <v>1457</v>
      </c>
      <c r="E62" s="225"/>
      <c r="F62" s="226"/>
      <c r="G62" s="226"/>
      <c r="H62" s="227">
        <v>8.06</v>
      </c>
      <c r="I62" s="226">
        <v>0</v>
      </c>
      <c r="J62" s="226" t="e">
        <v>#REF!</v>
      </c>
      <c r="K62" s="226"/>
      <c r="L62" s="184"/>
      <c r="N62" s="184"/>
      <c r="O62" s="184"/>
      <c r="P62" s="184"/>
      <c r="Q62" s="184"/>
    </row>
    <row r="63" spans="1:111" ht="30" hidden="1" customHeight="1">
      <c r="A63" s="259" t="e">
        <v>#REF!</v>
      </c>
      <c r="D63" s="232" t="s">
        <v>1320</v>
      </c>
      <c r="E63" s="225"/>
      <c r="F63" s="226"/>
      <c r="G63" s="226"/>
      <c r="H63" s="227">
        <v>21.53</v>
      </c>
      <c r="I63" s="226">
        <v>0</v>
      </c>
      <c r="J63" s="226" t="e">
        <v>#REF!</v>
      </c>
      <c r="K63" s="226"/>
      <c r="L63" s="184"/>
      <c r="N63" s="184"/>
      <c r="O63" s="184"/>
      <c r="P63" s="184"/>
      <c r="Q63" s="184"/>
    </row>
    <row r="64" spans="1:111">
      <c r="A64" s="258"/>
      <c r="C64" s="232" t="s">
        <v>1181</v>
      </c>
      <c r="E64" s="164"/>
      <c r="F64" s="165"/>
      <c r="G64" s="165"/>
      <c r="H64" s="166"/>
      <c r="I64" s="165"/>
      <c r="J64" s="184"/>
      <c r="K64" s="165"/>
      <c r="L64" s="184">
        <v>2500</v>
      </c>
      <c r="M64" s="185">
        <v>1</v>
      </c>
      <c r="N64" s="184">
        <v>2500</v>
      </c>
      <c r="O64" s="184">
        <v>325</v>
      </c>
      <c r="P64" s="184">
        <v>2825</v>
      </c>
      <c r="Q64" s="184"/>
    </row>
    <row r="65" spans="1:111" ht="30">
      <c r="A65" s="258"/>
      <c r="C65" s="232" t="s">
        <v>1458</v>
      </c>
      <c r="D65" s="232" t="s">
        <v>1459</v>
      </c>
      <c r="E65" s="164"/>
      <c r="F65" s="165"/>
      <c r="G65" s="165"/>
      <c r="H65" s="166"/>
      <c r="I65" s="165"/>
      <c r="J65" s="184"/>
      <c r="K65" s="165"/>
      <c r="L65" s="184">
        <v>60</v>
      </c>
      <c r="M65" s="185">
        <v>1</v>
      </c>
      <c r="N65" s="184">
        <v>60</v>
      </c>
      <c r="O65" s="184">
        <v>7.8000000000000007</v>
      </c>
      <c r="P65" s="184">
        <v>67.8</v>
      </c>
      <c r="Q65" s="184"/>
    </row>
    <row r="66" spans="1:111">
      <c r="A66" s="258"/>
      <c r="C66" s="232" t="s">
        <v>1460</v>
      </c>
      <c r="E66" s="164"/>
      <c r="F66" s="165"/>
      <c r="G66" s="165"/>
      <c r="H66" s="166"/>
      <c r="I66" s="165"/>
      <c r="J66" s="184"/>
      <c r="K66" s="165"/>
      <c r="L66" s="184">
        <v>35</v>
      </c>
      <c r="M66" s="185">
        <v>4</v>
      </c>
      <c r="N66" s="184">
        <v>140</v>
      </c>
      <c r="O66" s="184">
        <v>18.2</v>
      </c>
      <c r="P66" s="184">
        <v>158.19999999999999</v>
      </c>
      <c r="Q66" s="184">
        <v>192.09</v>
      </c>
    </row>
    <row r="67" spans="1:111">
      <c r="A67" s="258" t="e">
        <v>#REF!</v>
      </c>
      <c r="B67" s="264"/>
      <c r="C67" s="273" t="s">
        <v>1283</v>
      </c>
      <c r="D67" s="264"/>
      <c r="E67" s="161">
        <v>6856.08</v>
      </c>
      <c r="F67" s="162">
        <v>3852.95</v>
      </c>
      <c r="G67" s="162">
        <v>2696.09</v>
      </c>
      <c r="H67" s="163">
        <v>1401.57</v>
      </c>
      <c r="I67" s="162">
        <v>2604.65</v>
      </c>
      <c r="J67" s="182" t="e">
        <v>#REF!</v>
      </c>
      <c r="K67" s="162"/>
      <c r="L67" s="182"/>
      <c r="M67" s="183"/>
      <c r="N67" s="182">
        <f>N45+N28+N24+N65+N66</f>
        <v>9513.99</v>
      </c>
      <c r="O67" s="182">
        <f t="shared" ref="O67:P67" si="2">O45+O28+O24+O65+O66</f>
        <v>911.81870000000004</v>
      </c>
      <c r="P67" s="182">
        <f t="shared" si="2"/>
        <v>7699.8087000000005</v>
      </c>
      <c r="Q67" s="182">
        <f>Q45+Q28+Q24+Q65+Q66</f>
        <v>513.03</v>
      </c>
    </row>
    <row r="68" spans="1:111">
      <c r="A68" s="258"/>
      <c r="E68" s="164"/>
      <c r="F68" s="165"/>
      <c r="G68" s="165"/>
      <c r="H68" s="166"/>
      <c r="I68" s="165"/>
      <c r="J68" s="184"/>
      <c r="K68" s="165"/>
      <c r="L68" s="184"/>
      <c r="N68" s="184"/>
      <c r="O68" s="184"/>
      <c r="P68" s="184"/>
      <c r="Q68" s="184"/>
    </row>
    <row r="69" spans="1:111">
      <c r="A69" s="258"/>
      <c r="B69" s="266" t="s">
        <v>1079</v>
      </c>
      <c r="C69" s="266"/>
      <c r="D69" s="266"/>
      <c r="E69" s="174"/>
      <c r="F69" s="175"/>
      <c r="G69" s="175"/>
      <c r="H69" s="176"/>
      <c r="I69" s="175"/>
      <c r="J69" s="191"/>
      <c r="K69" s="175"/>
      <c r="L69" s="191"/>
      <c r="M69" s="192"/>
      <c r="N69" s="191"/>
      <c r="O69" s="191"/>
      <c r="P69" s="191"/>
      <c r="Q69" s="191"/>
    </row>
    <row r="70" spans="1:111" s="127" customFormat="1" ht="15" hidden="1" customHeight="1">
      <c r="A70" s="258" t="e">
        <v>#REF!</v>
      </c>
      <c r="B70" s="233"/>
      <c r="C70" s="232"/>
      <c r="D70" s="232" t="s">
        <v>1321</v>
      </c>
      <c r="E70" s="229"/>
      <c r="F70" s="230"/>
      <c r="G70" s="230"/>
      <c r="H70" s="231"/>
      <c r="I70" s="226">
        <v>1000</v>
      </c>
      <c r="J70" s="226" t="e">
        <v>#REF!</v>
      </c>
      <c r="K70" s="230"/>
      <c r="L70" s="184"/>
      <c r="M70" s="185"/>
      <c r="N70" s="184"/>
      <c r="O70" s="184"/>
      <c r="P70" s="184"/>
      <c r="Q70" s="186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158"/>
      <c r="BV70" s="158"/>
      <c r="BW70" s="158"/>
      <c r="BX70" s="158"/>
      <c r="BY70" s="158"/>
      <c r="BZ70" s="158"/>
      <c r="CA70" s="158"/>
      <c r="CB70" s="158"/>
      <c r="CC70" s="158"/>
      <c r="CD70" s="158"/>
      <c r="CE70" s="158"/>
      <c r="CF70" s="158"/>
      <c r="CG70" s="158"/>
      <c r="CH70" s="158"/>
      <c r="CI70" s="158"/>
      <c r="CJ70" s="158"/>
      <c r="CK70" s="158"/>
      <c r="CL70" s="158"/>
      <c r="CM70" s="158"/>
      <c r="CN70" s="158"/>
      <c r="CO70" s="158"/>
      <c r="CP70" s="158"/>
      <c r="CQ70" s="158"/>
      <c r="CR70" s="158"/>
      <c r="CS70" s="158"/>
      <c r="CT70" s="158"/>
      <c r="CU70" s="158"/>
      <c r="CV70" s="158"/>
      <c r="CW70" s="158"/>
      <c r="CX70" s="158"/>
      <c r="CY70" s="158"/>
      <c r="CZ70" s="158"/>
      <c r="DA70" s="158"/>
      <c r="DB70" s="158"/>
      <c r="DC70" s="158"/>
      <c r="DD70" s="158"/>
      <c r="DE70" s="158"/>
      <c r="DF70" s="158"/>
      <c r="DG70" s="158"/>
    </row>
    <row r="71" spans="1:111">
      <c r="A71" s="258"/>
      <c r="B71" s="233"/>
      <c r="C71" s="232" t="s">
        <v>467</v>
      </c>
      <c r="D71" s="232" t="s">
        <v>1461</v>
      </c>
      <c r="E71" s="167"/>
      <c r="F71" s="168"/>
      <c r="G71" s="168"/>
      <c r="H71" s="169"/>
      <c r="I71" s="165"/>
      <c r="J71" s="184"/>
      <c r="K71" s="168"/>
      <c r="L71" s="184">
        <v>500</v>
      </c>
      <c r="M71" s="185">
        <v>1</v>
      </c>
      <c r="N71" s="184">
        <v>500</v>
      </c>
      <c r="O71" s="184">
        <v>65</v>
      </c>
      <c r="P71" s="184">
        <v>565</v>
      </c>
      <c r="Q71" s="186">
        <v>1247.3399999999999</v>
      </c>
    </row>
    <row r="72" spans="1:111" s="127" customFormat="1" ht="27.95" customHeight="1">
      <c r="A72" s="258" t="e">
        <v>#REF!</v>
      </c>
      <c r="B72" s="265"/>
      <c r="C72" s="270" t="s">
        <v>1284</v>
      </c>
      <c r="D72" s="232" t="s">
        <v>1322</v>
      </c>
      <c r="E72" s="164"/>
      <c r="F72" s="165"/>
      <c r="G72" s="165">
        <v>225.99</v>
      </c>
      <c r="H72" s="166">
        <v>1885.62</v>
      </c>
      <c r="I72" s="165">
        <v>2825</v>
      </c>
      <c r="J72" s="184" t="e">
        <v>#REF!</v>
      </c>
      <c r="K72" s="165"/>
      <c r="L72" s="184">
        <v>160</v>
      </c>
      <c r="M72" s="185">
        <v>10</v>
      </c>
      <c r="N72" s="184">
        <v>1600</v>
      </c>
      <c r="O72" s="184"/>
      <c r="P72" s="184">
        <v>1600</v>
      </c>
      <c r="Q72" s="184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8"/>
      <c r="BV72" s="158"/>
      <c r="BW72" s="158"/>
      <c r="BX72" s="158"/>
      <c r="BY72" s="158"/>
      <c r="BZ72" s="158"/>
      <c r="CA72" s="158"/>
      <c r="CB72" s="158"/>
      <c r="CC72" s="158"/>
      <c r="CD72" s="158"/>
      <c r="CE72" s="158"/>
      <c r="CF72" s="158"/>
      <c r="CG72" s="158"/>
      <c r="CH72" s="158"/>
      <c r="CI72" s="158"/>
      <c r="CJ72" s="158"/>
      <c r="CK72" s="158"/>
      <c r="CL72" s="158"/>
      <c r="CM72" s="158"/>
      <c r="CN72" s="158"/>
      <c r="CO72" s="158"/>
      <c r="CP72" s="158"/>
      <c r="CQ72" s="158"/>
      <c r="CR72" s="158"/>
      <c r="CS72" s="158"/>
      <c r="CT72" s="158"/>
      <c r="CU72" s="158"/>
      <c r="CV72" s="158"/>
      <c r="CW72" s="158"/>
      <c r="CX72" s="158"/>
      <c r="CY72" s="158"/>
      <c r="CZ72" s="158"/>
      <c r="DA72" s="158"/>
      <c r="DB72" s="158"/>
      <c r="DC72" s="158"/>
      <c r="DD72" s="158"/>
      <c r="DE72" s="158"/>
      <c r="DF72" s="158"/>
      <c r="DG72" s="158"/>
    </row>
    <row r="73" spans="1:111">
      <c r="A73" s="258" t="e">
        <v>#REF!</v>
      </c>
      <c r="B73" s="265"/>
      <c r="C73" s="232" t="s">
        <v>34</v>
      </c>
      <c r="D73" s="232" t="s">
        <v>1323</v>
      </c>
      <c r="E73" s="164"/>
      <c r="F73" s="165"/>
      <c r="G73" s="165">
        <v>35.43</v>
      </c>
      <c r="H73" s="166">
        <v>111.87</v>
      </c>
      <c r="I73" s="165">
        <v>111.87</v>
      </c>
      <c r="J73" s="184" t="e">
        <v>#REF!</v>
      </c>
      <c r="K73" s="165"/>
      <c r="L73" s="184">
        <v>0.5</v>
      </c>
      <c r="M73" s="185">
        <v>850</v>
      </c>
      <c r="N73" s="184">
        <v>425</v>
      </c>
      <c r="O73" s="184">
        <v>55.25</v>
      </c>
      <c r="P73" s="184">
        <v>480.25</v>
      </c>
      <c r="Q73" s="184">
        <v>5.31</v>
      </c>
    </row>
    <row r="74" spans="1:111" ht="15" hidden="1" customHeight="1">
      <c r="A74" s="258" t="e">
        <v>#REF!</v>
      </c>
      <c r="B74" s="265"/>
      <c r="C74" s="265"/>
      <c r="D74" s="232" t="s">
        <v>1324</v>
      </c>
      <c r="E74" s="225"/>
      <c r="F74" s="226"/>
      <c r="G74" s="226"/>
      <c r="H74" s="227"/>
      <c r="I74" s="226">
        <v>565</v>
      </c>
      <c r="J74" s="226" t="e">
        <v>#REF!</v>
      </c>
      <c r="K74" s="226"/>
      <c r="L74" s="184"/>
      <c r="N74" s="184"/>
      <c r="O74" s="184"/>
      <c r="P74" s="184"/>
      <c r="Q74" s="184"/>
    </row>
    <row r="75" spans="1:111">
      <c r="A75" s="258" t="e">
        <v>#REF!</v>
      </c>
      <c r="B75" s="265"/>
      <c r="C75" s="232" t="s">
        <v>1325</v>
      </c>
      <c r="D75" s="232" t="s">
        <v>1326</v>
      </c>
      <c r="E75" s="164"/>
      <c r="F75" s="165"/>
      <c r="G75" s="165">
        <v>101.7</v>
      </c>
      <c r="H75" s="166">
        <v>101.7</v>
      </c>
      <c r="I75" s="165">
        <v>101.7</v>
      </c>
      <c r="J75" s="184" t="e">
        <v>#REF!</v>
      </c>
      <c r="K75" s="165"/>
      <c r="L75" s="184">
        <v>30</v>
      </c>
      <c r="M75" s="185">
        <v>3</v>
      </c>
      <c r="N75" s="184">
        <v>90</v>
      </c>
      <c r="O75" s="184">
        <v>11.700000000000001</v>
      </c>
      <c r="P75" s="184">
        <v>101.7</v>
      </c>
      <c r="Q75" s="184"/>
    </row>
    <row r="76" spans="1:111">
      <c r="A76" s="258">
        <v>66</v>
      </c>
      <c r="B76" s="265"/>
      <c r="C76" s="232" t="s">
        <v>1327</v>
      </c>
      <c r="D76" s="232" t="s">
        <v>1328</v>
      </c>
      <c r="E76" s="164"/>
      <c r="F76" s="165"/>
      <c r="G76" s="165"/>
      <c r="H76" s="166"/>
      <c r="I76" s="165"/>
      <c r="J76" s="184"/>
      <c r="K76" s="165"/>
      <c r="L76" s="184">
        <v>30</v>
      </c>
      <c r="M76" s="185">
        <v>3</v>
      </c>
      <c r="N76" s="184">
        <v>90</v>
      </c>
      <c r="O76" s="184">
        <v>11.700000000000001</v>
      </c>
      <c r="P76" s="184">
        <v>101.7</v>
      </c>
      <c r="Q76" s="184"/>
    </row>
    <row r="77" spans="1:111" ht="15" hidden="1" customHeight="1">
      <c r="A77" s="258">
        <v>67</v>
      </c>
      <c r="B77" s="265"/>
      <c r="C77" s="232" t="s">
        <v>1329</v>
      </c>
      <c r="E77" s="225"/>
      <c r="F77" s="226"/>
      <c r="G77" s="226"/>
      <c r="H77" s="227"/>
      <c r="I77" s="226">
        <v>1977.5</v>
      </c>
      <c r="J77" s="226"/>
      <c r="K77" s="226"/>
      <c r="L77" s="184"/>
      <c r="N77" s="184"/>
      <c r="O77" s="184"/>
      <c r="P77" s="184"/>
      <c r="Q77" s="184"/>
    </row>
    <row r="78" spans="1:111">
      <c r="A78" s="258">
        <v>68</v>
      </c>
      <c r="B78" s="265"/>
      <c r="C78" s="232" t="s">
        <v>1343</v>
      </c>
      <c r="D78" s="232" t="s">
        <v>1462</v>
      </c>
      <c r="E78" s="164"/>
      <c r="F78" s="165"/>
      <c r="G78" s="165"/>
      <c r="H78" s="166"/>
      <c r="I78" s="165"/>
      <c r="J78" s="184"/>
      <c r="K78" s="165"/>
      <c r="L78" s="184">
        <v>2293</v>
      </c>
      <c r="M78" s="185">
        <v>1</v>
      </c>
      <c r="N78" s="184">
        <v>2293</v>
      </c>
      <c r="O78" s="184">
        <v>298.09000000000003</v>
      </c>
      <c r="P78" s="184">
        <v>2591.09</v>
      </c>
      <c r="Q78" s="184"/>
    </row>
    <row r="79" spans="1:111" s="127" customFormat="1" ht="30">
      <c r="A79" s="258"/>
      <c r="B79" s="265"/>
      <c r="C79" s="232" t="s">
        <v>1463</v>
      </c>
      <c r="D79" s="232" t="s">
        <v>1464</v>
      </c>
      <c r="E79" s="164"/>
      <c r="F79" s="165"/>
      <c r="G79" s="165"/>
      <c r="H79" s="166"/>
      <c r="I79" s="165">
        <v>1000</v>
      </c>
      <c r="J79" s="184"/>
      <c r="K79" s="165"/>
      <c r="L79" s="184">
        <v>200</v>
      </c>
      <c r="M79" s="185">
        <v>5</v>
      </c>
      <c r="N79" s="184">
        <v>1000</v>
      </c>
      <c r="O79" s="184">
        <v>130</v>
      </c>
      <c r="P79" s="184">
        <v>1130</v>
      </c>
      <c r="Q79" s="184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58"/>
      <c r="CC79" s="158"/>
      <c r="CD79" s="158"/>
      <c r="CE79" s="158"/>
      <c r="CF79" s="158"/>
      <c r="CG79" s="158"/>
      <c r="CH79" s="158"/>
      <c r="CI79" s="158"/>
      <c r="CJ79" s="158"/>
      <c r="CK79" s="158"/>
      <c r="CL79" s="158"/>
      <c r="CM79" s="158"/>
      <c r="CN79" s="158"/>
      <c r="CO79" s="158"/>
      <c r="CP79" s="158"/>
      <c r="CQ79" s="158"/>
      <c r="CR79" s="158"/>
      <c r="CS79" s="158"/>
      <c r="CT79" s="158"/>
      <c r="CU79" s="158"/>
      <c r="CV79" s="158"/>
      <c r="CW79" s="158"/>
      <c r="CX79" s="158"/>
      <c r="CY79" s="158"/>
      <c r="CZ79" s="158"/>
      <c r="DA79" s="158"/>
      <c r="DB79" s="158"/>
      <c r="DC79" s="158"/>
      <c r="DD79" s="158"/>
      <c r="DE79" s="158"/>
      <c r="DF79" s="158"/>
      <c r="DG79" s="158"/>
    </row>
    <row r="80" spans="1:111" ht="15" hidden="1" customHeight="1">
      <c r="A80" s="258">
        <v>69</v>
      </c>
      <c r="B80" s="265"/>
      <c r="C80" s="232" t="s">
        <v>1325</v>
      </c>
      <c r="D80" s="232" t="s">
        <v>1330</v>
      </c>
      <c r="E80" s="225"/>
      <c r="F80" s="226"/>
      <c r="G80" s="226">
        <v>106.72</v>
      </c>
      <c r="H80" s="227">
        <v>106.72</v>
      </c>
      <c r="I80" s="226">
        <v>169.5</v>
      </c>
      <c r="J80" s="226" t="e">
        <v>#REF!</v>
      </c>
      <c r="K80" s="226"/>
      <c r="L80" s="184"/>
      <c r="N80" s="184"/>
      <c r="O80" s="184"/>
      <c r="P80" s="184"/>
      <c r="Q80" s="184"/>
    </row>
    <row r="81" spans="1:111" ht="42" customHeight="1">
      <c r="A81" s="260">
        <v>70</v>
      </c>
      <c r="B81" s="264"/>
      <c r="C81" s="273" t="s">
        <v>1283</v>
      </c>
      <c r="D81" s="264"/>
      <c r="E81" s="161">
        <v>0</v>
      </c>
      <c r="F81" s="162">
        <v>0</v>
      </c>
      <c r="G81" s="162">
        <v>469.84000000000003</v>
      </c>
      <c r="H81" s="163">
        <v>2205.9099999999994</v>
      </c>
      <c r="I81" s="162">
        <v>7750.57</v>
      </c>
      <c r="J81" s="182" t="e">
        <v>#REF!</v>
      </c>
      <c r="K81" s="162"/>
      <c r="L81" s="182"/>
      <c r="M81" s="183"/>
      <c r="N81" s="182">
        <f>SUM(N71:N79)</f>
        <v>5998</v>
      </c>
      <c r="O81" s="182">
        <f t="shared" ref="O81:Q81" si="3">SUM(O71:O79)</f>
        <v>571.74</v>
      </c>
      <c r="P81" s="182">
        <f t="shared" si="3"/>
        <v>6569.74</v>
      </c>
      <c r="Q81" s="182">
        <f t="shared" si="3"/>
        <v>1252.6499999999999</v>
      </c>
    </row>
    <row r="82" spans="1:111">
      <c r="A82" s="258"/>
      <c r="B82" s="274"/>
      <c r="C82" s="274"/>
      <c r="D82" s="275"/>
      <c r="E82" s="171"/>
      <c r="F82" s="172"/>
      <c r="G82" s="172"/>
      <c r="H82" s="173"/>
      <c r="I82" s="172"/>
      <c r="J82" s="190"/>
      <c r="K82" s="172"/>
      <c r="L82" s="188"/>
      <c r="M82" s="189"/>
      <c r="N82" s="190"/>
      <c r="O82" s="190"/>
      <c r="P82" s="190"/>
      <c r="Q82" s="190"/>
    </row>
    <row r="83" spans="1:111">
      <c r="A83" s="156"/>
      <c r="B83" s="265"/>
      <c r="C83" s="265"/>
      <c r="D83" s="265"/>
      <c r="E83" s="156"/>
      <c r="F83" s="156"/>
      <c r="G83" s="156"/>
      <c r="H83" s="156"/>
      <c r="I83" s="156"/>
      <c r="J83" s="156"/>
      <c r="K83" s="156"/>
      <c r="L83" s="288"/>
      <c r="N83" s="288"/>
      <c r="O83" s="288"/>
      <c r="P83" s="288"/>
      <c r="Q83" s="288"/>
    </row>
    <row r="84" spans="1:111" ht="30">
      <c r="A84" s="156"/>
      <c r="B84" s="276" t="s">
        <v>1465</v>
      </c>
      <c r="C84" s="277"/>
      <c r="D84" s="278"/>
      <c r="E84" s="195"/>
      <c r="F84" s="195"/>
      <c r="G84" s="195"/>
      <c r="H84" s="200"/>
      <c r="I84" s="195"/>
      <c r="J84" s="196"/>
      <c r="K84" s="195"/>
      <c r="L84" s="235"/>
      <c r="M84" s="236"/>
      <c r="N84" s="235"/>
      <c r="O84" s="235"/>
      <c r="P84" s="235"/>
      <c r="Q84" s="235"/>
    </row>
    <row r="85" spans="1:111">
      <c r="A85" s="252">
        <v>78</v>
      </c>
      <c r="B85" s="279"/>
      <c r="C85" s="279" t="s">
        <v>1466</v>
      </c>
      <c r="D85" s="233"/>
      <c r="E85" s="159"/>
      <c r="F85" s="158"/>
      <c r="G85" s="168"/>
      <c r="H85" s="169"/>
      <c r="I85" s="158"/>
      <c r="J85" s="180"/>
      <c r="K85" s="158"/>
      <c r="L85" s="180"/>
      <c r="M85" s="181"/>
      <c r="N85" s="180"/>
      <c r="O85" s="180"/>
      <c r="P85" s="180"/>
      <c r="Q85" s="180"/>
    </row>
    <row r="86" spans="1:111">
      <c r="A86" s="254">
        <v>79</v>
      </c>
      <c r="B86" s="265"/>
      <c r="C86" s="265"/>
      <c r="D86" s="267" t="s">
        <v>75</v>
      </c>
      <c r="E86" s="164">
        <v>550</v>
      </c>
      <c r="F86" s="165">
        <v>800</v>
      </c>
      <c r="G86" s="165">
        <v>750</v>
      </c>
      <c r="H86" s="166"/>
      <c r="I86" s="165">
        <v>600</v>
      </c>
      <c r="J86" s="165">
        <v>600</v>
      </c>
      <c r="K86" s="165">
        <v>600</v>
      </c>
      <c r="L86" s="184">
        <v>125</v>
      </c>
      <c r="M86" s="185">
        <v>5</v>
      </c>
      <c r="N86" s="184">
        <v>625</v>
      </c>
      <c r="O86" s="288"/>
      <c r="P86" s="184">
        <v>625</v>
      </c>
      <c r="Q86" s="288"/>
      <c r="R86" s="22"/>
      <c r="S86" s="22"/>
    </row>
    <row r="87" spans="1:111">
      <c r="A87" s="254">
        <v>80</v>
      </c>
      <c r="B87" s="265"/>
      <c r="C87" s="265"/>
      <c r="D87" s="267" t="s">
        <v>133</v>
      </c>
      <c r="E87" s="164">
        <v>1570</v>
      </c>
      <c r="F87" s="165">
        <v>2422.15</v>
      </c>
      <c r="G87" s="165">
        <v>1041.95</v>
      </c>
      <c r="H87" s="166"/>
      <c r="I87" s="165">
        <v>254.25</v>
      </c>
      <c r="J87" s="184" t="e">
        <v>#REF!</v>
      </c>
      <c r="K87" s="157">
        <v>226.98</v>
      </c>
      <c r="L87" s="184">
        <v>300</v>
      </c>
      <c r="M87" s="185">
        <v>1</v>
      </c>
      <c r="N87" s="184">
        <v>300</v>
      </c>
      <c r="O87" s="184">
        <v>39</v>
      </c>
      <c r="P87" s="184">
        <v>339</v>
      </c>
      <c r="Q87" s="288"/>
      <c r="R87" s="22"/>
      <c r="S87" s="22"/>
    </row>
    <row r="88" spans="1:111">
      <c r="A88" s="254">
        <v>81</v>
      </c>
      <c r="B88" s="265"/>
      <c r="C88" s="265"/>
      <c r="D88" s="267" t="s">
        <v>555</v>
      </c>
      <c r="E88" s="164"/>
      <c r="F88" s="165"/>
      <c r="G88" s="165"/>
      <c r="H88" s="166"/>
      <c r="I88" s="165">
        <v>55</v>
      </c>
      <c r="J88" s="184" t="e">
        <v>#REF!</v>
      </c>
      <c r="K88" s="156"/>
      <c r="L88" s="184"/>
      <c r="M88" s="288"/>
      <c r="N88" s="184"/>
      <c r="O88" s="184"/>
      <c r="P88" s="184"/>
      <c r="Q88" s="288"/>
      <c r="R88" s="22"/>
      <c r="S88" s="22"/>
    </row>
    <row r="89" spans="1:111">
      <c r="A89" s="255">
        <v>82</v>
      </c>
      <c r="B89" s="280"/>
      <c r="C89" s="281" t="s">
        <v>1283</v>
      </c>
      <c r="D89" s="280"/>
      <c r="E89" s="208"/>
      <c r="F89" s="209"/>
      <c r="G89" s="209">
        <v>1791.95</v>
      </c>
      <c r="H89" s="210"/>
      <c r="I89" s="209">
        <v>909.25</v>
      </c>
      <c r="J89" s="207"/>
      <c r="K89" s="209">
        <v>826.98</v>
      </c>
      <c r="L89" s="237"/>
      <c r="M89" s="238"/>
      <c r="N89" s="234">
        <f>SUM(N86:N87)</f>
        <v>925</v>
      </c>
      <c r="O89" s="234">
        <f t="shared" ref="O89:Q89" si="4">SUM(O86:O87)</f>
        <v>39</v>
      </c>
      <c r="P89" s="234">
        <f t="shared" si="4"/>
        <v>964</v>
      </c>
      <c r="Q89" s="234">
        <f t="shared" si="4"/>
        <v>0</v>
      </c>
      <c r="R89" s="198"/>
      <c r="S89" s="198"/>
    </row>
    <row r="90" spans="1:111">
      <c r="A90" s="156"/>
      <c r="B90" s="265"/>
      <c r="C90" s="265"/>
      <c r="D90" s="265"/>
      <c r="E90" s="156"/>
      <c r="F90" s="156"/>
      <c r="G90" s="165"/>
      <c r="H90" s="166"/>
      <c r="I90" s="156"/>
      <c r="J90" s="156"/>
      <c r="K90" s="156"/>
      <c r="L90" s="288"/>
      <c r="N90" s="288"/>
      <c r="O90" s="288"/>
      <c r="P90" s="288"/>
      <c r="Q90" s="288"/>
      <c r="R90" s="22"/>
      <c r="S90" s="22"/>
    </row>
    <row r="91" spans="1:111">
      <c r="A91" s="156"/>
      <c r="B91" s="265"/>
      <c r="C91" s="265"/>
      <c r="D91" s="265"/>
      <c r="E91" s="156"/>
      <c r="F91" s="156"/>
      <c r="G91" s="156"/>
      <c r="H91" s="156"/>
      <c r="I91" s="165"/>
      <c r="J91" s="184"/>
      <c r="K91" s="165"/>
      <c r="L91" s="184"/>
      <c r="M91" s="184"/>
      <c r="N91" s="184"/>
      <c r="O91" s="184"/>
      <c r="P91" s="184"/>
      <c r="Q91" s="184"/>
    </row>
    <row r="92" spans="1:111" s="136" customFormat="1">
      <c r="A92" s="254"/>
      <c r="B92" s="388" t="s">
        <v>1467</v>
      </c>
      <c r="C92" s="388"/>
      <c r="D92" s="277"/>
      <c r="E92" s="197"/>
      <c r="F92" s="195"/>
      <c r="G92" s="195"/>
      <c r="H92" s="200"/>
      <c r="I92" s="195"/>
      <c r="J92" s="196"/>
      <c r="K92" s="195"/>
      <c r="L92" s="235"/>
      <c r="M92" s="236"/>
      <c r="N92" s="235"/>
      <c r="O92" s="235"/>
      <c r="P92" s="235"/>
      <c r="Q92" s="235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98"/>
      <c r="AR92" s="198"/>
      <c r="AS92" s="198"/>
      <c r="AT92" s="198"/>
      <c r="AU92" s="198"/>
      <c r="AV92" s="198"/>
      <c r="AW92" s="198"/>
      <c r="AX92" s="198"/>
      <c r="AY92" s="198"/>
      <c r="AZ92" s="198"/>
      <c r="BA92" s="198"/>
      <c r="BB92" s="198"/>
      <c r="BC92" s="198"/>
      <c r="BD92" s="198"/>
      <c r="BE92" s="198"/>
      <c r="BF92" s="198"/>
      <c r="BG92" s="198"/>
      <c r="BH92" s="198"/>
      <c r="BI92" s="198"/>
      <c r="BJ92" s="198"/>
      <c r="BK92" s="198"/>
      <c r="BL92" s="198"/>
      <c r="BM92" s="198"/>
      <c r="BN92" s="198"/>
      <c r="BO92" s="198"/>
      <c r="BP92" s="198"/>
      <c r="BQ92" s="198"/>
      <c r="BR92" s="198"/>
      <c r="BS92" s="198"/>
      <c r="BT92" s="198"/>
      <c r="BU92" s="198"/>
      <c r="BV92" s="198"/>
      <c r="BW92" s="198"/>
      <c r="BX92" s="198"/>
      <c r="BY92" s="198"/>
      <c r="BZ92" s="198"/>
      <c r="CA92" s="198"/>
      <c r="CB92" s="198"/>
      <c r="CC92" s="198"/>
      <c r="CD92" s="198"/>
      <c r="CE92" s="198"/>
      <c r="CF92" s="198"/>
      <c r="CG92" s="198"/>
      <c r="CH92" s="198"/>
      <c r="CI92" s="198"/>
      <c r="CJ92" s="198"/>
      <c r="CK92" s="198"/>
      <c r="CL92" s="198"/>
      <c r="CM92" s="198"/>
      <c r="CN92" s="198"/>
      <c r="CO92" s="198"/>
      <c r="CP92" s="198"/>
      <c r="CQ92" s="198"/>
      <c r="CR92" s="198"/>
      <c r="CS92" s="198"/>
      <c r="CT92" s="198"/>
      <c r="CU92" s="198"/>
      <c r="CV92" s="198"/>
      <c r="CW92" s="198"/>
      <c r="CX92" s="198"/>
      <c r="CY92" s="198"/>
      <c r="CZ92" s="198"/>
      <c r="DA92" s="198"/>
      <c r="DB92" s="198"/>
      <c r="DC92" s="198"/>
      <c r="DD92" s="198"/>
      <c r="DE92" s="198"/>
      <c r="DF92" s="198"/>
      <c r="DG92" s="198"/>
    </row>
    <row r="93" spans="1:111" s="130" customFormat="1">
      <c r="A93" s="254">
        <v>99</v>
      </c>
      <c r="B93" s="265"/>
      <c r="C93" s="267"/>
      <c r="D93" s="265"/>
      <c r="E93" s="156"/>
      <c r="F93" s="156"/>
      <c r="G93" s="156"/>
      <c r="H93" s="156"/>
      <c r="I93" s="165">
        <v>451.94</v>
      </c>
      <c r="J93" s="184">
        <v>399.95</v>
      </c>
      <c r="K93" s="156"/>
      <c r="L93" s="184"/>
      <c r="M93" s="185"/>
      <c r="N93" s="184">
        <v>0</v>
      </c>
      <c r="O93" s="184">
        <v>0</v>
      </c>
      <c r="P93" s="184">
        <v>0</v>
      </c>
      <c r="Q93" s="288"/>
      <c r="R93" s="198"/>
      <c r="S93" s="198"/>
      <c r="T93" s="198"/>
      <c r="U93" s="198"/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  <c r="AO93" s="198"/>
      <c r="AP93" s="198"/>
      <c r="AQ93" s="198"/>
      <c r="AR93" s="198"/>
      <c r="AS93" s="198"/>
      <c r="AT93" s="198"/>
      <c r="AU93" s="198"/>
      <c r="AV93" s="198"/>
      <c r="AW93" s="198"/>
      <c r="AX93" s="198"/>
      <c r="AY93" s="198"/>
      <c r="AZ93" s="198"/>
      <c r="BA93" s="198"/>
      <c r="BB93" s="198"/>
      <c r="BC93" s="198"/>
      <c r="BD93" s="198"/>
      <c r="BE93" s="198"/>
      <c r="BF93" s="198"/>
      <c r="BG93" s="198"/>
      <c r="BH93" s="198"/>
      <c r="BI93" s="198"/>
      <c r="BJ93" s="198"/>
      <c r="BK93" s="198"/>
      <c r="BL93" s="198"/>
      <c r="BM93" s="198"/>
      <c r="BN93" s="198"/>
      <c r="BO93" s="198"/>
      <c r="BP93" s="198"/>
      <c r="BQ93" s="198"/>
      <c r="BR93" s="198"/>
      <c r="BS93" s="198"/>
      <c r="BT93" s="198"/>
      <c r="BU93" s="198"/>
      <c r="BV93" s="198"/>
      <c r="BW93" s="198"/>
      <c r="BX93" s="198"/>
      <c r="BY93" s="198"/>
      <c r="BZ93" s="198"/>
      <c r="CA93" s="198"/>
      <c r="CB93" s="198"/>
      <c r="CC93" s="198"/>
      <c r="CD93" s="198"/>
      <c r="CE93" s="198"/>
      <c r="CF93" s="198"/>
      <c r="CG93" s="198"/>
      <c r="CH93" s="198"/>
      <c r="CI93" s="198"/>
      <c r="CJ93" s="198"/>
      <c r="CK93" s="198"/>
      <c r="CL93" s="198"/>
      <c r="CM93" s="198"/>
      <c r="CN93" s="198"/>
      <c r="CO93" s="198"/>
      <c r="CP93" s="198"/>
      <c r="CQ93" s="198"/>
      <c r="CR93" s="198"/>
      <c r="CS93" s="198"/>
      <c r="CT93" s="198"/>
      <c r="CU93" s="198"/>
      <c r="CV93" s="198"/>
      <c r="CW93" s="198"/>
      <c r="CX93" s="198"/>
      <c r="CY93" s="198"/>
      <c r="CZ93" s="198"/>
      <c r="DA93" s="198"/>
      <c r="DB93" s="198"/>
      <c r="DC93" s="198"/>
      <c r="DD93" s="198"/>
      <c r="DE93" s="198"/>
      <c r="DF93" s="198"/>
      <c r="DG93" s="198"/>
    </row>
    <row r="94" spans="1:111" s="130" customFormat="1" ht="15" customHeight="1">
      <c r="A94" s="254">
        <v>100</v>
      </c>
      <c r="B94" s="265"/>
      <c r="C94" s="267" t="s">
        <v>1468</v>
      </c>
      <c r="D94" s="265"/>
      <c r="E94" s="156"/>
      <c r="F94" s="156"/>
      <c r="G94" s="156"/>
      <c r="H94" s="156"/>
      <c r="I94" s="165">
        <v>124.3</v>
      </c>
      <c r="J94" s="184" t="e">
        <v>#REF!</v>
      </c>
      <c r="K94" s="156"/>
      <c r="L94" s="184">
        <v>50</v>
      </c>
      <c r="M94" s="185">
        <v>2</v>
      </c>
      <c r="N94" s="184">
        <v>100</v>
      </c>
      <c r="O94" s="184">
        <v>13</v>
      </c>
      <c r="P94" s="184">
        <v>113</v>
      </c>
      <c r="Q94" s="288"/>
      <c r="R94" s="198"/>
      <c r="S94" s="198"/>
      <c r="T94" s="198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198"/>
      <c r="AU94" s="198"/>
      <c r="AV94" s="198"/>
      <c r="AW94" s="198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198"/>
      <c r="BO94" s="198"/>
      <c r="BP94" s="198"/>
      <c r="BQ94" s="198"/>
      <c r="BR94" s="198"/>
      <c r="BS94" s="198"/>
      <c r="BT94" s="198"/>
      <c r="BU94" s="198"/>
      <c r="BV94" s="198"/>
      <c r="BW94" s="198"/>
      <c r="BX94" s="198"/>
      <c r="BY94" s="198"/>
      <c r="BZ94" s="198"/>
      <c r="CA94" s="198"/>
      <c r="CB94" s="198"/>
      <c r="CC94" s="198"/>
      <c r="CD94" s="198"/>
      <c r="CE94" s="198"/>
      <c r="CF94" s="198"/>
      <c r="CG94" s="198"/>
      <c r="CH94" s="198"/>
      <c r="CI94" s="198"/>
      <c r="CJ94" s="198"/>
      <c r="CK94" s="198"/>
      <c r="CL94" s="198"/>
      <c r="CM94" s="198"/>
      <c r="CN94" s="198"/>
      <c r="CO94" s="198"/>
      <c r="CP94" s="198"/>
      <c r="CQ94" s="198"/>
      <c r="CR94" s="198"/>
      <c r="CS94" s="198"/>
      <c r="CT94" s="198"/>
      <c r="CU94" s="198"/>
      <c r="CV94" s="198"/>
      <c r="CW94" s="198"/>
      <c r="CX94" s="198"/>
      <c r="CY94" s="198"/>
      <c r="CZ94" s="198"/>
      <c r="DA94" s="198"/>
      <c r="DB94" s="198"/>
      <c r="DC94" s="198"/>
      <c r="DD94" s="198"/>
      <c r="DE94" s="198"/>
      <c r="DF94" s="198"/>
      <c r="DG94" s="198"/>
    </row>
    <row r="95" spans="1:111" s="130" customFormat="1">
      <c r="A95" s="254">
        <v>101</v>
      </c>
      <c r="B95" s="265"/>
      <c r="C95" s="267" t="s">
        <v>1469</v>
      </c>
      <c r="D95" s="265"/>
      <c r="E95" s="156"/>
      <c r="F95" s="156"/>
      <c r="G95" s="156"/>
      <c r="H95" s="156"/>
      <c r="I95" s="165">
        <v>158.19999999999999</v>
      </c>
      <c r="J95" s="184" t="e">
        <v>#REF!</v>
      </c>
      <c r="K95" s="156"/>
      <c r="L95" s="184">
        <v>1.1000000000000001</v>
      </c>
      <c r="M95" s="185">
        <v>1000</v>
      </c>
      <c r="N95" s="184">
        <v>1100</v>
      </c>
      <c r="O95" s="184">
        <v>143</v>
      </c>
      <c r="P95" s="184">
        <v>1243</v>
      </c>
      <c r="Q95" s="288"/>
      <c r="R95" s="198"/>
      <c r="S95" s="198"/>
      <c r="T95" s="198"/>
      <c r="U95" s="198"/>
      <c r="V95" s="198"/>
      <c r="W95" s="198"/>
      <c r="X95" s="198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  <c r="AO95" s="198"/>
      <c r="AP95" s="198"/>
      <c r="AQ95" s="198"/>
      <c r="AR95" s="198"/>
      <c r="AS95" s="198"/>
      <c r="AT95" s="198"/>
      <c r="AU95" s="198"/>
      <c r="AV95" s="198"/>
      <c r="AW95" s="198"/>
      <c r="AX95" s="198"/>
      <c r="AY95" s="198"/>
      <c r="AZ95" s="198"/>
      <c r="BA95" s="198"/>
      <c r="BB95" s="198"/>
      <c r="BC95" s="198"/>
      <c r="BD95" s="198"/>
      <c r="BE95" s="198"/>
      <c r="BF95" s="198"/>
      <c r="BG95" s="198"/>
      <c r="BH95" s="198"/>
      <c r="BI95" s="198"/>
      <c r="BJ95" s="198"/>
      <c r="BK95" s="198"/>
      <c r="BL95" s="198"/>
      <c r="BM95" s="198"/>
      <c r="BN95" s="198"/>
      <c r="BO95" s="198"/>
      <c r="BP95" s="198"/>
      <c r="BQ95" s="198"/>
      <c r="BR95" s="198"/>
      <c r="BS95" s="198"/>
      <c r="BT95" s="198"/>
      <c r="BU95" s="198"/>
      <c r="BV95" s="198"/>
      <c r="BW95" s="198"/>
      <c r="BX95" s="198"/>
      <c r="BY95" s="198"/>
      <c r="BZ95" s="198"/>
      <c r="CA95" s="198"/>
      <c r="CB95" s="198"/>
      <c r="CC95" s="198"/>
      <c r="CD95" s="198"/>
      <c r="CE95" s="198"/>
      <c r="CF95" s="198"/>
      <c r="CG95" s="198"/>
      <c r="CH95" s="198"/>
      <c r="CI95" s="198"/>
      <c r="CJ95" s="198"/>
      <c r="CK95" s="198"/>
      <c r="CL95" s="198"/>
      <c r="CM95" s="198"/>
      <c r="CN95" s="198"/>
      <c r="CO95" s="198"/>
      <c r="CP95" s="198"/>
      <c r="CQ95" s="198"/>
      <c r="CR95" s="198"/>
      <c r="CS95" s="198"/>
      <c r="CT95" s="198"/>
      <c r="CU95" s="198"/>
      <c r="CV95" s="198"/>
      <c r="CW95" s="198"/>
      <c r="CX95" s="198"/>
      <c r="CY95" s="198"/>
      <c r="CZ95" s="198"/>
      <c r="DA95" s="198"/>
      <c r="DB95" s="198"/>
      <c r="DC95" s="198"/>
      <c r="DD95" s="198"/>
      <c r="DE95" s="198"/>
      <c r="DF95" s="198"/>
      <c r="DG95" s="198"/>
    </row>
    <row r="96" spans="1:111" s="130" customFormat="1">
      <c r="A96" s="156"/>
      <c r="B96" s="265"/>
      <c r="C96" s="267" t="s">
        <v>1470</v>
      </c>
      <c r="D96" s="265"/>
      <c r="E96" s="156"/>
      <c r="F96" s="156"/>
      <c r="G96" s="156"/>
      <c r="H96" s="156"/>
      <c r="I96" s="165"/>
      <c r="J96" s="184"/>
      <c r="K96" s="156"/>
      <c r="L96" s="184">
        <v>0.11</v>
      </c>
      <c r="M96" s="185">
        <v>1000</v>
      </c>
      <c r="N96" s="184">
        <v>110</v>
      </c>
      <c r="O96" s="184">
        <v>14.3</v>
      </c>
      <c r="P96" s="184">
        <v>124.3</v>
      </c>
      <c r="Q96" s="28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  <c r="AO96" s="198"/>
      <c r="AP96" s="198"/>
      <c r="AQ96" s="198"/>
      <c r="AR96" s="198"/>
      <c r="AS96" s="198"/>
      <c r="AT96" s="198"/>
      <c r="AU96" s="198"/>
      <c r="AV96" s="198"/>
      <c r="AW96" s="198"/>
      <c r="AX96" s="198"/>
      <c r="AY96" s="198"/>
      <c r="AZ96" s="198"/>
      <c r="BA96" s="198"/>
      <c r="BB96" s="198"/>
      <c r="BC96" s="198"/>
      <c r="BD96" s="198"/>
      <c r="BE96" s="198"/>
      <c r="BF96" s="198"/>
      <c r="BG96" s="198"/>
      <c r="BH96" s="198"/>
      <c r="BI96" s="198"/>
      <c r="BJ96" s="198"/>
      <c r="BK96" s="198"/>
      <c r="BL96" s="198"/>
      <c r="BM96" s="198"/>
      <c r="BN96" s="198"/>
      <c r="BO96" s="198"/>
      <c r="BP96" s="198"/>
      <c r="BQ96" s="198"/>
      <c r="BR96" s="198"/>
      <c r="BS96" s="198"/>
      <c r="BT96" s="198"/>
      <c r="BU96" s="198"/>
      <c r="BV96" s="198"/>
      <c r="BW96" s="198"/>
      <c r="BX96" s="198"/>
      <c r="BY96" s="198"/>
      <c r="BZ96" s="198"/>
      <c r="CA96" s="198"/>
      <c r="CB96" s="198"/>
      <c r="CC96" s="198"/>
      <c r="CD96" s="198"/>
      <c r="CE96" s="198"/>
      <c r="CF96" s="198"/>
      <c r="CG96" s="198"/>
      <c r="CH96" s="198"/>
      <c r="CI96" s="198"/>
      <c r="CJ96" s="198"/>
      <c r="CK96" s="198"/>
      <c r="CL96" s="198"/>
      <c r="CM96" s="198"/>
      <c r="CN96" s="198"/>
      <c r="CO96" s="198"/>
      <c r="CP96" s="198"/>
      <c r="CQ96" s="198"/>
      <c r="CR96" s="198"/>
      <c r="CS96" s="198"/>
      <c r="CT96" s="198"/>
      <c r="CU96" s="198"/>
      <c r="CV96" s="198"/>
      <c r="CW96" s="198"/>
      <c r="CX96" s="198"/>
      <c r="CY96" s="198"/>
      <c r="CZ96" s="198"/>
      <c r="DA96" s="198"/>
      <c r="DB96" s="198"/>
      <c r="DC96" s="198"/>
      <c r="DD96" s="198"/>
      <c r="DE96" s="198"/>
      <c r="DF96" s="198"/>
      <c r="DG96" s="198"/>
    </row>
    <row r="97" spans="1:111" s="130" customFormat="1">
      <c r="A97" s="254">
        <v>102</v>
      </c>
      <c r="B97" s="265"/>
      <c r="C97" s="267" t="s">
        <v>1471</v>
      </c>
      <c r="D97" s="265"/>
      <c r="E97" s="156"/>
      <c r="F97" s="156"/>
      <c r="G97" s="156"/>
      <c r="H97" s="156"/>
      <c r="I97" s="165">
        <v>311.88</v>
      </c>
      <c r="J97" s="184" t="e">
        <v>#REF!</v>
      </c>
      <c r="K97" s="156"/>
      <c r="L97" s="184">
        <v>600</v>
      </c>
      <c r="M97" s="185">
        <v>1</v>
      </c>
      <c r="N97" s="184">
        <v>600</v>
      </c>
      <c r="O97" s="184">
        <v>78</v>
      </c>
      <c r="P97" s="184">
        <v>678</v>
      </c>
      <c r="Q97" s="28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  <c r="AO97" s="198"/>
      <c r="AP97" s="198"/>
      <c r="AQ97" s="198"/>
      <c r="AR97" s="198"/>
      <c r="AS97" s="198"/>
      <c r="AT97" s="198"/>
      <c r="AU97" s="198"/>
      <c r="AV97" s="198"/>
      <c r="AW97" s="198"/>
      <c r="AX97" s="198"/>
      <c r="AY97" s="198"/>
      <c r="AZ97" s="198"/>
      <c r="BA97" s="198"/>
      <c r="BB97" s="198"/>
      <c r="BC97" s="198"/>
      <c r="BD97" s="198"/>
      <c r="BE97" s="198"/>
      <c r="BF97" s="198"/>
      <c r="BG97" s="198"/>
      <c r="BH97" s="198"/>
      <c r="BI97" s="198"/>
      <c r="BJ97" s="198"/>
      <c r="BK97" s="198"/>
      <c r="BL97" s="198"/>
      <c r="BM97" s="198"/>
      <c r="BN97" s="198"/>
      <c r="BO97" s="198"/>
      <c r="BP97" s="198"/>
      <c r="BQ97" s="198"/>
      <c r="BR97" s="198"/>
      <c r="BS97" s="198"/>
      <c r="BT97" s="198"/>
      <c r="BU97" s="198"/>
      <c r="BV97" s="198"/>
      <c r="BW97" s="198"/>
      <c r="BX97" s="198"/>
      <c r="BY97" s="198"/>
      <c r="BZ97" s="198"/>
      <c r="CA97" s="198"/>
      <c r="CB97" s="198"/>
      <c r="CC97" s="198"/>
      <c r="CD97" s="198"/>
      <c r="CE97" s="198"/>
      <c r="CF97" s="198"/>
      <c r="CG97" s="198"/>
      <c r="CH97" s="198"/>
      <c r="CI97" s="198"/>
      <c r="CJ97" s="198"/>
      <c r="CK97" s="198"/>
      <c r="CL97" s="198"/>
      <c r="CM97" s="198"/>
      <c r="CN97" s="198"/>
      <c r="CO97" s="198"/>
      <c r="CP97" s="198"/>
      <c r="CQ97" s="198"/>
      <c r="CR97" s="198"/>
      <c r="CS97" s="198"/>
      <c r="CT97" s="198"/>
      <c r="CU97" s="198"/>
      <c r="CV97" s="198"/>
      <c r="CW97" s="198"/>
      <c r="CX97" s="198"/>
      <c r="CY97" s="198"/>
      <c r="CZ97" s="198"/>
      <c r="DA97" s="198"/>
      <c r="DB97" s="198"/>
      <c r="DC97" s="198"/>
      <c r="DD97" s="198"/>
      <c r="DE97" s="198"/>
      <c r="DF97" s="198"/>
      <c r="DG97" s="198"/>
    </row>
    <row r="98" spans="1:111" s="130" customFormat="1">
      <c r="A98" s="254">
        <v>103</v>
      </c>
      <c r="B98" s="283"/>
      <c r="C98" s="284" t="s">
        <v>1283</v>
      </c>
      <c r="D98" s="283"/>
      <c r="E98" s="208"/>
      <c r="F98" s="209"/>
      <c r="G98" s="209"/>
      <c r="H98" s="210"/>
      <c r="I98" s="209">
        <v>1046.3200000000002</v>
      </c>
      <c r="J98" s="211"/>
      <c r="K98" s="209"/>
      <c r="L98" s="234"/>
      <c r="M98" s="234"/>
      <c r="N98" s="234">
        <f>SUM(N93:N97)</f>
        <v>1910</v>
      </c>
      <c r="O98" s="234">
        <f t="shared" ref="O98:P98" si="5">SUM(O93:O97)</f>
        <v>248.3</v>
      </c>
      <c r="P98" s="234">
        <f t="shared" si="5"/>
        <v>2158.3000000000002</v>
      </c>
      <c r="Q98" s="234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  <c r="AO98" s="198"/>
      <c r="AP98" s="198"/>
      <c r="AQ98" s="198"/>
      <c r="AR98" s="198"/>
      <c r="AS98" s="198"/>
      <c r="AT98" s="198"/>
      <c r="AU98" s="198"/>
      <c r="AV98" s="198"/>
      <c r="AW98" s="198"/>
      <c r="AX98" s="198"/>
      <c r="AY98" s="198"/>
      <c r="AZ98" s="198"/>
      <c r="BA98" s="198"/>
      <c r="BB98" s="198"/>
      <c r="BC98" s="198"/>
      <c r="BD98" s="198"/>
      <c r="BE98" s="198"/>
      <c r="BF98" s="198"/>
      <c r="BG98" s="198"/>
      <c r="BH98" s="198"/>
      <c r="BI98" s="198"/>
      <c r="BJ98" s="198"/>
      <c r="BK98" s="198"/>
      <c r="BL98" s="198"/>
      <c r="BM98" s="198"/>
      <c r="BN98" s="198"/>
      <c r="BO98" s="198"/>
      <c r="BP98" s="198"/>
      <c r="BQ98" s="198"/>
      <c r="BR98" s="198"/>
      <c r="BS98" s="198"/>
      <c r="BT98" s="198"/>
      <c r="BU98" s="198"/>
      <c r="BV98" s="198"/>
      <c r="BW98" s="198"/>
      <c r="BX98" s="198"/>
      <c r="BY98" s="198"/>
      <c r="BZ98" s="198"/>
      <c r="CA98" s="198"/>
      <c r="CB98" s="198"/>
      <c r="CC98" s="198"/>
      <c r="CD98" s="198"/>
      <c r="CE98" s="198"/>
      <c r="CF98" s="198"/>
      <c r="CG98" s="198"/>
      <c r="CH98" s="198"/>
      <c r="CI98" s="198"/>
      <c r="CJ98" s="198"/>
      <c r="CK98" s="198"/>
      <c r="CL98" s="198"/>
      <c r="CM98" s="198"/>
      <c r="CN98" s="198"/>
      <c r="CO98" s="198"/>
      <c r="CP98" s="198"/>
      <c r="CQ98" s="198"/>
      <c r="CR98" s="198"/>
      <c r="CS98" s="198"/>
      <c r="CT98" s="198"/>
      <c r="CU98" s="198"/>
      <c r="CV98" s="198"/>
      <c r="CW98" s="198"/>
      <c r="CX98" s="198"/>
      <c r="CY98" s="198"/>
      <c r="CZ98" s="198"/>
      <c r="DA98" s="198"/>
      <c r="DB98" s="198"/>
      <c r="DC98" s="198"/>
      <c r="DD98" s="198"/>
      <c r="DE98" s="198"/>
      <c r="DF98" s="198"/>
      <c r="DG98" s="198"/>
    </row>
    <row r="99" spans="1:111" s="130" customFormat="1">
      <c r="A99" s="156"/>
      <c r="B99" s="267"/>
      <c r="C99" s="267"/>
      <c r="D99" s="265"/>
      <c r="E99" s="156"/>
      <c r="F99" s="156"/>
      <c r="G99" s="156"/>
      <c r="H99" s="156"/>
      <c r="I99" s="156"/>
      <c r="J99" s="156"/>
      <c r="K99" s="156"/>
      <c r="L99" s="288"/>
      <c r="M99" s="185"/>
      <c r="N99" s="288"/>
      <c r="O99" s="288"/>
      <c r="P99" s="288"/>
      <c r="Q99" s="288"/>
      <c r="R99" s="198"/>
      <c r="S99" s="198"/>
      <c r="T99" s="198"/>
      <c r="U99" s="198"/>
      <c r="V99" s="198"/>
      <c r="W99" s="198"/>
      <c r="X99" s="198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  <c r="AO99" s="198"/>
      <c r="AP99" s="198"/>
      <c r="AQ99" s="198"/>
      <c r="AR99" s="198"/>
      <c r="AS99" s="198"/>
      <c r="AT99" s="198"/>
      <c r="AU99" s="198"/>
      <c r="AV99" s="198"/>
      <c r="AW99" s="198"/>
      <c r="AX99" s="198"/>
      <c r="AY99" s="198"/>
      <c r="AZ99" s="198"/>
      <c r="BA99" s="198"/>
      <c r="BB99" s="198"/>
      <c r="BC99" s="198"/>
      <c r="BD99" s="198"/>
      <c r="BE99" s="198"/>
      <c r="BF99" s="198"/>
      <c r="BG99" s="198"/>
      <c r="BH99" s="198"/>
      <c r="BI99" s="198"/>
      <c r="BJ99" s="198"/>
      <c r="BK99" s="198"/>
      <c r="BL99" s="198"/>
      <c r="BM99" s="198"/>
      <c r="BN99" s="198"/>
      <c r="BO99" s="198"/>
      <c r="BP99" s="198"/>
      <c r="BQ99" s="198"/>
      <c r="BR99" s="198"/>
      <c r="BS99" s="198"/>
      <c r="BT99" s="198"/>
      <c r="BU99" s="198"/>
      <c r="BV99" s="198"/>
      <c r="BW99" s="198"/>
      <c r="BX99" s="198"/>
      <c r="BY99" s="198"/>
      <c r="BZ99" s="198"/>
      <c r="CA99" s="198"/>
      <c r="CB99" s="198"/>
      <c r="CC99" s="198"/>
      <c r="CD99" s="198"/>
      <c r="CE99" s="198"/>
      <c r="CF99" s="198"/>
      <c r="CG99" s="198"/>
      <c r="CH99" s="198"/>
      <c r="CI99" s="198"/>
      <c r="CJ99" s="198"/>
      <c r="CK99" s="198"/>
      <c r="CL99" s="198"/>
      <c r="CM99" s="198"/>
      <c r="CN99" s="198"/>
      <c r="CO99" s="198"/>
      <c r="CP99" s="198"/>
      <c r="CQ99" s="198"/>
      <c r="CR99" s="198"/>
      <c r="CS99" s="198"/>
      <c r="CT99" s="198"/>
      <c r="CU99" s="198"/>
      <c r="CV99" s="198"/>
      <c r="CW99" s="198"/>
      <c r="CX99" s="198"/>
      <c r="CY99" s="198"/>
      <c r="CZ99" s="198"/>
      <c r="DA99" s="198"/>
      <c r="DB99" s="198"/>
      <c r="DC99" s="198"/>
      <c r="DD99" s="198"/>
      <c r="DE99" s="198"/>
      <c r="DF99" s="198"/>
      <c r="DG99" s="198"/>
    </row>
    <row r="100" spans="1:111" s="130" customFormat="1">
      <c r="A100" s="254"/>
      <c r="B100" s="276" t="s">
        <v>1472</v>
      </c>
      <c r="C100" s="277"/>
      <c r="D100" s="277"/>
      <c r="E100" s="197"/>
      <c r="F100" s="195"/>
      <c r="G100" s="195"/>
      <c r="H100" s="200"/>
      <c r="I100" s="195"/>
      <c r="J100" s="196"/>
      <c r="K100" s="195"/>
      <c r="L100" s="235"/>
      <c r="M100" s="236"/>
      <c r="N100" s="235"/>
      <c r="O100" s="235"/>
      <c r="P100" s="235"/>
      <c r="Q100" s="235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  <c r="AO100" s="198"/>
      <c r="AP100" s="198"/>
      <c r="AQ100" s="198"/>
      <c r="AR100" s="198"/>
      <c r="AS100" s="198"/>
      <c r="AT100" s="198"/>
      <c r="AU100" s="198"/>
      <c r="AV100" s="198"/>
      <c r="AW100" s="198"/>
      <c r="AX100" s="198"/>
      <c r="AY100" s="198"/>
      <c r="AZ100" s="198"/>
      <c r="BA100" s="198"/>
      <c r="BB100" s="198"/>
      <c r="BC100" s="198"/>
      <c r="BD100" s="198"/>
      <c r="BE100" s="198"/>
      <c r="BF100" s="198"/>
      <c r="BG100" s="198"/>
      <c r="BH100" s="198"/>
      <c r="BI100" s="198"/>
      <c r="BJ100" s="198"/>
      <c r="BK100" s="198"/>
      <c r="BL100" s="198"/>
      <c r="BM100" s="198"/>
      <c r="BN100" s="198"/>
      <c r="BO100" s="198"/>
      <c r="BP100" s="198"/>
      <c r="BQ100" s="198"/>
      <c r="BR100" s="198"/>
      <c r="BS100" s="198"/>
      <c r="BT100" s="198"/>
      <c r="BU100" s="198"/>
      <c r="BV100" s="198"/>
      <c r="BW100" s="198"/>
      <c r="BX100" s="198"/>
      <c r="BY100" s="198"/>
      <c r="BZ100" s="198"/>
      <c r="CA100" s="198"/>
      <c r="CB100" s="198"/>
      <c r="CC100" s="198"/>
      <c r="CD100" s="198"/>
      <c r="CE100" s="198"/>
      <c r="CF100" s="198"/>
      <c r="CG100" s="198"/>
      <c r="CH100" s="198"/>
      <c r="CI100" s="198"/>
      <c r="CJ100" s="198"/>
      <c r="CK100" s="198"/>
      <c r="CL100" s="198"/>
      <c r="CM100" s="198"/>
      <c r="CN100" s="198"/>
      <c r="CO100" s="198"/>
      <c r="CP100" s="198"/>
      <c r="CQ100" s="198"/>
      <c r="CR100" s="198"/>
      <c r="CS100" s="198"/>
      <c r="CT100" s="198"/>
      <c r="CU100" s="198"/>
      <c r="CV100" s="198"/>
      <c r="CW100" s="198"/>
      <c r="CX100" s="198"/>
      <c r="CY100" s="198"/>
      <c r="CZ100" s="198"/>
      <c r="DA100" s="198"/>
      <c r="DB100" s="198"/>
      <c r="DC100" s="198"/>
      <c r="DD100" s="198"/>
      <c r="DE100" s="198"/>
      <c r="DF100" s="198"/>
      <c r="DG100" s="198"/>
    </row>
    <row r="101" spans="1:111" s="130" customFormat="1">
      <c r="A101" s="254">
        <v>104</v>
      </c>
      <c r="B101" s="279"/>
      <c r="C101" s="267" t="s">
        <v>1473</v>
      </c>
      <c r="D101" s="265"/>
      <c r="E101" s="156"/>
      <c r="F101" s="156"/>
      <c r="G101" s="156"/>
      <c r="H101" s="156"/>
      <c r="I101" s="165">
        <v>244.08</v>
      </c>
      <c r="J101" s="184" t="e">
        <v>#REF!</v>
      </c>
      <c r="K101" s="156"/>
      <c r="L101" s="184"/>
      <c r="M101" s="185"/>
      <c r="N101" s="184"/>
      <c r="O101" s="184"/>
      <c r="P101" s="184"/>
      <c r="Q101" s="28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  <c r="AO101" s="198"/>
      <c r="AP101" s="198"/>
      <c r="AQ101" s="198"/>
      <c r="AR101" s="198"/>
      <c r="AS101" s="198"/>
      <c r="AT101" s="198"/>
      <c r="AU101" s="198"/>
      <c r="AV101" s="198"/>
      <c r="AW101" s="198"/>
      <c r="AX101" s="198"/>
      <c r="AY101" s="198"/>
      <c r="AZ101" s="198"/>
      <c r="BA101" s="198"/>
      <c r="BB101" s="198"/>
      <c r="BC101" s="198"/>
      <c r="BD101" s="198"/>
      <c r="BE101" s="198"/>
      <c r="BF101" s="198"/>
      <c r="BG101" s="198"/>
      <c r="BH101" s="198"/>
      <c r="BI101" s="198"/>
      <c r="BJ101" s="198"/>
      <c r="BK101" s="198"/>
      <c r="BL101" s="198"/>
      <c r="BM101" s="198"/>
      <c r="BN101" s="198"/>
      <c r="BO101" s="198"/>
      <c r="BP101" s="198"/>
      <c r="BQ101" s="198"/>
      <c r="BR101" s="198"/>
      <c r="BS101" s="198"/>
      <c r="BT101" s="198"/>
      <c r="BU101" s="198"/>
      <c r="BV101" s="198"/>
      <c r="BW101" s="198"/>
      <c r="BX101" s="198"/>
      <c r="BY101" s="198"/>
      <c r="BZ101" s="198"/>
      <c r="CA101" s="198"/>
      <c r="CB101" s="198"/>
      <c r="CC101" s="198"/>
      <c r="CD101" s="198"/>
      <c r="CE101" s="198"/>
      <c r="CF101" s="198"/>
      <c r="CG101" s="198"/>
      <c r="CH101" s="198"/>
      <c r="CI101" s="198"/>
      <c r="CJ101" s="198"/>
      <c r="CK101" s="198"/>
      <c r="CL101" s="198"/>
      <c r="CM101" s="198"/>
      <c r="CN101" s="198"/>
      <c r="CO101" s="198"/>
      <c r="CP101" s="198"/>
      <c r="CQ101" s="198"/>
      <c r="CR101" s="198"/>
      <c r="CS101" s="198"/>
      <c r="CT101" s="198"/>
      <c r="CU101" s="198"/>
      <c r="CV101" s="198"/>
      <c r="CW101" s="198"/>
      <c r="CX101" s="198"/>
      <c r="CY101" s="198"/>
      <c r="CZ101" s="198"/>
      <c r="DA101" s="198"/>
      <c r="DB101" s="198"/>
      <c r="DC101" s="198"/>
      <c r="DD101" s="198"/>
      <c r="DE101" s="198"/>
      <c r="DF101" s="198"/>
      <c r="DG101" s="198"/>
    </row>
    <row r="102" spans="1:111" s="130" customFormat="1">
      <c r="A102" s="254">
        <v>105</v>
      </c>
      <c r="B102" s="265"/>
      <c r="C102" s="267" t="s">
        <v>760</v>
      </c>
      <c r="D102" s="265"/>
      <c r="E102" s="156"/>
      <c r="F102" s="156"/>
      <c r="G102" s="156"/>
      <c r="H102" s="156"/>
      <c r="I102" s="165">
        <v>676.31</v>
      </c>
      <c r="J102" s="184" t="e">
        <v>#REF!</v>
      </c>
      <c r="K102" s="156"/>
      <c r="L102" s="184">
        <v>20</v>
      </c>
      <c r="M102" s="185">
        <v>16</v>
      </c>
      <c r="N102" s="184">
        <v>320</v>
      </c>
      <c r="O102" s="184">
        <v>41.6</v>
      </c>
      <c r="P102" s="184">
        <v>361.6</v>
      </c>
      <c r="Q102" s="28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  <c r="AO102" s="198"/>
      <c r="AP102" s="198"/>
      <c r="AQ102" s="198"/>
      <c r="AR102" s="198"/>
      <c r="AS102" s="198"/>
      <c r="AT102" s="198"/>
      <c r="AU102" s="198"/>
      <c r="AV102" s="198"/>
      <c r="AW102" s="198"/>
      <c r="AX102" s="198"/>
      <c r="AY102" s="198"/>
      <c r="AZ102" s="198"/>
      <c r="BA102" s="198"/>
      <c r="BB102" s="198"/>
      <c r="BC102" s="198"/>
      <c r="BD102" s="198"/>
      <c r="BE102" s="198"/>
      <c r="BF102" s="198"/>
      <c r="BG102" s="198"/>
      <c r="BH102" s="198"/>
      <c r="BI102" s="198"/>
      <c r="BJ102" s="198"/>
      <c r="BK102" s="198"/>
      <c r="BL102" s="198"/>
      <c r="BM102" s="198"/>
      <c r="BN102" s="198"/>
      <c r="BO102" s="198"/>
      <c r="BP102" s="198"/>
      <c r="BQ102" s="198"/>
      <c r="BR102" s="198"/>
      <c r="BS102" s="198"/>
      <c r="BT102" s="198"/>
      <c r="BU102" s="198"/>
      <c r="BV102" s="198"/>
      <c r="BW102" s="198"/>
      <c r="BX102" s="198"/>
      <c r="BY102" s="198"/>
      <c r="BZ102" s="198"/>
      <c r="CA102" s="198"/>
      <c r="CB102" s="198"/>
      <c r="CC102" s="198"/>
      <c r="CD102" s="198"/>
      <c r="CE102" s="198"/>
      <c r="CF102" s="198"/>
      <c r="CG102" s="198"/>
      <c r="CH102" s="198"/>
      <c r="CI102" s="198"/>
      <c r="CJ102" s="198"/>
      <c r="CK102" s="198"/>
      <c r="CL102" s="198"/>
      <c r="CM102" s="198"/>
      <c r="CN102" s="198"/>
      <c r="CO102" s="198"/>
      <c r="CP102" s="198"/>
      <c r="CQ102" s="198"/>
      <c r="CR102" s="198"/>
      <c r="CS102" s="198"/>
      <c r="CT102" s="198"/>
      <c r="CU102" s="198"/>
      <c r="CV102" s="198"/>
      <c r="CW102" s="198"/>
      <c r="CX102" s="198"/>
      <c r="CY102" s="198"/>
      <c r="CZ102" s="198"/>
      <c r="DA102" s="198"/>
      <c r="DB102" s="198"/>
      <c r="DC102" s="198"/>
      <c r="DD102" s="198"/>
      <c r="DE102" s="198"/>
      <c r="DF102" s="198"/>
      <c r="DG102" s="198"/>
    </row>
    <row r="103" spans="1:111" s="130" customFormat="1" ht="15.75" thickBot="1">
      <c r="A103" s="255">
        <v>106</v>
      </c>
      <c r="B103" s="280"/>
      <c r="C103" s="280" t="s">
        <v>1283</v>
      </c>
      <c r="D103" s="280"/>
      <c r="E103" s="205"/>
      <c r="F103" s="199"/>
      <c r="G103" s="199"/>
      <c r="H103" s="206"/>
      <c r="I103" s="209">
        <v>920.39</v>
      </c>
      <c r="J103" s="207"/>
      <c r="K103" s="199"/>
      <c r="L103" s="237"/>
      <c r="M103" s="238"/>
      <c r="N103" s="234">
        <f>SUM(N102)</f>
        <v>320</v>
      </c>
      <c r="O103" s="234">
        <f t="shared" ref="O103:P103" si="6">SUM(O102)</f>
        <v>41.6</v>
      </c>
      <c r="P103" s="234">
        <f t="shared" si="6"/>
        <v>361.6</v>
      </c>
      <c r="Q103" s="237"/>
      <c r="R103" s="198"/>
      <c r="S103" s="198"/>
      <c r="T103" s="198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  <c r="AO103" s="198"/>
      <c r="AP103" s="198"/>
      <c r="AQ103" s="198"/>
      <c r="AR103" s="198"/>
      <c r="AS103" s="198"/>
      <c r="AT103" s="198"/>
      <c r="AU103" s="198"/>
      <c r="AV103" s="198"/>
      <c r="AW103" s="198"/>
      <c r="AX103" s="198"/>
      <c r="AY103" s="198"/>
      <c r="AZ103" s="198"/>
      <c r="BA103" s="198"/>
      <c r="BB103" s="198"/>
      <c r="BC103" s="198"/>
      <c r="BD103" s="198"/>
      <c r="BE103" s="198"/>
      <c r="BF103" s="198"/>
      <c r="BG103" s="198"/>
      <c r="BH103" s="198"/>
      <c r="BI103" s="198"/>
      <c r="BJ103" s="198"/>
      <c r="BK103" s="198"/>
      <c r="BL103" s="198"/>
      <c r="BM103" s="198"/>
      <c r="BN103" s="198"/>
      <c r="BO103" s="198"/>
      <c r="BP103" s="198"/>
      <c r="BQ103" s="198"/>
      <c r="BR103" s="198"/>
      <c r="BS103" s="198"/>
      <c r="BT103" s="198"/>
      <c r="BU103" s="198"/>
      <c r="BV103" s="198"/>
      <c r="BW103" s="198"/>
      <c r="BX103" s="198"/>
      <c r="BY103" s="198"/>
      <c r="BZ103" s="198"/>
      <c r="CA103" s="198"/>
      <c r="CB103" s="198"/>
      <c r="CC103" s="198"/>
      <c r="CD103" s="198"/>
      <c r="CE103" s="198"/>
      <c r="CF103" s="198"/>
      <c r="CG103" s="198"/>
      <c r="CH103" s="198"/>
      <c r="CI103" s="198"/>
      <c r="CJ103" s="198"/>
      <c r="CK103" s="198"/>
      <c r="CL103" s="198"/>
      <c r="CM103" s="198"/>
      <c r="CN103" s="198"/>
      <c r="CO103" s="198"/>
      <c r="CP103" s="198"/>
      <c r="CQ103" s="198"/>
      <c r="CR103" s="198"/>
      <c r="CS103" s="198"/>
      <c r="CT103" s="198"/>
      <c r="CU103" s="198"/>
      <c r="CV103" s="198"/>
      <c r="CW103" s="198"/>
      <c r="CX103" s="198"/>
      <c r="CY103" s="198"/>
      <c r="CZ103" s="198"/>
      <c r="DA103" s="198"/>
      <c r="DB103" s="198"/>
      <c r="DC103" s="198"/>
      <c r="DD103" s="198"/>
      <c r="DE103" s="198"/>
      <c r="DF103" s="198"/>
      <c r="DG103" s="198"/>
    </row>
    <row r="104" spans="1:111" s="130" customFormat="1" ht="15.75" hidden="1" thickBot="1">
      <c r="A104" s="255"/>
      <c r="B104" s="279"/>
      <c r="C104" s="279"/>
      <c r="D104" s="279"/>
      <c r="E104" s="219"/>
      <c r="F104" s="198"/>
      <c r="G104" s="198"/>
      <c r="H104" s="220"/>
      <c r="I104" s="221"/>
      <c r="J104" s="222"/>
      <c r="K104" s="198"/>
      <c r="L104" s="239"/>
      <c r="M104" s="240"/>
      <c r="N104" s="239"/>
      <c r="O104" s="239"/>
      <c r="P104" s="241"/>
      <c r="Q104" s="239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  <c r="AO104" s="198"/>
      <c r="AP104" s="198"/>
      <c r="AQ104" s="198"/>
      <c r="AR104" s="198"/>
      <c r="AS104" s="198"/>
      <c r="AT104" s="198"/>
      <c r="AU104" s="198"/>
      <c r="AV104" s="198"/>
      <c r="AW104" s="198"/>
      <c r="AX104" s="198"/>
      <c r="AY104" s="198"/>
      <c r="AZ104" s="198"/>
      <c r="BA104" s="198"/>
      <c r="BB104" s="198"/>
      <c r="BC104" s="198"/>
      <c r="BD104" s="198"/>
      <c r="BE104" s="198"/>
      <c r="BF104" s="198"/>
      <c r="BG104" s="198"/>
      <c r="BH104" s="198"/>
      <c r="BI104" s="198"/>
      <c r="BJ104" s="198"/>
      <c r="BK104" s="198"/>
      <c r="BL104" s="198"/>
      <c r="BM104" s="198"/>
      <c r="BN104" s="198"/>
      <c r="BO104" s="198"/>
      <c r="BP104" s="198"/>
      <c r="BQ104" s="198"/>
      <c r="BR104" s="198"/>
      <c r="BS104" s="198"/>
      <c r="BT104" s="198"/>
      <c r="BU104" s="198"/>
      <c r="BV104" s="198"/>
      <c r="BW104" s="198"/>
      <c r="BX104" s="198"/>
      <c r="BY104" s="198"/>
      <c r="BZ104" s="198"/>
      <c r="CA104" s="198"/>
      <c r="CB104" s="198"/>
      <c r="CC104" s="198"/>
      <c r="CD104" s="198"/>
      <c r="CE104" s="198"/>
      <c r="CF104" s="198"/>
      <c r="CG104" s="198"/>
      <c r="CH104" s="198"/>
      <c r="CI104" s="198"/>
      <c r="CJ104" s="198"/>
      <c r="CK104" s="198"/>
      <c r="CL104" s="198"/>
      <c r="CM104" s="198"/>
      <c r="CN104" s="198"/>
      <c r="CO104" s="198"/>
      <c r="CP104" s="198"/>
      <c r="CQ104" s="198"/>
      <c r="CR104" s="198"/>
      <c r="CS104" s="198"/>
      <c r="CT104" s="198"/>
      <c r="CU104" s="198"/>
      <c r="CV104" s="198"/>
      <c r="CW104" s="198"/>
      <c r="CX104" s="198"/>
      <c r="CY104" s="198"/>
      <c r="CZ104" s="198"/>
      <c r="DA104" s="198"/>
      <c r="DB104" s="198"/>
      <c r="DC104" s="198"/>
      <c r="DD104" s="198"/>
      <c r="DE104" s="198"/>
      <c r="DF104" s="198"/>
      <c r="DG104" s="198"/>
    </row>
    <row r="105" spans="1:111" ht="15.75" hidden="1" customHeight="1">
      <c r="A105" s="254"/>
      <c r="B105" s="387" t="s">
        <v>1331</v>
      </c>
      <c r="C105" s="387"/>
      <c r="D105" s="277"/>
      <c r="E105" s="197"/>
      <c r="F105" s="195"/>
      <c r="G105" s="195"/>
      <c r="H105" s="200"/>
      <c r="I105" s="195"/>
      <c r="J105" s="196"/>
      <c r="K105" s="195"/>
      <c r="L105" s="235"/>
      <c r="M105" s="236"/>
      <c r="N105" s="235"/>
      <c r="O105" s="235"/>
      <c r="P105" s="235"/>
      <c r="Q105" s="235"/>
    </row>
    <row r="106" spans="1:111" s="131" customFormat="1" ht="16.5" hidden="1" customHeight="1" thickTop="1" thickBot="1">
      <c r="A106" s="254">
        <v>107</v>
      </c>
      <c r="B106" s="282"/>
      <c r="C106" s="285" t="s">
        <v>1332</v>
      </c>
      <c r="D106" s="232"/>
      <c r="E106" s="177"/>
      <c r="F106" s="157"/>
      <c r="G106" s="157"/>
      <c r="H106" s="170"/>
      <c r="I106" s="165">
        <v>1524.37</v>
      </c>
      <c r="J106" s="223"/>
      <c r="K106" s="157"/>
      <c r="L106" s="242"/>
      <c r="M106" s="243"/>
      <c r="N106" s="244">
        <v>0</v>
      </c>
      <c r="O106" s="244">
        <v>0</v>
      </c>
      <c r="P106" s="244">
        <v>0</v>
      </c>
      <c r="Q106" s="187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2"/>
      <c r="AZ106" s="212"/>
      <c r="BA106" s="212"/>
      <c r="BB106" s="212"/>
      <c r="BC106" s="212"/>
      <c r="BD106" s="212"/>
      <c r="BE106" s="212"/>
      <c r="BF106" s="212"/>
      <c r="BG106" s="212"/>
      <c r="BH106" s="212"/>
      <c r="BI106" s="212"/>
      <c r="BJ106" s="212"/>
      <c r="BK106" s="212"/>
      <c r="BL106" s="212"/>
      <c r="BM106" s="212"/>
      <c r="BN106" s="212"/>
      <c r="BO106" s="212"/>
      <c r="BP106" s="212"/>
      <c r="BQ106" s="212"/>
      <c r="BR106" s="212"/>
      <c r="BS106" s="212"/>
      <c r="BT106" s="212"/>
      <c r="BU106" s="212"/>
      <c r="BV106" s="212"/>
      <c r="BW106" s="212"/>
      <c r="BX106" s="212"/>
      <c r="BY106" s="212"/>
      <c r="BZ106" s="212"/>
      <c r="CA106" s="212"/>
      <c r="CB106" s="212"/>
      <c r="CC106" s="212"/>
      <c r="CD106" s="212"/>
      <c r="CE106" s="212"/>
      <c r="CF106" s="212"/>
      <c r="CG106" s="212"/>
      <c r="CH106" s="212"/>
      <c r="CI106" s="212"/>
      <c r="CJ106" s="212"/>
      <c r="CK106" s="212"/>
      <c r="CL106" s="212"/>
      <c r="CM106" s="212"/>
      <c r="CN106" s="212"/>
      <c r="CO106" s="212"/>
      <c r="CP106" s="212"/>
      <c r="CQ106" s="212"/>
      <c r="CR106" s="212"/>
      <c r="CS106" s="212"/>
      <c r="CT106" s="212"/>
      <c r="CU106" s="212"/>
      <c r="CV106" s="212"/>
      <c r="CW106" s="212"/>
      <c r="CX106" s="212"/>
      <c r="CY106" s="212"/>
      <c r="CZ106" s="212"/>
      <c r="DA106" s="212"/>
      <c r="DB106" s="212"/>
      <c r="DC106" s="212"/>
      <c r="DD106" s="212"/>
      <c r="DE106" s="212"/>
      <c r="DF106" s="212"/>
      <c r="DG106" s="212"/>
    </row>
    <row r="107" spans="1:111" s="137" customFormat="1" ht="33" hidden="1" customHeight="1" thickTop="1" thickBot="1">
      <c r="A107" s="254">
        <v>108</v>
      </c>
      <c r="B107" s="282"/>
      <c r="C107" s="285" t="s">
        <v>1333</v>
      </c>
      <c r="D107" s="232"/>
      <c r="E107" s="177"/>
      <c r="F107" s="157"/>
      <c r="G107" s="157"/>
      <c r="H107" s="170"/>
      <c r="I107" s="165">
        <v>158.19999999999999</v>
      </c>
      <c r="J107" s="223"/>
      <c r="K107" s="157"/>
      <c r="L107" s="242"/>
      <c r="M107" s="243"/>
      <c r="N107" s="244">
        <v>0</v>
      </c>
      <c r="O107" s="244">
        <v>0</v>
      </c>
      <c r="P107" s="244">
        <v>0</v>
      </c>
      <c r="Q107" s="187"/>
      <c r="R107" s="212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2"/>
      <c r="AZ107" s="212"/>
      <c r="BA107" s="212"/>
      <c r="BB107" s="212"/>
      <c r="BC107" s="212"/>
      <c r="BD107" s="212"/>
      <c r="BE107" s="212"/>
      <c r="BF107" s="212"/>
      <c r="BG107" s="212"/>
      <c r="BH107" s="212"/>
      <c r="BI107" s="212"/>
      <c r="BJ107" s="212"/>
      <c r="BK107" s="212"/>
      <c r="BL107" s="212"/>
      <c r="BM107" s="212"/>
      <c r="BN107" s="212"/>
      <c r="BO107" s="212"/>
      <c r="BP107" s="212"/>
      <c r="BQ107" s="212"/>
      <c r="BR107" s="212"/>
      <c r="BS107" s="212"/>
      <c r="BT107" s="212"/>
      <c r="BU107" s="212"/>
      <c r="BV107" s="212"/>
      <c r="BW107" s="212"/>
      <c r="BX107" s="212"/>
      <c r="BY107" s="212"/>
      <c r="BZ107" s="212"/>
      <c r="CA107" s="212"/>
      <c r="CB107" s="212"/>
      <c r="CC107" s="212"/>
      <c r="CD107" s="212"/>
      <c r="CE107" s="212"/>
      <c r="CF107" s="212"/>
      <c r="CG107" s="212"/>
      <c r="CH107" s="212"/>
      <c r="CI107" s="212"/>
      <c r="CJ107" s="212"/>
      <c r="CK107" s="212"/>
      <c r="CL107" s="212"/>
      <c r="CM107" s="212"/>
      <c r="CN107" s="212"/>
      <c r="CO107" s="212"/>
      <c r="CP107" s="212"/>
      <c r="CQ107" s="212"/>
      <c r="CR107" s="212"/>
      <c r="CS107" s="212"/>
      <c r="CT107" s="212"/>
      <c r="CU107" s="212"/>
      <c r="CV107" s="212"/>
      <c r="CW107" s="212"/>
      <c r="CX107" s="212"/>
      <c r="CY107" s="212"/>
      <c r="CZ107" s="212"/>
      <c r="DA107" s="212"/>
      <c r="DB107" s="212"/>
      <c r="DC107" s="212"/>
      <c r="DD107" s="212"/>
      <c r="DE107" s="212"/>
      <c r="DF107" s="212"/>
      <c r="DG107" s="212"/>
    </row>
    <row r="108" spans="1:111" s="131" customFormat="1" ht="16.5" hidden="1" thickTop="1" thickBot="1">
      <c r="A108" s="254">
        <v>109</v>
      </c>
      <c r="B108" s="282"/>
      <c r="C108" s="285" t="s">
        <v>1334</v>
      </c>
      <c r="D108" s="232"/>
      <c r="E108" s="177"/>
      <c r="F108" s="157"/>
      <c r="G108" s="157"/>
      <c r="H108" s="170"/>
      <c r="I108" s="165">
        <v>90.4</v>
      </c>
      <c r="J108" s="223"/>
      <c r="K108" s="157"/>
      <c r="L108" s="242"/>
      <c r="M108" s="243"/>
      <c r="N108" s="244">
        <v>0</v>
      </c>
      <c r="O108" s="244">
        <v>0</v>
      </c>
      <c r="P108" s="244">
        <v>0</v>
      </c>
      <c r="Q108" s="187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212"/>
      <c r="AX108" s="212"/>
      <c r="AY108" s="212"/>
      <c r="AZ108" s="212"/>
      <c r="BA108" s="212"/>
      <c r="BB108" s="212"/>
      <c r="BC108" s="212"/>
      <c r="BD108" s="212"/>
      <c r="BE108" s="212"/>
      <c r="BF108" s="212"/>
      <c r="BG108" s="212"/>
      <c r="BH108" s="212"/>
      <c r="BI108" s="212"/>
      <c r="BJ108" s="212"/>
      <c r="BK108" s="212"/>
      <c r="BL108" s="212"/>
      <c r="BM108" s="212"/>
      <c r="BN108" s="212"/>
      <c r="BO108" s="212"/>
      <c r="BP108" s="212"/>
      <c r="BQ108" s="212"/>
      <c r="BR108" s="212"/>
      <c r="BS108" s="212"/>
      <c r="BT108" s="212"/>
      <c r="BU108" s="212"/>
      <c r="BV108" s="212"/>
      <c r="BW108" s="212"/>
      <c r="BX108" s="212"/>
      <c r="BY108" s="212"/>
      <c r="BZ108" s="212"/>
      <c r="CA108" s="212"/>
      <c r="CB108" s="212"/>
      <c r="CC108" s="212"/>
      <c r="CD108" s="212"/>
      <c r="CE108" s="212"/>
      <c r="CF108" s="212"/>
      <c r="CG108" s="212"/>
      <c r="CH108" s="212"/>
      <c r="CI108" s="212"/>
      <c r="CJ108" s="212"/>
      <c r="CK108" s="212"/>
      <c r="CL108" s="212"/>
      <c r="CM108" s="212"/>
      <c r="CN108" s="212"/>
      <c r="CO108" s="212"/>
      <c r="CP108" s="212"/>
      <c r="CQ108" s="212"/>
      <c r="CR108" s="212"/>
      <c r="CS108" s="212"/>
      <c r="CT108" s="212"/>
      <c r="CU108" s="212"/>
      <c r="CV108" s="212"/>
      <c r="CW108" s="212"/>
      <c r="CX108" s="212"/>
      <c r="CY108" s="212"/>
      <c r="CZ108" s="212"/>
      <c r="DA108" s="212"/>
      <c r="DB108" s="212"/>
      <c r="DC108" s="212"/>
      <c r="DD108" s="212"/>
      <c r="DE108" s="212"/>
      <c r="DF108" s="212"/>
      <c r="DG108" s="212"/>
    </row>
    <row r="109" spans="1:111" ht="15.75" hidden="1" thickBot="1">
      <c r="A109" s="254">
        <v>110</v>
      </c>
      <c r="B109" s="282"/>
      <c r="C109" s="285" t="s">
        <v>1335</v>
      </c>
      <c r="E109" s="177"/>
      <c r="F109" s="157"/>
      <c r="G109" s="157"/>
      <c r="H109" s="170"/>
      <c r="I109" s="165">
        <v>65.540000000000006</v>
      </c>
      <c r="J109" s="223"/>
      <c r="K109" s="157"/>
      <c r="L109" s="242"/>
      <c r="M109" s="243"/>
      <c r="N109" s="244">
        <v>0</v>
      </c>
      <c r="O109" s="244">
        <v>0</v>
      </c>
      <c r="P109" s="244">
        <v>0</v>
      </c>
    </row>
    <row r="110" spans="1:111" ht="15.75" hidden="1" thickBot="1">
      <c r="A110" s="254">
        <v>111</v>
      </c>
      <c r="B110" s="282"/>
      <c r="C110" s="285" t="s">
        <v>1336</v>
      </c>
      <c r="E110" s="177"/>
      <c r="F110" s="157"/>
      <c r="G110" s="157"/>
      <c r="H110" s="170"/>
      <c r="I110" s="165">
        <v>247.47</v>
      </c>
      <c r="J110" s="223"/>
      <c r="K110" s="157"/>
      <c r="L110" s="242"/>
      <c r="M110" s="243"/>
      <c r="N110" s="244">
        <v>0</v>
      </c>
      <c r="O110" s="244">
        <v>0</v>
      </c>
      <c r="P110" s="244">
        <v>0</v>
      </c>
    </row>
    <row r="111" spans="1:111" ht="15.75" hidden="1" thickBot="1">
      <c r="A111" s="254">
        <v>112</v>
      </c>
      <c r="B111" s="282"/>
      <c r="C111" s="285" t="s">
        <v>1337</v>
      </c>
      <c r="E111" s="177"/>
      <c r="F111" s="157"/>
      <c r="G111" s="157"/>
      <c r="H111" s="170"/>
      <c r="I111" s="165">
        <v>9.0399999999999991</v>
      </c>
      <c r="J111" s="223"/>
      <c r="K111" s="157"/>
      <c r="L111" s="242"/>
      <c r="M111" s="243"/>
      <c r="N111" s="244">
        <v>0</v>
      </c>
      <c r="O111" s="244">
        <v>0</v>
      </c>
      <c r="P111" s="244">
        <v>0</v>
      </c>
    </row>
    <row r="112" spans="1:111" ht="15.75" hidden="1" thickBot="1">
      <c r="A112" s="254">
        <v>113</v>
      </c>
      <c r="B112" s="282"/>
      <c r="C112" s="285" t="s">
        <v>1338</v>
      </c>
      <c r="E112" s="177"/>
      <c r="F112" s="157"/>
      <c r="G112" s="157"/>
      <c r="H112" s="170"/>
      <c r="I112" s="165">
        <v>55.37</v>
      </c>
      <c r="J112" s="223"/>
      <c r="K112" s="157"/>
      <c r="L112" s="242"/>
      <c r="M112" s="243"/>
      <c r="N112" s="244">
        <v>0</v>
      </c>
      <c r="O112" s="244">
        <v>0</v>
      </c>
      <c r="P112" s="244">
        <v>0</v>
      </c>
    </row>
    <row r="113" spans="1:17" ht="15.75" hidden="1" thickBot="1">
      <c r="A113" s="254">
        <v>114</v>
      </c>
      <c r="B113" s="282"/>
      <c r="C113" s="285" t="s">
        <v>1339</v>
      </c>
      <c r="E113" s="177"/>
      <c r="F113" s="157"/>
      <c r="G113" s="157"/>
      <c r="H113" s="170"/>
      <c r="I113" s="165">
        <v>22.6</v>
      </c>
      <c r="J113" s="223"/>
      <c r="K113" s="157"/>
      <c r="L113" s="242"/>
      <c r="M113" s="243"/>
      <c r="N113" s="244">
        <v>0</v>
      </c>
      <c r="O113" s="244">
        <v>0</v>
      </c>
      <c r="P113" s="244">
        <v>0</v>
      </c>
    </row>
    <row r="114" spans="1:17" ht="15.75" hidden="1" thickBot="1">
      <c r="A114" s="254">
        <v>115</v>
      </c>
      <c r="B114" s="282"/>
      <c r="C114" s="285" t="s">
        <v>1474</v>
      </c>
      <c r="E114" s="177"/>
      <c r="F114" s="157"/>
      <c r="G114" s="157"/>
      <c r="H114" s="170"/>
      <c r="I114" s="165">
        <v>16.95</v>
      </c>
      <c r="J114" s="223"/>
      <c r="K114" s="157"/>
      <c r="L114" s="242"/>
      <c r="M114" s="245"/>
      <c r="N114" s="244">
        <v>0</v>
      </c>
      <c r="O114" s="244">
        <v>0</v>
      </c>
      <c r="P114" s="244">
        <v>0</v>
      </c>
    </row>
    <row r="115" spans="1:17" ht="15.75" hidden="1" thickBot="1">
      <c r="A115" s="252">
        <v>116</v>
      </c>
      <c r="B115" s="280"/>
      <c r="C115" s="280" t="s">
        <v>1283</v>
      </c>
      <c r="D115" s="280"/>
      <c r="E115" s="205"/>
      <c r="F115" s="199"/>
      <c r="G115" s="199"/>
      <c r="H115" s="206"/>
      <c r="I115" s="209"/>
      <c r="J115" s="207"/>
      <c r="K115" s="199"/>
      <c r="L115" s="237"/>
      <c r="M115" s="238"/>
      <c r="N115" s="237"/>
      <c r="O115" s="237"/>
      <c r="P115" s="234">
        <v>0</v>
      </c>
      <c r="Q115" s="237"/>
    </row>
    <row r="116" spans="1:17" ht="15.75" hidden="1" thickBot="1">
      <c r="A116" s="156"/>
      <c r="B116" s="265"/>
      <c r="C116" s="267"/>
      <c r="D116" s="265"/>
      <c r="E116" s="156"/>
      <c r="F116" s="156"/>
      <c r="G116" s="156"/>
      <c r="H116" s="156"/>
      <c r="I116" s="156"/>
      <c r="J116" s="156"/>
      <c r="K116" s="156"/>
      <c r="L116" s="288"/>
      <c r="N116" s="288"/>
      <c r="O116" s="288"/>
      <c r="P116" s="288"/>
      <c r="Q116" s="288"/>
    </row>
    <row r="117" spans="1:17" ht="31.5" thickTop="1" thickBot="1">
      <c r="A117" s="256">
        <v>108</v>
      </c>
      <c r="B117" s="268" t="s">
        <v>1475</v>
      </c>
      <c r="C117" s="268"/>
      <c r="D117" s="286"/>
      <c r="E117" s="202">
        <v>81949.63</v>
      </c>
      <c r="F117" s="202"/>
      <c r="G117" s="202">
        <v>88763.11</v>
      </c>
      <c r="H117" s="203"/>
      <c r="I117" s="202">
        <v>70409.94</v>
      </c>
      <c r="J117" s="204" t="e">
        <v>#REF!</v>
      </c>
      <c r="K117" s="202">
        <v>53897.18</v>
      </c>
      <c r="L117" s="246"/>
      <c r="M117" s="246"/>
      <c r="N117" s="246">
        <f>N103+N98+N89+N81+N67+N20</f>
        <v>48098.625638999998</v>
      </c>
      <c r="O117" s="246">
        <f t="shared" ref="O117:P117" si="7">O103+O98+O89+O81+O67+O20</f>
        <v>1812.4587000000001</v>
      </c>
      <c r="P117" s="246">
        <f t="shared" si="7"/>
        <v>47185.294338999993</v>
      </c>
      <c r="Q117" s="246">
        <f>Q103+Q98+Q89+Q81+Q67+Q20</f>
        <v>31926.57</v>
      </c>
    </row>
    <row r="118" spans="1:17" s="157" customFormat="1" ht="16.5" thickTop="1" thickBot="1">
      <c r="A118" s="261"/>
      <c r="B118" s="287" t="s">
        <v>1286</v>
      </c>
      <c r="C118" s="287"/>
      <c r="D118" s="287"/>
      <c r="E118" s="216"/>
      <c r="F118" s="216"/>
      <c r="G118" s="216"/>
      <c r="H118" s="217"/>
      <c r="I118" s="216"/>
      <c r="J118" s="292"/>
      <c r="K118" s="216"/>
      <c r="L118" s="218"/>
      <c r="M118" s="218"/>
      <c r="N118" s="218">
        <f>N8</f>
        <v>1600</v>
      </c>
      <c r="O118" s="218">
        <f t="shared" ref="O118:Q118" si="8">O8</f>
        <v>0</v>
      </c>
      <c r="P118" s="218">
        <f t="shared" si="8"/>
        <v>1600</v>
      </c>
      <c r="Q118" s="218">
        <f t="shared" si="8"/>
        <v>2098.9</v>
      </c>
    </row>
    <row r="119" spans="1:17" ht="46.5" thickTop="1" thickBot="1">
      <c r="A119" s="261">
        <v>108</v>
      </c>
      <c r="B119" s="287" t="s">
        <v>1476</v>
      </c>
      <c r="C119" s="287"/>
      <c r="D119" s="287" t="s">
        <v>1340</v>
      </c>
      <c r="E119" s="215"/>
      <c r="F119" s="216"/>
      <c r="G119" s="216"/>
      <c r="H119" s="217"/>
      <c r="I119" s="216">
        <v>5263.48</v>
      </c>
      <c r="J119" s="218"/>
      <c r="K119" s="216"/>
      <c r="L119" s="213"/>
      <c r="M119" s="214"/>
      <c r="N119" s="218"/>
      <c r="O119" s="218"/>
      <c r="P119" s="218"/>
      <c r="Q119" s="218"/>
    </row>
    <row r="120" spans="1:17" ht="31.5" thickTop="1" thickBot="1">
      <c r="A120" s="256">
        <v>108</v>
      </c>
      <c r="B120" s="268" t="s">
        <v>1477</v>
      </c>
      <c r="C120" s="268"/>
      <c r="D120" s="268"/>
      <c r="E120" s="201"/>
      <c r="F120" s="202"/>
      <c r="G120" s="202">
        <v>97639.42</v>
      </c>
      <c r="H120" s="203"/>
      <c r="I120" s="202">
        <v>75673.42</v>
      </c>
      <c r="J120" s="204"/>
      <c r="K120" s="202"/>
      <c r="L120" s="247"/>
      <c r="M120" s="248"/>
      <c r="N120" s="246"/>
      <c r="O120" s="246"/>
      <c r="P120" s="246">
        <f>P117-P118</f>
        <v>45585.294338999993</v>
      </c>
      <c r="Q120" s="246">
        <f>Q117-Q118</f>
        <v>29827.67</v>
      </c>
    </row>
    <row r="121" spans="1:17" ht="15.75" thickTop="1">
      <c r="A121" s="156"/>
      <c r="B121" s="265"/>
      <c r="C121" s="267"/>
      <c r="D121" s="265"/>
      <c r="E121" s="156"/>
      <c r="F121" s="156"/>
      <c r="G121" s="156"/>
      <c r="H121" s="156"/>
      <c r="I121" s="156"/>
      <c r="J121" s="156"/>
      <c r="K121" s="156"/>
      <c r="L121" s="288"/>
      <c r="N121" s="288"/>
      <c r="O121" s="288"/>
      <c r="P121" s="288"/>
      <c r="Q121" s="288"/>
    </row>
    <row r="122" spans="1:17">
      <c r="A122" s="156"/>
      <c r="B122" s="265"/>
      <c r="C122" s="267"/>
      <c r="D122" s="265"/>
      <c r="E122" s="156"/>
      <c r="F122" s="156"/>
      <c r="G122" s="156"/>
      <c r="H122" s="156"/>
      <c r="I122" s="156"/>
      <c r="J122" s="156"/>
      <c r="K122" s="156"/>
      <c r="L122" s="288"/>
      <c r="M122" s="288"/>
      <c r="N122" s="288"/>
      <c r="O122" s="288"/>
      <c r="P122" s="288"/>
      <c r="Q122" s="288"/>
    </row>
  </sheetData>
  <mergeCells count="4">
    <mergeCell ref="N1:P1"/>
    <mergeCell ref="B105:C105"/>
    <mergeCell ref="B92:C92"/>
    <mergeCell ref="I1:K1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20" zoomScaleNormal="120" zoomScalePageLayoutView="120" workbookViewId="0">
      <selection activeCell="D36" sqref="D36"/>
    </sheetView>
  </sheetViews>
  <sheetFormatPr defaultColWidth="8.85546875" defaultRowHeight="15"/>
  <cols>
    <col min="2" max="2" width="21.140625" bestFit="1" customWidth="1"/>
    <col min="3" max="3" width="20.28515625" bestFit="1" customWidth="1"/>
    <col min="4" max="4" width="14.42578125" bestFit="1" customWidth="1"/>
    <col min="6" max="6" width="14.42578125" bestFit="1" customWidth="1"/>
    <col min="7" max="7" width="13.42578125" bestFit="1" customWidth="1"/>
    <col min="8" max="8" width="12" bestFit="1" customWidth="1"/>
    <col min="10" max="10" width="18.42578125" bestFit="1" customWidth="1"/>
  </cols>
  <sheetData>
    <row r="1" spans="1:10" ht="18.75">
      <c r="A1" s="302" t="s">
        <v>1258</v>
      </c>
      <c r="B1" s="302"/>
      <c r="C1" s="302"/>
      <c r="D1" s="302"/>
      <c r="E1" s="302"/>
      <c r="F1" s="303">
        <f>G8+G13+G16+G22+G31+G34+G38</f>
        <v>305619.36</v>
      </c>
      <c r="G1" s="304"/>
      <c r="I1" s="290"/>
      <c r="J1" s="289">
        <f>H8+H16+H13+H22+H31+H34</f>
        <v>-298783.84999999998</v>
      </c>
    </row>
    <row r="2" spans="1:10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30.75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6" spans="1:10">
      <c r="A6" s="4"/>
      <c r="B6" s="4"/>
      <c r="C6" s="4"/>
      <c r="D6" s="4"/>
      <c r="E6" s="4"/>
      <c r="F6" s="4"/>
      <c r="G6" s="4"/>
      <c r="H6" s="4"/>
      <c r="I6" s="4"/>
      <c r="J6" s="4"/>
    </row>
    <row r="8" spans="1:10" s="4" customFormat="1">
      <c r="A8" s="296" t="s">
        <v>284</v>
      </c>
      <c r="B8" s="297"/>
      <c r="C8" s="297"/>
      <c r="D8" s="297"/>
      <c r="E8" s="297"/>
      <c r="F8" s="298"/>
      <c r="G8" s="8">
        <f>SUM(G9:G11)</f>
        <v>29000</v>
      </c>
      <c r="H8" s="299">
        <f>-SUM(J9:J11)</f>
        <v>-35638.22</v>
      </c>
      <c r="I8" s="300"/>
      <c r="J8" s="301"/>
    </row>
    <row r="9" spans="1:10">
      <c r="A9" s="2" t="s">
        <v>1259</v>
      </c>
      <c r="B9" s="1" t="s">
        <v>1072</v>
      </c>
      <c r="C9" s="1" t="s">
        <v>1071</v>
      </c>
      <c r="D9" s="3">
        <v>10000</v>
      </c>
      <c r="E9" s="1">
        <v>1</v>
      </c>
      <c r="F9" s="3">
        <f>E9*D9</f>
        <v>10000</v>
      </c>
      <c r="G9" s="3">
        <f>F9</f>
        <v>10000</v>
      </c>
      <c r="H9" s="3"/>
      <c r="I9" s="1"/>
      <c r="J9" s="3">
        <v>1127</v>
      </c>
    </row>
    <row r="10" spans="1:10">
      <c r="A10" s="2" t="s">
        <v>1260</v>
      </c>
      <c r="B10" s="1" t="s">
        <v>1070</v>
      </c>
      <c r="C10" s="1" t="s">
        <v>1069</v>
      </c>
      <c r="D10" s="3">
        <v>16000</v>
      </c>
      <c r="E10" s="1">
        <v>1</v>
      </c>
      <c r="F10" s="3">
        <f>E10*D10</f>
        <v>16000</v>
      </c>
      <c r="G10" s="3">
        <f>F10</f>
        <v>16000</v>
      </c>
      <c r="H10" s="3"/>
      <c r="I10" s="1"/>
      <c r="J10" s="3">
        <v>1170</v>
      </c>
    </row>
    <row r="11" spans="1:10" s="4" customFormat="1">
      <c r="A11" s="2" t="s">
        <v>1356</v>
      </c>
      <c r="B11" s="1" t="s">
        <v>1357</v>
      </c>
      <c r="C11" s="1" t="s">
        <v>1069</v>
      </c>
      <c r="D11" s="3">
        <v>3000</v>
      </c>
      <c r="E11" s="1">
        <v>1</v>
      </c>
      <c r="F11" s="3">
        <f>E11*D11</f>
        <v>3000</v>
      </c>
      <c r="G11" s="3">
        <f>F11</f>
        <v>3000</v>
      </c>
      <c r="H11" s="3"/>
      <c r="I11" s="1"/>
      <c r="J11" s="3">
        <v>33341.22</v>
      </c>
    </row>
    <row r="12" spans="1:10" s="4" customFormat="1"/>
    <row r="13" spans="1:10" s="4" customFormat="1">
      <c r="A13" s="296" t="s">
        <v>1068</v>
      </c>
      <c r="B13" s="297"/>
      <c r="C13" s="297"/>
      <c r="D13" s="297"/>
      <c r="E13" s="297"/>
      <c r="F13" s="298"/>
      <c r="G13" s="8">
        <f>G14</f>
        <v>100</v>
      </c>
      <c r="H13" s="299">
        <f>-SUM(J14)</f>
        <v>0</v>
      </c>
      <c r="I13" s="300"/>
      <c r="J13" s="301"/>
    </row>
    <row r="14" spans="1:10">
      <c r="A14" s="2" t="s">
        <v>1261</v>
      </c>
      <c r="B14" s="1" t="s">
        <v>1067</v>
      </c>
      <c r="C14" s="1" t="s">
        <v>1066</v>
      </c>
      <c r="D14" s="3">
        <v>100</v>
      </c>
      <c r="E14" s="1">
        <v>1</v>
      </c>
      <c r="F14" s="3">
        <f>E14*D14</f>
        <v>100</v>
      </c>
      <c r="G14" s="3">
        <f>F14</f>
        <v>100</v>
      </c>
      <c r="H14" s="3"/>
      <c r="I14" s="1"/>
      <c r="J14" s="3"/>
    </row>
    <row r="15" spans="1:10" s="4" customFormat="1"/>
    <row r="16" spans="1:10" s="4" customFormat="1">
      <c r="A16" s="296" t="s">
        <v>1065</v>
      </c>
      <c r="B16" s="297"/>
      <c r="C16" s="297"/>
      <c r="D16" s="297"/>
      <c r="E16" s="297"/>
      <c r="F16" s="298"/>
      <c r="G16" s="8">
        <f>SUM(G17:G20)</f>
        <v>74558.64</v>
      </c>
      <c r="H16" s="299">
        <f>-SUM(J17:J20)</f>
        <v>-63050.259999999995</v>
      </c>
      <c r="I16" s="300"/>
      <c r="J16" s="301"/>
    </row>
    <row r="17" spans="1:10">
      <c r="A17" s="2" t="s">
        <v>1262</v>
      </c>
      <c r="B17" s="34" t="s">
        <v>1064</v>
      </c>
      <c r="C17" s="34" t="s">
        <v>1268</v>
      </c>
      <c r="D17" s="113">
        <v>1625</v>
      </c>
      <c r="E17" s="34">
        <v>12</v>
      </c>
      <c r="F17" s="113">
        <f>E17*D17</f>
        <v>19500</v>
      </c>
      <c r="G17" s="113">
        <f>F17</f>
        <v>19500</v>
      </c>
      <c r="H17" s="3"/>
      <c r="I17" s="1"/>
      <c r="J17" s="3">
        <v>16357.98</v>
      </c>
    </row>
    <row r="18" spans="1:10">
      <c r="A18" s="2" t="s">
        <v>1377</v>
      </c>
      <c r="B18" s="121" t="s">
        <v>1063</v>
      </c>
      <c r="C18" s="121" t="s">
        <v>1268</v>
      </c>
      <c r="D18" s="122">
        <v>100</v>
      </c>
      <c r="E18" s="121">
        <v>12</v>
      </c>
      <c r="F18" s="122">
        <f>E18*D18</f>
        <v>1200</v>
      </c>
      <c r="G18" s="18">
        <f t="shared" ref="G18:G20" si="0">F18</f>
        <v>1200</v>
      </c>
      <c r="H18" s="3"/>
      <c r="I18" s="1"/>
      <c r="J18" s="3"/>
    </row>
    <row r="19" spans="1:10">
      <c r="A19" s="2" t="s">
        <v>1378</v>
      </c>
      <c r="B19" s="121" t="s">
        <v>1062</v>
      </c>
      <c r="C19" s="121" t="s">
        <v>1268</v>
      </c>
      <c r="D19" s="122">
        <v>4200</v>
      </c>
      <c r="E19" s="121">
        <v>12</v>
      </c>
      <c r="F19" s="122">
        <f>E19*D19</f>
        <v>50400</v>
      </c>
      <c r="G19" s="18">
        <f t="shared" si="0"/>
        <v>50400</v>
      </c>
      <c r="H19" s="3"/>
      <c r="I19" s="1"/>
      <c r="J19" s="3">
        <v>44153.279999999999</v>
      </c>
    </row>
    <row r="20" spans="1:10">
      <c r="A20" s="2" t="s">
        <v>1379</v>
      </c>
      <c r="B20" s="121" t="s">
        <v>1061</v>
      </c>
      <c r="C20" s="121" t="s">
        <v>1268</v>
      </c>
      <c r="D20" s="122">
        <v>288.22000000000003</v>
      </c>
      <c r="E20" s="121">
        <v>12</v>
      </c>
      <c r="F20" s="122">
        <f>E20*D20</f>
        <v>3458.6400000000003</v>
      </c>
      <c r="G20" s="18">
        <f t="shared" si="0"/>
        <v>3458.6400000000003</v>
      </c>
      <c r="H20" s="3"/>
      <c r="I20" s="1"/>
      <c r="J20" s="3">
        <v>2539</v>
      </c>
    </row>
    <row r="21" spans="1:10" s="4" customFormat="1"/>
    <row r="22" spans="1:10" s="4" customFormat="1">
      <c r="A22" s="296" t="s">
        <v>1060</v>
      </c>
      <c r="B22" s="297"/>
      <c r="C22" s="297"/>
      <c r="D22" s="297"/>
      <c r="E22" s="297"/>
      <c r="F22" s="298"/>
      <c r="G22" s="8">
        <f>SUM(G23:G29)</f>
        <v>10265</v>
      </c>
      <c r="H22" s="299">
        <f>-SUM(J23:J29)</f>
        <v>-11418.61</v>
      </c>
      <c r="I22" s="300"/>
      <c r="J22" s="301"/>
    </row>
    <row r="23" spans="1:10">
      <c r="A23" s="2" t="s">
        <v>1263</v>
      </c>
      <c r="B23" s="17" t="s">
        <v>1059</v>
      </c>
      <c r="C23" s="17" t="s">
        <v>1373</v>
      </c>
      <c r="D23" s="18"/>
      <c r="E23" s="17"/>
      <c r="F23" s="18">
        <f>E23*D23</f>
        <v>0</v>
      </c>
      <c r="G23" s="18">
        <f>F23*1.13</f>
        <v>0</v>
      </c>
      <c r="H23" s="3"/>
      <c r="I23" s="1"/>
      <c r="J23" s="3"/>
    </row>
    <row r="24" spans="1:10">
      <c r="A24" s="2" t="s">
        <v>1264</v>
      </c>
      <c r="B24" s="17" t="s">
        <v>1058</v>
      </c>
      <c r="C24" s="17"/>
      <c r="D24" s="18">
        <v>0.05</v>
      </c>
      <c r="E24" s="17">
        <v>3500</v>
      </c>
      <c r="F24" s="18">
        <f>D24*E24</f>
        <v>175</v>
      </c>
      <c r="G24" s="18">
        <f>F24</f>
        <v>175</v>
      </c>
      <c r="H24" s="3"/>
      <c r="I24" s="1"/>
      <c r="J24" s="3">
        <f>541.15</f>
        <v>541.15</v>
      </c>
    </row>
    <row r="25" spans="1:10" s="4" customFormat="1">
      <c r="A25" s="2" t="s">
        <v>1380</v>
      </c>
      <c r="B25" s="17" t="s">
        <v>1387</v>
      </c>
      <c r="C25" s="17"/>
      <c r="D25" s="18">
        <v>0.1</v>
      </c>
      <c r="E25" s="17">
        <v>500</v>
      </c>
      <c r="F25" s="18">
        <f>D25*E25</f>
        <v>50</v>
      </c>
      <c r="G25" s="18">
        <f>F25</f>
        <v>50</v>
      </c>
      <c r="H25" s="3"/>
      <c r="I25" s="1"/>
      <c r="J25" s="3"/>
    </row>
    <row r="26" spans="1:10" s="4" customFormat="1">
      <c r="A26" s="2" t="s">
        <v>1381</v>
      </c>
      <c r="B26" s="17" t="s">
        <v>321</v>
      </c>
      <c r="C26" s="17"/>
      <c r="D26" s="18">
        <v>200</v>
      </c>
      <c r="E26" s="17">
        <v>1</v>
      </c>
      <c r="F26" s="18">
        <f>E26*D26</f>
        <v>200</v>
      </c>
      <c r="G26" s="18">
        <f>F26</f>
        <v>200</v>
      </c>
      <c r="H26" s="3"/>
      <c r="I26" s="1"/>
      <c r="J26" s="3">
        <v>1837.46</v>
      </c>
    </row>
    <row r="27" spans="1:10">
      <c r="A27" s="2" t="s">
        <v>1382</v>
      </c>
      <c r="B27" s="17" t="s">
        <v>1374</v>
      </c>
      <c r="C27" s="17"/>
      <c r="D27" s="18"/>
      <c r="E27" s="17"/>
      <c r="F27" s="18">
        <f>E27*D27</f>
        <v>0</v>
      </c>
      <c r="G27" s="18">
        <f>-G26</f>
        <v>-200</v>
      </c>
      <c r="H27" s="3"/>
      <c r="I27" s="1"/>
    </row>
    <row r="28" spans="1:10">
      <c r="A28" s="2" t="s">
        <v>1383</v>
      </c>
      <c r="B28" s="17" t="s">
        <v>1057</v>
      </c>
      <c r="C28" s="17"/>
      <c r="D28" s="18"/>
      <c r="E28" s="17"/>
      <c r="F28" s="18">
        <f>E28*D28</f>
        <v>0</v>
      </c>
      <c r="G28" s="18">
        <v>1000</v>
      </c>
      <c r="H28" s="3"/>
      <c r="I28" s="1"/>
      <c r="J28" s="3"/>
    </row>
    <row r="29" spans="1:10">
      <c r="A29" s="2" t="s">
        <v>1386</v>
      </c>
      <c r="B29" s="1" t="s">
        <v>1056</v>
      </c>
      <c r="C29" s="1" t="s">
        <v>1265</v>
      </c>
      <c r="D29" s="3">
        <v>9040</v>
      </c>
      <c r="E29" s="1">
        <v>1</v>
      </c>
      <c r="F29" s="3">
        <f>E29*D29</f>
        <v>9040</v>
      </c>
      <c r="G29" s="3">
        <f>F29</f>
        <v>9040</v>
      </c>
      <c r="H29" s="3"/>
      <c r="I29" s="1"/>
      <c r="J29" s="3">
        <v>9040</v>
      </c>
    </row>
    <row r="30" spans="1:10" s="4" customFormat="1"/>
    <row r="31" spans="1:10" s="4" customFormat="1">
      <c r="A31" s="296" t="s">
        <v>1055</v>
      </c>
      <c r="B31" s="297"/>
      <c r="C31" s="297"/>
      <c r="D31" s="297"/>
      <c r="E31" s="297"/>
      <c r="F31" s="298"/>
      <c r="G31" s="8">
        <f>G32</f>
        <v>30765.72</v>
      </c>
      <c r="H31" s="299">
        <f>-SUM(J32)</f>
        <v>-32690.82</v>
      </c>
      <c r="I31" s="300"/>
      <c r="J31" s="301"/>
    </row>
    <row r="32" spans="1:10">
      <c r="A32" s="2" t="s">
        <v>1376</v>
      </c>
      <c r="B32" s="1" t="s">
        <v>1054</v>
      </c>
      <c r="C32" s="1"/>
      <c r="D32" s="138">
        <v>2563.81</v>
      </c>
      <c r="E32" s="1">
        <v>12</v>
      </c>
      <c r="F32" s="3">
        <f>E32*D32</f>
        <v>30765.72</v>
      </c>
      <c r="G32" s="3">
        <f>F32</f>
        <v>30765.72</v>
      </c>
      <c r="H32" s="3"/>
      <c r="I32" s="1"/>
      <c r="J32" s="3">
        <v>32690.82</v>
      </c>
    </row>
    <row r="33" spans="1:10" s="4" customFormat="1"/>
    <row r="34" spans="1:10" s="4" customFormat="1">
      <c r="A34" s="296" t="s">
        <v>1269</v>
      </c>
      <c r="B34" s="297"/>
      <c r="C34" s="297"/>
      <c r="D34" s="297"/>
      <c r="E34" s="297"/>
      <c r="F34" s="298"/>
      <c r="G34" s="8">
        <f>SUM(G35:G36)</f>
        <v>154930</v>
      </c>
      <c r="H34" s="299">
        <f>-SUM(J35:J39)</f>
        <v>-155985.94</v>
      </c>
      <c r="I34" s="300"/>
      <c r="J34" s="301"/>
    </row>
    <row r="35" spans="1:10">
      <c r="A35" s="2" t="s">
        <v>1384</v>
      </c>
      <c r="B35" s="1" t="s">
        <v>1053</v>
      </c>
      <c r="C35" s="112" t="s">
        <v>1265</v>
      </c>
      <c r="D35" s="3">
        <v>130430</v>
      </c>
      <c r="E35" s="1">
        <v>1</v>
      </c>
      <c r="F35" s="3">
        <f>E35*D35</f>
        <v>130430</v>
      </c>
      <c r="G35" s="3">
        <f>F35</f>
        <v>130430</v>
      </c>
      <c r="H35" s="3"/>
      <c r="I35" s="1"/>
      <c r="J35" s="3">
        <f>155985.94</f>
        <v>155985.94</v>
      </c>
    </row>
    <row r="36" spans="1:10">
      <c r="A36" s="2" t="s">
        <v>1385</v>
      </c>
      <c r="B36" s="1" t="s">
        <v>1052</v>
      </c>
      <c r="C36" s="112" t="s">
        <v>1265</v>
      </c>
      <c r="D36" s="3">
        <v>24500</v>
      </c>
      <c r="E36" s="1">
        <v>1</v>
      </c>
      <c r="F36" s="3">
        <f>E36*D36</f>
        <v>24500</v>
      </c>
      <c r="G36" s="3">
        <f>F36</f>
        <v>24500</v>
      </c>
      <c r="H36" s="3"/>
      <c r="I36" s="1"/>
      <c r="J36" s="3"/>
    </row>
    <row r="38" spans="1:10" s="4" customFormat="1">
      <c r="A38" s="296" t="s">
        <v>1423</v>
      </c>
      <c r="B38" s="297"/>
      <c r="C38" s="297"/>
      <c r="D38" s="297"/>
      <c r="E38" s="297"/>
      <c r="F38" s="298"/>
      <c r="G38" s="8">
        <f>G39</f>
        <v>6000</v>
      </c>
      <c r="H38" s="299">
        <f>-SUM(J39:J44)</f>
        <v>0</v>
      </c>
      <c r="I38" s="300"/>
      <c r="J38" s="301"/>
    </row>
    <row r="39" spans="1:10" s="4" customFormat="1">
      <c r="A39" s="2" t="s">
        <v>1424</v>
      </c>
      <c r="B39" s="1" t="s">
        <v>1425</v>
      </c>
      <c r="C39" s="1"/>
      <c r="D39" s="138"/>
      <c r="E39" s="1"/>
      <c r="F39" s="3">
        <f>E39*D39</f>
        <v>0</v>
      </c>
      <c r="G39" s="3">
        <v>6000</v>
      </c>
      <c r="H39" s="3"/>
      <c r="I39" s="1"/>
      <c r="J39" s="3"/>
    </row>
  </sheetData>
  <mergeCells count="18">
    <mergeCell ref="A38:F38"/>
    <mergeCell ref="H38:J38"/>
    <mergeCell ref="A8:F8"/>
    <mergeCell ref="H8:J8"/>
    <mergeCell ref="A13:F13"/>
    <mergeCell ref="A31:F31"/>
    <mergeCell ref="H31:J31"/>
    <mergeCell ref="A34:F34"/>
    <mergeCell ref="H34:J34"/>
    <mergeCell ref="H13:J13"/>
    <mergeCell ref="A22:F22"/>
    <mergeCell ref="H22:J22"/>
    <mergeCell ref="A16:F16"/>
    <mergeCell ref="H16:J16"/>
    <mergeCell ref="A1:E2"/>
    <mergeCell ref="F1:G1"/>
    <mergeCell ref="F2:G2"/>
    <mergeCell ref="H2:J2"/>
  </mergeCells>
  <hyperlinks>
    <hyperlink ref="A1:E2" location="Summary!A1" display="11 - President - Taylor Wheeler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="130" zoomScaleNormal="130" zoomScalePageLayoutView="130" workbookViewId="0">
      <selection activeCell="J19" sqref="J19"/>
    </sheetView>
  </sheetViews>
  <sheetFormatPr defaultColWidth="8.85546875" defaultRowHeight="15"/>
  <cols>
    <col min="1" max="1" width="8.85546875" style="4"/>
    <col min="2" max="2" width="16.28515625" style="4" bestFit="1" customWidth="1"/>
    <col min="3" max="3" width="26.42578125" style="4" bestFit="1" customWidth="1"/>
    <col min="4" max="4" width="11.140625" style="4" bestFit="1" customWidth="1"/>
    <col min="5" max="5" width="6.28515625" style="4" customWidth="1"/>
    <col min="6" max="6" width="11.140625" style="4" bestFit="1" customWidth="1"/>
    <col min="7" max="7" width="12.28515625" style="4" bestFit="1" customWidth="1"/>
    <col min="8" max="9" width="8.85546875" style="4"/>
    <col min="10" max="10" width="11.140625" style="4" bestFit="1" customWidth="1"/>
    <col min="11" max="16384" width="8.85546875" style="4"/>
  </cols>
  <sheetData>
    <row r="1" spans="1:10" ht="18.75">
      <c r="A1" s="302" t="s">
        <v>1231</v>
      </c>
      <c r="B1" s="302"/>
      <c r="C1" s="302"/>
      <c r="D1" s="302"/>
      <c r="E1" s="302"/>
      <c r="F1" s="303">
        <f>G8+G15+G25+G34+G41+G47+G52</f>
        <v>19289.919999999998</v>
      </c>
      <c r="G1" s="304"/>
      <c r="H1" s="303">
        <f>H8+H15+H25+H41+H47+H52+H34</f>
        <v>15398.27</v>
      </c>
      <c r="I1" s="317"/>
      <c r="J1" s="304"/>
    </row>
    <row r="2" spans="1:10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5" spans="1:10" ht="42.75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8" spans="1:10" ht="15.75">
      <c r="A8" s="293" t="s">
        <v>183</v>
      </c>
      <c r="B8" s="294"/>
      <c r="C8" s="294"/>
      <c r="D8" s="294"/>
      <c r="E8" s="294"/>
      <c r="F8" s="295"/>
      <c r="G8" s="9">
        <f>G9</f>
        <v>2000</v>
      </c>
      <c r="H8" s="308">
        <f>H9</f>
        <v>1886.87</v>
      </c>
      <c r="I8" s="309"/>
      <c r="J8" s="310"/>
    </row>
    <row r="9" spans="1:10">
      <c r="A9" s="296" t="s">
        <v>11</v>
      </c>
      <c r="B9" s="297"/>
      <c r="C9" s="297"/>
      <c r="D9" s="297"/>
      <c r="E9" s="297"/>
      <c r="F9" s="298"/>
      <c r="G9" s="8">
        <f>SUM(G11:G13)</f>
        <v>2000</v>
      </c>
      <c r="H9" s="311">
        <f>SUM(J11:J13)</f>
        <v>1886.87</v>
      </c>
      <c r="I9" s="312"/>
      <c r="J9" s="313"/>
    </row>
    <row r="10" spans="1:10">
      <c r="A10" s="314" t="s">
        <v>1230</v>
      </c>
      <c r="B10" s="315"/>
      <c r="C10" s="315"/>
      <c r="D10" s="315"/>
      <c r="E10" s="315"/>
      <c r="F10" s="315"/>
      <c r="G10" s="315"/>
      <c r="H10" s="315"/>
      <c r="I10" s="315"/>
      <c r="J10" s="316"/>
    </row>
    <row r="11" spans="1:10">
      <c r="A11" s="2" t="s">
        <v>436</v>
      </c>
      <c r="B11" s="1" t="s">
        <v>1229</v>
      </c>
      <c r="C11" s="1" t="s">
        <v>1228</v>
      </c>
      <c r="D11" s="3">
        <v>2000</v>
      </c>
      <c r="E11" s="1">
        <v>1</v>
      </c>
      <c r="F11" s="3">
        <f>D11*E11</f>
        <v>2000</v>
      </c>
      <c r="G11" s="3">
        <f>F11</f>
        <v>2000</v>
      </c>
      <c r="H11" s="3"/>
      <c r="I11" s="1"/>
      <c r="J11" s="3">
        <f>1886.87</f>
        <v>1886.87</v>
      </c>
    </row>
    <row r="12" spans="1:10">
      <c r="A12" s="2" t="s">
        <v>434</v>
      </c>
      <c r="B12" s="1" t="s">
        <v>1227</v>
      </c>
      <c r="C12" s="1" t="s">
        <v>1226</v>
      </c>
      <c r="D12" s="3">
        <v>0</v>
      </c>
      <c r="E12" s="1">
        <v>1</v>
      </c>
      <c r="F12" s="3">
        <f>D12*E12</f>
        <v>0</v>
      </c>
      <c r="G12" s="3">
        <f>F12*1.13</f>
        <v>0</v>
      </c>
      <c r="H12" s="3"/>
      <c r="I12" s="1"/>
      <c r="J12" s="3">
        <v>0</v>
      </c>
    </row>
    <row r="13" spans="1:10">
      <c r="A13" s="2" t="s">
        <v>432</v>
      </c>
      <c r="B13" s="1"/>
      <c r="C13" s="1"/>
      <c r="D13" s="3"/>
      <c r="E13" s="1"/>
      <c r="F13" s="3">
        <f>D13*E13</f>
        <v>0</v>
      </c>
      <c r="G13" s="3">
        <f>F13*1.13</f>
        <v>0</v>
      </c>
      <c r="H13" s="3"/>
      <c r="I13" s="1"/>
      <c r="J13" s="3"/>
    </row>
    <row r="15" spans="1:10" ht="15.75">
      <c r="A15" s="293" t="s">
        <v>1225</v>
      </c>
      <c r="B15" s="294"/>
      <c r="C15" s="294"/>
      <c r="D15" s="294"/>
      <c r="E15" s="294"/>
      <c r="F15" s="295"/>
      <c r="G15" s="9">
        <f>G16</f>
        <v>1306.2799999999997</v>
      </c>
      <c r="H15" s="308">
        <f>H16</f>
        <v>355.97</v>
      </c>
      <c r="I15" s="309"/>
      <c r="J15" s="310"/>
    </row>
    <row r="16" spans="1:10">
      <c r="A16" s="296" t="s">
        <v>11</v>
      </c>
      <c r="B16" s="297"/>
      <c r="C16" s="297"/>
      <c r="D16" s="297"/>
      <c r="E16" s="297"/>
      <c r="F16" s="298"/>
      <c r="G16" s="8">
        <f>SUM(G18:G22)</f>
        <v>1306.2799999999997</v>
      </c>
      <c r="H16" s="311">
        <f>SUM(J18:J22)</f>
        <v>355.97</v>
      </c>
      <c r="I16" s="312"/>
      <c r="J16" s="313"/>
    </row>
    <row r="17" spans="1:12">
      <c r="A17" s="314" t="s">
        <v>1224</v>
      </c>
      <c r="B17" s="315"/>
      <c r="C17" s="315"/>
      <c r="D17" s="315"/>
      <c r="E17" s="315"/>
      <c r="F17" s="315"/>
      <c r="G17" s="315"/>
      <c r="H17" s="315"/>
      <c r="I17" s="315"/>
      <c r="J17" s="316"/>
    </row>
    <row r="18" spans="1:12">
      <c r="A18" s="2" t="s">
        <v>1223</v>
      </c>
      <c r="B18" s="1" t="s">
        <v>1222</v>
      </c>
      <c r="C18" s="1" t="s">
        <v>1267</v>
      </c>
      <c r="D18" s="3">
        <v>60</v>
      </c>
      <c r="E18" s="1">
        <v>15</v>
      </c>
      <c r="F18" s="3">
        <f>D18*E18</f>
        <v>900</v>
      </c>
      <c r="G18" s="3">
        <f>F18*1.13</f>
        <v>1016.9999999999999</v>
      </c>
      <c r="H18" s="3"/>
      <c r="I18" s="1"/>
      <c r="J18" s="3">
        <v>0</v>
      </c>
    </row>
    <row r="19" spans="1:12">
      <c r="A19" s="2" t="s">
        <v>1221</v>
      </c>
      <c r="B19" s="1" t="s">
        <v>760</v>
      </c>
      <c r="C19" s="1" t="s">
        <v>1266</v>
      </c>
      <c r="D19" s="3">
        <v>12</v>
      </c>
      <c r="E19" s="1">
        <v>13</v>
      </c>
      <c r="F19" s="3">
        <f>D19*E19</f>
        <v>156</v>
      </c>
      <c r="G19" s="3">
        <f>F19*1.13</f>
        <v>176.27999999999997</v>
      </c>
      <c r="H19" s="3"/>
      <c r="I19" s="1"/>
      <c r="J19" s="3">
        <v>259</v>
      </c>
    </row>
    <row r="20" spans="1:12">
      <c r="A20" s="2" t="s">
        <v>1220</v>
      </c>
      <c r="B20" s="1"/>
      <c r="C20" s="1"/>
      <c r="D20" s="3"/>
      <c r="E20" s="1"/>
      <c r="F20" s="3">
        <f>D20*E20</f>
        <v>0</v>
      </c>
      <c r="G20" s="3">
        <f>F20*1.13</f>
        <v>0</v>
      </c>
      <c r="H20" s="3"/>
      <c r="I20" s="1"/>
      <c r="J20" s="3"/>
    </row>
    <row r="21" spans="1:12">
      <c r="A21" s="314" t="s">
        <v>34</v>
      </c>
      <c r="B21" s="315"/>
      <c r="C21" s="315"/>
      <c r="D21" s="315"/>
      <c r="E21" s="315"/>
      <c r="F21" s="315"/>
      <c r="G21" s="315"/>
      <c r="H21" s="315"/>
      <c r="I21" s="315"/>
      <c r="J21" s="316"/>
    </row>
    <row r="22" spans="1:12">
      <c r="A22" s="2" t="s">
        <v>1219</v>
      </c>
      <c r="B22" s="1" t="s">
        <v>1218</v>
      </c>
      <c r="C22" s="1" t="s">
        <v>1217</v>
      </c>
      <c r="D22" s="3">
        <v>100</v>
      </c>
      <c r="E22" s="1">
        <v>1</v>
      </c>
      <c r="F22" s="3">
        <f>D22*E22</f>
        <v>100</v>
      </c>
      <c r="G22" s="3">
        <f>F22*1.13</f>
        <v>112.99999999999999</v>
      </c>
      <c r="H22" s="3"/>
      <c r="I22" s="1"/>
      <c r="J22" s="3">
        <f>6.99+80.66 +9.32</f>
        <v>96.97</v>
      </c>
    </row>
    <row r="23" spans="1:12">
      <c r="A23" s="2" t="s">
        <v>1216</v>
      </c>
      <c r="B23" s="1"/>
      <c r="C23" s="1"/>
      <c r="D23" s="3"/>
      <c r="E23" s="1"/>
      <c r="F23" s="3">
        <f>D23*E23</f>
        <v>0</v>
      </c>
      <c r="G23" s="3">
        <f>F23*1.13</f>
        <v>0</v>
      </c>
      <c r="H23" s="3"/>
      <c r="I23" s="1"/>
      <c r="J23" s="3"/>
    </row>
    <row r="25" spans="1:12" ht="15.75">
      <c r="A25" s="293" t="s">
        <v>1215</v>
      </c>
      <c r="B25" s="294"/>
      <c r="C25" s="294"/>
      <c r="D25" s="294"/>
      <c r="E25" s="294"/>
      <c r="F25" s="295"/>
      <c r="G25" s="9">
        <f>G26</f>
        <v>4107.5499999999993</v>
      </c>
      <c r="H25" s="308">
        <f>H26</f>
        <v>3743.87</v>
      </c>
      <c r="I25" s="309"/>
      <c r="J25" s="310"/>
    </row>
    <row r="26" spans="1:12">
      <c r="A26" s="296" t="s">
        <v>11</v>
      </c>
      <c r="B26" s="297"/>
      <c r="C26" s="297"/>
      <c r="D26" s="297"/>
      <c r="E26" s="297"/>
      <c r="F26" s="298"/>
      <c r="G26" s="8">
        <f>SUM(G28:G31)</f>
        <v>4107.5499999999993</v>
      </c>
      <c r="H26" s="311">
        <f>SUM(J28:J32)</f>
        <v>3743.87</v>
      </c>
      <c r="I26" s="312"/>
      <c r="J26" s="313"/>
    </row>
    <row r="27" spans="1:12">
      <c r="A27" s="314" t="s">
        <v>1215</v>
      </c>
      <c r="B27" s="315"/>
      <c r="C27" s="315"/>
      <c r="D27" s="315"/>
      <c r="E27" s="315"/>
      <c r="F27" s="315"/>
      <c r="G27" s="315"/>
      <c r="H27" s="315"/>
      <c r="I27" s="315"/>
      <c r="J27" s="316"/>
    </row>
    <row r="28" spans="1:12">
      <c r="A28" s="2" t="s">
        <v>1210</v>
      </c>
      <c r="B28" s="1" t="s">
        <v>1214</v>
      </c>
      <c r="C28" s="1" t="s">
        <v>1213</v>
      </c>
      <c r="D28" s="3">
        <v>275</v>
      </c>
      <c r="E28" s="1">
        <v>4</v>
      </c>
      <c r="F28" s="3">
        <f>D28*E28</f>
        <v>1100</v>
      </c>
      <c r="G28" s="3">
        <f>F28*1.13</f>
        <v>1242.9999999999998</v>
      </c>
      <c r="H28" s="3"/>
      <c r="I28" s="1"/>
      <c r="J28" s="3">
        <v>1372.35</v>
      </c>
    </row>
    <row r="29" spans="1:12">
      <c r="A29" s="2" t="s">
        <v>1208</v>
      </c>
      <c r="B29" s="1" t="s">
        <v>555</v>
      </c>
      <c r="C29" s="1" t="s">
        <v>1212</v>
      </c>
      <c r="D29" s="3">
        <v>75</v>
      </c>
      <c r="E29" s="1">
        <v>3</v>
      </c>
      <c r="F29" s="3">
        <f>D29*E29</f>
        <v>225</v>
      </c>
      <c r="G29" s="3">
        <f>F29*1.13</f>
        <v>254.24999999999997</v>
      </c>
      <c r="H29" s="3"/>
      <c r="I29" s="1"/>
      <c r="J29" s="3">
        <f>63.5+55.65</f>
        <v>119.15</v>
      </c>
    </row>
    <row r="30" spans="1:12">
      <c r="A30" s="2" t="s">
        <v>1208</v>
      </c>
      <c r="B30" s="1" t="s">
        <v>1087</v>
      </c>
      <c r="C30" s="1" t="s">
        <v>1211</v>
      </c>
      <c r="D30" s="3">
        <v>20</v>
      </c>
      <c r="E30" s="1">
        <v>3</v>
      </c>
      <c r="F30" s="3">
        <f>D30*E30</f>
        <v>60</v>
      </c>
      <c r="G30" s="3">
        <f>F30*1.13</f>
        <v>67.8</v>
      </c>
      <c r="H30" s="3"/>
      <c r="I30" s="1"/>
      <c r="J30" s="3">
        <v>70.45</v>
      </c>
    </row>
    <row r="31" spans="1:12">
      <c r="A31" s="2" t="s">
        <v>1210</v>
      </c>
      <c r="B31" s="1" t="s">
        <v>27</v>
      </c>
      <c r="C31" s="1" t="s">
        <v>1209</v>
      </c>
      <c r="D31" s="3">
        <v>150</v>
      </c>
      <c r="E31" s="1">
        <v>15</v>
      </c>
      <c r="F31" s="3">
        <f>D31*E31</f>
        <v>2250</v>
      </c>
      <c r="G31" s="3">
        <f>F31*1.13</f>
        <v>2542.4999999999995</v>
      </c>
      <c r="H31" s="3"/>
      <c r="I31" s="1"/>
      <c r="J31" s="3">
        <v>2025</v>
      </c>
      <c r="L31" s="4">
        <v>259.05</v>
      </c>
    </row>
    <row r="32" spans="1:12">
      <c r="A32" s="2" t="s">
        <v>1208</v>
      </c>
      <c r="B32" s="1" t="s">
        <v>1428</v>
      </c>
      <c r="C32" s="1"/>
      <c r="D32" s="3"/>
      <c r="E32" s="1"/>
      <c r="F32" s="3">
        <f>D32*E32</f>
        <v>0</v>
      </c>
      <c r="G32" s="3">
        <f>F32*1.13</f>
        <v>0</v>
      </c>
      <c r="H32" s="3"/>
      <c r="I32" s="1"/>
      <c r="J32" s="3">
        <f>156.92</f>
        <v>156.91999999999999</v>
      </c>
      <c r="L32" s="4">
        <v>1297.68</v>
      </c>
    </row>
    <row r="34" spans="1:10" ht="15.75">
      <c r="A34" s="293" t="s">
        <v>1207</v>
      </c>
      <c r="B34" s="294"/>
      <c r="C34" s="294"/>
      <c r="D34" s="294"/>
      <c r="E34" s="294"/>
      <c r="F34" s="295"/>
      <c r="G34" s="9">
        <f>G35</f>
        <v>5000</v>
      </c>
      <c r="H34" s="308">
        <f>H35</f>
        <v>5308.69</v>
      </c>
      <c r="I34" s="309"/>
      <c r="J34" s="310"/>
    </row>
    <row r="35" spans="1:10">
      <c r="A35" s="296" t="s">
        <v>11</v>
      </c>
      <c r="B35" s="297"/>
      <c r="C35" s="297"/>
      <c r="D35" s="297"/>
      <c r="E35" s="297"/>
      <c r="F35" s="298"/>
      <c r="G35" s="8">
        <f>SUM(G37:G39)</f>
        <v>5000</v>
      </c>
      <c r="H35" s="311">
        <f>SUM(J37:J39)</f>
        <v>5308.69</v>
      </c>
      <c r="I35" s="312"/>
      <c r="J35" s="313"/>
    </row>
    <row r="36" spans="1:10">
      <c r="A36" s="314" t="s">
        <v>1206</v>
      </c>
      <c r="B36" s="315"/>
      <c r="C36" s="315"/>
      <c r="D36" s="315"/>
      <c r="E36" s="315"/>
      <c r="F36" s="315"/>
      <c r="G36" s="315"/>
      <c r="H36" s="315"/>
      <c r="I36" s="315"/>
      <c r="J36" s="316"/>
    </row>
    <row r="37" spans="1:10">
      <c r="A37" s="2" t="s">
        <v>1205</v>
      </c>
      <c r="B37" s="1" t="s">
        <v>1204</v>
      </c>
      <c r="C37" s="1" t="s">
        <v>1203</v>
      </c>
      <c r="D37" s="3">
        <v>5000</v>
      </c>
      <c r="E37" s="1">
        <v>1</v>
      </c>
      <c r="F37" s="3">
        <f>D37*E37</f>
        <v>5000</v>
      </c>
      <c r="G37" s="3">
        <f>F37</f>
        <v>5000</v>
      </c>
      <c r="H37" s="3"/>
      <c r="I37" s="1"/>
      <c r="J37" s="3">
        <v>5308.69</v>
      </c>
    </row>
    <row r="38" spans="1:10">
      <c r="A38" s="2" t="s">
        <v>1202</v>
      </c>
      <c r="B38" s="1"/>
      <c r="C38" s="1"/>
      <c r="D38" s="3"/>
      <c r="E38" s="1"/>
      <c r="F38" s="3">
        <f>D38*E38</f>
        <v>0</v>
      </c>
      <c r="G38" s="3">
        <f>F38*1.13</f>
        <v>0</v>
      </c>
      <c r="H38" s="3"/>
      <c r="I38" s="1"/>
      <c r="J38" s="3"/>
    </row>
    <row r="39" spans="1:10">
      <c r="A39" s="2" t="s">
        <v>1201</v>
      </c>
      <c r="B39" s="1"/>
      <c r="C39" s="1"/>
      <c r="D39" s="3"/>
      <c r="E39" s="1"/>
      <c r="F39" s="3">
        <f>D39*E39</f>
        <v>0</v>
      </c>
      <c r="G39" s="3">
        <f>F39*1.13</f>
        <v>0</v>
      </c>
      <c r="H39" s="3"/>
      <c r="I39" s="1"/>
      <c r="J39" s="3"/>
    </row>
    <row r="41" spans="1:10" ht="15.75">
      <c r="A41" s="293" t="s">
        <v>1200</v>
      </c>
      <c r="B41" s="294"/>
      <c r="C41" s="294"/>
      <c r="D41" s="294"/>
      <c r="E41" s="294"/>
      <c r="F41" s="295"/>
      <c r="G41" s="9">
        <f>G42</f>
        <v>2080</v>
      </c>
      <c r="H41" s="308">
        <f>H42</f>
        <v>2044.36</v>
      </c>
      <c r="I41" s="309"/>
      <c r="J41" s="310"/>
    </row>
    <row r="42" spans="1:10">
      <c r="A42" s="296" t="s">
        <v>11</v>
      </c>
      <c r="B42" s="297"/>
      <c r="C42" s="297"/>
      <c r="D42" s="297"/>
      <c r="E42" s="297"/>
      <c r="F42" s="298"/>
      <c r="G42" s="8">
        <f>SUM(G44:G45)</f>
        <v>2080</v>
      </c>
      <c r="H42" s="311">
        <f>SUM(J44:J45)</f>
        <v>2044.36</v>
      </c>
      <c r="I42" s="312"/>
      <c r="J42" s="313"/>
    </row>
    <row r="43" spans="1:10">
      <c r="A43" s="314" t="s">
        <v>1133</v>
      </c>
      <c r="B43" s="315"/>
      <c r="C43" s="315"/>
      <c r="D43" s="315"/>
      <c r="E43" s="315"/>
      <c r="F43" s="315"/>
      <c r="G43" s="315"/>
      <c r="H43" s="315"/>
      <c r="I43" s="315"/>
      <c r="J43" s="316"/>
    </row>
    <row r="44" spans="1:10">
      <c r="A44" s="2" t="s">
        <v>1199</v>
      </c>
      <c r="B44" s="1" t="s">
        <v>1198</v>
      </c>
      <c r="C44" s="1" t="s">
        <v>1197</v>
      </c>
      <c r="D44" s="3">
        <v>80</v>
      </c>
      <c r="E44" s="1">
        <v>10</v>
      </c>
      <c r="F44" s="3">
        <f>D44*E44</f>
        <v>800</v>
      </c>
      <c r="G44" s="3">
        <f>F44</f>
        <v>800</v>
      </c>
      <c r="H44" s="3"/>
      <c r="I44" s="1"/>
      <c r="J44" s="3">
        <v>791.76</v>
      </c>
    </row>
    <row r="45" spans="1:10">
      <c r="A45" s="2" t="s">
        <v>1196</v>
      </c>
      <c r="B45" s="1" t="s">
        <v>1195</v>
      </c>
      <c r="C45" s="1" t="s">
        <v>1194</v>
      </c>
      <c r="D45" s="3">
        <v>80</v>
      </c>
      <c r="E45" s="1">
        <v>16</v>
      </c>
      <c r="F45" s="3">
        <f>D45*E45</f>
        <v>1280</v>
      </c>
      <c r="G45" s="3">
        <f>F45</f>
        <v>1280</v>
      </c>
      <c r="H45" s="3"/>
      <c r="I45" s="1"/>
      <c r="J45" s="3">
        <f>1252.6</f>
        <v>1252.5999999999999</v>
      </c>
    </row>
    <row r="47" spans="1:10" ht="15.75">
      <c r="A47" s="293" t="s">
        <v>1193</v>
      </c>
      <c r="B47" s="294"/>
      <c r="C47" s="294"/>
      <c r="D47" s="294"/>
      <c r="E47" s="294"/>
      <c r="F47" s="295"/>
      <c r="G47" s="9">
        <f>G48</f>
        <v>455</v>
      </c>
      <c r="H47" s="308">
        <f>H48</f>
        <v>110.74000000000001</v>
      </c>
      <c r="I47" s="309"/>
      <c r="J47" s="310"/>
    </row>
    <row r="48" spans="1:10">
      <c r="A48" s="296" t="s">
        <v>11</v>
      </c>
      <c r="B48" s="297"/>
      <c r="C48" s="297"/>
      <c r="D48" s="297"/>
      <c r="E48" s="297"/>
      <c r="F48" s="298"/>
      <c r="G48" s="8">
        <f>SUM(G50:G50)</f>
        <v>455</v>
      </c>
      <c r="H48" s="311">
        <f>SUM(J50:J51)</f>
        <v>110.74000000000001</v>
      </c>
      <c r="I48" s="312"/>
      <c r="J48" s="313"/>
    </row>
    <row r="49" spans="1:11">
      <c r="A49" s="314" t="s">
        <v>1192</v>
      </c>
      <c r="B49" s="315"/>
      <c r="C49" s="315"/>
      <c r="D49" s="315"/>
      <c r="E49" s="315"/>
      <c r="F49" s="315"/>
      <c r="G49" s="315"/>
      <c r="H49" s="315"/>
      <c r="I49" s="315"/>
      <c r="J49" s="316"/>
    </row>
    <row r="50" spans="1:11">
      <c r="A50" s="2" t="s">
        <v>1191</v>
      </c>
      <c r="B50" s="1" t="s">
        <v>177</v>
      </c>
      <c r="C50" s="1" t="s">
        <v>1190</v>
      </c>
      <c r="D50" s="3">
        <v>35</v>
      </c>
      <c r="E50" s="1">
        <v>13</v>
      </c>
      <c r="F50" s="3">
        <f>D50*E50</f>
        <v>455</v>
      </c>
      <c r="G50" s="3">
        <f>F50</f>
        <v>455</v>
      </c>
      <c r="H50" s="3"/>
      <c r="I50" s="1"/>
      <c r="J50" s="3">
        <f>36.09+17.09</f>
        <v>53.180000000000007</v>
      </c>
    </row>
    <row r="51" spans="1:11">
      <c r="A51" s="4" t="s">
        <v>1426</v>
      </c>
      <c r="B51" s="4" t="s">
        <v>1427</v>
      </c>
      <c r="J51" s="3">
        <v>57.56</v>
      </c>
    </row>
    <row r="52" spans="1:11" ht="15.75" customHeight="1">
      <c r="A52" s="293" t="s">
        <v>1418</v>
      </c>
      <c r="B52" s="294"/>
      <c r="C52" s="294"/>
      <c r="D52" s="294"/>
      <c r="E52" s="294"/>
      <c r="F52" s="295"/>
      <c r="G52" s="9">
        <f>G53</f>
        <v>4341.09</v>
      </c>
      <c r="H52" s="308">
        <f>H53</f>
        <v>1947.77</v>
      </c>
      <c r="I52" s="309"/>
      <c r="J52" s="310"/>
      <c r="K52" s="25"/>
    </row>
    <row r="53" spans="1:11" ht="15" customHeight="1">
      <c r="A53" s="296" t="s">
        <v>11</v>
      </c>
      <c r="B53" s="297"/>
      <c r="C53" s="297"/>
      <c r="D53" s="297"/>
      <c r="E53" s="297"/>
      <c r="F53" s="298"/>
      <c r="G53" s="8">
        <f>SUM(G55:G56)</f>
        <v>4341.09</v>
      </c>
      <c r="H53" s="311">
        <f>SUM(J55:J58)</f>
        <v>1947.77</v>
      </c>
      <c r="I53" s="312"/>
      <c r="J53" s="313"/>
      <c r="K53" s="25"/>
    </row>
    <row r="54" spans="1:11" ht="15" customHeight="1">
      <c r="A54" s="314"/>
      <c r="B54" s="315"/>
      <c r="C54" s="315"/>
      <c r="D54" s="315"/>
      <c r="E54" s="315"/>
      <c r="F54" s="315"/>
      <c r="G54" s="315"/>
      <c r="H54" s="315"/>
      <c r="I54" s="315"/>
      <c r="J54" s="316"/>
      <c r="K54" s="25"/>
    </row>
    <row r="55" spans="1:11" ht="15" customHeight="1">
      <c r="A55" s="2" t="s">
        <v>1419</v>
      </c>
      <c r="B55" s="1" t="s">
        <v>1421</v>
      </c>
      <c r="C55" s="1" t="s">
        <v>1051</v>
      </c>
      <c r="D55" s="3">
        <v>1750</v>
      </c>
      <c r="E55" s="1">
        <v>1</v>
      </c>
      <c r="F55" s="3">
        <f>D55*E55</f>
        <v>1750</v>
      </c>
      <c r="G55" s="3">
        <f>F55</f>
        <v>1750</v>
      </c>
      <c r="H55" s="3"/>
      <c r="I55" s="1"/>
      <c r="J55" s="3">
        <f>932.85+389.92</f>
        <v>1322.77</v>
      </c>
      <c r="K55" s="25"/>
    </row>
    <row r="56" spans="1:11" ht="15" customHeight="1">
      <c r="A56" s="2" t="s">
        <v>1420</v>
      </c>
      <c r="B56" s="1" t="s">
        <v>1343</v>
      </c>
      <c r="C56" s="1" t="s">
        <v>1422</v>
      </c>
      <c r="D56" s="3">
        <v>2293</v>
      </c>
      <c r="E56" s="1">
        <v>1</v>
      </c>
      <c r="F56" s="3">
        <f>D56*E56</f>
        <v>2293</v>
      </c>
      <c r="G56" s="3">
        <f>F56*1.13</f>
        <v>2591.0899999999997</v>
      </c>
      <c r="H56" s="3"/>
      <c r="I56" s="1"/>
      <c r="J56" s="3">
        <v>0</v>
      </c>
      <c r="K56" s="25"/>
    </row>
    <row r="57" spans="1:11" ht="15" customHeight="1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25"/>
    </row>
    <row r="58" spans="1:11" ht="15" customHeight="1">
      <c r="A58" s="155" t="s">
        <v>1444</v>
      </c>
      <c r="B58" s="119"/>
      <c r="C58" s="119"/>
      <c r="D58" s="119"/>
      <c r="E58" s="119"/>
      <c r="F58" s="119"/>
      <c r="G58" s="119"/>
      <c r="H58" s="119"/>
      <c r="I58" s="119"/>
      <c r="J58" s="154">
        <v>625</v>
      </c>
      <c r="K58" s="25"/>
    </row>
    <row r="59" spans="1:11" ht="15" customHeight="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25"/>
    </row>
    <row r="60" spans="1:11" ht="15" customHeight="1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25"/>
    </row>
    <row r="61" spans="1:11" ht="15" customHeight="1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25"/>
    </row>
    <row r="62" spans="1:11" ht="15" customHeight="1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25"/>
    </row>
    <row r="63" spans="1:11" ht="15" customHeight="1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25"/>
    </row>
    <row r="64" spans="1:11" ht="15" customHeight="1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25"/>
    </row>
    <row r="65" spans="1:11" ht="15" customHeight="1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25"/>
    </row>
    <row r="66" spans="1:11" ht="15" customHeight="1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25"/>
    </row>
    <row r="67" spans="1:11" ht="15" customHeight="1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25"/>
    </row>
    <row r="68" spans="1:11" ht="15.75" customHeight="1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25"/>
    </row>
    <row r="69" spans="1:11" ht="15" customHeight="1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25"/>
    </row>
    <row r="70" spans="1:11" ht="15" customHeight="1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25"/>
    </row>
    <row r="71" spans="1:11" ht="15" customHeight="1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25"/>
    </row>
    <row r="72" spans="1:11" ht="15" customHeight="1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25"/>
    </row>
    <row r="73" spans="1:11" ht="15" customHeight="1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25"/>
    </row>
    <row r="74" spans="1:11" ht="15" customHeight="1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25"/>
    </row>
    <row r="75" spans="1:11" ht="15" customHeight="1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25"/>
    </row>
    <row r="76" spans="1:11" ht="15" customHeight="1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25"/>
    </row>
    <row r="77" spans="1:11" ht="15" customHeight="1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25"/>
    </row>
    <row r="78" spans="1:11" ht="15" customHeight="1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25"/>
    </row>
    <row r="79" spans="1:11" ht="15" customHeight="1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25"/>
    </row>
    <row r="80" spans="1:11" ht="15" customHeight="1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25"/>
    </row>
    <row r="81" spans="1:11" ht="15" customHeight="1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25"/>
    </row>
    <row r="82" spans="1:11" ht="15" customHeight="1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25"/>
    </row>
    <row r="83" spans="1:11" ht="15" customHeight="1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25"/>
    </row>
    <row r="84" spans="1:11" ht="15.75" customHeight="1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25"/>
    </row>
    <row r="85" spans="1:11" ht="15" customHeight="1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25"/>
    </row>
    <row r="86" spans="1:11" ht="15" customHeight="1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25"/>
    </row>
    <row r="87" spans="1:11" ht="15" customHeight="1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25"/>
    </row>
    <row r="88" spans="1:11" ht="15" customHeight="1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25"/>
    </row>
    <row r="89" spans="1:11" ht="15" customHeight="1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25"/>
    </row>
    <row r="90" spans="1:11" ht="15" customHeight="1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25"/>
    </row>
    <row r="91" spans="1:11" ht="15" customHeight="1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25"/>
    </row>
    <row r="92" spans="1:11" ht="15" customHeight="1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25"/>
    </row>
    <row r="93" spans="1:11" ht="15" customHeight="1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25"/>
    </row>
    <row r="94" spans="1:11" ht="15" customHeight="1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25"/>
    </row>
    <row r="95" spans="1:11">
      <c r="A95" s="26"/>
      <c r="B95" s="25"/>
      <c r="C95" s="25"/>
      <c r="D95" s="24"/>
      <c r="E95" s="25"/>
      <c r="F95" s="24"/>
      <c r="G95" s="24"/>
      <c r="H95" s="24"/>
      <c r="I95" s="25"/>
      <c r="J95" s="24"/>
      <c r="K95" s="25"/>
    </row>
    <row r="96" spans="1:11">
      <c r="A96" s="26"/>
      <c r="B96" s="25"/>
      <c r="C96" s="25"/>
      <c r="D96" s="24"/>
      <c r="E96" s="25"/>
      <c r="F96" s="24"/>
      <c r="G96" s="24"/>
      <c r="H96" s="24"/>
      <c r="I96" s="25"/>
      <c r="J96" s="24"/>
      <c r="K96" s="25"/>
    </row>
    <row r="97" spans="1:11">
      <c r="A97" s="26"/>
      <c r="B97" s="25"/>
      <c r="C97" s="25"/>
      <c r="D97" s="24"/>
      <c r="E97" s="25"/>
      <c r="F97" s="24"/>
      <c r="G97" s="24"/>
      <c r="H97" s="24"/>
      <c r="I97" s="25"/>
      <c r="J97" s="24"/>
      <c r="K97" s="25"/>
    </row>
    <row r="98" spans="1:11">
      <c r="A98" s="26"/>
      <c r="B98" s="25"/>
      <c r="C98" s="25"/>
      <c r="D98" s="24"/>
      <c r="E98" s="25"/>
      <c r="F98" s="24"/>
      <c r="G98" s="24"/>
      <c r="H98" s="24"/>
      <c r="I98" s="25"/>
      <c r="J98" s="24"/>
      <c r="K98" s="25"/>
    </row>
  </sheetData>
  <mergeCells count="41">
    <mergeCell ref="H47:J47"/>
    <mergeCell ref="A48:F48"/>
    <mergeCell ref="H48:J48"/>
    <mergeCell ref="A49:J49"/>
    <mergeCell ref="A27:J27"/>
    <mergeCell ref="A42:F42"/>
    <mergeCell ref="H42:J42"/>
    <mergeCell ref="A43:J43"/>
    <mergeCell ref="A47:F47"/>
    <mergeCell ref="A41:F41"/>
    <mergeCell ref="H41:J41"/>
    <mergeCell ref="A34:F34"/>
    <mergeCell ref="H34:J34"/>
    <mergeCell ref="A35:F35"/>
    <mergeCell ref="H35:J35"/>
    <mergeCell ref="A36:J36"/>
    <mergeCell ref="A9:F9"/>
    <mergeCell ref="H9:J9"/>
    <mergeCell ref="A10:J10"/>
    <mergeCell ref="A26:F26"/>
    <mergeCell ref="H26:J26"/>
    <mergeCell ref="A15:F15"/>
    <mergeCell ref="H15:J15"/>
    <mergeCell ref="A16:F16"/>
    <mergeCell ref="H16:J16"/>
    <mergeCell ref="A17:J17"/>
    <mergeCell ref="A21:J21"/>
    <mergeCell ref="A25:F25"/>
    <mergeCell ref="H25:J25"/>
    <mergeCell ref="A8:F8"/>
    <mergeCell ref="H8:J8"/>
    <mergeCell ref="A1:E2"/>
    <mergeCell ref="F1:G1"/>
    <mergeCell ref="H1:J1"/>
    <mergeCell ref="F2:G2"/>
    <mergeCell ref="H2:J2"/>
    <mergeCell ref="A52:F52"/>
    <mergeCell ref="H52:J52"/>
    <mergeCell ref="A53:F53"/>
    <mergeCell ref="H53:J53"/>
    <mergeCell ref="A54:J54"/>
  </mergeCells>
  <hyperlinks>
    <hyperlink ref="A1:E2" location="Summary!A1" display="11 - President - Taylor Wheeler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3" zoomScale="130" zoomScaleNormal="130" zoomScalePageLayoutView="130" workbookViewId="0">
      <selection activeCell="J25" sqref="J25"/>
    </sheetView>
  </sheetViews>
  <sheetFormatPr defaultColWidth="8.85546875" defaultRowHeight="15"/>
  <cols>
    <col min="1" max="1" width="8.85546875" style="4"/>
    <col min="2" max="2" width="14" style="4" bestFit="1" customWidth="1"/>
    <col min="3" max="3" width="26.42578125" style="4" bestFit="1" customWidth="1"/>
    <col min="4" max="4" width="8.85546875" style="4"/>
    <col min="5" max="5" width="6.28515625" style="4" customWidth="1"/>
    <col min="6" max="6" width="10.42578125" style="4" bestFit="1" customWidth="1"/>
    <col min="7" max="7" width="12.28515625" style="4" bestFit="1" customWidth="1"/>
    <col min="8" max="9" width="8.85546875" style="4"/>
    <col min="10" max="10" width="12.28515625" style="4" bestFit="1" customWidth="1"/>
    <col min="11" max="16384" width="8.85546875" style="4"/>
  </cols>
  <sheetData>
    <row r="1" spans="1:10" ht="18.75">
      <c r="A1" s="302" t="s">
        <v>1354</v>
      </c>
      <c r="B1" s="302"/>
      <c r="C1" s="302"/>
      <c r="D1" s="302"/>
      <c r="E1" s="302"/>
      <c r="F1" s="303">
        <f>G8+G30</f>
        <v>488.72499999999991</v>
      </c>
      <c r="G1" s="304"/>
      <c r="H1" s="303">
        <f>H8</f>
        <v>792.51000000000022</v>
      </c>
      <c r="I1" s="317"/>
      <c r="J1" s="304"/>
    </row>
    <row r="2" spans="1:10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5" spans="1:10" ht="57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8" spans="1:10" ht="15.75">
      <c r="A8" s="293" t="s">
        <v>50</v>
      </c>
      <c r="B8" s="294"/>
      <c r="C8" s="294"/>
      <c r="D8" s="294"/>
      <c r="E8" s="294"/>
      <c r="F8" s="295"/>
      <c r="G8" s="9">
        <f>SUM(G9+G23)</f>
        <v>488.72499999999991</v>
      </c>
      <c r="H8" s="308">
        <f>H9+H23</f>
        <v>792.51000000000022</v>
      </c>
      <c r="I8" s="309"/>
      <c r="J8" s="310"/>
    </row>
    <row r="9" spans="1:10">
      <c r="A9" s="296" t="s">
        <v>11</v>
      </c>
      <c r="B9" s="297"/>
      <c r="C9" s="297"/>
      <c r="D9" s="297"/>
      <c r="E9" s="297"/>
      <c r="F9" s="298"/>
      <c r="G9" s="8">
        <f>SUM(G11:G122)</f>
        <v>488.72499999999991</v>
      </c>
      <c r="H9" s="311">
        <f>SUM(J11:J21)</f>
        <v>14493.76</v>
      </c>
      <c r="I9" s="312"/>
      <c r="J9" s="313"/>
    </row>
    <row r="10" spans="1:10">
      <c r="A10" s="314" t="s">
        <v>437</v>
      </c>
      <c r="B10" s="315"/>
      <c r="C10" s="315"/>
      <c r="D10" s="315"/>
      <c r="E10" s="315"/>
      <c r="F10" s="315"/>
      <c r="G10" s="315"/>
      <c r="H10" s="315"/>
      <c r="I10" s="315"/>
      <c r="J10" s="316"/>
    </row>
    <row r="11" spans="1:10">
      <c r="A11" s="2" t="s">
        <v>1359</v>
      </c>
      <c r="B11" s="1" t="s">
        <v>167</v>
      </c>
      <c r="C11" s="1" t="s">
        <v>435</v>
      </c>
      <c r="D11" s="3">
        <v>2</v>
      </c>
      <c r="E11" s="1">
        <v>25</v>
      </c>
      <c r="F11" s="3">
        <f t="shared" ref="F11:F14" si="0">D11*E11</f>
        <v>50</v>
      </c>
      <c r="G11" s="3">
        <f t="shared" ref="G11:G14" si="1">F11*1.13</f>
        <v>56.499999999999993</v>
      </c>
      <c r="H11" s="3"/>
      <c r="I11" s="1"/>
      <c r="J11" s="3">
        <f>17*80</f>
        <v>1360</v>
      </c>
    </row>
    <row r="12" spans="1:10">
      <c r="A12" s="2" t="s">
        <v>436</v>
      </c>
      <c r="B12" s="1" t="s">
        <v>16</v>
      </c>
      <c r="C12" s="1" t="s">
        <v>435</v>
      </c>
      <c r="D12" s="3">
        <v>0.5</v>
      </c>
      <c r="E12" s="1">
        <v>25</v>
      </c>
      <c r="F12" s="3">
        <f t="shared" si="0"/>
        <v>12.5</v>
      </c>
      <c r="G12" s="3">
        <f t="shared" si="1"/>
        <v>14.124999999999998</v>
      </c>
      <c r="H12" s="3"/>
      <c r="I12" s="1"/>
      <c r="J12" s="3">
        <f>159</f>
        <v>159</v>
      </c>
    </row>
    <row r="13" spans="1:10">
      <c r="A13" s="2" t="s">
        <v>434</v>
      </c>
      <c r="B13" s="1" t="s">
        <v>342</v>
      </c>
      <c r="C13" s="1" t="s">
        <v>433</v>
      </c>
      <c r="D13" s="3">
        <v>0.6</v>
      </c>
      <c r="E13" s="1">
        <v>200</v>
      </c>
      <c r="F13" s="3">
        <f t="shared" si="0"/>
        <v>120</v>
      </c>
      <c r="G13" s="3">
        <f t="shared" si="1"/>
        <v>135.6</v>
      </c>
      <c r="H13" s="3"/>
      <c r="I13" s="1"/>
      <c r="J13" s="3">
        <f>79.22</f>
        <v>79.22</v>
      </c>
    </row>
    <row r="14" spans="1:10">
      <c r="A14" s="2" t="s">
        <v>432</v>
      </c>
      <c r="B14" s="1"/>
      <c r="C14" s="1"/>
      <c r="D14" s="3"/>
      <c r="E14" s="1"/>
      <c r="F14" s="3">
        <f t="shared" si="0"/>
        <v>0</v>
      </c>
      <c r="G14" s="3">
        <f t="shared" si="1"/>
        <v>0</v>
      </c>
      <c r="H14" s="3"/>
      <c r="I14" s="1"/>
      <c r="J14" s="3">
        <f>198+104.62+71.13</f>
        <v>373.75</v>
      </c>
    </row>
    <row r="15" spans="1:10">
      <c r="A15" s="314" t="s">
        <v>1442</v>
      </c>
      <c r="B15" s="315"/>
      <c r="C15" s="315"/>
      <c r="D15" s="315"/>
      <c r="E15" s="315"/>
      <c r="F15" s="315"/>
      <c r="G15" s="315"/>
      <c r="H15" s="315"/>
      <c r="I15" s="315"/>
      <c r="J15" s="316"/>
    </row>
    <row r="16" spans="1:10">
      <c r="A16" s="2" t="s">
        <v>431</v>
      </c>
      <c r="B16" s="1" t="s">
        <v>167</v>
      </c>
      <c r="C16" s="1" t="s">
        <v>1345</v>
      </c>
      <c r="D16" s="3">
        <v>2</v>
      </c>
      <c r="E16" s="1">
        <v>10</v>
      </c>
      <c r="F16" s="3">
        <f>D16*E16</f>
        <v>20</v>
      </c>
      <c r="G16" s="3">
        <f>F16*1.13</f>
        <v>22.599999999999998</v>
      </c>
      <c r="H16" s="3"/>
      <c r="I16" s="1"/>
      <c r="J16" s="3">
        <v>159</v>
      </c>
    </row>
    <row r="17" spans="1:10">
      <c r="A17" s="2" t="s">
        <v>430</v>
      </c>
      <c r="B17" s="1" t="s">
        <v>16</v>
      </c>
      <c r="C17" s="1" t="s">
        <v>1345</v>
      </c>
      <c r="D17" s="3">
        <v>0.5</v>
      </c>
      <c r="E17" s="1">
        <v>10</v>
      </c>
      <c r="F17" s="3">
        <f t="shared" ref="F17:F18" si="2">D17*E17</f>
        <v>5</v>
      </c>
      <c r="G17" s="3">
        <f t="shared" ref="G17:G18" si="3">F17*1.13</f>
        <v>5.6499999999999995</v>
      </c>
      <c r="H17" s="3"/>
      <c r="I17" s="1"/>
      <c r="J17" s="3"/>
    </row>
    <row r="18" spans="1:10">
      <c r="A18" s="2" t="s">
        <v>1346</v>
      </c>
      <c r="B18" s="1" t="s">
        <v>1347</v>
      </c>
      <c r="C18" s="1" t="s">
        <v>1348</v>
      </c>
      <c r="D18" s="3">
        <v>4.5</v>
      </c>
      <c r="E18" s="1">
        <v>50</v>
      </c>
      <c r="F18" s="3">
        <f t="shared" si="2"/>
        <v>225</v>
      </c>
      <c r="G18" s="3">
        <f t="shared" si="3"/>
        <v>254.24999999999997</v>
      </c>
      <c r="H18" s="3"/>
      <c r="I18" s="1"/>
      <c r="J18" s="3">
        <v>234.12</v>
      </c>
    </row>
    <row r="19" spans="1:10">
      <c r="A19" s="314" t="s">
        <v>1429</v>
      </c>
      <c r="B19" s="315"/>
      <c r="C19" s="315"/>
      <c r="D19" s="315"/>
      <c r="E19" s="315"/>
      <c r="F19" s="315"/>
      <c r="G19" s="315"/>
      <c r="H19" s="315"/>
      <c r="I19" s="315"/>
      <c r="J19" s="316"/>
    </row>
    <row r="20" spans="1:10">
      <c r="A20" s="2"/>
      <c r="B20" s="1" t="s">
        <v>1439</v>
      </c>
      <c r="C20" s="1"/>
      <c r="D20" s="3"/>
      <c r="E20" s="1"/>
      <c r="F20" s="3"/>
      <c r="G20" s="3"/>
      <c r="H20" s="3"/>
      <c r="I20" s="1"/>
      <c r="J20" s="3">
        <f>3531.25+1765.63+588.54</f>
        <v>5885.42</v>
      </c>
    </row>
    <row r="21" spans="1:10">
      <c r="A21" s="2"/>
      <c r="B21" s="1" t="s">
        <v>1440</v>
      </c>
      <c r="C21" s="1"/>
      <c r="D21" s="3"/>
      <c r="E21" s="1"/>
      <c r="F21" s="3"/>
      <c r="G21" s="3"/>
      <c r="H21" s="3"/>
      <c r="I21" s="1"/>
      <c r="J21" s="3">
        <v>6243.25</v>
      </c>
    </row>
    <row r="22" spans="1:10">
      <c r="A22" s="2"/>
      <c r="B22" s="1"/>
      <c r="C22" s="1"/>
      <c r="D22" s="3"/>
      <c r="E22" s="1"/>
      <c r="F22" s="3"/>
      <c r="G22" s="3"/>
      <c r="H22" s="3"/>
      <c r="I22" s="1"/>
      <c r="J22" s="3"/>
    </row>
    <row r="23" spans="1:10">
      <c r="A23" s="296" t="s">
        <v>12</v>
      </c>
      <c r="B23" s="297"/>
      <c r="C23" s="297"/>
      <c r="D23" s="297"/>
      <c r="E23" s="297"/>
      <c r="F23" s="298"/>
      <c r="G23" s="8">
        <f>-SUM(G24:G28)</f>
        <v>0</v>
      </c>
      <c r="H23" s="299">
        <f>-SUM(J24:J28)</f>
        <v>-13701.25</v>
      </c>
      <c r="I23" s="300"/>
      <c r="J23" s="301"/>
    </row>
    <row r="24" spans="1:10">
      <c r="A24" s="2" t="s">
        <v>1349</v>
      </c>
      <c r="B24" s="1" t="s">
        <v>1441</v>
      </c>
      <c r="C24" s="1"/>
      <c r="D24" s="3"/>
      <c r="E24" s="1"/>
      <c r="F24" s="3">
        <f>E24*D24</f>
        <v>0</v>
      </c>
      <c r="G24" s="3">
        <f>F24*1.13</f>
        <v>0</v>
      </c>
      <c r="H24" s="3"/>
      <c r="I24" s="1"/>
      <c r="J24" s="3">
        <v>1160.25</v>
      </c>
    </row>
    <row r="25" spans="1:10">
      <c r="A25" s="2" t="s">
        <v>1350</v>
      </c>
      <c r="B25" s="1" t="s">
        <v>1445</v>
      </c>
      <c r="C25" s="1"/>
      <c r="D25" s="3"/>
      <c r="E25" s="1"/>
      <c r="F25" s="3">
        <f t="shared" ref="F25:F28" si="4">E25*D25</f>
        <v>0</v>
      </c>
      <c r="G25" s="3">
        <f t="shared" ref="G25:G28" si="5">F25*1.13</f>
        <v>0</v>
      </c>
      <c r="H25" s="3"/>
      <c r="I25" s="1"/>
      <c r="J25" s="3">
        <f>12541</f>
        <v>12541</v>
      </c>
    </row>
    <row r="26" spans="1:10">
      <c r="A26" s="2" t="s">
        <v>1351</v>
      </c>
      <c r="B26" s="1"/>
      <c r="C26" s="1"/>
      <c r="D26" s="3"/>
      <c r="E26" s="1"/>
      <c r="F26" s="3">
        <f t="shared" si="4"/>
        <v>0</v>
      </c>
      <c r="G26" s="3">
        <f t="shared" si="5"/>
        <v>0</v>
      </c>
      <c r="H26" s="3"/>
      <c r="I26" s="1"/>
      <c r="J26" s="3"/>
    </row>
    <row r="27" spans="1:10">
      <c r="A27" s="2" t="s">
        <v>1352</v>
      </c>
      <c r="B27" s="1"/>
      <c r="C27" s="1"/>
      <c r="D27" s="3"/>
      <c r="E27" s="1"/>
      <c r="F27" s="3">
        <f t="shared" si="4"/>
        <v>0</v>
      </c>
      <c r="G27" s="3">
        <f t="shared" si="5"/>
        <v>0</v>
      </c>
      <c r="H27" s="3"/>
      <c r="I27" s="1"/>
      <c r="J27" s="3"/>
    </row>
    <row r="28" spans="1:10">
      <c r="A28" s="2" t="s">
        <v>1353</v>
      </c>
      <c r="B28" s="1"/>
      <c r="C28" s="1"/>
      <c r="D28" s="3"/>
      <c r="E28" s="1"/>
      <c r="F28" s="3">
        <f t="shared" si="4"/>
        <v>0</v>
      </c>
      <c r="G28" s="3">
        <f t="shared" si="5"/>
        <v>0</v>
      </c>
      <c r="H28" s="3"/>
      <c r="I28" s="1"/>
      <c r="J28" s="3"/>
    </row>
  </sheetData>
  <mergeCells count="14">
    <mergeCell ref="A9:F9"/>
    <mergeCell ref="H9:J9"/>
    <mergeCell ref="A10:J10"/>
    <mergeCell ref="A15:J15"/>
    <mergeCell ref="A23:F23"/>
    <mergeCell ref="H23:J23"/>
    <mergeCell ref="A19:J19"/>
    <mergeCell ref="A8:F8"/>
    <mergeCell ref="H8:J8"/>
    <mergeCell ref="A1:E2"/>
    <mergeCell ref="F1:G1"/>
    <mergeCell ref="H1:J1"/>
    <mergeCell ref="F2:G2"/>
    <mergeCell ref="H2:J2"/>
  </mergeCells>
  <hyperlinks>
    <hyperlink ref="A1:E2" location="Summary!A1" display="12 - Academics - Alex Wilson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7"/>
  <sheetViews>
    <sheetView topLeftCell="A49" zoomScale="90" zoomScaleNormal="90" zoomScalePageLayoutView="70" workbookViewId="0">
      <selection activeCell="J18" sqref="J18"/>
    </sheetView>
  </sheetViews>
  <sheetFormatPr defaultColWidth="8.85546875" defaultRowHeight="15"/>
  <cols>
    <col min="1" max="1" width="8.42578125" style="4" bestFit="1" customWidth="1"/>
    <col min="2" max="2" width="30.42578125" style="4" bestFit="1" customWidth="1"/>
    <col min="3" max="3" width="33.85546875" style="4" bestFit="1" customWidth="1"/>
    <col min="4" max="4" width="12.85546875" style="4" bestFit="1" customWidth="1"/>
    <col min="5" max="5" width="7.42578125" style="4" bestFit="1" customWidth="1"/>
    <col min="6" max="6" width="13.42578125" style="4" bestFit="1" customWidth="1"/>
    <col min="7" max="7" width="14.7109375" style="4" bestFit="1" customWidth="1"/>
    <col min="8" max="9" width="8.85546875" style="4"/>
    <col min="10" max="10" width="12.140625" style="4" bestFit="1" customWidth="1"/>
    <col min="11" max="11" width="12.42578125" style="4" bestFit="1" customWidth="1"/>
    <col min="12" max="16384" width="8.85546875" style="4"/>
  </cols>
  <sheetData>
    <row r="1" spans="1:11" ht="18.75">
      <c r="A1" s="318" t="s">
        <v>1185</v>
      </c>
      <c r="B1" s="318"/>
      <c r="C1" s="318"/>
      <c r="D1" s="318"/>
      <c r="E1" s="318"/>
      <c r="F1" s="303">
        <f>G8+G83</f>
        <v>165576.23442499997</v>
      </c>
      <c r="G1" s="304"/>
      <c r="H1" s="303">
        <f>H8</f>
        <v>187734.79999999996</v>
      </c>
      <c r="I1" s="317"/>
      <c r="J1" s="304"/>
    </row>
    <row r="2" spans="1:11">
      <c r="A2" s="318"/>
      <c r="B2" s="318"/>
      <c r="C2" s="318"/>
      <c r="D2" s="318"/>
      <c r="E2" s="318"/>
      <c r="F2" s="305" t="s">
        <v>6</v>
      </c>
      <c r="G2" s="306"/>
      <c r="H2" s="305" t="s">
        <v>7</v>
      </c>
      <c r="I2" s="307"/>
      <c r="J2" s="306"/>
    </row>
    <row r="5" spans="1:11" ht="30.75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8" spans="1:11" ht="15.75">
      <c r="A8" s="293" t="s">
        <v>50</v>
      </c>
      <c r="B8" s="294"/>
      <c r="C8" s="294"/>
      <c r="D8" s="294"/>
      <c r="E8" s="294"/>
      <c r="F8" s="295"/>
      <c r="G8" s="9">
        <f>SUM(G9+G76)</f>
        <v>165576.23442499997</v>
      </c>
      <c r="H8" s="308">
        <f>H9+H76</f>
        <v>187734.79999999996</v>
      </c>
      <c r="I8" s="309"/>
      <c r="J8" s="310"/>
    </row>
    <row r="9" spans="1:11">
      <c r="A9" s="296" t="s">
        <v>11</v>
      </c>
      <c r="B9" s="297"/>
      <c r="C9" s="297"/>
      <c r="D9" s="297"/>
      <c r="E9" s="297"/>
      <c r="F9" s="298"/>
      <c r="G9" s="8">
        <f>SUM(G11:G75)</f>
        <v>165576.23442499997</v>
      </c>
      <c r="H9" s="311">
        <f>SUM(J11:J75)</f>
        <v>187734.79999999996</v>
      </c>
      <c r="I9" s="312"/>
      <c r="J9" s="313"/>
    </row>
    <row r="10" spans="1:11">
      <c r="A10" s="314" t="s">
        <v>1183</v>
      </c>
      <c r="B10" s="315"/>
      <c r="C10" s="315"/>
      <c r="D10" s="315"/>
      <c r="E10" s="315"/>
      <c r="F10" s="315"/>
      <c r="G10" s="315"/>
      <c r="H10" s="315"/>
      <c r="I10" s="315"/>
      <c r="J10" s="316"/>
    </row>
    <row r="11" spans="1:11">
      <c r="A11" s="118">
        <v>13000</v>
      </c>
      <c r="B11" s="17" t="s">
        <v>1182</v>
      </c>
      <c r="C11" s="17"/>
      <c r="D11" s="18">
        <v>35</v>
      </c>
      <c r="E11" s="17">
        <v>450</v>
      </c>
      <c r="F11" s="18">
        <f>D11*E11</f>
        <v>15750</v>
      </c>
      <c r="G11" s="18">
        <f>F11*1.13</f>
        <v>17797.5</v>
      </c>
      <c r="H11" s="3"/>
      <c r="I11" s="1"/>
      <c r="J11" s="3">
        <v>18204.55</v>
      </c>
    </row>
    <row r="12" spans="1:11">
      <c r="A12" s="111">
        <v>13001</v>
      </c>
      <c r="B12" s="17" t="s">
        <v>1181</v>
      </c>
      <c r="C12" s="17"/>
      <c r="D12" s="18">
        <v>4000</v>
      </c>
      <c r="E12" s="17">
        <v>1</v>
      </c>
      <c r="F12" s="18">
        <f>D12*E12</f>
        <v>4000</v>
      </c>
      <c r="G12" s="18">
        <f>F12*1.13</f>
        <v>4520</v>
      </c>
      <c r="H12" s="3"/>
      <c r="I12" s="1"/>
      <c r="J12" s="3"/>
    </row>
    <row r="13" spans="1:11">
      <c r="A13" s="314" t="s">
        <v>1180</v>
      </c>
      <c r="B13" s="315"/>
      <c r="C13" s="315"/>
      <c r="D13" s="315"/>
      <c r="E13" s="315"/>
      <c r="F13" s="315"/>
      <c r="G13" s="315"/>
      <c r="H13" s="315"/>
      <c r="I13" s="315"/>
      <c r="J13" s="316"/>
    </row>
    <row r="14" spans="1:11">
      <c r="A14" s="2" t="s">
        <v>1179</v>
      </c>
      <c r="B14" s="1" t="s">
        <v>1178</v>
      </c>
      <c r="C14" s="1" t="s">
        <v>1175</v>
      </c>
      <c r="D14" s="3">
        <v>205.87</v>
      </c>
      <c r="E14" s="1">
        <v>12</v>
      </c>
      <c r="F14" s="3">
        <f t="shared" ref="F14:F22" si="0">D14*E14</f>
        <v>2470.44</v>
      </c>
      <c r="G14" s="3">
        <f>F14*1.13</f>
        <v>2791.5971999999997</v>
      </c>
      <c r="H14" s="3"/>
      <c r="I14" s="1"/>
      <c r="J14" s="3">
        <v>4279.29</v>
      </c>
    </row>
    <row r="15" spans="1:11">
      <c r="A15" s="2" t="s">
        <v>1177</v>
      </c>
      <c r="B15" s="1" t="s">
        <v>1176</v>
      </c>
      <c r="C15" s="1" t="s">
        <v>1175</v>
      </c>
      <c r="D15" s="3">
        <v>9.4999999999999998E-3</v>
      </c>
      <c r="E15" s="1">
        <v>85000</v>
      </c>
      <c r="F15" s="3">
        <f t="shared" si="0"/>
        <v>807.5</v>
      </c>
      <c r="G15" s="3">
        <f>F15*1.13</f>
        <v>912.47499999999991</v>
      </c>
      <c r="H15" s="3"/>
      <c r="I15" s="1"/>
      <c r="J15" s="3"/>
      <c r="K15" s="4" t="s">
        <v>1174</v>
      </c>
    </row>
    <row r="16" spans="1:11">
      <c r="A16" s="2" t="s">
        <v>1173</v>
      </c>
      <c r="B16" s="1" t="s">
        <v>1172</v>
      </c>
      <c r="C16" s="1"/>
      <c r="D16" s="3">
        <v>54</v>
      </c>
      <c r="E16" s="1">
        <v>30</v>
      </c>
      <c r="F16" s="3">
        <f t="shared" si="0"/>
        <v>1620</v>
      </c>
      <c r="G16" s="3">
        <f>F16*1.13</f>
        <v>1830.6</v>
      </c>
      <c r="H16" s="3"/>
      <c r="I16" s="1"/>
      <c r="J16" s="3">
        <f>740.11- 106.13-52.57+143.76</f>
        <v>725.17</v>
      </c>
    </row>
    <row r="17" spans="1:11">
      <c r="A17" s="2" t="s">
        <v>1171</v>
      </c>
      <c r="B17" s="1" t="s">
        <v>1170</v>
      </c>
      <c r="C17" s="1"/>
      <c r="D17" s="3">
        <v>30</v>
      </c>
      <c r="E17" s="1">
        <v>12</v>
      </c>
      <c r="F17" s="3">
        <f t="shared" si="0"/>
        <v>360</v>
      </c>
      <c r="G17" s="3">
        <f>F17*1.13</f>
        <v>406.79999999999995</v>
      </c>
      <c r="H17" s="3"/>
      <c r="I17" s="1"/>
      <c r="J17" s="3">
        <f>931.94-129.48+3.45</f>
        <v>805.91000000000008</v>
      </c>
    </row>
    <row r="18" spans="1:11">
      <c r="A18" s="2" t="s">
        <v>1169</v>
      </c>
      <c r="B18" s="1" t="s">
        <v>1063</v>
      </c>
      <c r="C18" s="1" t="s">
        <v>1168</v>
      </c>
      <c r="D18" s="3">
        <v>3400</v>
      </c>
      <c r="E18" s="1">
        <v>1</v>
      </c>
      <c r="F18" s="3">
        <f t="shared" si="0"/>
        <v>3400</v>
      </c>
      <c r="G18" s="3">
        <f>F18</f>
        <v>3400</v>
      </c>
      <c r="H18" s="3"/>
      <c r="I18" s="1"/>
      <c r="J18" s="3">
        <f>3922.2-1312.2</f>
        <v>2610</v>
      </c>
      <c r="K18" s="114"/>
    </row>
    <row r="19" spans="1:11">
      <c r="A19" s="111" t="s">
        <v>1167</v>
      </c>
      <c r="B19" s="17" t="s">
        <v>1061</v>
      </c>
      <c r="C19" s="17" t="s">
        <v>1164</v>
      </c>
      <c r="D19" s="18">
        <v>407.1</v>
      </c>
      <c r="E19" s="17">
        <v>12</v>
      </c>
      <c r="F19" s="18">
        <f t="shared" si="0"/>
        <v>4885.2000000000007</v>
      </c>
      <c r="G19" s="18">
        <f>F19</f>
        <v>4885.2000000000007</v>
      </c>
      <c r="H19" s="3"/>
      <c r="I19" s="1"/>
      <c r="J19" s="3">
        <v>7600.96</v>
      </c>
      <c r="K19" s="114"/>
    </row>
    <row r="20" spans="1:11">
      <c r="A20" s="111" t="s">
        <v>1166</v>
      </c>
      <c r="B20" s="17" t="s">
        <v>1165</v>
      </c>
      <c r="C20" s="17" t="s">
        <v>1164</v>
      </c>
      <c r="D20" s="18">
        <v>25</v>
      </c>
      <c r="E20" s="17">
        <v>12</v>
      </c>
      <c r="F20" s="18">
        <f t="shared" si="0"/>
        <v>300</v>
      </c>
      <c r="G20" s="18">
        <f>F20</f>
        <v>300</v>
      </c>
      <c r="H20" s="3"/>
      <c r="I20" s="1"/>
      <c r="J20" s="3"/>
      <c r="K20" s="114"/>
    </row>
    <row r="21" spans="1:11">
      <c r="A21" s="2" t="s">
        <v>1163</v>
      </c>
      <c r="B21" s="1" t="s">
        <v>1162</v>
      </c>
      <c r="C21" s="1"/>
      <c r="D21" s="3">
        <v>20</v>
      </c>
      <c r="E21" s="1">
        <v>12</v>
      </c>
      <c r="F21" s="3">
        <f t="shared" si="0"/>
        <v>240</v>
      </c>
      <c r="G21" s="3">
        <f>F21*1.13</f>
        <v>271.2</v>
      </c>
      <c r="H21" s="3"/>
      <c r="I21" s="1"/>
      <c r="J21" s="3">
        <f>533.7- 141.59+382.28+197.49</f>
        <v>971.88</v>
      </c>
    </row>
    <row r="22" spans="1:11">
      <c r="A22" s="111" t="s">
        <v>1161</v>
      </c>
      <c r="B22" s="17" t="s">
        <v>1064</v>
      </c>
      <c r="C22" s="17" t="s">
        <v>1160</v>
      </c>
      <c r="D22" s="18">
        <v>1690</v>
      </c>
      <c r="E22" s="17">
        <v>12</v>
      </c>
      <c r="F22" s="18">
        <f t="shared" si="0"/>
        <v>20280</v>
      </c>
      <c r="G22" s="18">
        <f>F22</f>
        <v>20280</v>
      </c>
      <c r="H22" s="3"/>
      <c r="I22" s="1"/>
      <c r="J22" s="3">
        <v>40560</v>
      </c>
      <c r="K22" s="114"/>
    </row>
    <row r="23" spans="1:11">
      <c r="A23" s="111" t="s">
        <v>1159</v>
      </c>
      <c r="B23" s="17" t="s">
        <v>1158</v>
      </c>
      <c r="C23" s="17" t="s">
        <v>1406</v>
      </c>
      <c r="D23" s="18">
        <v>670</v>
      </c>
      <c r="E23" s="17">
        <v>1</v>
      </c>
      <c r="F23" s="18">
        <v>670</v>
      </c>
      <c r="G23" s="18">
        <f>F23*1.13</f>
        <v>757.09999999999991</v>
      </c>
      <c r="H23" s="3"/>
      <c r="I23" s="1"/>
      <c r="J23" s="3">
        <v>1556.51</v>
      </c>
      <c r="K23" s="114"/>
    </row>
    <row r="24" spans="1:11">
      <c r="A24" s="149"/>
      <c r="B24" s="150" t="s">
        <v>1430</v>
      </c>
      <c r="C24" s="150"/>
      <c r="D24" s="151"/>
      <c r="E24" s="150"/>
      <c r="F24" s="151"/>
      <c r="G24" s="151"/>
      <c r="H24" s="12"/>
      <c r="I24" s="11"/>
      <c r="J24" s="13">
        <v>534.51</v>
      </c>
      <c r="K24" s="114"/>
    </row>
    <row r="25" spans="1:11">
      <c r="A25" s="314" t="s">
        <v>1157</v>
      </c>
      <c r="B25" s="315"/>
      <c r="C25" s="315"/>
      <c r="D25" s="315"/>
      <c r="E25" s="315"/>
      <c r="F25" s="315"/>
      <c r="G25" s="315"/>
      <c r="H25" s="315"/>
      <c r="I25" s="315"/>
      <c r="J25" s="316"/>
      <c r="K25" s="114"/>
    </row>
    <row r="26" spans="1:11">
      <c r="A26" s="2" t="s">
        <v>1156</v>
      </c>
      <c r="B26" s="1" t="s">
        <v>1155</v>
      </c>
      <c r="C26" s="1" t="s">
        <v>1154</v>
      </c>
      <c r="D26" s="113">
        <v>19</v>
      </c>
      <c r="E26" s="34">
        <v>30</v>
      </c>
      <c r="F26" s="113">
        <f>D26*E26</f>
        <v>570</v>
      </c>
      <c r="G26" s="113">
        <f>F26*1.13</f>
        <v>644.09999999999991</v>
      </c>
      <c r="H26" s="3"/>
      <c r="I26" s="1"/>
      <c r="J26" s="3">
        <f>21.58*6</f>
        <v>129.47999999999999</v>
      </c>
    </row>
    <row r="27" spans="1:11">
      <c r="A27" s="2" t="s">
        <v>1153</v>
      </c>
      <c r="B27" s="1" t="s">
        <v>1152</v>
      </c>
      <c r="C27" s="1" t="s">
        <v>1151</v>
      </c>
      <c r="D27" s="3">
        <v>89.05</v>
      </c>
      <c r="E27" s="1">
        <v>12</v>
      </c>
      <c r="F27" s="113">
        <f>D27*E27</f>
        <v>1068.5999999999999</v>
      </c>
      <c r="G27" s="113">
        <f>F27*1.13</f>
        <v>1207.5179999999998</v>
      </c>
      <c r="H27" s="3"/>
      <c r="I27" s="1"/>
      <c r="J27" s="3"/>
    </row>
    <row r="28" spans="1:11">
      <c r="A28" s="2" t="s">
        <v>1150</v>
      </c>
      <c r="B28" s="1" t="s">
        <v>1149</v>
      </c>
      <c r="C28" s="1" t="s">
        <v>1148</v>
      </c>
      <c r="D28" s="3">
        <v>30</v>
      </c>
      <c r="E28" s="1">
        <v>3</v>
      </c>
      <c r="F28" s="113">
        <f>D28*E28</f>
        <v>90</v>
      </c>
      <c r="G28" s="113">
        <f>F28*1.13</f>
        <v>101.69999999999999</v>
      </c>
      <c r="H28" s="3"/>
      <c r="I28" s="1"/>
      <c r="J28" s="3">
        <v>140.01</v>
      </c>
    </row>
    <row r="29" spans="1:11">
      <c r="A29" s="2" t="s">
        <v>1147</v>
      </c>
      <c r="B29" s="1" t="s">
        <v>1146</v>
      </c>
      <c r="C29" s="1" t="s">
        <v>1145</v>
      </c>
      <c r="D29" s="3">
        <v>1500</v>
      </c>
      <c r="E29" s="1">
        <v>1</v>
      </c>
      <c r="F29" s="113">
        <f>D29*E29</f>
        <v>1500</v>
      </c>
      <c r="G29" s="113">
        <f>F29*1.13</f>
        <v>1694.9999999999998</v>
      </c>
      <c r="H29" s="3"/>
      <c r="I29" s="1"/>
      <c r="J29" s="3">
        <f>3581.06-2494.19</f>
        <v>1086.8699999999999</v>
      </c>
    </row>
    <row r="30" spans="1:11">
      <c r="A30" s="2" t="s">
        <v>1144</v>
      </c>
      <c r="B30" s="1" t="s">
        <v>1143</v>
      </c>
      <c r="C30" s="1" t="s">
        <v>1142</v>
      </c>
      <c r="D30" s="3">
        <v>0.09</v>
      </c>
      <c r="E30" s="1">
        <v>600</v>
      </c>
      <c r="F30" s="113">
        <f>D30*E30</f>
        <v>54</v>
      </c>
      <c r="G30" s="113">
        <f>F30*1.13</f>
        <v>61.019999999999996</v>
      </c>
      <c r="H30" s="3"/>
      <c r="I30" s="1"/>
      <c r="J30" s="3"/>
    </row>
    <row r="31" spans="1:11">
      <c r="A31" s="314" t="s">
        <v>1141</v>
      </c>
      <c r="B31" s="315"/>
      <c r="C31" s="315"/>
      <c r="D31" s="315"/>
      <c r="E31" s="315"/>
      <c r="F31" s="315"/>
      <c r="G31" s="315"/>
      <c r="H31" s="315"/>
      <c r="I31" s="315"/>
      <c r="J31" s="316"/>
      <c r="K31" s="144"/>
    </row>
    <row r="32" spans="1:11">
      <c r="A32" s="2" t="s">
        <v>1140</v>
      </c>
      <c r="B32" s="1" t="s">
        <v>1139</v>
      </c>
      <c r="C32" s="1" t="s">
        <v>1138</v>
      </c>
      <c r="D32" s="113">
        <v>96</v>
      </c>
      <c r="E32" s="34">
        <v>6</v>
      </c>
      <c r="F32" s="113">
        <f>D32*E32</f>
        <v>576</v>
      </c>
      <c r="G32" s="113">
        <f>F32*1.13</f>
        <v>650.87999999999988</v>
      </c>
      <c r="H32" s="3"/>
      <c r="I32" s="1"/>
      <c r="J32" s="3">
        <f>110.2+94.72+107.69+58.37</f>
        <v>370.98</v>
      </c>
    </row>
    <row r="33" spans="1:12">
      <c r="A33" s="2" t="s">
        <v>1137</v>
      </c>
      <c r="B33" s="1" t="s">
        <v>1136</v>
      </c>
      <c r="C33" s="1" t="s">
        <v>1135</v>
      </c>
      <c r="D33" s="113">
        <v>120</v>
      </c>
      <c r="E33" s="34">
        <v>4</v>
      </c>
      <c r="F33" s="113">
        <f>D33*E33</f>
        <v>480</v>
      </c>
      <c r="G33" s="113">
        <f>F33*1.13</f>
        <v>542.4</v>
      </c>
      <c r="H33" s="14"/>
      <c r="I33" s="11"/>
      <c r="J33" s="13">
        <v>80</v>
      </c>
    </row>
    <row r="34" spans="1:12">
      <c r="A34" s="2" t="s">
        <v>1134</v>
      </c>
      <c r="B34" s="1" t="s">
        <v>1133</v>
      </c>
      <c r="C34" s="1" t="s">
        <v>1132</v>
      </c>
      <c r="D34" s="113">
        <v>35</v>
      </c>
      <c r="E34" s="34">
        <v>30</v>
      </c>
      <c r="F34" s="113">
        <f>D34*E34</f>
        <v>1050</v>
      </c>
      <c r="G34" s="113">
        <f>F34</f>
        <v>1050</v>
      </c>
      <c r="H34" s="14"/>
      <c r="I34" s="11"/>
      <c r="J34" s="13">
        <v>774.91</v>
      </c>
    </row>
    <row r="35" spans="1:12">
      <c r="A35" s="2" t="s">
        <v>1131</v>
      </c>
      <c r="B35" s="1" t="s">
        <v>15</v>
      </c>
      <c r="C35" s="1" t="s">
        <v>1130</v>
      </c>
      <c r="D35" s="113">
        <v>20</v>
      </c>
      <c r="E35" s="34">
        <v>4</v>
      </c>
      <c r="F35" s="113">
        <f>D35*E35</f>
        <v>80</v>
      </c>
      <c r="G35" s="113">
        <f>F35*1.13</f>
        <v>90.399999999999991</v>
      </c>
      <c r="H35" s="14"/>
      <c r="I35" s="11"/>
      <c r="J35" s="13">
        <f>55.46+83.57</f>
        <v>139.03</v>
      </c>
    </row>
    <row r="36" spans="1:12">
      <c r="A36" s="314" t="s">
        <v>1129</v>
      </c>
      <c r="B36" s="315"/>
      <c r="C36" s="315"/>
      <c r="D36" s="315"/>
      <c r="E36" s="315"/>
      <c r="F36" s="315"/>
      <c r="G36" s="315"/>
      <c r="H36" s="315"/>
      <c r="I36" s="315"/>
      <c r="J36" s="316"/>
    </row>
    <row r="37" spans="1:12">
      <c r="A37" s="2" t="s">
        <v>1128</v>
      </c>
      <c r="B37" s="1" t="s">
        <v>1127</v>
      </c>
      <c r="C37" s="1" t="s">
        <v>1126</v>
      </c>
      <c r="D37" s="113">
        <v>1000</v>
      </c>
      <c r="E37" s="34">
        <v>1</v>
      </c>
      <c r="F37" s="113">
        <f t="shared" ref="F37:F49" si="1">D37*E37</f>
        <v>1000</v>
      </c>
      <c r="G37" s="113">
        <f>F37</f>
        <v>1000</v>
      </c>
      <c r="H37" s="3"/>
      <c r="I37" s="1"/>
      <c r="J37" s="3">
        <v>4829</v>
      </c>
      <c r="K37" s="114"/>
    </row>
    <row r="38" spans="1:12">
      <c r="A38" s="117" t="s">
        <v>1125</v>
      </c>
      <c r="B38" s="34" t="s">
        <v>1124</v>
      </c>
      <c r="C38" s="34" t="s">
        <v>1101</v>
      </c>
      <c r="D38" s="113">
        <v>1</v>
      </c>
      <c r="E38" s="34">
        <v>633</v>
      </c>
      <c r="F38" s="113">
        <f t="shared" si="1"/>
        <v>633</v>
      </c>
      <c r="G38" s="113">
        <f>F38*1.13</f>
        <v>715.29</v>
      </c>
      <c r="H38" s="113"/>
      <c r="I38" s="34"/>
      <c r="J38" s="113"/>
      <c r="K38" s="114"/>
    </row>
    <row r="39" spans="1:12">
      <c r="A39" s="117" t="s">
        <v>1123</v>
      </c>
      <c r="B39" s="34" t="s">
        <v>1122</v>
      </c>
      <c r="C39" s="34" t="s">
        <v>1101</v>
      </c>
      <c r="D39" s="113">
        <v>1</v>
      </c>
      <c r="E39" s="34">
        <v>650</v>
      </c>
      <c r="F39" s="113">
        <f t="shared" si="1"/>
        <v>650</v>
      </c>
      <c r="G39" s="113">
        <f>F39*1.13</f>
        <v>734.49999999999989</v>
      </c>
      <c r="H39" s="113"/>
      <c r="I39" s="34"/>
      <c r="J39" s="113"/>
      <c r="K39" s="114"/>
      <c r="L39" s="116"/>
    </row>
    <row r="40" spans="1:12">
      <c r="A40" s="117" t="s">
        <v>1121</v>
      </c>
      <c r="B40" s="34" t="s">
        <v>1120</v>
      </c>
      <c r="C40" s="34" t="s">
        <v>1101</v>
      </c>
      <c r="D40" s="113">
        <v>1</v>
      </c>
      <c r="E40" s="34">
        <v>640</v>
      </c>
      <c r="F40" s="113">
        <f t="shared" si="1"/>
        <v>640</v>
      </c>
      <c r="G40" s="113">
        <f t="shared" ref="G40:G49" si="2">F40</f>
        <v>640</v>
      </c>
      <c r="H40" s="113"/>
      <c r="I40" s="34"/>
      <c r="J40" s="113"/>
      <c r="K40" s="114"/>
      <c r="L40" s="116"/>
    </row>
    <row r="41" spans="1:12">
      <c r="A41" s="117" t="s">
        <v>1119</v>
      </c>
      <c r="B41" s="34" t="s">
        <v>1118</v>
      </c>
      <c r="C41" s="34" t="s">
        <v>1101</v>
      </c>
      <c r="D41" s="113">
        <v>1</v>
      </c>
      <c r="E41" s="34">
        <v>158</v>
      </c>
      <c r="F41" s="113">
        <f t="shared" si="1"/>
        <v>158</v>
      </c>
      <c r="G41" s="113">
        <f t="shared" si="2"/>
        <v>158</v>
      </c>
      <c r="H41" s="113"/>
      <c r="I41" s="34"/>
      <c r="J41" s="113"/>
      <c r="K41" s="114"/>
      <c r="L41" s="116"/>
    </row>
    <row r="42" spans="1:12">
      <c r="A42" s="117" t="s">
        <v>1117</v>
      </c>
      <c r="B42" s="34" t="s">
        <v>1116</v>
      </c>
      <c r="C42" s="34" t="s">
        <v>1101</v>
      </c>
      <c r="D42" s="113">
        <v>1</v>
      </c>
      <c r="E42" s="34">
        <v>309</v>
      </c>
      <c r="F42" s="113">
        <f t="shared" si="1"/>
        <v>309</v>
      </c>
      <c r="G42" s="113">
        <f t="shared" si="2"/>
        <v>309</v>
      </c>
      <c r="H42" s="113"/>
      <c r="I42" s="34"/>
      <c r="J42" s="113"/>
      <c r="K42" s="114"/>
      <c r="L42" s="116"/>
    </row>
    <row r="43" spans="1:12">
      <c r="A43" s="117" t="s">
        <v>1115</v>
      </c>
      <c r="B43" s="34" t="s">
        <v>1114</v>
      </c>
      <c r="C43" s="34" t="s">
        <v>1101</v>
      </c>
      <c r="D43" s="113">
        <v>1</v>
      </c>
      <c r="E43" s="34">
        <v>83</v>
      </c>
      <c r="F43" s="113">
        <f t="shared" si="1"/>
        <v>83</v>
      </c>
      <c r="G43" s="113">
        <f t="shared" si="2"/>
        <v>83</v>
      </c>
      <c r="H43" s="113"/>
      <c r="I43" s="34"/>
      <c r="J43" s="113"/>
      <c r="K43" s="114"/>
      <c r="L43" s="116"/>
    </row>
    <row r="44" spans="1:12">
      <c r="A44" s="117" t="s">
        <v>1113</v>
      </c>
      <c r="B44" s="34" t="s">
        <v>1112</v>
      </c>
      <c r="C44" s="34" t="s">
        <v>1101</v>
      </c>
      <c r="D44" s="113">
        <v>1</v>
      </c>
      <c r="E44" s="34">
        <f>89+183</f>
        <v>272</v>
      </c>
      <c r="F44" s="113">
        <f t="shared" si="1"/>
        <v>272</v>
      </c>
      <c r="G44" s="113">
        <f t="shared" si="2"/>
        <v>272</v>
      </c>
      <c r="H44" s="113"/>
      <c r="I44" s="34"/>
      <c r="J44" s="113"/>
      <c r="K44" s="114"/>
      <c r="L44" s="116"/>
    </row>
    <row r="45" spans="1:12">
      <c r="A45" s="117" t="s">
        <v>1111</v>
      </c>
      <c r="B45" s="34" t="s">
        <v>1110</v>
      </c>
      <c r="C45" s="34" t="s">
        <v>1101</v>
      </c>
      <c r="D45" s="113">
        <v>1</v>
      </c>
      <c r="E45" s="34">
        <v>193</v>
      </c>
      <c r="F45" s="113">
        <f t="shared" si="1"/>
        <v>193</v>
      </c>
      <c r="G45" s="113">
        <f t="shared" si="2"/>
        <v>193</v>
      </c>
      <c r="H45" s="113"/>
      <c r="I45" s="34"/>
      <c r="J45" s="113"/>
      <c r="K45" s="114"/>
      <c r="L45" s="116"/>
    </row>
    <row r="46" spans="1:12">
      <c r="A46" s="117" t="s">
        <v>1109</v>
      </c>
      <c r="B46" s="34" t="s">
        <v>1108</v>
      </c>
      <c r="C46" s="34" t="s">
        <v>1101</v>
      </c>
      <c r="D46" s="113">
        <v>1</v>
      </c>
      <c r="E46" s="34">
        <v>93</v>
      </c>
      <c r="F46" s="113">
        <f t="shared" si="1"/>
        <v>93</v>
      </c>
      <c r="G46" s="113">
        <f t="shared" si="2"/>
        <v>93</v>
      </c>
      <c r="H46" s="113"/>
      <c r="I46" s="34"/>
      <c r="J46" s="113"/>
      <c r="K46" s="114"/>
      <c r="L46" s="116"/>
    </row>
    <row r="47" spans="1:12">
      <c r="A47" s="117" t="s">
        <v>1107</v>
      </c>
      <c r="B47" s="34" t="s">
        <v>1106</v>
      </c>
      <c r="C47" s="34" t="s">
        <v>1101</v>
      </c>
      <c r="D47" s="113">
        <v>1</v>
      </c>
      <c r="E47" s="34">
        <v>200</v>
      </c>
      <c r="F47" s="113">
        <f t="shared" si="1"/>
        <v>200</v>
      </c>
      <c r="G47" s="113">
        <f t="shared" si="2"/>
        <v>200</v>
      </c>
      <c r="H47" s="113"/>
      <c r="I47" s="34"/>
      <c r="J47" s="113"/>
      <c r="K47" s="114"/>
      <c r="L47" s="116"/>
    </row>
    <row r="48" spans="1:12">
      <c r="A48" s="117" t="s">
        <v>1105</v>
      </c>
      <c r="B48" s="34" t="s">
        <v>1104</v>
      </c>
      <c r="C48" s="34" t="s">
        <v>1101</v>
      </c>
      <c r="D48" s="113">
        <v>1</v>
      </c>
      <c r="E48" s="34">
        <v>562</v>
      </c>
      <c r="F48" s="113">
        <f t="shared" si="1"/>
        <v>562</v>
      </c>
      <c r="G48" s="113">
        <f t="shared" si="2"/>
        <v>562</v>
      </c>
      <c r="H48" s="113"/>
      <c r="I48" s="34"/>
      <c r="J48" s="113"/>
      <c r="K48" s="114"/>
      <c r="L48" s="116"/>
    </row>
    <row r="49" spans="1:12">
      <c r="A49" s="117" t="s">
        <v>1103</v>
      </c>
      <c r="B49" s="34" t="s">
        <v>1102</v>
      </c>
      <c r="C49" s="34" t="s">
        <v>1101</v>
      </c>
      <c r="D49" s="113">
        <v>1</v>
      </c>
      <c r="E49" s="34">
        <v>336</v>
      </c>
      <c r="F49" s="113">
        <f t="shared" si="1"/>
        <v>336</v>
      </c>
      <c r="G49" s="113">
        <f t="shared" si="2"/>
        <v>336</v>
      </c>
      <c r="H49" s="113"/>
      <c r="I49" s="34"/>
      <c r="J49" s="113"/>
      <c r="K49" s="114"/>
      <c r="L49" s="116"/>
    </row>
    <row r="50" spans="1:12">
      <c r="A50" s="314" t="s">
        <v>1100</v>
      </c>
      <c r="B50" s="315"/>
      <c r="C50" s="315"/>
      <c r="D50" s="315"/>
      <c r="E50" s="315"/>
      <c r="F50" s="315"/>
      <c r="G50" s="315"/>
      <c r="H50" s="315"/>
      <c r="I50" s="315"/>
      <c r="J50" s="316"/>
    </row>
    <row r="51" spans="1:12">
      <c r="A51" s="2" t="s">
        <v>1099</v>
      </c>
      <c r="B51" s="1" t="s">
        <v>1098</v>
      </c>
      <c r="C51" s="1" t="s">
        <v>1097</v>
      </c>
      <c r="D51" s="113">
        <v>739.97</v>
      </c>
      <c r="E51" s="34">
        <v>1</v>
      </c>
      <c r="F51" s="113">
        <f>D51*E51</f>
        <v>739.97</v>
      </c>
      <c r="G51" s="113">
        <f>F51</f>
        <v>739.97</v>
      </c>
      <c r="H51" s="3"/>
      <c r="I51" s="1"/>
      <c r="J51" s="3">
        <f>957.81</f>
        <v>957.81</v>
      </c>
      <c r="K51" s="114"/>
    </row>
    <row r="52" spans="1:12">
      <c r="A52" s="2" t="s">
        <v>1096</v>
      </c>
      <c r="B52" s="1" t="s">
        <v>1063</v>
      </c>
      <c r="C52" s="1" t="s">
        <v>1095</v>
      </c>
      <c r="D52" s="113">
        <v>1132.55</v>
      </c>
      <c r="E52" s="34">
        <v>1</v>
      </c>
      <c r="F52" s="113">
        <f>D52*E52</f>
        <v>1132.55</v>
      </c>
      <c r="G52" s="113">
        <f>F52*1.13</f>
        <v>1279.7814999999998</v>
      </c>
      <c r="H52" s="3"/>
      <c r="I52" s="1"/>
      <c r="J52" s="3">
        <v>1312.2</v>
      </c>
    </row>
    <row r="53" spans="1:12">
      <c r="A53" s="314" t="s">
        <v>1094</v>
      </c>
      <c r="B53" s="315"/>
      <c r="C53" s="315"/>
      <c r="D53" s="315"/>
      <c r="E53" s="315"/>
      <c r="F53" s="315"/>
      <c r="G53" s="315"/>
      <c r="H53" s="315"/>
      <c r="I53" s="315"/>
      <c r="J53" s="316"/>
    </row>
    <row r="54" spans="1:12">
      <c r="A54" s="2" t="s">
        <v>1093</v>
      </c>
      <c r="B54" s="1" t="s">
        <v>1092</v>
      </c>
      <c r="C54" s="1" t="s">
        <v>1091</v>
      </c>
      <c r="D54" s="113">
        <f>4359.22*1.03</f>
        <v>4489.9966000000004</v>
      </c>
      <c r="E54" s="34">
        <v>12</v>
      </c>
      <c r="F54" s="113">
        <f>D54*E54</f>
        <v>53879.959200000005</v>
      </c>
      <c r="G54" s="113">
        <f>F54</f>
        <v>53879.959200000005</v>
      </c>
      <c r="H54" s="3"/>
      <c r="I54" s="1"/>
      <c r="J54" s="3">
        <v>65850</v>
      </c>
      <c r="K54" s="114"/>
    </row>
    <row r="55" spans="1:12">
      <c r="A55" s="2" t="s">
        <v>1090</v>
      </c>
      <c r="B55" s="1" t="s">
        <v>1089</v>
      </c>
      <c r="C55" s="1"/>
      <c r="D55" s="113">
        <f>1027.14*1.03</f>
        <v>1057.9542000000001</v>
      </c>
      <c r="E55" s="34">
        <v>12</v>
      </c>
      <c r="F55" s="113">
        <f>D55*E55</f>
        <v>12695.450400000002</v>
      </c>
      <c r="G55" s="113">
        <f>F55</f>
        <v>12695.450400000002</v>
      </c>
      <c r="H55" s="3"/>
      <c r="I55" s="1"/>
      <c r="J55" s="3"/>
      <c r="K55" s="114"/>
    </row>
    <row r="56" spans="1:12">
      <c r="A56" s="2" t="s">
        <v>1088</v>
      </c>
      <c r="B56" s="1" t="s">
        <v>1087</v>
      </c>
      <c r="C56" s="1" t="s">
        <v>1086</v>
      </c>
      <c r="D56" s="113">
        <v>922.08</v>
      </c>
      <c r="E56" s="34">
        <v>1</v>
      </c>
      <c r="F56" s="113">
        <f>D56*E56</f>
        <v>922.08</v>
      </c>
      <c r="G56" s="113">
        <f>F56*1.13</f>
        <v>1041.9503999999999</v>
      </c>
      <c r="H56" s="3"/>
      <c r="I56" s="1"/>
      <c r="J56" s="3"/>
      <c r="K56" s="114"/>
    </row>
    <row r="57" spans="1:12">
      <c r="A57" s="10"/>
      <c r="B57" s="11"/>
      <c r="C57" s="11"/>
      <c r="D57" s="152"/>
      <c r="E57" s="153"/>
      <c r="F57" s="152"/>
      <c r="G57" s="152"/>
      <c r="H57" s="12"/>
      <c r="I57" s="11"/>
      <c r="J57" s="13"/>
      <c r="K57" s="114"/>
    </row>
    <row r="58" spans="1:12">
      <c r="A58" s="314" t="s">
        <v>1085</v>
      </c>
      <c r="B58" s="315"/>
      <c r="C58" s="315"/>
      <c r="D58" s="315"/>
      <c r="E58" s="315"/>
      <c r="F58" s="315"/>
      <c r="G58" s="315"/>
      <c r="H58" s="315"/>
      <c r="I58" s="315"/>
      <c r="J58" s="316"/>
      <c r="K58" s="114"/>
    </row>
    <row r="59" spans="1:12">
      <c r="A59" s="2"/>
      <c r="B59" s="1"/>
      <c r="C59" s="1"/>
      <c r="D59" s="113"/>
      <c r="E59" s="34"/>
      <c r="F59" s="113">
        <f>D59*E59</f>
        <v>0</v>
      </c>
      <c r="G59" s="113">
        <f>F59*1.13</f>
        <v>0</v>
      </c>
      <c r="H59" s="3"/>
      <c r="I59" s="1"/>
      <c r="J59" s="3"/>
      <c r="K59" s="114"/>
    </row>
    <row r="60" spans="1:12">
      <c r="A60" s="314" t="s">
        <v>342</v>
      </c>
      <c r="B60" s="315"/>
      <c r="C60" s="315"/>
      <c r="D60" s="315"/>
      <c r="E60" s="315"/>
      <c r="F60" s="315"/>
      <c r="G60" s="315"/>
      <c r="H60" s="315"/>
      <c r="I60" s="315"/>
      <c r="J60" s="316"/>
      <c r="K60" s="114"/>
    </row>
    <row r="61" spans="1:12">
      <c r="A61" s="2"/>
      <c r="B61" s="1" t="s">
        <v>1072</v>
      </c>
      <c r="C61" s="1"/>
      <c r="D61" s="113">
        <v>12234.83</v>
      </c>
      <c r="E61" s="34">
        <v>1</v>
      </c>
      <c r="F61" s="113">
        <f>D61*E61</f>
        <v>12234.83</v>
      </c>
      <c r="G61" s="113">
        <f>F61</f>
        <v>12234.83</v>
      </c>
      <c r="H61" s="3"/>
      <c r="I61" s="1"/>
      <c r="J61" s="3">
        <f>22219</f>
        <v>22219</v>
      </c>
      <c r="K61" s="114" t="s">
        <v>1435</v>
      </c>
    </row>
    <row r="62" spans="1:12">
      <c r="A62" s="2"/>
      <c r="B62" s="1" t="s">
        <v>1070</v>
      </c>
      <c r="C62" s="1"/>
      <c r="D62" s="113">
        <v>11000</v>
      </c>
      <c r="E62" s="34">
        <v>1</v>
      </c>
      <c r="F62" s="113">
        <f>D62*E62</f>
        <v>11000</v>
      </c>
      <c r="G62" s="113">
        <f>F62</f>
        <v>11000</v>
      </c>
      <c r="H62" s="3"/>
      <c r="I62" s="1"/>
      <c r="J62" s="3">
        <v>9378.4699999999993</v>
      </c>
      <c r="K62" s="114"/>
    </row>
    <row r="63" spans="1:12">
      <c r="A63" s="314" t="s">
        <v>1084</v>
      </c>
      <c r="B63" s="315"/>
      <c r="C63" s="315"/>
      <c r="D63" s="315"/>
      <c r="E63" s="315"/>
      <c r="F63" s="315"/>
      <c r="G63" s="315"/>
      <c r="H63" s="315"/>
      <c r="I63" s="315"/>
      <c r="J63" s="316"/>
      <c r="K63" s="114"/>
    </row>
    <row r="64" spans="1:12">
      <c r="A64" s="2"/>
      <c r="B64" s="1" t="s">
        <v>1083</v>
      </c>
      <c r="C64" s="1" t="s">
        <v>1082</v>
      </c>
      <c r="D64" s="113">
        <v>0.5</v>
      </c>
      <c r="E64" s="34">
        <v>2791</v>
      </c>
      <c r="F64" s="113">
        <f>D64*E64</f>
        <v>1395.5</v>
      </c>
      <c r="G64" s="113">
        <f>F64</f>
        <v>1395.5</v>
      </c>
      <c r="H64" s="3"/>
      <c r="I64" s="1"/>
      <c r="J64" s="3">
        <f>788.08</f>
        <v>788.08</v>
      </c>
      <c r="K64" s="114"/>
    </row>
    <row r="65" spans="1:11">
      <c r="A65" s="314" t="s">
        <v>1081</v>
      </c>
      <c r="B65" s="315"/>
      <c r="C65" s="315"/>
      <c r="D65" s="315"/>
      <c r="E65" s="315"/>
      <c r="F65" s="315"/>
      <c r="G65" s="315"/>
      <c r="H65" s="315"/>
      <c r="I65" s="315"/>
      <c r="J65" s="316"/>
      <c r="K65" s="114"/>
    </row>
    <row r="66" spans="1:11">
      <c r="A66" s="2"/>
      <c r="B66" s="17" t="s">
        <v>1079</v>
      </c>
      <c r="C66" s="17" t="s">
        <v>1375</v>
      </c>
      <c r="D66" s="18"/>
      <c r="E66" s="17"/>
      <c r="F66" s="18">
        <f>D66*E66</f>
        <v>0</v>
      </c>
      <c r="G66" s="18">
        <f>F66*1.13</f>
        <v>0</v>
      </c>
      <c r="H66" s="3"/>
      <c r="I66" s="1"/>
      <c r="J66" s="3"/>
      <c r="K66" s="114"/>
    </row>
    <row r="67" spans="1:11">
      <c r="A67" s="2"/>
      <c r="B67" s="17" t="s">
        <v>1078</v>
      </c>
      <c r="C67" s="17" t="s">
        <v>1375</v>
      </c>
      <c r="D67" s="18"/>
      <c r="E67" s="17"/>
      <c r="F67" s="18">
        <f>D67*E67</f>
        <v>0</v>
      </c>
      <c r="G67" s="18">
        <f>F67*1.13</f>
        <v>0</v>
      </c>
      <c r="H67" s="3"/>
      <c r="I67" s="1"/>
      <c r="J67" s="3"/>
      <c r="K67" s="114"/>
    </row>
    <row r="68" spans="1:11">
      <c r="A68" s="2"/>
      <c r="B68" s="17" t="s">
        <v>1077</v>
      </c>
      <c r="C68" s="17" t="s">
        <v>1375</v>
      </c>
      <c r="D68" s="18"/>
      <c r="E68" s="17"/>
      <c r="F68" s="18">
        <f>D68*E68</f>
        <v>0</v>
      </c>
      <c r="G68" s="18">
        <f>F68*1.13</f>
        <v>0</v>
      </c>
      <c r="H68" s="3"/>
      <c r="I68" s="1"/>
      <c r="J68" s="3"/>
      <c r="K68" s="114"/>
    </row>
    <row r="69" spans="1:11">
      <c r="A69" s="2"/>
      <c r="B69" s="115" t="s">
        <v>1075</v>
      </c>
      <c r="C69" s="115" t="s">
        <v>1375</v>
      </c>
      <c r="D69" s="113"/>
      <c r="E69" s="34"/>
      <c r="F69" s="113">
        <f>D69*E69</f>
        <v>0</v>
      </c>
      <c r="G69" s="113">
        <f>F69*1.13</f>
        <v>0</v>
      </c>
      <c r="H69" s="3"/>
      <c r="I69" s="1"/>
      <c r="J69" s="3"/>
      <c r="K69" s="114"/>
    </row>
    <row r="70" spans="1:11">
      <c r="A70" s="2"/>
      <c r="B70" s="115" t="s">
        <v>1074</v>
      </c>
      <c r="C70" s="115" t="s">
        <v>1375</v>
      </c>
      <c r="D70" s="113"/>
      <c r="E70" s="34"/>
      <c r="F70" s="113">
        <f>D70*E70</f>
        <v>0</v>
      </c>
      <c r="G70" s="113">
        <f>F70*1.13</f>
        <v>0</v>
      </c>
      <c r="H70" s="3"/>
      <c r="I70" s="1"/>
      <c r="J70" s="3"/>
      <c r="K70" s="114"/>
    </row>
    <row r="71" spans="1:11">
      <c r="A71" s="314" t="s">
        <v>1080</v>
      </c>
      <c r="B71" s="315"/>
      <c r="C71" s="315"/>
      <c r="D71" s="315"/>
      <c r="E71" s="315"/>
      <c r="F71" s="315"/>
      <c r="G71" s="315"/>
      <c r="H71" s="315"/>
      <c r="I71" s="315"/>
      <c r="J71" s="316"/>
      <c r="K71" s="114"/>
    </row>
    <row r="72" spans="1:11">
      <c r="A72" s="2"/>
      <c r="B72" s="19" t="s">
        <v>1079</v>
      </c>
      <c r="C72" s="19" t="s">
        <v>1076</v>
      </c>
      <c r="D72" s="20">
        <v>16.55</v>
      </c>
      <c r="E72" s="19">
        <v>35</v>
      </c>
      <c r="F72" s="20">
        <f>D72*E72</f>
        <v>579.25</v>
      </c>
      <c r="G72" s="20">
        <f>F72</f>
        <v>579.25</v>
      </c>
      <c r="H72" s="3"/>
      <c r="I72" s="1"/>
      <c r="J72" s="20">
        <v>573.63</v>
      </c>
    </row>
    <row r="73" spans="1:11">
      <c r="A73" s="2"/>
      <c r="B73" s="19" t="s">
        <v>1078</v>
      </c>
      <c r="C73" s="19" t="s">
        <v>1076</v>
      </c>
      <c r="D73" s="20">
        <v>16.55</v>
      </c>
      <c r="E73" s="19">
        <v>35</v>
      </c>
      <c r="F73" s="20">
        <f>D73*E73</f>
        <v>579.25</v>
      </c>
      <c r="G73" s="20">
        <f t="shared" ref="G73:G74" si="3">F73</f>
        <v>579.25</v>
      </c>
      <c r="H73" s="3"/>
      <c r="I73" s="1"/>
      <c r="J73" s="20">
        <v>573.63</v>
      </c>
    </row>
    <row r="74" spans="1:11">
      <c r="A74" s="2"/>
      <c r="B74" s="19" t="s">
        <v>1077</v>
      </c>
      <c r="C74" s="19" t="s">
        <v>1076</v>
      </c>
      <c r="D74" s="20">
        <v>16.55</v>
      </c>
      <c r="E74" s="19">
        <v>35</v>
      </c>
      <c r="F74" s="20">
        <f>D74*E74</f>
        <v>579.25</v>
      </c>
      <c r="G74" s="20">
        <f t="shared" si="3"/>
        <v>579.25</v>
      </c>
      <c r="H74" s="3"/>
      <c r="I74" s="1"/>
      <c r="J74" s="20">
        <v>573.63</v>
      </c>
    </row>
    <row r="75" spans="1:11">
      <c r="A75" s="2"/>
      <c r="B75" s="19" t="s">
        <v>1344</v>
      </c>
      <c r="C75" s="19" t="s">
        <v>1073</v>
      </c>
      <c r="D75" s="20"/>
      <c r="E75" s="19"/>
      <c r="F75" s="20">
        <f>D75*E75</f>
        <v>0</v>
      </c>
      <c r="G75" s="20">
        <f>(0.0178+0.0098+0.0183)*SUM(G72:G74)</f>
        <v>79.762724999999989</v>
      </c>
      <c r="H75" s="3"/>
      <c r="I75" s="1"/>
      <c r="J75" s="3">
        <f>65.19+44.1</f>
        <v>109.28999999999999</v>
      </c>
    </row>
    <row r="76" spans="1:11" s="120" customFormat="1"/>
    <row r="77" spans="1:11" s="120" customFormat="1"/>
    <row r="78" spans="1:11" s="120" customFormat="1"/>
    <row r="79" spans="1:11" s="120" customFormat="1"/>
    <row r="80" spans="1:11" s="120" customFormat="1"/>
    <row r="81" s="120" customFormat="1"/>
    <row r="82" s="120" customFormat="1"/>
    <row r="83" s="120" customFormat="1"/>
    <row r="84" s="120" customFormat="1"/>
    <row r="85" s="120" customFormat="1"/>
    <row r="86" s="120" customFormat="1"/>
    <row r="87" s="120" customFormat="1"/>
    <row r="88" s="120" customFormat="1"/>
    <row r="89" s="120" customFormat="1"/>
    <row r="90" s="120" customFormat="1"/>
    <row r="91" s="120" customFormat="1"/>
    <row r="92" s="120" customFormat="1"/>
    <row r="93" s="120" customFormat="1"/>
    <row r="94" s="120" customFormat="1"/>
    <row r="95" s="120" customFormat="1"/>
    <row r="96" s="120" customFormat="1"/>
    <row r="97" s="120" customFormat="1"/>
  </sheetData>
  <mergeCells count="21">
    <mergeCell ref="A71:J71"/>
    <mergeCell ref="A25:J25"/>
    <mergeCell ref="A9:F9"/>
    <mergeCell ref="H9:J9"/>
    <mergeCell ref="A10:J10"/>
    <mergeCell ref="A13:J13"/>
    <mergeCell ref="A31:J31"/>
    <mergeCell ref="A36:J36"/>
    <mergeCell ref="A50:J50"/>
    <mergeCell ref="A53:J53"/>
    <mergeCell ref="A58:J58"/>
    <mergeCell ref="A60:J60"/>
    <mergeCell ref="A63:J63"/>
    <mergeCell ref="A65:J65"/>
    <mergeCell ref="A8:F8"/>
    <mergeCell ref="H8:J8"/>
    <mergeCell ref="A1:E2"/>
    <mergeCell ref="F1:G1"/>
    <mergeCell ref="H1:J1"/>
    <mergeCell ref="F2:G2"/>
    <mergeCell ref="H2:J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30" zoomScaleNormal="130" zoomScalePageLayoutView="130" workbookViewId="0">
      <selection activeCell="L14" sqref="L14"/>
    </sheetView>
  </sheetViews>
  <sheetFormatPr defaultColWidth="8.85546875" defaultRowHeight="15"/>
  <cols>
    <col min="1" max="1" width="7.140625" style="4" customWidth="1"/>
    <col min="2" max="2" width="18.140625" style="4" bestFit="1" customWidth="1"/>
    <col min="3" max="3" width="26" style="4" customWidth="1"/>
    <col min="4" max="4" width="10.28515625" style="4" customWidth="1"/>
    <col min="5" max="5" width="5.85546875" style="4" customWidth="1"/>
    <col min="6" max="6" width="11.7109375" style="4" customWidth="1"/>
    <col min="7" max="7" width="14.42578125" style="4" customWidth="1"/>
    <col min="8" max="8" width="10.140625" style="4" customWidth="1"/>
    <col min="9" max="9" width="8.85546875" style="4" customWidth="1"/>
    <col min="10" max="10" width="12.42578125" style="4" customWidth="1"/>
    <col min="11" max="16384" width="8.85546875" style="4"/>
  </cols>
  <sheetData>
    <row r="1" spans="1:10" ht="23.25" customHeight="1">
      <c r="A1" s="302" t="s">
        <v>1023</v>
      </c>
      <c r="B1" s="302"/>
      <c r="C1" s="302"/>
      <c r="D1" s="302"/>
      <c r="E1" s="302"/>
      <c r="F1" s="303">
        <f>G8+G16+G20</f>
        <v>2029.7851000000001</v>
      </c>
      <c r="G1" s="304"/>
      <c r="H1" s="319">
        <f>H8+H16+H20</f>
        <v>1630.19</v>
      </c>
      <c r="I1" s="317"/>
      <c r="J1" s="304"/>
    </row>
    <row r="2" spans="1:10" ht="18" customHeight="1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4" spans="1:10" ht="13.5" customHeight="1"/>
    <row r="5" spans="1:10" ht="28.5" customHeight="1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8" spans="1:10" ht="15.75">
      <c r="A8" s="320" t="s">
        <v>390</v>
      </c>
      <c r="B8" s="294"/>
      <c r="C8" s="294"/>
      <c r="D8" s="294"/>
      <c r="E8" s="294"/>
      <c r="F8" s="295"/>
      <c r="G8" s="9">
        <f>G9</f>
        <v>710.09199999999998</v>
      </c>
      <c r="H8" s="321">
        <f>H9</f>
        <v>1356.1</v>
      </c>
      <c r="I8" s="309"/>
      <c r="J8" s="310"/>
    </row>
    <row r="9" spans="1:10">
      <c r="A9" s="296" t="s">
        <v>11</v>
      </c>
      <c r="B9" s="297"/>
      <c r="C9" s="297"/>
      <c r="D9" s="297"/>
      <c r="E9" s="297"/>
      <c r="F9" s="298"/>
      <c r="G9" s="8">
        <f>SUM(G10:G14)</f>
        <v>710.09199999999998</v>
      </c>
      <c r="H9" s="311">
        <f>SUM(J10:J14)</f>
        <v>1356.1</v>
      </c>
      <c r="I9" s="312"/>
      <c r="J9" s="313"/>
    </row>
    <row r="10" spans="1:10">
      <c r="A10" s="2" t="s">
        <v>389</v>
      </c>
      <c r="B10" s="1" t="s">
        <v>167</v>
      </c>
      <c r="C10" s="1" t="s">
        <v>1032</v>
      </c>
      <c r="D10" s="3">
        <v>2</v>
      </c>
      <c r="E10" s="1">
        <v>240</v>
      </c>
      <c r="F10" s="3">
        <f>D10*E10</f>
        <v>480</v>
      </c>
      <c r="G10" s="3">
        <f>F10*1.13</f>
        <v>542.4</v>
      </c>
      <c r="H10" s="3"/>
      <c r="I10" s="1"/>
      <c r="J10" s="3">
        <v>172.44</v>
      </c>
    </row>
    <row r="11" spans="1:10">
      <c r="A11" s="2" t="s">
        <v>388</v>
      </c>
      <c r="B11" s="1" t="s">
        <v>381</v>
      </c>
      <c r="C11" s="1" t="s">
        <v>1033</v>
      </c>
      <c r="D11" s="3">
        <v>0.5</v>
      </c>
      <c r="E11" s="1">
        <v>240</v>
      </c>
      <c r="F11" s="3">
        <f>D11*E11</f>
        <v>120</v>
      </c>
      <c r="G11" s="3">
        <f>F11*1.13</f>
        <v>135.6</v>
      </c>
      <c r="H11" s="3"/>
      <c r="I11" s="1"/>
      <c r="J11" s="3"/>
    </row>
    <row r="12" spans="1:10">
      <c r="A12" s="2" t="s">
        <v>387</v>
      </c>
      <c r="B12" s="1" t="s">
        <v>386</v>
      </c>
      <c r="C12" s="1" t="s">
        <v>364</v>
      </c>
      <c r="D12" s="3">
        <v>0.85</v>
      </c>
      <c r="E12" s="1">
        <v>4</v>
      </c>
      <c r="F12" s="3">
        <f>D12*E12</f>
        <v>3.4</v>
      </c>
      <c r="G12" s="3">
        <f>F12*1.13</f>
        <v>3.8419999999999996</v>
      </c>
      <c r="H12" s="3"/>
      <c r="I12" s="1"/>
      <c r="J12" s="3"/>
    </row>
    <row r="13" spans="1:10">
      <c r="A13" s="2" t="s">
        <v>385</v>
      </c>
      <c r="B13" s="19" t="s">
        <v>384</v>
      </c>
      <c r="C13" s="19" t="s">
        <v>383</v>
      </c>
      <c r="D13" s="20">
        <v>25</v>
      </c>
      <c r="E13" s="19">
        <v>1</v>
      </c>
      <c r="F13" s="20">
        <f>D13*E13</f>
        <v>25</v>
      </c>
      <c r="G13" s="20">
        <f>F13*1.13</f>
        <v>28.249999999999996</v>
      </c>
      <c r="H13" s="3"/>
      <c r="I13" s="1"/>
      <c r="J13" s="3">
        <v>25.41</v>
      </c>
    </row>
    <row r="14" spans="1:10">
      <c r="A14" s="2"/>
      <c r="B14" s="19" t="s">
        <v>1437</v>
      </c>
      <c r="C14" s="19"/>
      <c r="D14" s="20"/>
      <c r="E14" s="19"/>
      <c r="F14" s="20"/>
      <c r="G14" s="20"/>
      <c r="H14" s="3"/>
      <c r="I14" s="1"/>
      <c r="J14" s="3">
        <v>1158.25</v>
      </c>
    </row>
    <row r="16" spans="1:10" ht="15.75">
      <c r="A16" s="320" t="s">
        <v>1031</v>
      </c>
      <c r="B16" s="294"/>
      <c r="C16" s="294"/>
      <c r="D16" s="294"/>
      <c r="E16" s="294"/>
      <c r="F16" s="295"/>
      <c r="G16" s="9">
        <f>G17</f>
        <v>146.89999999999998</v>
      </c>
      <c r="H16" s="321">
        <f>H17</f>
        <v>0</v>
      </c>
      <c r="I16" s="322"/>
      <c r="J16" s="323"/>
    </row>
    <row r="17" spans="1:12">
      <c r="A17" s="296" t="s">
        <v>11</v>
      </c>
      <c r="B17" s="297"/>
      <c r="C17" s="297"/>
      <c r="D17" s="297"/>
      <c r="E17" s="297"/>
      <c r="F17" s="298"/>
      <c r="G17" s="8">
        <f>SUM(G18:G18)</f>
        <v>146.89999999999998</v>
      </c>
      <c r="H17" s="311">
        <f>SUM(J18:J18)</f>
        <v>0</v>
      </c>
      <c r="I17" s="312"/>
      <c r="J17" s="313"/>
    </row>
    <row r="18" spans="1:12">
      <c r="A18" s="2" t="s">
        <v>382</v>
      </c>
      <c r="B18" s="1" t="s">
        <v>1029</v>
      </c>
      <c r="C18" s="1" t="s">
        <v>1030</v>
      </c>
      <c r="D18" s="3">
        <v>10</v>
      </c>
      <c r="E18" s="1">
        <v>13</v>
      </c>
      <c r="F18" s="3">
        <f>D18*E18</f>
        <v>130</v>
      </c>
      <c r="G18" s="3">
        <f>F18*1.13</f>
        <v>146.89999999999998</v>
      </c>
      <c r="H18" s="3"/>
      <c r="I18" s="1"/>
      <c r="J18" s="3"/>
    </row>
    <row r="20" spans="1:12" ht="15.75">
      <c r="A20" s="320" t="s">
        <v>380</v>
      </c>
      <c r="B20" s="294"/>
      <c r="C20" s="294"/>
      <c r="D20" s="294"/>
      <c r="E20" s="294"/>
      <c r="F20" s="295"/>
      <c r="G20" s="9">
        <f>G21</f>
        <v>1172.7931000000001</v>
      </c>
      <c r="H20" s="321">
        <f>H21</f>
        <v>274.09000000000003</v>
      </c>
      <c r="I20" s="309"/>
      <c r="J20" s="310"/>
    </row>
    <row r="21" spans="1:12">
      <c r="A21" s="296" t="s">
        <v>11</v>
      </c>
      <c r="B21" s="297"/>
      <c r="C21" s="297"/>
      <c r="D21" s="297"/>
      <c r="E21" s="297"/>
      <c r="F21" s="298"/>
      <c r="G21" s="8">
        <f>SUM(G22:G28)</f>
        <v>1172.7931000000001</v>
      </c>
      <c r="H21" s="311">
        <f>SUM(J22:J30)</f>
        <v>274.09000000000003</v>
      </c>
      <c r="I21" s="312"/>
      <c r="J21" s="313"/>
    </row>
    <row r="22" spans="1:12">
      <c r="A22" s="2" t="s">
        <v>379</v>
      </c>
      <c r="B22" s="1" t="s">
        <v>378</v>
      </c>
      <c r="C22" s="1" t="s">
        <v>375</v>
      </c>
      <c r="D22" s="3">
        <v>10</v>
      </c>
      <c r="E22" s="1">
        <v>1</v>
      </c>
      <c r="F22" s="36">
        <f t="shared" ref="F22:F28" si="0">D22*E22</f>
        <v>10</v>
      </c>
      <c r="G22" s="3">
        <f t="shared" ref="G22:G28" si="1">F22*1.13</f>
        <v>11.299999999999999</v>
      </c>
      <c r="H22" s="3"/>
      <c r="I22" s="1"/>
      <c r="J22" s="3">
        <v>39.39</v>
      </c>
    </row>
    <row r="23" spans="1:12">
      <c r="A23" s="2" t="s">
        <v>377</v>
      </c>
      <c r="B23" s="1" t="s">
        <v>376</v>
      </c>
      <c r="C23" s="1" t="s">
        <v>375</v>
      </c>
      <c r="D23" s="3">
        <v>10</v>
      </c>
      <c r="E23" s="1">
        <v>1</v>
      </c>
      <c r="F23" s="36">
        <f t="shared" si="0"/>
        <v>10</v>
      </c>
      <c r="G23" s="3">
        <f t="shared" si="1"/>
        <v>11.299999999999999</v>
      </c>
      <c r="H23" s="3"/>
      <c r="I23" s="1"/>
      <c r="J23" s="3">
        <v>5.64</v>
      </c>
    </row>
    <row r="24" spans="1:12">
      <c r="A24" s="2" t="s">
        <v>374</v>
      </c>
      <c r="B24" s="1" t="s">
        <v>373</v>
      </c>
      <c r="C24" s="1" t="s">
        <v>370</v>
      </c>
      <c r="D24" s="3">
        <v>14.92</v>
      </c>
      <c r="E24" s="1">
        <v>1</v>
      </c>
      <c r="F24" s="36">
        <f t="shared" si="0"/>
        <v>14.92</v>
      </c>
      <c r="G24" s="3">
        <f t="shared" si="1"/>
        <v>16.859599999999997</v>
      </c>
      <c r="H24" s="3"/>
      <c r="I24" s="1"/>
      <c r="J24" s="3"/>
    </row>
    <row r="25" spans="1:12">
      <c r="A25" s="2" t="s">
        <v>372</v>
      </c>
      <c r="B25" s="1" t="s">
        <v>371</v>
      </c>
      <c r="C25" s="19" t="s">
        <v>370</v>
      </c>
      <c r="D25" s="20">
        <v>5</v>
      </c>
      <c r="E25" s="19">
        <v>1</v>
      </c>
      <c r="F25" s="37">
        <f t="shared" si="0"/>
        <v>5</v>
      </c>
      <c r="G25" s="3">
        <f t="shared" si="1"/>
        <v>5.6499999999999995</v>
      </c>
      <c r="H25" s="3"/>
      <c r="I25" s="1"/>
      <c r="J25" s="3"/>
      <c r="L25" s="4" t="s">
        <v>1024</v>
      </c>
    </row>
    <row r="26" spans="1:12">
      <c r="A26" s="2" t="s">
        <v>369</v>
      </c>
      <c r="B26" s="1" t="s">
        <v>368</v>
      </c>
      <c r="C26" s="1" t="s">
        <v>367</v>
      </c>
      <c r="D26" s="3">
        <v>478</v>
      </c>
      <c r="E26" s="1">
        <v>2</v>
      </c>
      <c r="F26" s="36">
        <f t="shared" si="0"/>
        <v>956</v>
      </c>
      <c r="G26" s="3">
        <f t="shared" si="1"/>
        <v>1080.28</v>
      </c>
      <c r="H26" s="3"/>
      <c r="I26" s="1"/>
      <c r="J26" s="3"/>
    </row>
    <row r="27" spans="1:12">
      <c r="A27" s="2" t="s">
        <v>366</v>
      </c>
      <c r="B27" s="19" t="s">
        <v>365</v>
      </c>
      <c r="C27" s="19" t="s">
        <v>364</v>
      </c>
      <c r="D27" s="3">
        <v>0.85</v>
      </c>
      <c r="E27" s="1">
        <v>20</v>
      </c>
      <c r="F27" s="36">
        <f t="shared" si="0"/>
        <v>17</v>
      </c>
      <c r="G27" s="3">
        <f t="shared" si="1"/>
        <v>19.209999999999997</v>
      </c>
      <c r="H27" s="1"/>
      <c r="I27" s="1"/>
      <c r="J27" s="1"/>
    </row>
    <row r="28" spans="1:12">
      <c r="A28" s="2" t="s">
        <v>363</v>
      </c>
      <c r="B28" s="19" t="s">
        <v>362</v>
      </c>
      <c r="C28" s="19" t="s">
        <v>361</v>
      </c>
      <c r="D28" s="3">
        <v>24.95</v>
      </c>
      <c r="E28" s="1">
        <v>1</v>
      </c>
      <c r="F28" s="36">
        <f t="shared" si="0"/>
        <v>24.95</v>
      </c>
      <c r="G28" s="3">
        <f t="shared" si="1"/>
        <v>28.193499999999997</v>
      </c>
      <c r="H28" s="1"/>
      <c r="I28" s="1"/>
      <c r="J28" s="1">
        <v>26.37</v>
      </c>
    </row>
    <row r="29" spans="1:12">
      <c r="B29" s="145" t="s">
        <v>1436</v>
      </c>
      <c r="J29" s="4">
        <v>170.53</v>
      </c>
    </row>
    <row r="30" spans="1:12">
      <c r="B30" s="145" t="s">
        <v>1438</v>
      </c>
      <c r="J30" s="4">
        <v>32.159999999999997</v>
      </c>
    </row>
  </sheetData>
  <mergeCells count="17">
    <mergeCell ref="A20:F20"/>
    <mergeCell ref="H20:J20"/>
    <mergeCell ref="A21:F21"/>
    <mergeCell ref="H21:J21"/>
    <mergeCell ref="A8:F8"/>
    <mergeCell ref="H8:J8"/>
    <mergeCell ref="A9:F9"/>
    <mergeCell ref="H9:J9"/>
    <mergeCell ref="A17:F17"/>
    <mergeCell ref="H17:J17"/>
    <mergeCell ref="A16:F16"/>
    <mergeCell ref="H16:J16"/>
    <mergeCell ref="F1:G1"/>
    <mergeCell ref="F2:G2"/>
    <mergeCell ref="H2:J2"/>
    <mergeCell ref="A1:E2"/>
    <mergeCell ref="H1:J1"/>
  </mergeCells>
  <hyperlinks>
    <hyperlink ref="A1:E2" location="Summary!A1" display="14 - VP Society Affairs - Emily Fleck"/>
  </hyperlink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120" zoomScaleNormal="120" zoomScalePageLayoutView="120" workbookViewId="0">
      <selection activeCell="F13" sqref="F13"/>
    </sheetView>
  </sheetViews>
  <sheetFormatPr defaultColWidth="8.85546875" defaultRowHeight="15"/>
  <cols>
    <col min="1" max="1" width="8.85546875" style="4"/>
    <col min="2" max="2" width="14" style="4" bestFit="1" customWidth="1"/>
    <col min="3" max="3" width="33" style="4" customWidth="1"/>
    <col min="4" max="4" width="10.85546875" style="4" bestFit="1" customWidth="1"/>
    <col min="5" max="5" width="5" style="4" customWidth="1"/>
    <col min="6" max="6" width="10.85546875" style="4" bestFit="1" customWidth="1"/>
    <col min="7" max="7" width="13.28515625" style="4" bestFit="1" customWidth="1"/>
    <col min="8" max="9" width="8.85546875" style="4"/>
    <col min="10" max="10" width="10.85546875" style="4" bestFit="1" customWidth="1"/>
    <col min="11" max="16384" width="8.85546875" style="4"/>
  </cols>
  <sheetData>
    <row r="1" spans="1:11" ht="18.75">
      <c r="A1" s="302" t="s">
        <v>1184</v>
      </c>
      <c r="B1" s="302"/>
      <c r="C1" s="302"/>
      <c r="D1" s="302"/>
      <c r="E1" s="302"/>
      <c r="F1" s="303">
        <f>G8+G41</f>
        <v>10326.1</v>
      </c>
      <c r="G1" s="304"/>
      <c r="H1" s="303">
        <f>H8</f>
        <v>8415.23</v>
      </c>
      <c r="I1" s="317"/>
      <c r="J1" s="304"/>
    </row>
    <row r="2" spans="1:11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5" spans="1:11" ht="42.75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8" spans="1:11" ht="15.75">
      <c r="A8" s="293" t="s">
        <v>50</v>
      </c>
      <c r="B8" s="294"/>
      <c r="C8" s="294"/>
      <c r="D8" s="294"/>
      <c r="E8" s="294"/>
      <c r="F8" s="295"/>
      <c r="G8" s="9">
        <f>SUM(G9+G37)</f>
        <v>10326.1</v>
      </c>
      <c r="H8" s="308">
        <f>H9+H37</f>
        <v>8415.23</v>
      </c>
      <c r="I8" s="309"/>
      <c r="J8" s="310"/>
    </row>
    <row r="9" spans="1:11">
      <c r="A9" s="296" t="s">
        <v>11</v>
      </c>
      <c r="B9" s="297"/>
      <c r="C9" s="297"/>
      <c r="D9" s="297"/>
      <c r="E9" s="297"/>
      <c r="F9" s="298"/>
      <c r="G9" s="8">
        <f>SUM(G11:G36)</f>
        <v>11026.1</v>
      </c>
      <c r="H9" s="311">
        <f>SUM(J11:J36)</f>
        <v>9092.43</v>
      </c>
      <c r="I9" s="312"/>
      <c r="J9" s="313"/>
    </row>
    <row r="10" spans="1:11">
      <c r="A10" s="314" t="s">
        <v>51</v>
      </c>
      <c r="B10" s="315"/>
      <c r="C10" s="315"/>
      <c r="D10" s="315"/>
      <c r="E10" s="315"/>
      <c r="F10" s="315"/>
      <c r="G10" s="315"/>
      <c r="H10" s="315"/>
      <c r="I10" s="315"/>
      <c r="J10" s="316"/>
    </row>
    <row r="11" spans="1:11">
      <c r="A11" s="2" t="s">
        <v>52</v>
      </c>
      <c r="B11" s="1" t="s">
        <v>53</v>
      </c>
      <c r="C11" s="1" t="s">
        <v>54</v>
      </c>
      <c r="D11" s="3">
        <v>250</v>
      </c>
      <c r="E11" s="1">
        <v>1</v>
      </c>
      <c r="F11" s="3">
        <f t="shared" ref="F11:F14" si="0">D11*E11</f>
        <v>250</v>
      </c>
      <c r="G11" s="3">
        <f>F11</f>
        <v>250</v>
      </c>
      <c r="H11" s="3"/>
      <c r="I11" s="1"/>
      <c r="J11" s="20">
        <v>100</v>
      </c>
    </row>
    <row r="12" spans="1:11">
      <c r="A12" s="2" t="s">
        <v>55</v>
      </c>
      <c r="B12" s="1" t="s">
        <v>56</v>
      </c>
      <c r="C12" s="1"/>
      <c r="D12" s="3">
        <v>250</v>
      </c>
      <c r="E12" s="1">
        <v>1</v>
      </c>
      <c r="F12" s="3">
        <f t="shared" si="0"/>
        <v>250</v>
      </c>
      <c r="G12" s="3">
        <f>F12</f>
        <v>250</v>
      </c>
      <c r="H12" s="3"/>
      <c r="I12" s="1"/>
      <c r="J12" s="3"/>
    </row>
    <row r="13" spans="1:11">
      <c r="A13" s="2" t="s">
        <v>57</v>
      </c>
      <c r="B13" s="1" t="s">
        <v>34</v>
      </c>
      <c r="C13" s="1"/>
      <c r="D13" s="3">
        <v>250</v>
      </c>
      <c r="E13" s="1">
        <v>1</v>
      </c>
      <c r="F13" s="3">
        <f t="shared" si="0"/>
        <v>250</v>
      </c>
      <c r="G13" s="3">
        <f>F13</f>
        <v>250</v>
      </c>
      <c r="H13" s="3"/>
      <c r="I13" s="1"/>
      <c r="J13" s="3"/>
    </row>
    <row r="14" spans="1:11">
      <c r="A14" s="2" t="s">
        <v>58</v>
      </c>
      <c r="B14" s="1" t="s">
        <v>59</v>
      </c>
      <c r="C14" s="1"/>
      <c r="D14" s="3">
        <v>250</v>
      </c>
      <c r="E14" s="1">
        <v>1</v>
      </c>
      <c r="F14" s="3">
        <f t="shared" si="0"/>
        <v>250</v>
      </c>
      <c r="G14" s="3">
        <f>F14</f>
        <v>250</v>
      </c>
      <c r="H14" s="3"/>
      <c r="I14" s="1"/>
    </row>
    <row r="15" spans="1:11">
      <c r="A15" s="314" t="s">
        <v>60</v>
      </c>
      <c r="B15" s="315"/>
      <c r="C15" s="315"/>
      <c r="D15" s="315"/>
      <c r="E15" s="315"/>
      <c r="F15" s="315"/>
      <c r="G15" s="315"/>
      <c r="H15" s="315"/>
      <c r="I15" s="315"/>
      <c r="J15" s="316"/>
    </row>
    <row r="16" spans="1:11">
      <c r="A16" s="2" t="s">
        <v>61</v>
      </c>
      <c r="B16" s="1" t="s">
        <v>62</v>
      </c>
      <c r="C16" s="1"/>
      <c r="D16" s="3">
        <v>80</v>
      </c>
      <c r="E16" s="1">
        <v>5</v>
      </c>
      <c r="F16" s="3">
        <f>D16*E16</f>
        <v>400</v>
      </c>
      <c r="G16" s="3">
        <f t="shared" ref="G16:G23" si="1">F16</f>
        <v>400</v>
      </c>
      <c r="H16" s="3"/>
      <c r="I16" s="1"/>
      <c r="J16" s="20">
        <v>540</v>
      </c>
      <c r="K16" s="98"/>
    </row>
    <row r="17" spans="1:11">
      <c r="A17" s="2" t="s">
        <v>63</v>
      </c>
      <c r="B17" s="1" t="s">
        <v>64</v>
      </c>
      <c r="C17" s="1"/>
      <c r="D17" s="3">
        <v>50</v>
      </c>
      <c r="E17" s="1">
        <v>5</v>
      </c>
      <c r="F17" s="3">
        <f>D17*E17</f>
        <v>250</v>
      </c>
      <c r="G17" s="3">
        <f t="shared" si="1"/>
        <v>250</v>
      </c>
      <c r="H17" s="3"/>
      <c r="I17" s="1"/>
      <c r="J17" s="20">
        <v>300</v>
      </c>
      <c r="K17" s="98"/>
    </row>
    <row r="18" spans="1:11">
      <c r="A18" s="2" t="s">
        <v>65</v>
      </c>
      <c r="B18" s="1" t="s">
        <v>66</v>
      </c>
      <c r="C18" s="1" t="s">
        <v>67</v>
      </c>
      <c r="D18" s="3">
        <v>50</v>
      </c>
      <c r="E18" s="1">
        <v>3</v>
      </c>
      <c r="F18" s="3">
        <f>D18*E18</f>
        <v>150</v>
      </c>
      <c r="G18" s="3">
        <f t="shared" si="1"/>
        <v>150</v>
      </c>
      <c r="H18" s="3"/>
      <c r="I18" s="1"/>
      <c r="J18" s="20">
        <v>100</v>
      </c>
      <c r="K18" s="98"/>
    </row>
    <row r="19" spans="1:11">
      <c r="A19" s="2" t="s">
        <v>68</v>
      </c>
      <c r="B19" s="1" t="s">
        <v>69</v>
      </c>
      <c r="C19" s="1"/>
      <c r="D19" s="3">
        <v>50</v>
      </c>
      <c r="E19" s="1">
        <v>3</v>
      </c>
      <c r="F19" s="3">
        <f>D19*E19</f>
        <v>150</v>
      </c>
      <c r="G19" s="3">
        <f t="shared" si="1"/>
        <v>150</v>
      </c>
      <c r="H19" s="3"/>
      <c r="I19" s="1"/>
      <c r="J19" s="20">
        <v>150</v>
      </c>
      <c r="K19" s="98"/>
    </row>
    <row r="20" spans="1:11">
      <c r="A20" s="2" t="s">
        <v>70</v>
      </c>
      <c r="B20" s="1" t="s">
        <v>71</v>
      </c>
      <c r="C20" s="1" t="s">
        <v>72</v>
      </c>
      <c r="D20" s="3">
        <v>50</v>
      </c>
      <c r="E20" s="1">
        <v>1</v>
      </c>
      <c r="F20" s="3">
        <f t="shared" ref="F20" si="2">D20*E20</f>
        <v>50</v>
      </c>
      <c r="G20" s="3">
        <f t="shared" si="1"/>
        <v>50</v>
      </c>
      <c r="H20" s="3"/>
      <c r="I20" s="1"/>
      <c r="J20" s="20">
        <v>100</v>
      </c>
      <c r="K20" s="98"/>
    </row>
    <row r="21" spans="1:11">
      <c r="A21" s="2" t="s">
        <v>73</v>
      </c>
      <c r="B21" s="1" t="s">
        <v>74</v>
      </c>
      <c r="C21" s="1" t="s">
        <v>75</v>
      </c>
      <c r="D21" s="3">
        <v>250</v>
      </c>
      <c r="E21" s="1">
        <v>8</v>
      </c>
      <c r="F21" s="3">
        <f>D21*E21</f>
        <v>2000</v>
      </c>
      <c r="G21" s="3">
        <f t="shared" si="1"/>
        <v>2000</v>
      </c>
      <c r="H21" s="3"/>
      <c r="I21" s="1"/>
      <c r="J21" s="20">
        <v>3300</v>
      </c>
      <c r="K21" s="98"/>
    </row>
    <row r="22" spans="1:11">
      <c r="A22" s="2" t="s">
        <v>76</v>
      </c>
      <c r="B22" s="1" t="s">
        <v>74</v>
      </c>
      <c r="C22" s="1" t="s">
        <v>77</v>
      </c>
      <c r="D22" s="3">
        <v>100</v>
      </c>
      <c r="E22" s="1">
        <v>8</v>
      </c>
      <c r="F22" s="3">
        <f>D22*E22</f>
        <v>800</v>
      </c>
      <c r="G22" s="3">
        <f t="shared" si="1"/>
        <v>800</v>
      </c>
      <c r="H22" s="3"/>
      <c r="I22" s="1"/>
      <c r="J22" s="20">
        <f>90.4+213.57+120</f>
        <v>423.97</v>
      </c>
      <c r="K22" s="98"/>
    </row>
    <row r="23" spans="1:11">
      <c r="A23" s="2" t="s">
        <v>78</v>
      </c>
      <c r="B23" s="1" t="s">
        <v>79</v>
      </c>
      <c r="C23" s="1" t="s">
        <v>80</v>
      </c>
      <c r="D23" s="3">
        <v>200</v>
      </c>
      <c r="E23" s="1">
        <v>5</v>
      </c>
      <c r="F23" s="3">
        <f>D23*E23</f>
        <v>1000</v>
      </c>
      <c r="G23" s="3">
        <f t="shared" si="1"/>
        <v>1000</v>
      </c>
      <c r="H23" s="3"/>
      <c r="I23" s="1"/>
      <c r="J23" s="20">
        <f>4*200</f>
        <v>800</v>
      </c>
      <c r="K23" s="98"/>
    </row>
    <row r="24" spans="1:11">
      <c r="A24" s="314" t="s">
        <v>81</v>
      </c>
      <c r="B24" s="315"/>
      <c r="C24" s="315"/>
      <c r="D24" s="315"/>
      <c r="E24" s="315"/>
      <c r="F24" s="315"/>
      <c r="G24" s="315"/>
      <c r="H24" s="315"/>
      <c r="I24" s="315"/>
      <c r="J24" s="316"/>
    </row>
    <row r="25" spans="1:11">
      <c r="A25" s="2" t="s">
        <v>82</v>
      </c>
      <c r="B25" s="1" t="s">
        <v>83</v>
      </c>
      <c r="C25" s="1"/>
      <c r="D25" s="3">
        <v>15</v>
      </c>
      <c r="E25" s="1">
        <v>100</v>
      </c>
      <c r="F25" s="3">
        <f>D25*E25</f>
        <v>1500</v>
      </c>
      <c r="G25" s="3">
        <f>F25</f>
        <v>1500</v>
      </c>
      <c r="H25" s="3"/>
      <c r="I25" s="1"/>
      <c r="J25" s="20">
        <v>210</v>
      </c>
      <c r="K25" s="98"/>
    </row>
    <row r="26" spans="1:11">
      <c r="A26" s="2" t="s">
        <v>84</v>
      </c>
      <c r="B26" s="1" t="s">
        <v>85</v>
      </c>
      <c r="C26" s="1" t="s">
        <v>86</v>
      </c>
      <c r="D26" s="3">
        <v>1000</v>
      </c>
      <c r="E26" s="1">
        <v>1</v>
      </c>
      <c r="F26" s="3">
        <f>D26*E26</f>
        <v>1000</v>
      </c>
      <c r="G26" s="3">
        <f>E26*F26</f>
        <v>1000</v>
      </c>
      <c r="H26" s="3"/>
      <c r="I26" s="1"/>
      <c r="J26" s="20">
        <f>500+500</f>
        <v>1000</v>
      </c>
      <c r="K26" s="98"/>
    </row>
    <row r="27" spans="1:11">
      <c r="A27" s="2" t="s">
        <v>87</v>
      </c>
      <c r="B27" s="1" t="s">
        <v>88</v>
      </c>
      <c r="C27" s="3" t="s">
        <v>89</v>
      </c>
      <c r="D27" s="3">
        <v>250</v>
      </c>
      <c r="E27" s="1">
        <v>2</v>
      </c>
      <c r="F27" s="3">
        <f>D27*E27</f>
        <v>500</v>
      </c>
      <c r="G27" s="3">
        <f>F27</f>
        <v>500</v>
      </c>
      <c r="H27" s="3"/>
      <c r="I27" s="1"/>
      <c r="J27" s="20">
        <f>250</f>
        <v>250</v>
      </c>
      <c r="K27" s="98"/>
    </row>
    <row r="28" spans="1:11">
      <c r="A28" s="2" t="s">
        <v>90</v>
      </c>
      <c r="B28" s="1" t="s">
        <v>34</v>
      </c>
      <c r="C28" s="1" t="s">
        <v>91</v>
      </c>
      <c r="D28" s="3">
        <v>200</v>
      </c>
      <c r="E28" s="1">
        <v>1</v>
      </c>
      <c r="F28" s="3">
        <f t="shared" ref="F28" si="3">D28*E28</f>
        <v>200</v>
      </c>
      <c r="G28" s="3">
        <f t="shared" ref="G28" si="4">F28*1.13</f>
        <v>225.99999999999997</v>
      </c>
      <c r="H28" s="3"/>
      <c r="I28" s="1"/>
      <c r="J28" s="20">
        <v>148.26</v>
      </c>
      <c r="K28" s="98"/>
    </row>
    <row r="29" spans="1:11">
      <c r="A29" s="314" t="s">
        <v>92</v>
      </c>
      <c r="B29" s="315"/>
      <c r="C29" s="315"/>
      <c r="D29" s="315"/>
      <c r="E29" s="315"/>
      <c r="F29" s="315"/>
      <c r="G29" s="315"/>
      <c r="H29" s="315"/>
      <c r="I29" s="315"/>
      <c r="J29" s="316"/>
    </row>
    <row r="30" spans="1:11">
      <c r="A30" s="2" t="s">
        <v>93</v>
      </c>
      <c r="B30" s="1" t="s">
        <v>94</v>
      </c>
      <c r="C30" s="1" t="s">
        <v>95</v>
      </c>
      <c r="D30" s="3">
        <v>20</v>
      </c>
      <c r="E30" s="1">
        <v>1</v>
      </c>
      <c r="F30" s="3">
        <f t="shared" ref="F30:F33" si="5">D30*E30</f>
        <v>20</v>
      </c>
      <c r="G30" s="3">
        <f t="shared" ref="G30:G33" si="6">F30*1.13</f>
        <v>22.599999999999998</v>
      </c>
      <c r="H30" s="3"/>
      <c r="I30" s="1"/>
      <c r="J30" s="20">
        <v>532.12</v>
      </c>
      <c r="K30" s="98"/>
    </row>
    <row r="31" spans="1:11">
      <c r="A31" s="2" t="s">
        <v>96</v>
      </c>
      <c r="B31" s="1" t="s">
        <v>97</v>
      </c>
      <c r="C31" s="1" t="s">
        <v>95</v>
      </c>
      <c r="D31" s="3">
        <v>400</v>
      </c>
      <c r="E31" s="1">
        <v>1</v>
      </c>
      <c r="F31" s="3">
        <f t="shared" si="5"/>
        <v>400</v>
      </c>
      <c r="G31" s="3">
        <f t="shared" si="6"/>
        <v>451.99999999999994</v>
      </c>
      <c r="H31" s="3"/>
      <c r="I31" s="1"/>
      <c r="J31" s="20"/>
      <c r="K31" s="98"/>
    </row>
    <row r="32" spans="1:11">
      <c r="A32" s="2" t="s">
        <v>98</v>
      </c>
      <c r="B32" s="1" t="s">
        <v>99</v>
      </c>
      <c r="C32" s="1" t="s">
        <v>100</v>
      </c>
      <c r="D32" s="3">
        <v>250</v>
      </c>
      <c r="E32" s="1">
        <v>1</v>
      </c>
      <c r="F32" s="3">
        <f t="shared" si="5"/>
        <v>250</v>
      </c>
      <c r="G32" s="3">
        <f t="shared" si="6"/>
        <v>282.5</v>
      </c>
      <c r="H32" s="3"/>
      <c r="I32" s="1"/>
      <c r="J32" s="20">
        <f>73.96+4.73</f>
        <v>78.69</v>
      </c>
      <c r="K32" s="98"/>
    </row>
    <row r="33" spans="1:11">
      <c r="A33" s="2" t="s">
        <v>101</v>
      </c>
      <c r="B33" s="1" t="s">
        <v>102</v>
      </c>
      <c r="C33" s="1" t="s">
        <v>103</v>
      </c>
      <c r="D33" s="3">
        <v>60</v>
      </c>
      <c r="E33" s="1">
        <v>10</v>
      </c>
      <c r="F33" s="3">
        <f t="shared" si="5"/>
        <v>600</v>
      </c>
      <c r="G33" s="3">
        <f t="shared" si="6"/>
        <v>677.99999999999989</v>
      </c>
      <c r="H33" s="3"/>
      <c r="I33" s="1"/>
      <c r="J33" s="20">
        <v>680</v>
      </c>
      <c r="K33" s="98"/>
    </row>
    <row r="34" spans="1:11">
      <c r="A34" s="314" t="s">
        <v>104</v>
      </c>
      <c r="B34" s="315"/>
      <c r="C34" s="315"/>
      <c r="D34" s="315"/>
      <c r="E34" s="315"/>
      <c r="F34" s="315"/>
      <c r="G34" s="315"/>
      <c r="H34" s="315"/>
      <c r="I34" s="315"/>
      <c r="J34" s="316"/>
    </row>
    <row r="35" spans="1:11">
      <c r="A35" s="2" t="s">
        <v>105</v>
      </c>
      <c r="B35" s="1" t="s">
        <v>1355</v>
      </c>
      <c r="C35" s="1" t="s">
        <v>106</v>
      </c>
      <c r="D35" s="3">
        <v>2.5</v>
      </c>
      <c r="E35" s="1">
        <v>100</v>
      </c>
      <c r="F35" s="3">
        <f t="shared" ref="F35:F36" si="7">D35*E35</f>
        <v>250</v>
      </c>
      <c r="G35" s="3">
        <f t="shared" ref="G35" si="8">F35*1.13</f>
        <v>282.5</v>
      </c>
      <c r="H35" s="3"/>
      <c r="I35" s="1"/>
      <c r="J35" s="20">
        <f>72.17+73.17+53.25</f>
        <v>198.59</v>
      </c>
      <c r="K35" s="98"/>
    </row>
    <row r="36" spans="1:11">
      <c r="A36" s="2" t="s">
        <v>107</v>
      </c>
      <c r="B36" s="1" t="s">
        <v>108</v>
      </c>
      <c r="C36" s="1" t="s">
        <v>109</v>
      </c>
      <c r="D36" s="3">
        <v>10</v>
      </c>
      <c r="E36" s="1">
        <v>25</v>
      </c>
      <c r="F36" s="3">
        <f t="shared" si="7"/>
        <v>250</v>
      </c>
      <c r="G36" s="3">
        <f t="shared" ref="G36" si="9">F36*1.13</f>
        <v>282.5</v>
      </c>
      <c r="H36" s="3"/>
      <c r="I36" s="1"/>
      <c r="J36" s="20">
        <v>180.8</v>
      </c>
      <c r="K36" s="98"/>
    </row>
    <row r="37" spans="1:11">
      <c r="A37" s="296" t="s">
        <v>12</v>
      </c>
      <c r="B37" s="297"/>
      <c r="C37" s="297"/>
      <c r="D37" s="297"/>
      <c r="E37" s="297"/>
      <c r="F37" s="298"/>
      <c r="G37" s="8">
        <f>-SUM(G38:G39)</f>
        <v>-700</v>
      </c>
      <c r="H37" s="299">
        <f>-SUM(J38:J40)</f>
        <v>-677.2</v>
      </c>
      <c r="I37" s="300"/>
      <c r="J37" s="301"/>
    </row>
    <row r="38" spans="1:11">
      <c r="A38" s="2" t="s">
        <v>110</v>
      </c>
      <c r="B38" s="1" t="s">
        <v>111</v>
      </c>
      <c r="C38" s="1" t="s">
        <v>112</v>
      </c>
      <c r="D38" s="3">
        <v>500</v>
      </c>
      <c r="E38" s="1">
        <v>1</v>
      </c>
      <c r="F38" s="3">
        <f>E38*D38</f>
        <v>500</v>
      </c>
      <c r="G38" s="3">
        <f>F38</f>
        <v>500</v>
      </c>
      <c r="H38" s="3"/>
      <c r="I38" s="1"/>
      <c r="J38" s="20">
        <v>500</v>
      </c>
    </row>
    <row r="39" spans="1:11">
      <c r="A39" s="2" t="s">
        <v>113</v>
      </c>
      <c r="B39" s="1" t="s">
        <v>114</v>
      </c>
      <c r="C39" s="1" t="s">
        <v>115</v>
      </c>
      <c r="D39" s="3">
        <v>200</v>
      </c>
      <c r="E39" s="1">
        <v>1</v>
      </c>
      <c r="F39" s="3">
        <f>E39*D39</f>
        <v>200</v>
      </c>
      <c r="G39" s="3">
        <f>F39</f>
        <v>200</v>
      </c>
      <c r="H39" s="3"/>
      <c r="I39" s="1"/>
      <c r="J39" s="20"/>
    </row>
    <row r="40" spans="1:11">
      <c r="B40" s="145" t="s">
        <v>1434</v>
      </c>
      <c r="J40" s="98">
        <v>177.2</v>
      </c>
    </row>
  </sheetData>
  <mergeCells count="16">
    <mergeCell ref="A34:J34"/>
    <mergeCell ref="A37:F37"/>
    <mergeCell ref="H37:J37"/>
    <mergeCell ref="A9:F9"/>
    <mergeCell ref="H9:J9"/>
    <mergeCell ref="A10:J10"/>
    <mergeCell ref="A15:J15"/>
    <mergeCell ref="A24:J24"/>
    <mergeCell ref="A29:J29"/>
    <mergeCell ref="A8:F8"/>
    <mergeCell ref="H8:J8"/>
    <mergeCell ref="A1:E2"/>
    <mergeCell ref="F1:G1"/>
    <mergeCell ref="H1:J1"/>
    <mergeCell ref="F2:G2"/>
    <mergeCell ref="H2:J2"/>
  </mergeCells>
  <hyperlinks>
    <hyperlink ref="A1:E2" location="Summary!A1" display="15-VP Student Development-Vikram Bhatia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7" workbookViewId="0">
      <selection activeCell="J35" sqref="J35"/>
    </sheetView>
  </sheetViews>
  <sheetFormatPr defaultColWidth="8.85546875" defaultRowHeight="15"/>
  <cols>
    <col min="1" max="1" width="8.85546875" style="4"/>
    <col min="2" max="2" width="21" style="4" bestFit="1" customWidth="1"/>
    <col min="3" max="3" width="60.28515625" style="4" bestFit="1" customWidth="1"/>
    <col min="4" max="4" width="9.28515625" style="4" bestFit="1" customWidth="1"/>
    <col min="5" max="5" width="6.28515625" style="4" customWidth="1"/>
    <col min="6" max="6" width="10.85546875" style="4" bestFit="1" customWidth="1"/>
    <col min="7" max="7" width="12.28515625" style="4" bestFit="1" customWidth="1"/>
    <col min="8" max="9" width="8.85546875" style="4"/>
    <col min="10" max="10" width="10.5703125" style="4" bestFit="1" customWidth="1"/>
    <col min="11" max="16384" width="8.85546875" style="4"/>
  </cols>
  <sheetData>
    <row r="1" spans="1:10" ht="18.75">
      <c r="A1" s="330" t="s">
        <v>1243</v>
      </c>
      <c r="B1" s="331"/>
      <c r="C1" s="331"/>
      <c r="D1" s="331"/>
      <c r="E1" s="332"/>
      <c r="F1" s="303">
        <f>SUM(G8,G13,G24,G39,G47,G54)</f>
        <v>3022.4044999999996</v>
      </c>
      <c r="G1" s="304"/>
      <c r="H1" s="303">
        <f>SUM(H8,H13,H24,H39,H47,J65)-J69</f>
        <v>1902.0214999999998</v>
      </c>
      <c r="I1" s="317"/>
      <c r="J1" s="304"/>
    </row>
    <row r="2" spans="1:10">
      <c r="A2" s="333"/>
      <c r="B2" s="334"/>
      <c r="C2" s="334"/>
      <c r="D2" s="334"/>
      <c r="E2" s="335"/>
      <c r="F2" s="305" t="s">
        <v>6</v>
      </c>
      <c r="G2" s="306"/>
      <c r="H2" s="305" t="s">
        <v>7</v>
      </c>
      <c r="I2" s="307"/>
      <c r="J2" s="306"/>
    </row>
    <row r="5" spans="1:10" ht="57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8" spans="1:10" ht="15.75">
      <c r="A8" s="293" t="s">
        <v>1051</v>
      </c>
      <c r="B8" s="294"/>
      <c r="C8" s="294"/>
      <c r="D8" s="294"/>
      <c r="E8" s="294"/>
      <c r="F8" s="295"/>
      <c r="G8" s="9">
        <f>SUM(G9)</f>
        <v>56.499999999999993</v>
      </c>
      <c r="H8" s="321">
        <f>H9</f>
        <v>48</v>
      </c>
      <c r="I8" s="309"/>
      <c r="J8" s="310"/>
    </row>
    <row r="9" spans="1:10">
      <c r="A9" s="296" t="s">
        <v>11</v>
      </c>
      <c r="B9" s="297"/>
      <c r="C9" s="297"/>
      <c r="D9" s="297"/>
      <c r="E9" s="297"/>
      <c r="F9" s="298"/>
      <c r="G9" s="8">
        <f>SUM(G11:G11)</f>
        <v>56.499999999999993</v>
      </c>
      <c r="H9" s="311">
        <f>SUM(J11:J11)</f>
        <v>48</v>
      </c>
      <c r="I9" s="312"/>
      <c r="J9" s="313"/>
    </row>
    <row r="10" spans="1:10">
      <c r="A10" s="314" t="s">
        <v>14</v>
      </c>
      <c r="B10" s="315"/>
      <c r="C10" s="315"/>
      <c r="D10" s="315"/>
      <c r="E10" s="315"/>
      <c r="F10" s="315"/>
      <c r="G10" s="315"/>
      <c r="H10" s="315"/>
      <c r="I10" s="315"/>
      <c r="J10" s="316"/>
    </row>
    <row r="11" spans="1:10">
      <c r="A11" s="2" t="s">
        <v>47</v>
      </c>
      <c r="B11" s="1" t="s">
        <v>1186</v>
      </c>
      <c r="C11" s="1" t="s">
        <v>33</v>
      </c>
      <c r="D11" s="3">
        <v>50</v>
      </c>
      <c r="E11" s="1">
        <v>1</v>
      </c>
      <c r="F11" s="3">
        <f>D11*E11</f>
        <v>50</v>
      </c>
      <c r="G11" s="3">
        <f>F11*1.13</f>
        <v>56.499999999999993</v>
      </c>
      <c r="H11" s="3"/>
      <c r="I11" s="1"/>
      <c r="J11" s="3">
        <v>48</v>
      </c>
    </row>
    <row r="12" spans="1:10">
      <c r="A12" s="10"/>
      <c r="B12" s="11"/>
      <c r="C12" s="11"/>
      <c r="D12" s="12"/>
      <c r="E12" s="11"/>
      <c r="F12" s="13"/>
      <c r="G12" s="3"/>
      <c r="H12" s="14"/>
      <c r="I12" s="11"/>
      <c r="J12" s="13"/>
    </row>
    <row r="13" spans="1:10" ht="15.75">
      <c r="A13" s="293" t="s">
        <v>48</v>
      </c>
      <c r="B13" s="294"/>
      <c r="C13" s="294"/>
      <c r="D13" s="294"/>
      <c r="E13" s="294"/>
      <c r="F13" s="295"/>
      <c r="G13" s="9">
        <f>SUM(G14+G21)</f>
        <v>382.505</v>
      </c>
      <c r="H13" s="308">
        <f>H14+H21</f>
        <v>312.50149999999996</v>
      </c>
      <c r="I13" s="309"/>
      <c r="J13" s="310"/>
    </row>
    <row r="14" spans="1:10">
      <c r="A14" s="296" t="s">
        <v>11</v>
      </c>
      <c r="B14" s="297"/>
      <c r="C14" s="297"/>
      <c r="D14" s="297"/>
      <c r="E14" s="297"/>
      <c r="F14" s="298"/>
      <c r="G14" s="8">
        <f>SUM(G16:G20)</f>
        <v>382.505</v>
      </c>
      <c r="H14" s="311">
        <f>SUM(J16:J20)</f>
        <v>312.50149999999996</v>
      </c>
      <c r="I14" s="312"/>
      <c r="J14" s="313"/>
    </row>
    <row r="15" spans="1:10">
      <c r="A15" s="314" t="s">
        <v>23</v>
      </c>
      <c r="B15" s="315"/>
      <c r="C15" s="315"/>
      <c r="D15" s="315"/>
      <c r="E15" s="315"/>
      <c r="F15" s="315"/>
      <c r="G15" s="315"/>
      <c r="H15" s="315"/>
      <c r="I15" s="315"/>
      <c r="J15" s="316"/>
    </row>
    <row r="16" spans="1:10">
      <c r="A16" s="2" t="s">
        <v>37</v>
      </c>
      <c r="B16" s="1" t="s">
        <v>24</v>
      </c>
      <c r="C16" s="1" t="s">
        <v>25</v>
      </c>
      <c r="D16" s="3">
        <v>20</v>
      </c>
      <c r="E16" s="1">
        <v>2</v>
      </c>
      <c r="F16" s="3">
        <f>D16*E16</f>
        <v>40</v>
      </c>
      <c r="G16" s="3">
        <f>F16*1.13</f>
        <v>45.199999999999996</v>
      </c>
      <c r="H16" s="3"/>
      <c r="I16" s="1"/>
      <c r="J16" s="3">
        <f>40*1.13</f>
        <v>45.199999999999996</v>
      </c>
    </row>
    <row r="17" spans="1:10">
      <c r="A17" s="314" t="s">
        <v>22</v>
      </c>
      <c r="B17" s="315"/>
      <c r="C17" s="315"/>
      <c r="D17" s="315"/>
      <c r="E17" s="315"/>
      <c r="F17" s="315"/>
      <c r="G17" s="315"/>
      <c r="H17" s="315"/>
      <c r="I17" s="315"/>
      <c r="J17" s="316"/>
    </row>
    <row r="18" spans="1:10">
      <c r="A18" s="2" t="s">
        <v>1050</v>
      </c>
      <c r="B18" s="1" t="s">
        <v>19</v>
      </c>
      <c r="C18" s="19" t="s">
        <v>21</v>
      </c>
      <c r="D18" s="20">
        <v>14</v>
      </c>
      <c r="E18" s="19">
        <v>9</v>
      </c>
      <c r="F18" s="3">
        <f>D18*E18</f>
        <v>126</v>
      </c>
      <c r="G18" s="3">
        <f>F18*1.13</f>
        <v>142.38</v>
      </c>
      <c r="H18" s="3"/>
      <c r="I18" s="1"/>
      <c r="J18" s="3">
        <f>(112+7.5)*1.13</f>
        <v>135.035</v>
      </c>
    </row>
    <row r="19" spans="1:10">
      <c r="A19" s="2" t="s">
        <v>1049</v>
      </c>
      <c r="B19" s="1" t="s">
        <v>20</v>
      </c>
      <c r="C19" s="19" t="s">
        <v>1187</v>
      </c>
      <c r="D19" s="20">
        <v>65</v>
      </c>
      <c r="E19" s="19">
        <v>1</v>
      </c>
      <c r="F19" s="3">
        <f>D19*E19</f>
        <v>65</v>
      </c>
      <c r="G19" s="3">
        <f>F19*1.13</f>
        <v>73.449999999999989</v>
      </c>
      <c r="H19" s="3"/>
      <c r="I19" s="1"/>
      <c r="J19" s="3">
        <f>37.5*1.13</f>
        <v>42.374999999999993</v>
      </c>
    </row>
    <row r="20" spans="1:10">
      <c r="A20" s="2" t="s">
        <v>1048</v>
      </c>
      <c r="B20" s="1" t="s">
        <v>18</v>
      </c>
      <c r="C20" s="19" t="s">
        <v>26</v>
      </c>
      <c r="D20" s="20">
        <v>2.15</v>
      </c>
      <c r="E20" s="19">
        <v>50</v>
      </c>
      <c r="F20" s="3">
        <f>D20*E20</f>
        <v>107.5</v>
      </c>
      <c r="G20" s="3">
        <f>F20*1.13</f>
        <v>121.47499999999999</v>
      </c>
      <c r="H20" s="3"/>
      <c r="I20" s="1"/>
      <c r="J20" s="3">
        <f>79.55*1.13</f>
        <v>89.891499999999994</v>
      </c>
    </row>
    <row r="21" spans="1:10">
      <c r="A21" s="296" t="s">
        <v>12</v>
      </c>
      <c r="B21" s="297"/>
      <c r="C21" s="297"/>
      <c r="D21" s="297"/>
      <c r="E21" s="297"/>
      <c r="F21" s="298"/>
      <c r="G21" s="8">
        <f>-SUM(G22:G22)</f>
        <v>0</v>
      </c>
      <c r="H21" s="299">
        <f>-SUM(J22:J22)</f>
        <v>0</v>
      </c>
      <c r="I21" s="300"/>
      <c r="J21" s="301"/>
    </row>
    <row r="22" spans="1:10">
      <c r="A22" s="2" t="s">
        <v>38</v>
      </c>
      <c r="B22" s="1"/>
      <c r="C22" s="1"/>
      <c r="D22" s="3"/>
      <c r="E22" s="1"/>
      <c r="F22" s="3">
        <f>E22*D22</f>
        <v>0</v>
      </c>
      <c r="G22" s="3">
        <f>F22*1.13</f>
        <v>0</v>
      </c>
      <c r="H22" s="3"/>
      <c r="I22" s="1"/>
      <c r="J22" s="3"/>
    </row>
    <row r="24" spans="1:10" ht="15.75">
      <c r="A24" s="293" t="s">
        <v>49</v>
      </c>
      <c r="B24" s="294"/>
      <c r="C24" s="294"/>
      <c r="D24" s="294"/>
      <c r="E24" s="294"/>
      <c r="F24" s="295"/>
      <c r="G24" s="9">
        <f>SUM(G25+G36)</f>
        <v>720.70749999999998</v>
      </c>
      <c r="H24" s="308">
        <f>H25+H36</f>
        <v>882.67000000000007</v>
      </c>
      <c r="I24" s="309"/>
      <c r="J24" s="310"/>
    </row>
    <row r="25" spans="1:10">
      <c r="A25" s="296" t="s">
        <v>11</v>
      </c>
      <c r="B25" s="297"/>
      <c r="C25" s="297"/>
      <c r="D25" s="297"/>
      <c r="E25" s="297"/>
      <c r="F25" s="298"/>
      <c r="G25" s="8">
        <f>SUM(G27:G35)</f>
        <v>1720.7075</v>
      </c>
      <c r="H25" s="311">
        <f>SUM(J27:J35)</f>
        <v>2052.67</v>
      </c>
      <c r="I25" s="312"/>
      <c r="J25" s="313"/>
    </row>
    <row r="26" spans="1:10">
      <c r="A26" s="314" t="s">
        <v>34</v>
      </c>
      <c r="B26" s="315"/>
      <c r="C26" s="315"/>
      <c r="D26" s="315"/>
      <c r="E26" s="315"/>
      <c r="F26" s="315"/>
      <c r="G26" s="315"/>
      <c r="H26" s="315"/>
      <c r="I26" s="315"/>
      <c r="J26" s="316"/>
    </row>
    <row r="27" spans="1:10">
      <c r="A27" s="2" t="s">
        <v>39</v>
      </c>
      <c r="B27" s="1" t="s">
        <v>681</v>
      </c>
      <c r="C27" s="1" t="s">
        <v>1047</v>
      </c>
      <c r="D27" s="3">
        <v>6</v>
      </c>
      <c r="E27" s="1">
        <v>25</v>
      </c>
      <c r="F27" s="3">
        <f>D27*E27</f>
        <v>150</v>
      </c>
      <c r="G27" s="3">
        <f>F27*1.13</f>
        <v>169.49999999999997</v>
      </c>
      <c r="H27" s="3"/>
      <c r="I27" s="1"/>
      <c r="J27" s="3">
        <v>51.19</v>
      </c>
    </row>
    <row r="28" spans="1:10">
      <c r="A28" s="2" t="s">
        <v>1046</v>
      </c>
      <c r="B28" s="1" t="s">
        <v>187</v>
      </c>
      <c r="C28" s="1" t="s">
        <v>1045</v>
      </c>
      <c r="D28" s="3">
        <v>0.85</v>
      </c>
      <c r="E28" s="1">
        <v>15</v>
      </c>
      <c r="F28" s="3">
        <f>D28*E28</f>
        <v>12.75</v>
      </c>
      <c r="G28" s="3">
        <f>F28*1.13</f>
        <v>14.407499999999999</v>
      </c>
      <c r="H28" s="3"/>
      <c r="I28" s="1"/>
      <c r="J28" s="3">
        <v>211.2</v>
      </c>
    </row>
    <row r="29" spans="1:10">
      <c r="A29" s="10"/>
      <c r="B29" s="11" t="s">
        <v>1443</v>
      </c>
      <c r="C29" s="11"/>
      <c r="D29" s="12"/>
      <c r="E29" s="11"/>
      <c r="F29" s="12"/>
      <c r="G29" s="12"/>
      <c r="H29" s="12"/>
      <c r="I29" s="11"/>
      <c r="J29" s="13">
        <v>113</v>
      </c>
    </row>
    <row r="30" spans="1:10">
      <c r="A30" s="314" t="s">
        <v>1044</v>
      </c>
      <c r="B30" s="315"/>
      <c r="C30" s="315"/>
      <c r="D30" s="315"/>
      <c r="E30" s="315"/>
      <c r="F30" s="315"/>
      <c r="G30" s="315"/>
      <c r="H30" s="315"/>
      <c r="I30" s="315"/>
      <c r="J30" s="316"/>
    </row>
    <row r="31" spans="1:10">
      <c r="A31" s="2" t="s">
        <v>40</v>
      </c>
      <c r="B31" s="1" t="s">
        <v>1043</v>
      </c>
      <c r="C31" s="1" t="s">
        <v>1042</v>
      </c>
      <c r="D31" s="3">
        <v>180</v>
      </c>
      <c r="E31" s="1">
        <v>1</v>
      </c>
      <c r="F31" s="3">
        <f>D31*E31</f>
        <v>180</v>
      </c>
      <c r="G31" s="3">
        <f>F31*1.13</f>
        <v>203.39999999999998</v>
      </c>
      <c r="H31" s="3"/>
      <c r="I31" s="1"/>
      <c r="J31" s="3"/>
    </row>
    <row r="32" spans="1:10">
      <c r="A32" s="2" t="s">
        <v>1041</v>
      </c>
      <c r="B32" s="1" t="s">
        <v>35</v>
      </c>
      <c r="C32" s="1" t="s">
        <v>36</v>
      </c>
      <c r="D32" s="3">
        <v>50</v>
      </c>
      <c r="E32" s="1">
        <v>1</v>
      </c>
      <c r="F32" s="3">
        <f>D32*E32</f>
        <v>50</v>
      </c>
      <c r="G32" s="3">
        <f>F32*1.13</f>
        <v>56.499999999999993</v>
      </c>
      <c r="H32" s="3"/>
      <c r="I32" s="1"/>
      <c r="J32" s="3">
        <v>104.5</v>
      </c>
    </row>
    <row r="33" spans="1:10">
      <c r="A33" s="314" t="s">
        <v>30</v>
      </c>
      <c r="B33" s="315"/>
      <c r="C33" s="315"/>
      <c r="D33" s="315"/>
      <c r="E33" s="315"/>
      <c r="F33" s="315"/>
      <c r="G33" s="315"/>
      <c r="H33" s="315"/>
      <c r="I33" s="315"/>
      <c r="J33" s="316"/>
    </row>
    <row r="34" spans="1:10">
      <c r="A34" s="2" t="s">
        <v>41</v>
      </c>
      <c r="B34" s="16" t="s">
        <v>31</v>
      </c>
      <c r="C34" s="19" t="s">
        <v>1187</v>
      </c>
      <c r="D34" s="3">
        <v>65</v>
      </c>
      <c r="E34" s="19">
        <v>2</v>
      </c>
      <c r="F34" s="3">
        <f>D34*E34</f>
        <v>130</v>
      </c>
      <c r="G34" s="3">
        <f>F34*1.13</f>
        <v>146.89999999999998</v>
      </c>
      <c r="H34" s="3"/>
      <c r="I34" s="1"/>
      <c r="J34" s="3">
        <f>1353.74+13.69</f>
        <v>1367.43</v>
      </c>
    </row>
    <row r="35" spans="1:10">
      <c r="A35" s="2" t="s">
        <v>42</v>
      </c>
      <c r="B35" s="1" t="s">
        <v>32</v>
      </c>
      <c r="C35" s="1" t="s">
        <v>1040</v>
      </c>
      <c r="D35" s="3">
        <v>10</v>
      </c>
      <c r="E35" s="19">
        <v>100</v>
      </c>
      <c r="F35" s="3">
        <f>D35*E35</f>
        <v>1000</v>
      </c>
      <c r="G35" s="3">
        <f>F35*1.13</f>
        <v>1130</v>
      </c>
      <c r="H35" s="3"/>
      <c r="I35" s="1"/>
      <c r="J35" s="3">
        <v>205.35</v>
      </c>
    </row>
    <row r="36" spans="1:10">
      <c r="A36" s="296" t="s">
        <v>12</v>
      </c>
      <c r="B36" s="297"/>
      <c r="C36" s="297"/>
      <c r="D36" s="297"/>
      <c r="E36" s="297"/>
      <c r="F36" s="298"/>
      <c r="G36" s="8">
        <f>-SUM(G37:G37)</f>
        <v>-1000</v>
      </c>
      <c r="H36" s="299">
        <f>-SUM(J37:J37)</f>
        <v>-1170</v>
      </c>
      <c r="I36" s="300"/>
      <c r="J36" s="301"/>
    </row>
    <row r="37" spans="1:10">
      <c r="A37" s="2" t="s">
        <v>43</v>
      </c>
      <c r="B37" s="1" t="s">
        <v>27</v>
      </c>
      <c r="C37" s="1" t="s">
        <v>28</v>
      </c>
      <c r="D37" s="3">
        <v>10</v>
      </c>
      <c r="E37" s="19">
        <v>100</v>
      </c>
      <c r="F37" s="3">
        <f>E37*D37</f>
        <v>1000</v>
      </c>
      <c r="G37" s="3">
        <f>F37*1</f>
        <v>1000</v>
      </c>
      <c r="H37" s="3"/>
      <c r="I37" s="1"/>
      <c r="J37" s="3">
        <v>1170</v>
      </c>
    </row>
    <row r="39" spans="1:10" ht="15.75">
      <c r="A39" s="293" t="s">
        <v>1389</v>
      </c>
      <c r="B39" s="294"/>
      <c r="C39" s="294"/>
      <c r="D39" s="294"/>
      <c r="E39" s="294"/>
      <c r="F39" s="295"/>
      <c r="G39" s="15">
        <f>G40+G44</f>
        <v>564.99999999999989</v>
      </c>
      <c r="H39" s="308">
        <f>H40+H44</f>
        <v>0</v>
      </c>
      <c r="I39" s="309"/>
      <c r="J39" s="310"/>
    </row>
    <row r="40" spans="1:10">
      <c r="A40" s="296" t="s">
        <v>11</v>
      </c>
      <c r="B40" s="297"/>
      <c r="C40" s="297"/>
      <c r="D40" s="297"/>
      <c r="E40" s="297"/>
      <c r="F40" s="298"/>
      <c r="G40" s="8">
        <f>SUM(G42:G43)</f>
        <v>564.99999999999989</v>
      </c>
      <c r="H40" s="311">
        <f>SUM(J42:J43)</f>
        <v>0</v>
      </c>
      <c r="I40" s="312"/>
      <c r="J40" s="313"/>
    </row>
    <row r="41" spans="1:10">
      <c r="A41" s="314" t="s">
        <v>29</v>
      </c>
      <c r="B41" s="315"/>
      <c r="C41" s="315"/>
      <c r="D41" s="315"/>
      <c r="E41" s="315"/>
      <c r="F41" s="315"/>
      <c r="G41" s="315"/>
      <c r="H41" s="315"/>
      <c r="I41" s="315"/>
      <c r="J41" s="316"/>
    </row>
    <row r="42" spans="1:10">
      <c r="A42" s="2" t="s">
        <v>44</v>
      </c>
      <c r="B42" s="1" t="s">
        <v>167</v>
      </c>
      <c r="C42" s="1" t="s">
        <v>1035</v>
      </c>
      <c r="D42" s="3">
        <v>2</v>
      </c>
      <c r="E42" s="19">
        <v>200</v>
      </c>
      <c r="F42" s="3">
        <f>D42*E42</f>
        <v>400</v>
      </c>
      <c r="G42" s="3">
        <f>F42*1.13</f>
        <v>451.99999999999994</v>
      </c>
      <c r="H42" s="3"/>
      <c r="I42" s="1"/>
      <c r="J42" s="3"/>
    </row>
    <row r="43" spans="1:10">
      <c r="A43" s="2" t="s">
        <v>1388</v>
      </c>
      <c r="B43" s="1" t="s">
        <v>300</v>
      </c>
      <c r="C43" s="1" t="s">
        <v>1034</v>
      </c>
      <c r="D43" s="3">
        <v>0.5</v>
      </c>
      <c r="E43" s="19">
        <v>200</v>
      </c>
      <c r="F43" s="3">
        <f>D43*E43</f>
        <v>100</v>
      </c>
      <c r="G43" s="3">
        <f>F43*1.13</f>
        <v>112.99999999999999</v>
      </c>
      <c r="H43" s="3"/>
      <c r="I43" s="1"/>
      <c r="J43" s="3"/>
    </row>
    <row r="44" spans="1:10">
      <c r="A44" s="296" t="s">
        <v>12</v>
      </c>
      <c r="B44" s="297"/>
      <c r="C44" s="297"/>
      <c r="D44" s="297"/>
      <c r="E44" s="297"/>
      <c r="F44" s="298"/>
      <c r="G44" s="8">
        <f>-SUM(G45:G45)</f>
        <v>0</v>
      </c>
      <c r="H44" s="299">
        <f>-SUM(J45:J45)</f>
        <v>0</v>
      </c>
      <c r="I44" s="300"/>
      <c r="J44" s="301"/>
    </row>
    <row r="45" spans="1:10">
      <c r="A45" s="2" t="s">
        <v>45</v>
      </c>
      <c r="B45" s="1"/>
      <c r="C45" s="1"/>
      <c r="D45" s="3"/>
      <c r="E45" s="1"/>
      <c r="F45" s="3">
        <f>E45*D45</f>
        <v>0</v>
      </c>
      <c r="G45" s="3">
        <f>F45*1.13</f>
        <v>0</v>
      </c>
      <c r="H45" s="3"/>
      <c r="I45" s="1"/>
      <c r="J45" s="3"/>
    </row>
    <row r="47" spans="1:10" ht="15.75">
      <c r="A47" s="293" t="s">
        <v>15</v>
      </c>
      <c r="B47" s="294"/>
      <c r="C47" s="294"/>
      <c r="D47" s="294"/>
      <c r="E47" s="294"/>
      <c r="F47" s="295"/>
      <c r="G47" s="9">
        <f>SUM(G48+G51)</f>
        <v>225.99999999999997</v>
      </c>
      <c r="H47" s="308">
        <f>H48+H51</f>
        <v>134</v>
      </c>
      <c r="I47" s="309"/>
      <c r="J47" s="310"/>
    </row>
    <row r="48" spans="1:10">
      <c r="A48" s="296" t="s">
        <v>11</v>
      </c>
      <c r="B48" s="297"/>
      <c r="C48" s="297"/>
      <c r="D48" s="297"/>
      <c r="E48" s="297"/>
      <c r="F48" s="298"/>
      <c r="G48" s="8">
        <f>SUM(G50:G50)</f>
        <v>225.99999999999997</v>
      </c>
      <c r="H48" s="311">
        <f>SUM(J50:J50)</f>
        <v>134</v>
      </c>
      <c r="I48" s="312"/>
      <c r="J48" s="313"/>
    </row>
    <row r="49" spans="1:10">
      <c r="A49" s="314" t="s">
        <v>17</v>
      </c>
      <c r="B49" s="315"/>
      <c r="C49" s="315"/>
      <c r="D49" s="315"/>
      <c r="E49" s="315"/>
      <c r="F49" s="315"/>
      <c r="G49" s="315"/>
      <c r="H49" s="315"/>
      <c r="I49" s="315"/>
      <c r="J49" s="316"/>
    </row>
    <row r="50" spans="1:10">
      <c r="A50" s="2" t="s">
        <v>46</v>
      </c>
      <c r="B50" s="1" t="s">
        <v>1188</v>
      </c>
      <c r="C50" s="1" t="s">
        <v>1189</v>
      </c>
      <c r="D50" s="3">
        <v>10</v>
      </c>
      <c r="E50" s="19">
        <v>20</v>
      </c>
      <c r="F50" s="3">
        <f>D50*E50</f>
        <v>200</v>
      </c>
      <c r="G50" s="3">
        <f>F50*1.13</f>
        <v>225.99999999999997</v>
      </c>
      <c r="H50" s="3"/>
      <c r="I50" s="1"/>
      <c r="J50" s="3">
        <v>134</v>
      </c>
    </row>
    <row r="51" spans="1:10">
      <c r="A51" s="296" t="s">
        <v>12</v>
      </c>
      <c r="B51" s="297"/>
      <c r="C51" s="297"/>
      <c r="D51" s="297"/>
      <c r="E51" s="297"/>
      <c r="F51" s="298"/>
      <c r="G51" s="8">
        <f>-SUM(G52:G52)</f>
        <v>0</v>
      </c>
      <c r="H51" s="299">
        <f>-SUM(J52:J52)</f>
        <v>0</v>
      </c>
      <c r="I51" s="300"/>
      <c r="J51" s="301"/>
    </row>
    <row r="52" spans="1:10">
      <c r="A52" s="2" t="s">
        <v>1039</v>
      </c>
      <c r="B52" s="1"/>
      <c r="C52" s="1"/>
      <c r="D52" s="3"/>
      <c r="E52" s="1"/>
      <c r="F52" s="3">
        <f>E52*D52</f>
        <v>0</v>
      </c>
      <c r="G52" s="3">
        <f>F52*1.13</f>
        <v>0</v>
      </c>
      <c r="H52" s="3"/>
      <c r="I52" s="1"/>
      <c r="J52" s="3"/>
    </row>
    <row r="54" spans="1:10" ht="15.75">
      <c r="A54" s="293" t="s">
        <v>1393</v>
      </c>
      <c r="B54" s="294"/>
      <c r="C54" s="294"/>
      <c r="D54" s="294"/>
      <c r="E54" s="294"/>
      <c r="F54" s="295"/>
      <c r="G54" s="15">
        <f>G55+G62</f>
        <v>1071.6919999999998</v>
      </c>
      <c r="H54" s="308">
        <f>H55+H62</f>
        <v>0</v>
      </c>
      <c r="I54" s="309"/>
      <c r="J54" s="310"/>
    </row>
    <row r="55" spans="1:10">
      <c r="A55" s="296" t="s">
        <v>11</v>
      </c>
      <c r="B55" s="297"/>
      <c r="C55" s="297"/>
      <c r="D55" s="297"/>
      <c r="E55" s="297"/>
      <c r="F55" s="298"/>
      <c r="G55" s="8">
        <f>SUM(G57:G61)</f>
        <v>1071.6919999999998</v>
      </c>
      <c r="H55" s="311">
        <f>SUM(J57:J61)</f>
        <v>0</v>
      </c>
      <c r="I55" s="312"/>
      <c r="J55" s="313"/>
    </row>
    <row r="56" spans="1:10">
      <c r="A56" s="324" t="s">
        <v>299</v>
      </c>
      <c r="B56" s="325"/>
      <c r="C56" s="325"/>
      <c r="D56" s="325"/>
      <c r="E56" s="325"/>
      <c r="F56" s="325"/>
      <c r="G56" s="325"/>
      <c r="H56" s="325"/>
      <c r="I56" s="325"/>
      <c r="J56" s="326"/>
    </row>
    <row r="57" spans="1:10">
      <c r="A57" s="141" t="s">
        <v>1038</v>
      </c>
      <c r="B57" s="19" t="s">
        <v>1390</v>
      </c>
      <c r="C57" s="19" t="s">
        <v>1396</v>
      </c>
      <c r="D57" s="20">
        <v>28.99</v>
      </c>
      <c r="E57" s="19">
        <v>12</v>
      </c>
      <c r="F57" s="20">
        <f>D57*E57</f>
        <v>347.88</v>
      </c>
      <c r="G57" s="20">
        <f>F57*1.13</f>
        <v>393.10439999999994</v>
      </c>
      <c r="H57" s="20"/>
      <c r="I57" s="19"/>
      <c r="J57" s="20"/>
    </row>
    <row r="58" spans="1:10">
      <c r="A58" s="141" t="s">
        <v>1037</v>
      </c>
      <c r="B58" s="19" t="s">
        <v>1391</v>
      </c>
      <c r="C58" s="19" t="s">
        <v>1397</v>
      </c>
      <c r="D58" s="20">
        <v>39.99</v>
      </c>
      <c r="E58" s="19">
        <v>8</v>
      </c>
      <c r="F58" s="20">
        <f>D58*E58</f>
        <v>319.92</v>
      </c>
      <c r="G58" s="20">
        <f>F58*1.13</f>
        <v>361.50959999999998</v>
      </c>
      <c r="H58" s="20"/>
      <c r="I58" s="19"/>
      <c r="J58" s="20"/>
    </row>
    <row r="59" spans="1:10">
      <c r="A59" s="327" t="s">
        <v>300</v>
      </c>
      <c r="B59" s="328"/>
      <c r="C59" s="328"/>
      <c r="D59" s="328"/>
      <c r="E59" s="328"/>
      <c r="F59" s="328"/>
      <c r="G59" s="328"/>
      <c r="H59" s="328"/>
      <c r="I59" s="328"/>
      <c r="J59" s="329"/>
    </row>
    <row r="60" spans="1:10">
      <c r="A60" s="141" t="s">
        <v>1036</v>
      </c>
      <c r="B60" s="19" t="s">
        <v>20</v>
      </c>
      <c r="C60" s="19" t="s">
        <v>1187</v>
      </c>
      <c r="D60" s="20">
        <v>65</v>
      </c>
      <c r="E60" s="19">
        <v>4</v>
      </c>
      <c r="F60" s="20">
        <f>D60*E60</f>
        <v>260</v>
      </c>
      <c r="G60" s="20">
        <f>F60*1.13</f>
        <v>293.79999999999995</v>
      </c>
      <c r="H60" s="20"/>
      <c r="I60" s="19"/>
      <c r="J60" s="20"/>
    </row>
    <row r="61" spans="1:10">
      <c r="A61" s="141" t="s">
        <v>1394</v>
      </c>
      <c r="B61" s="19" t="s">
        <v>18</v>
      </c>
      <c r="C61" s="19" t="s">
        <v>1392</v>
      </c>
      <c r="D61" s="20">
        <v>10.3</v>
      </c>
      <c r="E61" s="19">
        <v>2</v>
      </c>
      <c r="F61" s="20">
        <f>D61*E61</f>
        <v>20.6</v>
      </c>
      <c r="G61" s="20">
        <f>F61*1.13</f>
        <v>23.277999999999999</v>
      </c>
      <c r="H61" s="20"/>
      <c r="I61" s="19"/>
      <c r="J61" s="20"/>
    </row>
    <row r="62" spans="1:10">
      <c r="A62" s="296" t="s">
        <v>12</v>
      </c>
      <c r="B62" s="297"/>
      <c r="C62" s="297"/>
      <c r="D62" s="297"/>
      <c r="E62" s="297"/>
      <c r="F62" s="298"/>
      <c r="G62" s="8">
        <f>-SUM(G63:G63)</f>
        <v>0</v>
      </c>
      <c r="H62" s="299">
        <f>-SUM(J63:J63)</f>
        <v>0</v>
      </c>
      <c r="I62" s="300"/>
      <c r="J62" s="301"/>
    </row>
    <row r="63" spans="1:10">
      <c r="A63" s="2" t="s">
        <v>1395</v>
      </c>
      <c r="B63" s="1"/>
      <c r="C63" s="1"/>
      <c r="D63" s="3"/>
      <c r="E63" s="1"/>
      <c r="F63" s="3">
        <f>E63*D63</f>
        <v>0</v>
      </c>
      <c r="G63" s="3">
        <f>F63*1.13</f>
        <v>0</v>
      </c>
      <c r="H63" s="3"/>
      <c r="I63" s="1"/>
      <c r="J63" s="3"/>
    </row>
    <row r="65" spans="1:10">
      <c r="J65" s="106"/>
    </row>
    <row r="69" spans="1:10">
      <c r="A69" s="4" t="s">
        <v>1478</v>
      </c>
      <c r="J69" s="4">
        <v>-524.85</v>
      </c>
    </row>
  </sheetData>
  <mergeCells count="49">
    <mergeCell ref="A1:E2"/>
    <mergeCell ref="F1:G1"/>
    <mergeCell ref="H1:J1"/>
    <mergeCell ref="F2:G2"/>
    <mergeCell ref="H2:J2"/>
    <mergeCell ref="A8:F8"/>
    <mergeCell ref="H8:J8"/>
    <mergeCell ref="A26:J26"/>
    <mergeCell ref="A40:F40"/>
    <mergeCell ref="H40:J40"/>
    <mergeCell ref="A33:J33"/>
    <mergeCell ref="A36:F36"/>
    <mergeCell ref="H36:J36"/>
    <mergeCell ref="H39:J39"/>
    <mergeCell ref="H25:J25"/>
    <mergeCell ref="A30:J30"/>
    <mergeCell ref="A9:F9"/>
    <mergeCell ref="H9:J9"/>
    <mergeCell ref="A10:J10"/>
    <mergeCell ref="A17:J17"/>
    <mergeCell ref="A21:F21"/>
    <mergeCell ref="H21:J21"/>
    <mergeCell ref="A44:F44"/>
    <mergeCell ref="H44:J44"/>
    <mergeCell ref="A41:J41"/>
    <mergeCell ref="A13:F13"/>
    <mergeCell ref="H13:J13"/>
    <mergeCell ref="A14:F14"/>
    <mergeCell ref="H14:J14"/>
    <mergeCell ref="A15:J15"/>
    <mergeCell ref="A24:F24"/>
    <mergeCell ref="H24:J24"/>
    <mergeCell ref="A25:F25"/>
    <mergeCell ref="A62:F62"/>
    <mergeCell ref="H62:J62"/>
    <mergeCell ref="A51:F51"/>
    <mergeCell ref="H51:J51"/>
    <mergeCell ref="A54:F54"/>
    <mergeCell ref="H54:J54"/>
    <mergeCell ref="A55:F55"/>
    <mergeCell ref="H55:J55"/>
    <mergeCell ref="A56:J56"/>
    <mergeCell ref="A59:J59"/>
    <mergeCell ref="A49:J49"/>
    <mergeCell ref="A39:F39"/>
    <mergeCell ref="A47:F47"/>
    <mergeCell ref="H47:J47"/>
    <mergeCell ref="A48:F48"/>
    <mergeCell ref="H48:J48"/>
  </mergeCells>
  <hyperlinks>
    <hyperlink ref="A1:E2" location="Summary!A1" display="16 - Director of First Year - Sam Mehltretter"/>
  </hyperlinks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opLeftCell="A19" zoomScale="120" zoomScaleNormal="120" zoomScalePageLayoutView="120" workbookViewId="0">
      <selection activeCell="M4" sqref="M4"/>
    </sheetView>
  </sheetViews>
  <sheetFormatPr defaultColWidth="8.85546875" defaultRowHeight="15"/>
  <cols>
    <col min="1" max="1" width="8.85546875" style="4"/>
    <col min="2" max="2" width="13.7109375" style="4" bestFit="1" customWidth="1"/>
    <col min="3" max="3" width="32.140625" style="4" bestFit="1" customWidth="1"/>
    <col min="4" max="4" width="9.28515625" style="4" bestFit="1" customWidth="1"/>
    <col min="5" max="5" width="5.42578125" style="4" bestFit="1" customWidth="1"/>
    <col min="6" max="6" width="13.42578125" style="4" customWidth="1"/>
    <col min="7" max="7" width="12.28515625" style="4" bestFit="1" customWidth="1"/>
    <col min="8" max="9" width="8.85546875" style="4"/>
    <col min="10" max="10" width="10.85546875" style="4" bestFit="1" customWidth="1"/>
    <col min="11" max="16384" width="8.85546875" style="4"/>
  </cols>
  <sheetData>
    <row r="1" spans="1:10" ht="18.75">
      <c r="A1" s="302" t="s">
        <v>1244</v>
      </c>
      <c r="B1" s="302"/>
      <c r="C1" s="302"/>
      <c r="D1" s="302"/>
      <c r="E1" s="302"/>
      <c r="F1" s="303">
        <f>G8+G24+G39+G47</f>
        <v>12362.019999999997</v>
      </c>
      <c r="G1" s="304"/>
      <c r="H1" s="303">
        <f>H8+H24+H39+H47-J7</f>
        <v>14884.689999999999</v>
      </c>
      <c r="I1" s="317"/>
      <c r="J1" s="304"/>
    </row>
    <row r="2" spans="1:10">
      <c r="A2" s="302"/>
      <c r="B2" s="302"/>
      <c r="C2" s="302"/>
      <c r="D2" s="302"/>
      <c r="E2" s="302"/>
      <c r="F2" s="305" t="s">
        <v>6</v>
      </c>
      <c r="G2" s="306"/>
      <c r="H2" s="305" t="s">
        <v>7</v>
      </c>
      <c r="I2" s="307"/>
      <c r="J2" s="306"/>
    </row>
    <row r="5" spans="1:10" ht="57" thickBot="1">
      <c r="A5" s="7" t="s">
        <v>0</v>
      </c>
      <c r="B5" s="7" t="s">
        <v>1</v>
      </c>
      <c r="C5" s="7" t="s">
        <v>5</v>
      </c>
      <c r="D5" s="5" t="s">
        <v>8</v>
      </c>
      <c r="E5" s="7" t="s">
        <v>13</v>
      </c>
      <c r="F5" s="7" t="s">
        <v>2</v>
      </c>
      <c r="G5" s="5" t="s">
        <v>9</v>
      </c>
      <c r="H5" s="6" t="s">
        <v>3</v>
      </c>
      <c r="I5" s="6" t="s">
        <v>4</v>
      </c>
      <c r="J5" s="5" t="s">
        <v>10</v>
      </c>
    </row>
    <row r="6" spans="1:10">
      <c r="A6" s="4" t="s">
        <v>1431</v>
      </c>
    </row>
    <row r="7" spans="1:10">
      <c r="B7" s="4" t="s">
        <v>1432</v>
      </c>
      <c r="J7" s="4">
        <v>3000</v>
      </c>
    </row>
    <row r="8" spans="1:10" ht="15.75">
      <c r="A8" s="293" t="s">
        <v>166</v>
      </c>
      <c r="B8" s="294"/>
      <c r="C8" s="294"/>
      <c r="D8" s="294"/>
      <c r="E8" s="294"/>
      <c r="F8" s="295"/>
      <c r="G8" s="9">
        <f>SUM(G9+G15)</f>
        <v>5387.7</v>
      </c>
      <c r="H8" s="308">
        <f>H9</f>
        <v>3503.3500000000004</v>
      </c>
      <c r="I8" s="309"/>
      <c r="J8" s="310"/>
    </row>
    <row r="9" spans="1:10">
      <c r="A9" s="296" t="s">
        <v>11</v>
      </c>
      <c r="B9" s="297"/>
      <c r="C9" s="297"/>
      <c r="D9" s="297"/>
      <c r="E9" s="297"/>
      <c r="F9" s="298"/>
      <c r="G9" s="8">
        <f>SUM(G11:G22)</f>
        <v>5387.7</v>
      </c>
      <c r="H9" s="311">
        <f>SUM(J11:J23)</f>
        <v>3503.3500000000004</v>
      </c>
      <c r="I9" s="312"/>
      <c r="J9" s="313"/>
    </row>
    <row r="10" spans="1:10">
      <c r="A10" s="336" t="s">
        <v>165</v>
      </c>
      <c r="B10" s="337"/>
      <c r="C10" s="337"/>
      <c r="D10" s="337"/>
      <c r="E10" s="337"/>
      <c r="F10" s="337"/>
      <c r="G10" s="337"/>
      <c r="H10" s="337"/>
      <c r="I10" s="337"/>
      <c r="J10" s="338"/>
    </row>
    <row r="11" spans="1:10">
      <c r="A11" s="2" t="s">
        <v>164</v>
      </c>
      <c r="B11" s="1" t="s">
        <v>75</v>
      </c>
      <c r="C11" s="1"/>
      <c r="D11" s="3">
        <v>120</v>
      </c>
      <c r="E11" s="1">
        <v>6</v>
      </c>
      <c r="F11" s="3">
        <f>D11*E11</f>
        <v>720</v>
      </c>
      <c r="G11" s="3">
        <f>F11</f>
        <v>720</v>
      </c>
      <c r="H11" s="3"/>
      <c r="I11" s="1"/>
      <c r="J11" s="3">
        <v>500</v>
      </c>
    </row>
    <row r="12" spans="1:10">
      <c r="A12" s="336" t="s">
        <v>163</v>
      </c>
      <c r="B12" s="337"/>
      <c r="C12" s="337"/>
      <c r="D12" s="337"/>
      <c r="E12" s="337"/>
      <c r="F12" s="337"/>
      <c r="G12" s="337"/>
      <c r="H12" s="337"/>
      <c r="I12" s="337"/>
      <c r="J12" s="338"/>
    </row>
    <row r="13" spans="1:10">
      <c r="A13" s="2" t="s">
        <v>162</v>
      </c>
      <c r="B13" s="1" t="s">
        <v>75</v>
      </c>
      <c r="C13" s="1" t="s">
        <v>161</v>
      </c>
      <c r="D13" s="3">
        <v>130</v>
      </c>
      <c r="E13" s="1">
        <v>3</v>
      </c>
      <c r="F13" s="3">
        <f>D13*E13</f>
        <v>390</v>
      </c>
      <c r="G13" s="3">
        <f>F13</f>
        <v>390</v>
      </c>
      <c r="H13" s="3"/>
      <c r="I13" s="1"/>
      <c r="J13" s="3">
        <v>250</v>
      </c>
    </row>
    <row r="14" spans="1:10">
      <c r="A14" s="2" t="s">
        <v>160</v>
      </c>
      <c r="B14" s="1" t="s">
        <v>130</v>
      </c>
      <c r="C14" s="1" t="s">
        <v>154</v>
      </c>
      <c r="D14" s="3">
        <v>80</v>
      </c>
      <c r="E14" s="1">
        <v>1</v>
      </c>
      <c r="F14" s="3">
        <f>D14*E14</f>
        <v>80</v>
      </c>
      <c r="G14" s="3">
        <f>F14*1.13</f>
        <v>90.399999999999991</v>
      </c>
      <c r="H14" s="3"/>
      <c r="I14" s="1"/>
      <c r="J14" s="3">
        <v>98.5</v>
      </c>
    </row>
    <row r="15" spans="1:10">
      <c r="A15" s="336" t="s">
        <v>159</v>
      </c>
      <c r="B15" s="337"/>
      <c r="C15" s="337"/>
      <c r="D15" s="337"/>
      <c r="E15" s="337"/>
      <c r="F15" s="337"/>
      <c r="G15" s="337"/>
      <c r="H15" s="337"/>
      <c r="I15" s="337"/>
      <c r="J15" s="338"/>
    </row>
    <row r="16" spans="1:10">
      <c r="A16" s="2" t="s">
        <v>158</v>
      </c>
      <c r="B16" s="1" t="s">
        <v>75</v>
      </c>
      <c r="C16" s="1" t="s">
        <v>1413</v>
      </c>
      <c r="D16" s="3">
        <v>130</v>
      </c>
      <c r="E16" s="1">
        <v>6</v>
      </c>
      <c r="F16" s="3">
        <f>D16*E16</f>
        <v>780</v>
      </c>
      <c r="G16" s="3">
        <f>F16*1.13</f>
        <v>881.39999999999986</v>
      </c>
      <c r="H16" s="3"/>
      <c r="I16" s="1"/>
      <c r="J16" s="3">
        <v>480</v>
      </c>
    </row>
    <row r="17" spans="1:10">
      <c r="A17" s="2" t="s">
        <v>157</v>
      </c>
      <c r="B17" s="1" t="s">
        <v>156</v>
      </c>
      <c r="C17" s="1" t="s">
        <v>132</v>
      </c>
      <c r="D17" s="3">
        <v>130</v>
      </c>
      <c r="E17" s="1">
        <v>1</v>
      </c>
      <c r="F17" s="3">
        <f>E17*D17</f>
        <v>130</v>
      </c>
      <c r="G17" s="3">
        <f>F17*1.13</f>
        <v>146.89999999999998</v>
      </c>
      <c r="H17" s="3"/>
      <c r="I17" s="1"/>
      <c r="J17" s="3">
        <v>138.99</v>
      </c>
    </row>
    <row r="18" spans="1:10">
      <c r="A18" s="2" t="s">
        <v>155</v>
      </c>
      <c r="B18" s="1" t="s">
        <v>130</v>
      </c>
      <c r="C18" s="1" t="s">
        <v>154</v>
      </c>
      <c r="D18" s="3">
        <v>100</v>
      </c>
      <c r="E18" s="1">
        <v>1</v>
      </c>
      <c r="F18" s="3">
        <f>D18*E18</f>
        <v>100</v>
      </c>
      <c r="G18" s="3">
        <f>F18*1.13</f>
        <v>112.99999999999999</v>
      </c>
      <c r="H18" s="3"/>
      <c r="I18" s="1"/>
      <c r="J18" s="3">
        <f>17.98+33+100</f>
        <v>150.98000000000002</v>
      </c>
    </row>
    <row r="19" spans="1:10">
      <c r="A19" s="336" t="s">
        <v>153</v>
      </c>
      <c r="B19" s="337"/>
      <c r="C19" s="337"/>
      <c r="D19" s="337"/>
      <c r="E19" s="337"/>
      <c r="F19" s="337"/>
      <c r="G19" s="337"/>
      <c r="H19" s="337"/>
      <c r="I19" s="337"/>
      <c r="J19" s="338"/>
    </row>
    <row r="20" spans="1:10">
      <c r="A20" s="2" t="s">
        <v>152</v>
      </c>
      <c r="B20" s="1" t="s">
        <v>75</v>
      </c>
      <c r="C20" s="1" t="s">
        <v>1412</v>
      </c>
      <c r="D20" s="3">
        <v>130</v>
      </c>
      <c r="E20" s="1">
        <v>4</v>
      </c>
      <c r="F20" s="3">
        <f>D20*E20</f>
        <v>520</v>
      </c>
      <c r="G20" s="3">
        <f>F20</f>
        <v>520</v>
      </c>
      <c r="H20" s="3"/>
      <c r="I20" s="1"/>
      <c r="J20" s="3">
        <v>560</v>
      </c>
    </row>
    <row r="21" spans="1:10">
      <c r="A21" s="2" t="s">
        <v>151</v>
      </c>
      <c r="B21" s="1" t="s">
        <v>145</v>
      </c>
      <c r="C21" s="1" t="s">
        <v>150</v>
      </c>
      <c r="D21" s="3">
        <v>550</v>
      </c>
      <c r="E21" s="1">
        <v>4</v>
      </c>
      <c r="F21" s="3">
        <f>D21*E21</f>
        <v>2200</v>
      </c>
      <c r="G21" s="3">
        <f>F21*1.13</f>
        <v>2485.9999999999995</v>
      </c>
      <c r="H21" s="3"/>
      <c r="I21" s="1"/>
      <c r="J21" s="3">
        <v>1085</v>
      </c>
    </row>
    <row r="22" spans="1:10">
      <c r="A22" s="2" t="s">
        <v>149</v>
      </c>
      <c r="B22" s="19" t="s">
        <v>130</v>
      </c>
      <c r="C22" s="19" t="s">
        <v>148</v>
      </c>
      <c r="D22" s="3">
        <v>40</v>
      </c>
      <c r="E22" s="19">
        <v>1</v>
      </c>
      <c r="F22" s="3">
        <f>D22*E22</f>
        <v>40</v>
      </c>
      <c r="G22" s="3">
        <f>F22</f>
        <v>40</v>
      </c>
      <c r="H22" s="1"/>
      <c r="I22" s="1"/>
      <c r="J22" s="3">
        <v>9</v>
      </c>
    </row>
    <row r="23" spans="1:10">
      <c r="A23" s="4">
        <v>17013</v>
      </c>
      <c r="B23" s="145" t="s">
        <v>918</v>
      </c>
      <c r="C23" s="145" t="s">
        <v>1414</v>
      </c>
      <c r="D23" s="148">
        <v>40</v>
      </c>
      <c r="E23" s="145">
        <v>4</v>
      </c>
      <c r="F23" s="146">
        <f>D23*E23</f>
        <v>160</v>
      </c>
      <c r="G23" s="147">
        <f>F23*1.13</f>
        <v>180.79999999999998</v>
      </c>
      <c r="J23" s="3">
        <f>46+443.4-258.52</f>
        <v>230.88</v>
      </c>
    </row>
    <row r="24" spans="1:10" ht="15.75">
      <c r="A24" s="293" t="s">
        <v>147</v>
      </c>
      <c r="B24" s="294"/>
      <c r="C24" s="294"/>
      <c r="D24" s="294"/>
      <c r="E24" s="294"/>
      <c r="F24" s="295"/>
      <c r="G24" s="9">
        <f>SUM(G25+G34)</f>
        <v>5017.7199999999993</v>
      </c>
      <c r="H24" s="308">
        <f>H25+H34</f>
        <v>12076.829999999998</v>
      </c>
      <c r="I24" s="309"/>
      <c r="J24" s="310"/>
    </row>
    <row r="25" spans="1:10">
      <c r="A25" s="296" t="s">
        <v>11</v>
      </c>
      <c r="B25" s="297"/>
      <c r="C25" s="297"/>
      <c r="D25" s="297"/>
      <c r="E25" s="297"/>
      <c r="F25" s="298"/>
      <c r="G25" s="8">
        <f>SUM(G27:G37)</f>
        <v>5017.7199999999993</v>
      </c>
      <c r="H25" s="311">
        <f>SUM(J27:J37)</f>
        <v>12076.829999999998</v>
      </c>
      <c r="I25" s="312"/>
      <c r="J25" s="313"/>
    </row>
    <row r="26" spans="1:10">
      <c r="A26" s="336" t="s">
        <v>146</v>
      </c>
      <c r="B26" s="337"/>
      <c r="C26" s="337"/>
      <c r="D26" s="337"/>
      <c r="E26" s="337"/>
      <c r="F26" s="337"/>
      <c r="G26" s="337"/>
      <c r="H26" s="337"/>
      <c r="I26" s="337"/>
      <c r="J26" s="338"/>
    </row>
    <row r="27" spans="1:10">
      <c r="A27" s="2" t="s">
        <v>143</v>
      </c>
      <c r="B27" s="1" t="s">
        <v>145</v>
      </c>
      <c r="C27" s="1" t="s">
        <v>144</v>
      </c>
      <c r="D27" s="3">
        <v>498.32</v>
      </c>
      <c r="E27" s="1">
        <v>1</v>
      </c>
      <c r="F27" s="3">
        <v>498.32</v>
      </c>
      <c r="G27" s="3">
        <f>F27</f>
        <v>498.32</v>
      </c>
      <c r="H27" s="3"/>
      <c r="I27" s="1"/>
      <c r="J27" s="3">
        <f>498.32+7504.54</f>
        <v>8002.86</v>
      </c>
    </row>
    <row r="28" spans="1:10">
      <c r="A28" s="2" t="s">
        <v>142</v>
      </c>
      <c r="B28" s="1" t="s">
        <v>1399</v>
      </c>
      <c r="C28" s="1" t="s">
        <v>1400</v>
      </c>
      <c r="D28" s="3">
        <v>90</v>
      </c>
      <c r="E28" s="1">
        <v>1</v>
      </c>
      <c r="F28" s="3">
        <v>90</v>
      </c>
      <c r="G28" s="3">
        <f>F28*1.13</f>
        <v>101.69999999999999</v>
      </c>
      <c r="H28" s="3"/>
      <c r="I28" s="1"/>
      <c r="J28" s="3">
        <f>97.32+13.7+88.45+13.65</f>
        <v>213.12</v>
      </c>
    </row>
    <row r="29" spans="1:10">
      <c r="A29" s="2" t="s">
        <v>139</v>
      </c>
      <c r="B29" s="1" t="s">
        <v>75</v>
      </c>
      <c r="C29" s="1"/>
      <c r="D29" s="3">
        <v>130</v>
      </c>
      <c r="E29" s="1">
        <v>1</v>
      </c>
      <c r="F29" s="3">
        <f>D29*E29</f>
        <v>130</v>
      </c>
      <c r="G29" s="3">
        <f>F29</f>
        <v>130</v>
      </c>
      <c r="H29" s="3"/>
      <c r="I29" s="1"/>
      <c r="J29" s="3">
        <v>125</v>
      </c>
    </row>
    <row r="30" spans="1:10">
      <c r="A30" s="2" t="s">
        <v>137</v>
      </c>
      <c r="B30" s="1" t="s">
        <v>130</v>
      </c>
      <c r="C30" s="1" t="s">
        <v>141</v>
      </c>
      <c r="D30" s="3">
        <v>60</v>
      </c>
      <c r="E30" s="1">
        <v>1</v>
      </c>
      <c r="F30" s="3">
        <f>D30*E30</f>
        <v>60</v>
      </c>
      <c r="G30" s="3">
        <f>F30*1.13</f>
        <v>67.8</v>
      </c>
      <c r="H30" s="3"/>
      <c r="I30" s="1"/>
      <c r="J30" s="3">
        <f>37+208.75</f>
        <v>245.75</v>
      </c>
    </row>
    <row r="31" spans="1:10">
      <c r="A31" s="336" t="s">
        <v>140</v>
      </c>
      <c r="B31" s="337"/>
      <c r="C31" s="337"/>
      <c r="D31" s="337"/>
      <c r="E31" s="337"/>
      <c r="F31" s="337"/>
      <c r="G31" s="337"/>
      <c r="H31" s="337"/>
      <c r="I31" s="337"/>
      <c r="J31" s="338"/>
    </row>
    <row r="32" spans="1:10">
      <c r="A32" s="2" t="s">
        <v>135</v>
      </c>
      <c r="B32" s="1" t="s">
        <v>75</v>
      </c>
      <c r="C32" s="1" t="s">
        <v>138</v>
      </c>
      <c r="D32" s="3">
        <v>450</v>
      </c>
      <c r="E32" s="1">
        <v>6</v>
      </c>
      <c r="F32" s="3">
        <f>D32*E32</f>
        <v>2700</v>
      </c>
      <c r="G32" s="3">
        <f>F32</f>
        <v>2700</v>
      </c>
      <c r="H32" s="3"/>
      <c r="I32" s="1"/>
      <c r="J32" s="3">
        <v>1600</v>
      </c>
    </row>
    <row r="33" spans="1:10">
      <c r="A33" s="2" t="s">
        <v>134</v>
      </c>
      <c r="B33" s="1" t="s">
        <v>130</v>
      </c>
      <c r="C33" s="1" t="s">
        <v>129</v>
      </c>
      <c r="D33" s="3">
        <v>80</v>
      </c>
      <c r="E33" s="1">
        <v>6</v>
      </c>
      <c r="F33" s="3">
        <f>D33*E33</f>
        <v>480</v>
      </c>
      <c r="G33" s="3">
        <f>F33</f>
        <v>480</v>
      </c>
      <c r="H33" s="3"/>
      <c r="I33" s="1"/>
      <c r="J33" s="3">
        <f>55.95+71.15+57.75+56.5+22.6+33.9+61.32+45.86+83.86</f>
        <v>488.89000000000004</v>
      </c>
    </row>
    <row r="34" spans="1:10">
      <c r="A34" s="336" t="s">
        <v>136</v>
      </c>
      <c r="B34" s="337"/>
      <c r="C34" s="337"/>
      <c r="D34" s="337"/>
      <c r="E34" s="337"/>
      <c r="F34" s="337"/>
      <c r="G34" s="337"/>
      <c r="H34" s="337"/>
      <c r="I34" s="337"/>
      <c r="J34" s="338"/>
    </row>
    <row r="35" spans="1:10">
      <c r="A35" s="2" t="s">
        <v>131</v>
      </c>
      <c r="B35" s="1" t="s">
        <v>75</v>
      </c>
      <c r="C35" s="1"/>
      <c r="D35" s="3">
        <v>130</v>
      </c>
      <c r="E35" s="1">
        <v>6</v>
      </c>
      <c r="F35" s="3">
        <f>D35*E35</f>
        <v>780</v>
      </c>
      <c r="G35" s="3">
        <f>F35</f>
        <v>780</v>
      </c>
      <c r="H35" s="3"/>
      <c r="I35" s="1"/>
      <c r="J35" s="3">
        <v>875</v>
      </c>
    </row>
    <row r="36" spans="1:10">
      <c r="A36" s="2" t="s">
        <v>126</v>
      </c>
      <c r="B36" s="1" t="s">
        <v>133</v>
      </c>
      <c r="C36" s="1" t="s">
        <v>132</v>
      </c>
      <c r="D36" s="3">
        <v>130</v>
      </c>
      <c r="E36" s="1">
        <v>1</v>
      </c>
      <c r="F36" s="3">
        <f>D36*E36</f>
        <v>130</v>
      </c>
      <c r="G36" s="3">
        <f>F36*1.13</f>
        <v>146.89999999999998</v>
      </c>
      <c r="H36" s="3"/>
      <c r="I36" s="1"/>
      <c r="J36" s="3">
        <v>284.75</v>
      </c>
    </row>
    <row r="37" spans="1:10">
      <c r="A37" s="2" t="s">
        <v>124</v>
      </c>
      <c r="B37" s="1" t="s">
        <v>130</v>
      </c>
      <c r="C37" s="1" t="s">
        <v>129</v>
      </c>
      <c r="D37" s="3">
        <v>100</v>
      </c>
      <c r="E37" s="1">
        <v>1</v>
      </c>
      <c r="F37" s="3">
        <f>D37*E37</f>
        <v>100</v>
      </c>
      <c r="G37" s="3">
        <f>F37*1.13</f>
        <v>112.99999999999999</v>
      </c>
      <c r="H37" s="3"/>
      <c r="I37" s="1"/>
      <c r="J37" s="3">
        <f>105.86+135.6</f>
        <v>241.45999999999998</v>
      </c>
    </row>
    <row r="39" spans="1:10" ht="15.75">
      <c r="A39" s="293" t="s">
        <v>128</v>
      </c>
      <c r="B39" s="294"/>
      <c r="C39" s="294"/>
      <c r="D39" s="294"/>
      <c r="E39" s="294"/>
      <c r="F39" s="295"/>
      <c r="G39" s="9">
        <f>SUM(G40+G47)</f>
        <v>1719.3</v>
      </c>
      <c r="H39" s="308">
        <f>H40</f>
        <v>1917.75</v>
      </c>
      <c r="I39" s="309"/>
      <c r="J39" s="310"/>
    </row>
    <row r="40" spans="1:10">
      <c r="A40" s="296" t="s">
        <v>11</v>
      </c>
      <c r="B40" s="297"/>
      <c r="C40" s="297"/>
      <c r="D40" s="297"/>
      <c r="E40" s="297"/>
      <c r="F40" s="298"/>
      <c r="G40" s="8">
        <f>SUM(G42:G45)</f>
        <v>1482</v>
      </c>
      <c r="H40" s="311">
        <f>SUM(J42:J45)</f>
        <v>1917.75</v>
      </c>
      <c r="I40" s="312"/>
      <c r="J40" s="313"/>
    </row>
    <row r="41" spans="1:10">
      <c r="A41" s="336" t="s">
        <v>127</v>
      </c>
      <c r="B41" s="337"/>
      <c r="C41" s="337"/>
      <c r="D41" s="337"/>
      <c r="E41" s="337"/>
      <c r="F41" s="337"/>
      <c r="G41" s="337"/>
      <c r="H41" s="337"/>
      <c r="I41" s="337"/>
      <c r="J41" s="338"/>
    </row>
    <row r="42" spans="1:10">
      <c r="A42" s="2" t="s">
        <v>121</v>
      </c>
      <c r="B42" s="1" t="s">
        <v>123</v>
      </c>
      <c r="C42" s="1"/>
      <c r="D42" s="3">
        <v>0.4</v>
      </c>
      <c r="E42" s="1">
        <v>2600</v>
      </c>
      <c r="F42" s="3">
        <f>D42*E42</f>
        <v>1040</v>
      </c>
      <c r="G42" s="3">
        <f>F42</f>
        <v>1040</v>
      </c>
      <c r="H42" s="3"/>
      <c r="I42" s="1"/>
      <c r="J42" s="3">
        <f>1030</f>
        <v>1030</v>
      </c>
    </row>
    <row r="43" spans="1:10">
      <c r="A43" s="10"/>
      <c r="B43" s="11"/>
      <c r="C43" s="11"/>
      <c r="D43" s="12"/>
      <c r="E43" s="11"/>
      <c r="F43" s="12"/>
      <c r="G43" s="12"/>
      <c r="H43" s="12"/>
      <c r="I43" s="11"/>
      <c r="J43" s="13">
        <v>450</v>
      </c>
    </row>
    <row r="44" spans="1:10">
      <c r="A44" s="336" t="s">
        <v>125</v>
      </c>
      <c r="B44" s="337"/>
      <c r="C44" s="337"/>
      <c r="D44" s="337"/>
      <c r="E44" s="337"/>
      <c r="F44" s="337"/>
      <c r="G44" s="337"/>
      <c r="H44" s="337"/>
      <c r="I44" s="337"/>
      <c r="J44" s="338"/>
    </row>
    <row r="45" spans="1:10">
      <c r="A45" s="2" t="s">
        <v>118</v>
      </c>
      <c r="B45" s="1" t="s">
        <v>123</v>
      </c>
      <c r="C45" s="1"/>
      <c r="D45" s="3">
        <v>0.17</v>
      </c>
      <c r="E45" s="1">
        <v>2600</v>
      </c>
      <c r="F45" s="3">
        <f>D45*E45</f>
        <v>442.00000000000006</v>
      </c>
      <c r="G45" s="3">
        <f>F45</f>
        <v>442.00000000000006</v>
      </c>
      <c r="H45" s="3"/>
      <c r="I45" s="1"/>
      <c r="J45" s="3">
        <v>437.75</v>
      </c>
    </row>
    <row r="47" spans="1:10" ht="15.75">
      <c r="A47" s="293" t="s">
        <v>122</v>
      </c>
      <c r="B47" s="294"/>
      <c r="C47" s="294"/>
      <c r="D47" s="294"/>
      <c r="E47" s="294"/>
      <c r="F47" s="295"/>
      <c r="G47" s="9">
        <f>SUM(G48+G56)</f>
        <v>237.29999999999995</v>
      </c>
      <c r="H47" s="308">
        <f>H48+H56</f>
        <v>386.76</v>
      </c>
      <c r="I47" s="309"/>
      <c r="J47" s="310"/>
    </row>
    <row r="48" spans="1:10">
      <c r="A48" s="296" t="s">
        <v>11</v>
      </c>
      <c r="B48" s="297"/>
      <c r="C48" s="297"/>
      <c r="D48" s="297"/>
      <c r="E48" s="297"/>
      <c r="F48" s="298"/>
      <c r="G48" s="8">
        <f>SUM(G50:G53)</f>
        <v>237.29999999999995</v>
      </c>
      <c r="H48" s="311">
        <f>SUM(J50:J53)</f>
        <v>386.76</v>
      </c>
      <c r="I48" s="312"/>
      <c r="J48" s="313"/>
    </row>
    <row r="49" spans="1:10">
      <c r="A49" s="314" t="s">
        <v>14</v>
      </c>
      <c r="B49" s="315"/>
      <c r="C49" s="315"/>
      <c r="D49" s="315"/>
      <c r="E49" s="315"/>
      <c r="F49" s="315"/>
      <c r="G49" s="315"/>
      <c r="H49" s="315"/>
      <c r="I49" s="315"/>
      <c r="J49" s="316"/>
    </row>
    <row r="50" spans="1:10">
      <c r="A50" s="2" t="s">
        <v>1398</v>
      </c>
      <c r="B50" s="1" t="s">
        <v>120</v>
      </c>
      <c r="C50" s="1" t="s">
        <v>119</v>
      </c>
      <c r="D50" s="3">
        <v>15</v>
      </c>
      <c r="E50" s="1">
        <v>10</v>
      </c>
      <c r="F50" s="3">
        <f>D50*E50</f>
        <v>150</v>
      </c>
      <c r="G50" s="3">
        <f>F50*1.13</f>
        <v>169.49999999999997</v>
      </c>
      <c r="H50" s="3"/>
      <c r="I50" s="1"/>
      <c r="J50" s="3">
        <f>216.26+114</f>
        <v>330.26</v>
      </c>
    </row>
    <row r="51" spans="1:10">
      <c r="A51" s="2" t="s">
        <v>1415</v>
      </c>
      <c r="B51" s="1" t="s">
        <v>117</v>
      </c>
      <c r="C51" s="1" t="s">
        <v>116</v>
      </c>
      <c r="D51" s="3">
        <v>60</v>
      </c>
      <c r="E51" s="1">
        <v>1</v>
      </c>
      <c r="F51" s="3">
        <f>D51*E51</f>
        <v>60</v>
      </c>
      <c r="G51" s="3">
        <f>F51*1.13</f>
        <v>67.8</v>
      </c>
      <c r="H51" s="3"/>
      <c r="I51" s="1"/>
      <c r="J51" s="3">
        <v>56.5</v>
      </c>
    </row>
  </sheetData>
  <mergeCells count="31">
    <mergeCell ref="A34:J34"/>
    <mergeCell ref="A39:F39"/>
    <mergeCell ref="H39:J39"/>
    <mergeCell ref="A40:F40"/>
    <mergeCell ref="H40:J40"/>
    <mergeCell ref="A49:J49"/>
    <mergeCell ref="A41:J41"/>
    <mergeCell ref="A44:J44"/>
    <mergeCell ref="A47:F47"/>
    <mergeCell ref="H47:J47"/>
    <mergeCell ref="A48:F48"/>
    <mergeCell ref="H48:J48"/>
    <mergeCell ref="A31:J31"/>
    <mergeCell ref="A12:J12"/>
    <mergeCell ref="A15:J15"/>
    <mergeCell ref="A19:J19"/>
    <mergeCell ref="A9:F9"/>
    <mergeCell ref="H9:J9"/>
    <mergeCell ref="A10:J10"/>
    <mergeCell ref="A24:F24"/>
    <mergeCell ref="H24:J24"/>
    <mergeCell ref="A25:F25"/>
    <mergeCell ref="H25:J25"/>
    <mergeCell ref="A26:J26"/>
    <mergeCell ref="A8:F8"/>
    <mergeCell ref="H8:J8"/>
    <mergeCell ref="A1:E2"/>
    <mergeCell ref="F1:G1"/>
    <mergeCell ref="H1:J1"/>
    <mergeCell ref="F2:G2"/>
    <mergeCell ref="H2:J2"/>
  </mergeCells>
  <hyperlinks>
    <hyperlink ref="A1:E2" location="Summary!A1" display="17 - Director of External Comm. - Chris Purves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301085B07F9459249C2DF7740ED3D" ma:contentTypeVersion="1" ma:contentTypeDescription="Create a new document." ma:contentTypeScope="" ma:versionID="52b2148349da07ae4e5b8209fcdb8a6f">
  <xsd:schema xmlns:xsd="http://www.w3.org/2001/XMLSchema" xmlns:xs="http://www.w3.org/2001/XMLSchema" xmlns:p="http://schemas.microsoft.com/office/2006/metadata/properties" xmlns:ns3="6c60dad5-d3c9-4315-8ff8-42df4b79729a" targetNamespace="http://schemas.microsoft.com/office/2006/metadata/properties" ma:root="true" ma:fieldsID="b361c9524c5eb2a22762104eca6c328a" ns3:_="">
    <xsd:import namespace="6c60dad5-d3c9-4315-8ff8-42df4b79729a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0dad5-d3c9-4315-8ff8-42df4b7972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04F88B-8322-44BE-BAF2-17C0F3F3CE47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6c60dad5-d3c9-4315-8ff8-42df4b79729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67CA2A-0961-4B60-81DB-51B2DAF760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82BD27-D8AD-4624-88CB-3EEECC2408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60dad5-d3c9-4315-8ff8-42df4b797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</vt:lpstr>
      <vt:lpstr>10 - Revenue</vt:lpstr>
      <vt:lpstr>11 - Pres</vt:lpstr>
      <vt:lpstr>12 - VPA</vt:lpstr>
      <vt:lpstr>13 - VPOps</vt:lpstr>
      <vt:lpstr>14 - VPSA</vt:lpstr>
      <vt:lpstr>15- VPSD</vt:lpstr>
      <vt:lpstr>16 - DoFY</vt:lpstr>
      <vt:lpstr>17- DoX</vt:lpstr>
      <vt:lpstr>18 - DoS</vt:lpstr>
      <vt:lpstr>19 - DoF</vt:lpstr>
      <vt:lpstr>20 - DoIT</vt:lpstr>
      <vt:lpstr>21 - DoIA</vt:lpstr>
      <vt:lpstr>22 - DoE</vt:lpstr>
      <vt:lpstr>23 - DoPD</vt:lpstr>
      <vt:lpstr>Summer</vt:lpstr>
    </vt:vector>
  </TitlesOfParts>
  <Company>HTS Engineering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shawyank</dc:creator>
  <cp:lastModifiedBy>Andrew Crawford</cp:lastModifiedBy>
  <cp:lastPrinted>2012-08-03T13:59:10Z</cp:lastPrinted>
  <dcterms:created xsi:type="dcterms:W3CDTF">2012-08-02T21:03:32Z</dcterms:created>
  <dcterms:modified xsi:type="dcterms:W3CDTF">2015-07-02T15:03:06Z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0x0101009A7301085B07F9459249C2DF7740ED3D</vt:lpwstr>
  </property>
  <property fmtid="{D5CDD505-2E9C-101B-9397-08002B2CF9AE}" pid="3" name="IsMyDocuments">
    <vt:bool>true</vt:bool>
  </property>
</Properties>
</file>